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915" windowHeight="7485"/>
  </bookViews>
  <sheets>
    <sheet name="Presupuesto 2014" sheetId="1" r:id="rId1"/>
  </sheets>
  <externalReferences>
    <externalReference r:id="rId2"/>
    <externalReference r:id="rId3"/>
  </externalReferences>
  <definedNames>
    <definedName name="_xlnm._FilterDatabase" localSheetId="0" hidden="1">'Presupuesto 2014'!$A$6:$U$164</definedName>
    <definedName name="_xlnm.Print_Area" localSheetId="0">'Presupuesto 2014'!$A$1:$U$188</definedName>
    <definedName name="poa">#REF!</definedName>
    <definedName name="poa_1">#REF!</definedName>
    <definedName name="RUBROS">[2]RUBROS!$A$6:$FF$2381</definedName>
    <definedName name="_xlnm.Print_Titles" localSheetId="0">'Presupuesto 2014'!$1:$6</definedName>
  </definedNames>
  <calcPr calcId="145621"/>
</workbook>
</file>

<file path=xl/calcChain.xml><?xml version="1.0" encoding="utf-8"?>
<calcChain xmlns="http://schemas.openxmlformats.org/spreadsheetml/2006/main">
  <c r="AB172" i="1" l="1"/>
  <c r="I171" i="1"/>
  <c r="G171" i="1"/>
  <c r="E169" i="1"/>
  <c r="D169" i="1"/>
  <c r="U162" i="1"/>
  <c r="S162" i="1"/>
  <c r="O162" i="1"/>
  <c r="J162" i="1"/>
  <c r="E162" i="1"/>
  <c r="M161" i="1"/>
  <c r="T160" i="1"/>
  <c r="I160" i="1"/>
  <c r="M160" i="1" s="1"/>
  <c r="R160" i="1" s="1"/>
  <c r="D160" i="1"/>
  <c r="M159" i="1"/>
  <c r="M158" i="1"/>
  <c r="N158" i="1" s="1"/>
  <c r="G158" i="1"/>
  <c r="D158" i="1"/>
  <c r="T157" i="1"/>
  <c r="I157" i="1"/>
  <c r="M157" i="1" s="1"/>
  <c r="G157" i="1"/>
  <c r="G155" i="1" s="1"/>
  <c r="G162" i="1" s="1"/>
  <c r="D157" i="1"/>
  <c r="I156" i="1"/>
  <c r="M156" i="1" s="1"/>
  <c r="U155" i="1"/>
  <c r="S155" i="1"/>
  <c r="Q155" i="1"/>
  <c r="Q162" i="1" s="1"/>
  <c r="P155" i="1"/>
  <c r="P162" i="1" s="1"/>
  <c r="O155" i="1"/>
  <c r="L155" i="1"/>
  <c r="L162" i="1" s="1"/>
  <c r="K155" i="1"/>
  <c r="K162" i="1" s="1"/>
  <c r="J155" i="1"/>
  <c r="H155" i="1"/>
  <c r="H162" i="1" s="1"/>
  <c r="F155" i="1"/>
  <c r="F162" i="1" s="1"/>
  <c r="E155" i="1"/>
  <c r="D155" i="1"/>
  <c r="D162" i="1" s="1"/>
  <c r="U154" i="1"/>
  <c r="S154" i="1"/>
  <c r="Q154" i="1"/>
  <c r="P154" i="1"/>
  <c r="L154" i="1"/>
  <c r="K154" i="1"/>
  <c r="J154" i="1"/>
  <c r="E154" i="1"/>
  <c r="M153" i="1"/>
  <c r="R153" i="1" s="1"/>
  <c r="T153" i="1" s="1"/>
  <c r="D153" i="1"/>
  <c r="D148" i="1" s="1"/>
  <c r="D154" i="1" s="1"/>
  <c r="M152" i="1"/>
  <c r="N151" i="1"/>
  <c r="M151" i="1"/>
  <c r="D151" i="1"/>
  <c r="T150" i="1"/>
  <c r="R150" i="1"/>
  <c r="M150" i="1"/>
  <c r="D149" i="1"/>
  <c r="U148" i="1"/>
  <c r="S148" i="1"/>
  <c r="P148" i="1"/>
  <c r="O148" i="1"/>
  <c r="O154" i="1" s="1"/>
  <c r="L148" i="1"/>
  <c r="K148" i="1"/>
  <c r="J148" i="1"/>
  <c r="H148" i="1"/>
  <c r="H154" i="1" s="1"/>
  <c r="G148" i="1"/>
  <c r="G154" i="1" s="1"/>
  <c r="F148" i="1"/>
  <c r="F154" i="1" s="1"/>
  <c r="E148" i="1"/>
  <c r="U147" i="1"/>
  <c r="S147" i="1"/>
  <c r="Q147" i="1"/>
  <c r="J147" i="1"/>
  <c r="H147" i="1"/>
  <c r="E147" i="1"/>
  <c r="T146" i="1"/>
  <c r="R146" i="1"/>
  <c r="M146" i="1"/>
  <c r="D146" i="1"/>
  <c r="M145" i="1"/>
  <c r="M144" i="1"/>
  <c r="T143" i="1"/>
  <c r="R143" i="1"/>
  <c r="I143" i="1"/>
  <c r="M143" i="1" s="1"/>
  <c r="D143" i="1"/>
  <c r="D141" i="1" s="1"/>
  <c r="D147" i="1" s="1"/>
  <c r="P142" i="1"/>
  <c r="I142" i="1"/>
  <c r="U141" i="1"/>
  <c r="S141" i="1"/>
  <c r="Q141" i="1"/>
  <c r="O141" i="1"/>
  <c r="O147" i="1" s="1"/>
  <c r="L141" i="1"/>
  <c r="L147" i="1" s="1"/>
  <c r="K141" i="1"/>
  <c r="K147" i="1" s="1"/>
  <c r="J141" i="1"/>
  <c r="H141" i="1"/>
  <c r="G141" i="1"/>
  <c r="G147" i="1" s="1"/>
  <c r="F141" i="1"/>
  <c r="F147" i="1" s="1"/>
  <c r="E141" i="1"/>
  <c r="U140" i="1"/>
  <c r="S140" i="1"/>
  <c r="K140" i="1"/>
  <c r="E140" i="1"/>
  <c r="M139" i="1"/>
  <c r="R139" i="1" s="1"/>
  <c r="T139" i="1" s="1"/>
  <c r="D139" i="1"/>
  <c r="M138" i="1"/>
  <c r="N137" i="1"/>
  <c r="M137" i="1"/>
  <c r="D137" i="1"/>
  <c r="T136" i="1"/>
  <c r="M136" i="1"/>
  <c r="I136" i="1"/>
  <c r="G136" i="1"/>
  <c r="D136" i="1"/>
  <c r="T135" i="1"/>
  <c r="R135" i="1"/>
  <c r="P135" i="1"/>
  <c r="M135" i="1"/>
  <c r="I135" i="1"/>
  <c r="U134" i="1"/>
  <c r="S134" i="1"/>
  <c r="Q134" i="1"/>
  <c r="Q140" i="1" s="1"/>
  <c r="O134" i="1"/>
  <c r="O140" i="1" s="1"/>
  <c r="L134" i="1"/>
  <c r="L140" i="1" s="1"/>
  <c r="K134" i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D134" i="1"/>
  <c r="D140" i="1" s="1"/>
  <c r="S133" i="1"/>
  <c r="N133" i="1"/>
  <c r="K133" i="1"/>
  <c r="J133" i="1"/>
  <c r="H133" i="1"/>
  <c r="I131" i="1"/>
  <c r="M131" i="1" s="1"/>
  <c r="N131" i="1" s="1"/>
  <c r="N127" i="1" s="1"/>
  <c r="D131" i="1"/>
  <c r="I130" i="1"/>
  <c r="I127" i="1" s="1"/>
  <c r="I133" i="1" s="1"/>
  <c r="D130" i="1"/>
  <c r="I129" i="1"/>
  <c r="M129" i="1" s="1"/>
  <c r="T129" i="1" s="1"/>
  <c r="D129" i="1"/>
  <c r="D127" i="1" s="1"/>
  <c r="D133" i="1" s="1"/>
  <c r="AC128" i="1"/>
  <c r="AB128" i="1"/>
  <c r="Z128" i="1"/>
  <c r="S128" i="1"/>
  <c r="S127" i="1" s="1"/>
  <c r="K128" i="1"/>
  <c r="G128" i="1"/>
  <c r="G127" i="1" s="1"/>
  <c r="G133" i="1" s="1"/>
  <c r="F128" i="1"/>
  <c r="U127" i="1"/>
  <c r="U133" i="1" s="1"/>
  <c r="Q127" i="1"/>
  <c r="Q133" i="1" s="1"/>
  <c r="O127" i="1"/>
  <c r="O133" i="1" s="1"/>
  <c r="L127" i="1"/>
  <c r="L133" i="1" s="1"/>
  <c r="K127" i="1"/>
  <c r="J127" i="1"/>
  <c r="E127" i="1"/>
  <c r="E133" i="1" s="1"/>
  <c r="N125" i="1"/>
  <c r="N124" i="1" s="1"/>
  <c r="M125" i="1"/>
  <c r="U124" i="1"/>
  <c r="U123" i="1" s="1"/>
  <c r="T124" i="1"/>
  <c r="S124" i="1"/>
  <c r="R124" i="1"/>
  <c r="M124" i="1"/>
  <c r="L124" i="1"/>
  <c r="K124" i="1"/>
  <c r="J124" i="1"/>
  <c r="J123" i="1" s="1"/>
  <c r="I124" i="1"/>
  <c r="I123" i="1" s="1"/>
  <c r="H124" i="1"/>
  <c r="H123" i="1" s="1"/>
  <c r="G124" i="1"/>
  <c r="F124" i="1"/>
  <c r="E124" i="1"/>
  <c r="D124" i="1"/>
  <c r="R123" i="1"/>
  <c r="N123" i="1"/>
  <c r="M123" i="1"/>
  <c r="L123" i="1"/>
  <c r="K123" i="1"/>
  <c r="G123" i="1"/>
  <c r="F123" i="1"/>
  <c r="E123" i="1"/>
  <c r="D123" i="1"/>
  <c r="M122" i="1"/>
  <c r="P121" i="1"/>
  <c r="K121" i="1"/>
  <c r="M121" i="1" s="1"/>
  <c r="R121" i="1" s="1"/>
  <c r="J121" i="1"/>
  <c r="F121" i="1"/>
  <c r="G121" i="1" s="1"/>
  <c r="H121" i="1" s="1"/>
  <c r="D121" i="1"/>
  <c r="P120" i="1"/>
  <c r="N120" i="1"/>
  <c r="D120" i="1"/>
  <c r="J120" i="1" s="1"/>
  <c r="R119" i="1"/>
  <c r="S119" i="1" s="1"/>
  <c r="AB118" i="1"/>
  <c r="R118" i="1"/>
  <c r="S118" i="1" s="1"/>
  <c r="P118" i="1"/>
  <c r="F118" i="1"/>
  <c r="G118" i="1" s="1"/>
  <c r="V122" i="1" s="1"/>
  <c r="E118" i="1"/>
  <c r="D118" i="1"/>
  <c r="D116" i="1" s="1"/>
  <c r="D115" i="1" s="1"/>
  <c r="S117" i="1"/>
  <c r="R117" i="1"/>
  <c r="P117" i="1"/>
  <c r="M117" i="1"/>
  <c r="G117" i="1"/>
  <c r="F117" i="1"/>
  <c r="D117" i="1"/>
  <c r="U116" i="1"/>
  <c r="U115" i="1" s="1"/>
  <c r="T116" i="1"/>
  <c r="T115" i="1" s="1"/>
  <c r="Q116" i="1"/>
  <c r="Q115" i="1" s="1"/>
  <c r="P116" i="1"/>
  <c r="P115" i="1" s="1"/>
  <c r="O116" i="1"/>
  <c r="N116" i="1"/>
  <c r="L116" i="1"/>
  <c r="L115" i="1" s="1"/>
  <c r="I116" i="1"/>
  <c r="I115" i="1" s="1"/>
  <c r="F116" i="1"/>
  <c r="F115" i="1" s="1"/>
  <c r="E116" i="1"/>
  <c r="E115" i="1" s="1"/>
  <c r="O115" i="1"/>
  <c r="N115" i="1"/>
  <c r="M114" i="1"/>
  <c r="M113" i="1"/>
  <c r="K112" i="1"/>
  <c r="J112" i="1"/>
  <c r="I112" i="1"/>
  <c r="G112" i="1"/>
  <c r="F112" i="1"/>
  <c r="E112" i="1"/>
  <c r="J111" i="1"/>
  <c r="M111" i="1" s="1"/>
  <c r="U111" i="1" s="1"/>
  <c r="G111" i="1"/>
  <c r="H111" i="1" s="1"/>
  <c r="F111" i="1"/>
  <c r="D111" i="1"/>
  <c r="N110" i="1"/>
  <c r="J110" i="1"/>
  <c r="M110" i="1" s="1"/>
  <c r="U110" i="1" s="1"/>
  <c r="F110" i="1"/>
  <c r="G110" i="1" s="1"/>
  <c r="H110" i="1" s="1"/>
  <c r="D110" i="1"/>
  <c r="Y109" i="1"/>
  <c r="P109" i="1"/>
  <c r="N109" i="1"/>
  <c r="J109" i="1"/>
  <c r="M109" i="1" s="1"/>
  <c r="F109" i="1"/>
  <c r="G109" i="1" s="1"/>
  <c r="H109" i="1" s="1"/>
  <c r="E109" i="1"/>
  <c r="D109" i="1"/>
  <c r="T108" i="1"/>
  <c r="R108" i="1"/>
  <c r="M108" i="1"/>
  <c r="N108" i="1" s="1"/>
  <c r="P108" i="1" s="1"/>
  <c r="P105" i="1" s="1"/>
  <c r="D108" i="1"/>
  <c r="M107" i="1"/>
  <c r="U106" i="1"/>
  <c r="T106" i="1"/>
  <c r="S106" i="1"/>
  <c r="M106" i="1"/>
  <c r="J106" i="1"/>
  <c r="K106" i="1" s="1"/>
  <c r="F106" i="1"/>
  <c r="G106" i="1" s="1"/>
  <c r="U105" i="1"/>
  <c r="S105" i="1"/>
  <c r="Q105" i="1"/>
  <c r="O105" i="1"/>
  <c r="L105" i="1"/>
  <c r="K105" i="1"/>
  <c r="I105" i="1"/>
  <c r="E105" i="1"/>
  <c r="D105" i="1"/>
  <c r="K103" i="1"/>
  <c r="J103" i="1"/>
  <c r="I103" i="1"/>
  <c r="G103" i="1"/>
  <c r="F103" i="1"/>
  <c r="E103" i="1"/>
  <c r="S101" i="1"/>
  <c r="M101" i="1"/>
  <c r="S100" i="1"/>
  <c r="N100" i="1"/>
  <c r="P100" i="1" s="1"/>
  <c r="M100" i="1"/>
  <c r="S99" i="1"/>
  <c r="P99" i="1"/>
  <c r="M99" i="1"/>
  <c r="S98" i="1"/>
  <c r="M98" i="1"/>
  <c r="M97" i="1"/>
  <c r="R97" i="1" s="1"/>
  <c r="S97" i="1" s="1"/>
  <c r="K96" i="1"/>
  <c r="J96" i="1"/>
  <c r="I96" i="1"/>
  <c r="G96" i="1"/>
  <c r="N95" i="1"/>
  <c r="K95" i="1"/>
  <c r="J95" i="1"/>
  <c r="M95" i="1" s="1"/>
  <c r="G95" i="1"/>
  <c r="H95" i="1" s="1"/>
  <c r="D95" i="1"/>
  <c r="N94" i="1"/>
  <c r="M94" i="1"/>
  <c r="R94" i="1" s="1"/>
  <c r="J94" i="1"/>
  <c r="G94" i="1"/>
  <c r="F94" i="1"/>
  <c r="D94" i="1"/>
  <c r="S93" i="1"/>
  <c r="M93" i="1"/>
  <c r="R93" i="1" s="1"/>
  <c r="I93" i="1"/>
  <c r="I84" i="1" s="1"/>
  <c r="H93" i="1"/>
  <c r="G93" i="1"/>
  <c r="F93" i="1"/>
  <c r="D93" i="1"/>
  <c r="U92" i="1"/>
  <c r="K92" i="1"/>
  <c r="M92" i="1" s="1"/>
  <c r="F92" i="1"/>
  <c r="G92" i="1" s="1"/>
  <c r="H92" i="1" s="1"/>
  <c r="E92" i="1"/>
  <c r="M91" i="1"/>
  <c r="U91" i="1" s="1"/>
  <c r="H91" i="1"/>
  <c r="G91" i="1"/>
  <c r="F91" i="1"/>
  <c r="N90" i="1"/>
  <c r="J90" i="1"/>
  <c r="M90" i="1" s="1"/>
  <c r="R90" i="1" s="1"/>
  <c r="F90" i="1"/>
  <c r="D90" i="1"/>
  <c r="Y89" i="1"/>
  <c r="Z89" i="1" s="1"/>
  <c r="W89" i="1"/>
  <c r="U89" i="1"/>
  <c r="N89" i="1"/>
  <c r="R89" i="1" s="1"/>
  <c r="M89" i="1"/>
  <c r="G89" i="1"/>
  <c r="H89" i="1" s="1"/>
  <c r="F89" i="1"/>
  <c r="D89" i="1"/>
  <c r="AC88" i="1"/>
  <c r="U88" i="1"/>
  <c r="R88" i="1"/>
  <c r="P88" i="1"/>
  <c r="M88" i="1"/>
  <c r="H88" i="1"/>
  <c r="F88" i="1"/>
  <c r="G88" i="1" s="1"/>
  <c r="E88" i="1"/>
  <c r="D88" i="1"/>
  <c r="AB87" i="1"/>
  <c r="Q87" i="1"/>
  <c r="N87" i="1"/>
  <c r="M87" i="1"/>
  <c r="R87" i="1" s="1"/>
  <c r="J87" i="1"/>
  <c r="G87" i="1"/>
  <c r="F87" i="1"/>
  <c r="Y87" i="1" s="1"/>
  <c r="D87" i="1"/>
  <c r="AC86" i="1"/>
  <c r="N86" i="1"/>
  <c r="M86" i="1"/>
  <c r="F86" i="1"/>
  <c r="G86" i="1" s="1"/>
  <c r="H86" i="1" s="1"/>
  <c r="E86" i="1"/>
  <c r="D86" i="1"/>
  <c r="J85" i="1"/>
  <c r="F85" i="1"/>
  <c r="D85" i="1"/>
  <c r="Q84" i="1"/>
  <c r="O84" i="1"/>
  <c r="L84" i="1"/>
  <c r="E84" i="1"/>
  <c r="D84" i="1"/>
  <c r="U83" i="1"/>
  <c r="U80" i="1" s="1"/>
  <c r="T83" i="1"/>
  <c r="T80" i="1" s="1"/>
  <c r="J83" i="1"/>
  <c r="M83" i="1" s="1"/>
  <c r="F83" i="1"/>
  <c r="G83" i="1" s="1"/>
  <c r="H83" i="1" s="1"/>
  <c r="D83" i="1"/>
  <c r="T82" i="1"/>
  <c r="S82" i="1"/>
  <c r="S80" i="1" s="1"/>
  <c r="P82" i="1"/>
  <c r="M82" i="1"/>
  <c r="R82" i="1" s="1"/>
  <c r="E82" i="1"/>
  <c r="F82" i="1" s="1"/>
  <c r="G82" i="1" s="1"/>
  <c r="H82" i="1" s="1"/>
  <c r="M81" i="1"/>
  <c r="M80" i="1" s="1"/>
  <c r="F81" i="1"/>
  <c r="O80" i="1"/>
  <c r="L80" i="1"/>
  <c r="K80" i="1"/>
  <c r="J80" i="1"/>
  <c r="I80" i="1"/>
  <c r="E80" i="1"/>
  <c r="M79" i="1"/>
  <c r="M76" i="1" s="1"/>
  <c r="F79" i="1"/>
  <c r="F76" i="1" s="1"/>
  <c r="D79" i="1"/>
  <c r="T78" i="1"/>
  <c r="R78" i="1"/>
  <c r="P78" i="1"/>
  <c r="P76" i="1" s="1"/>
  <c r="M78" i="1"/>
  <c r="G78" i="1"/>
  <c r="D78" i="1"/>
  <c r="D76" i="1" s="1"/>
  <c r="T77" i="1"/>
  <c r="R77" i="1"/>
  <c r="P77" i="1"/>
  <c r="M77" i="1"/>
  <c r="G77" i="1"/>
  <c r="G76" i="1" s="1"/>
  <c r="D77" i="1"/>
  <c r="U76" i="1"/>
  <c r="T76" i="1"/>
  <c r="S76" i="1"/>
  <c r="R76" i="1"/>
  <c r="Q76" i="1"/>
  <c r="O76" i="1"/>
  <c r="N76" i="1"/>
  <c r="L76" i="1"/>
  <c r="K76" i="1"/>
  <c r="J76" i="1"/>
  <c r="I76" i="1"/>
  <c r="H76" i="1"/>
  <c r="E76" i="1"/>
  <c r="T75" i="1"/>
  <c r="R75" i="1"/>
  <c r="M75" i="1"/>
  <c r="N75" i="1" s="1"/>
  <c r="P75" i="1" s="1"/>
  <c r="F75" i="1"/>
  <c r="G75" i="1" s="1"/>
  <c r="D75" i="1"/>
  <c r="N74" i="1"/>
  <c r="F74" i="1"/>
  <c r="D74" i="1"/>
  <c r="AB73" i="1"/>
  <c r="AA73" i="1"/>
  <c r="Y73" i="1"/>
  <c r="V73" i="1"/>
  <c r="E73" i="1"/>
  <c r="F73" i="1" s="1"/>
  <c r="G73" i="1" s="1"/>
  <c r="D73" i="1"/>
  <c r="M72" i="1"/>
  <c r="N72" i="1" s="1"/>
  <c r="P72" i="1" s="1"/>
  <c r="G72" i="1"/>
  <c r="T71" i="1"/>
  <c r="N71" i="1"/>
  <c r="R71" i="1" s="1"/>
  <c r="K71" i="1"/>
  <c r="M71" i="1" s="1"/>
  <c r="E71" i="1"/>
  <c r="F71" i="1" s="1"/>
  <c r="G71" i="1" s="1"/>
  <c r="D71" i="1"/>
  <c r="P70" i="1"/>
  <c r="K70" i="1"/>
  <c r="E70" i="1"/>
  <c r="F70" i="1" s="1"/>
  <c r="G70" i="1" s="1"/>
  <c r="D70" i="1"/>
  <c r="J70" i="1" s="1"/>
  <c r="M70" i="1" s="1"/>
  <c r="R70" i="1" s="1"/>
  <c r="T70" i="1" s="1"/>
  <c r="M69" i="1"/>
  <c r="N69" i="1" s="1"/>
  <c r="T69" i="1" s="1"/>
  <c r="F69" i="1"/>
  <c r="G69" i="1" s="1"/>
  <c r="H69" i="1" s="1"/>
  <c r="F68" i="1"/>
  <c r="G68" i="1" s="1"/>
  <c r="H68" i="1" s="1"/>
  <c r="I73" i="1" s="1"/>
  <c r="M73" i="1" s="1"/>
  <c r="D68" i="1"/>
  <c r="T67" i="1"/>
  <c r="M67" i="1"/>
  <c r="N67" i="1" s="1"/>
  <c r="R67" i="1" s="1"/>
  <c r="H67" i="1"/>
  <c r="G67" i="1"/>
  <c r="N66" i="1"/>
  <c r="M66" i="1"/>
  <c r="D66" i="1"/>
  <c r="I66" i="1" s="1"/>
  <c r="T65" i="1"/>
  <c r="M65" i="1"/>
  <c r="N65" i="1" s="1"/>
  <c r="R65" i="1" s="1"/>
  <c r="H65" i="1"/>
  <c r="G65" i="1"/>
  <c r="E64" i="1"/>
  <c r="F64" i="1" s="1"/>
  <c r="G64" i="1" s="1"/>
  <c r="H64" i="1" s="1"/>
  <c r="D64" i="1"/>
  <c r="K64" i="1" s="1"/>
  <c r="M64" i="1" s="1"/>
  <c r="U63" i="1"/>
  <c r="N63" i="1"/>
  <c r="J63" i="1"/>
  <c r="G63" i="1"/>
  <c r="H63" i="1" s="1"/>
  <c r="E63" i="1"/>
  <c r="F63" i="1" s="1"/>
  <c r="I62" i="1"/>
  <c r="G62" i="1"/>
  <c r="O61" i="1"/>
  <c r="K61" i="1"/>
  <c r="D61" i="1"/>
  <c r="T60" i="1"/>
  <c r="R60" i="1"/>
  <c r="M60" i="1"/>
  <c r="D60" i="1"/>
  <c r="U59" i="1"/>
  <c r="R59" i="1"/>
  <c r="P59" i="1"/>
  <c r="M59" i="1"/>
  <c r="D59" i="1"/>
  <c r="U58" i="1"/>
  <c r="M58" i="1"/>
  <c r="R58" i="1" s="1"/>
  <c r="M57" i="1"/>
  <c r="U57" i="1" s="1"/>
  <c r="J57" i="1"/>
  <c r="F57" i="1"/>
  <c r="G57" i="1" s="1"/>
  <c r="H57" i="1" s="1"/>
  <c r="J56" i="1"/>
  <c r="M56" i="1" s="1"/>
  <c r="F56" i="1"/>
  <c r="G56" i="1" s="1"/>
  <c r="H56" i="1" s="1"/>
  <c r="J55" i="1"/>
  <c r="M55" i="1" s="1"/>
  <c r="F55" i="1"/>
  <c r="G55" i="1" s="1"/>
  <c r="H55" i="1" s="1"/>
  <c r="D55" i="1"/>
  <c r="N54" i="1"/>
  <c r="U54" i="1" s="1"/>
  <c r="M54" i="1"/>
  <c r="D54" i="1"/>
  <c r="M53" i="1"/>
  <c r="N53" i="1" s="1"/>
  <c r="U53" i="1" s="1"/>
  <c r="H53" i="1"/>
  <c r="D53" i="1"/>
  <c r="M52" i="1"/>
  <c r="U52" i="1" s="1"/>
  <c r="J52" i="1"/>
  <c r="G52" i="1"/>
  <c r="H52" i="1" s="1"/>
  <c r="F52" i="1"/>
  <c r="D52" i="1"/>
  <c r="U51" i="1"/>
  <c r="K51" i="1"/>
  <c r="M51" i="1" s="1"/>
  <c r="N51" i="1" s="1"/>
  <c r="P51" i="1" s="1"/>
  <c r="E51" i="1"/>
  <c r="F51" i="1" s="1"/>
  <c r="G51" i="1" s="1"/>
  <c r="H51" i="1" s="1"/>
  <c r="D51" i="1"/>
  <c r="U50" i="1"/>
  <c r="J50" i="1"/>
  <c r="M50" i="1" s="1"/>
  <c r="N50" i="1" s="1"/>
  <c r="F50" i="1"/>
  <c r="G50" i="1" s="1"/>
  <c r="H50" i="1" s="1"/>
  <c r="D50" i="1"/>
  <c r="J49" i="1"/>
  <c r="M49" i="1" s="1"/>
  <c r="N49" i="1" s="1"/>
  <c r="F49" i="1"/>
  <c r="D49" i="1"/>
  <c r="S48" i="1"/>
  <c r="Q48" i="1"/>
  <c r="L48" i="1"/>
  <c r="M47" i="1"/>
  <c r="N46" i="1"/>
  <c r="L46" i="1"/>
  <c r="M46" i="1" s="1"/>
  <c r="U45" i="1"/>
  <c r="M45" i="1"/>
  <c r="R45" i="1" s="1"/>
  <c r="L45" i="1"/>
  <c r="J44" i="1"/>
  <c r="K44" i="1" s="1"/>
  <c r="F44" i="1"/>
  <c r="G44" i="1" s="1"/>
  <c r="M43" i="1"/>
  <c r="H43" i="1"/>
  <c r="M42" i="1"/>
  <c r="H42" i="1"/>
  <c r="T41" i="1"/>
  <c r="R41" i="1"/>
  <c r="M41" i="1"/>
  <c r="T40" i="1"/>
  <c r="L40" i="1"/>
  <c r="M40" i="1" s="1"/>
  <c r="R40" i="1" s="1"/>
  <c r="U39" i="1"/>
  <c r="T39" i="1"/>
  <c r="N39" i="1"/>
  <c r="M39" i="1"/>
  <c r="L39" i="1"/>
  <c r="J39" i="1"/>
  <c r="K39" i="1" s="1"/>
  <c r="G39" i="1"/>
  <c r="F39" i="1"/>
  <c r="U38" i="1"/>
  <c r="T38" i="1"/>
  <c r="R38" i="1"/>
  <c r="N38" i="1"/>
  <c r="L38" i="1"/>
  <c r="K38" i="1"/>
  <c r="J38" i="1"/>
  <c r="F38" i="1"/>
  <c r="G38" i="1" s="1"/>
  <c r="V38" i="1" s="1"/>
  <c r="V37" i="1"/>
  <c r="M37" i="1"/>
  <c r="H37" i="1"/>
  <c r="V36" i="1"/>
  <c r="T36" i="1"/>
  <c r="N36" i="1"/>
  <c r="L36" i="1"/>
  <c r="M36" i="1" s="1"/>
  <c r="H36" i="1"/>
  <c r="M35" i="1"/>
  <c r="T34" i="1"/>
  <c r="N34" i="1"/>
  <c r="L34" i="1"/>
  <c r="M34" i="1" s="1"/>
  <c r="N33" i="1"/>
  <c r="U33" i="1" s="1"/>
  <c r="L33" i="1"/>
  <c r="J33" i="1"/>
  <c r="J24" i="1" s="1"/>
  <c r="I33" i="1"/>
  <c r="F33" i="1"/>
  <c r="G33" i="1" s="1"/>
  <c r="V32" i="1"/>
  <c r="T32" i="1"/>
  <c r="N32" i="1"/>
  <c r="L32" i="1"/>
  <c r="K32" i="1"/>
  <c r="M32" i="1" s="1"/>
  <c r="I32" i="1"/>
  <c r="J32" i="1" s="1"/>
  <c r="G32" i="1"/>
  <c r="F32" i="1"/>
  <c r="T31" i="1"/>
  <c r="N31" i="1"/>
  <c r="L31" i="1"/>
  <c r="J31" i="1"/>
  <c r="K31" i="1" s="1"/>
  <c r="M31" i="1" s="1"/>
  <c r="I31" i="1"/>
  <c r="F31" i="1"/>
  <c r="G31" i="1" s="1"/>
  <c r="V31" i="1" s="1"/>
  <c r="T30" i="1"/>
  <c r="T24" i="1" s="1"/>
  <c r="N30" i="1"/>
  <c r="L30" i="1"/>
  <c r="J30" i="1"/>
  <c r="K30" i="1" s="1"/>
  <c r="I30" i="1"/>
  <c r="F30" i="1"/>
  <c r="G30" i="1" s="1"/>
  <c r="V30" i="1" s="1"/>
  <c r="V29" i="1"/>
  <c r="M29" i="1"/>
  <c r="U28" i="1"/>
  <c r="T28" i="1"/>
  <c r="N28" i="1"/>
  <c r="M28" i="1"/>
  <c r="R28" i="1" s="1"/>
  <c r="L28" i="1"/>
  <c r="H28" i="1"/>
  <c r="G28" i="1"/>
  <c r="V28" i="1" s="1"/>
  <c r="F28" i="1"/>
  <c r="V27" i="1"/>
  <c r="U27" i="1"/>
  <c r="T27" i="1"/>
  <c r="N27" i="1"/>
  <c r="M27" i="1"/>
  <c r="R27" i="1" s="1"/>
  <c r="R24" i="1" s="1"/>
  <c r="L27" i="1"/>
  <c r="G27" i="1"/>
  <c r="H27" i="1" s="1"/>
  <c r="F27" i="1"/>
  <c r="T26" i="1"/>
  <c r="R26" i="1"/>
  <c r="N26" i="1"/>
  <c r="M26" i="1"/>
  <c r="L26" i="1"/>
  <c r="G26" i="1"/>
  <c r="V26" i="1" s="1"/>
  <c r="F26" i="1"/>
  <c r="U25" i="1"/>
  <c r="N25" i="1"/>
  <c r="M25" i="1"/>
  <c r="L25" i="1"/>
  <c r="J25" i="1"/>
  <c r="K25" i="1" s="1"/>
  <c r="G25" i="1"/>
  <c r="H25" i="1" s="1"/>
  <c r="H24" i="1" s="1"/>
  <c r="F25" i="1"/>
  <c r="S24" i="1"/>
  <c r="Q24" i="1"/>
  <c r="P24" i="1"/>
  <c r="O24" i="1"/>
  <c r="I24" i="1"/>
  <c r="F24" i="1"/>
  <c r="E24" i="1"/>
  <c r="D24" i="1"/>
  <c r="Q23" i="1"/>
  <c r="Q126" i="1" s="1"/>
  <c r="M22" i="1"/>
  <c r="V21" i="1"/>
  <c r="T21" i="1"/>
  <c r="S21" i="1"/>
  <c r="R21" i="1"/>
  <c r="U21" i="1" s="1"/>
  <c r="N21" i="1"/>
  <c r="M21" i="1"/>
  <c r="M20" i="1"/>
  <c r="N20" i="1" s="1"/>
  <c r="M19" i="1"/>
  <c r="Z18" i="1"/>
  <c r="M18" i="1"/>
  <c r="T17" i="1"/>
  <c r="N17" i="1"/>
  <c r="S17" i="1" s="1"/>
  <c r="M17" i="1"/>
  <c r="M16" i="1"/>
  <c r="T15" i="1"/>
  <c r="S15" i="1"/>
  <c r="R15" i="1"/>
  <c r="U15" i="1" s="1"/>
  <c r="N15" i="1"/>
  <c r="M15" i="1"/>
  <c r="Y14" i="1"/>
  <c r="T14" i="1"/>
  <c r="S14" i="1"/>
  <c r="R14" i="1"/>
  <c r="U14" i="1" s="1"/>
  <c r="N14" i="1"/>
  <c r="M14" i="1"/>
  <c r="Y13" i="1"/>
  <c r="Z14" i="1" s="1"/>
  <c r="N13" i="1"/>
  <c r="R13" i="1" s="1"/>
  <c r="M13" i="1"/>
  <c r="M12" i="1"/>
  <c r="M11" i="1"/>
  <c r="M10" i="1"/>
  <c r="AB9" i="1"/>
  <c r="T9" i="1"/>
  <c r="S9" i="1"/>
  <c r="R9" i="1"/>
  <c r="U9" i="1" s="1"/>
  <c r="N9" i="1"/>
  <c r="M9" i="1"/>
  <c r="AA8" i="1"/>
  <c r="Z8" i="1"/>
  <c r="L8" i="1"/>
  <c r="L7" i="1" s="1"/>
  <c r="K8" i="1"/>
  <c r="J8" i="1"/>
  <c r="I8" i="1"/>
  <c r="H8" i="1"/>
  <c r="G8" i="1"/>
  <c r="F8" i="1"/>
  <c r="E8" i="1"/>
  <c r="D8" i="1"/>
  <c r="K7" i="1"/>
  <c r="F7" i="1"/>
  <c r="E7" i="1"/>
  <c r="D7" i="1"/>
  <c r="I149" i="1"/>
  <c r="M149" i="1" l="1"/>
  <c r="R149" i="1"/>
  <c r="I148" i="1"/>
  <c r="I154" i="1" s="1"/>
  <c r="U56" i="1"/>
  <c r="R56" i="1"/>
  <c r="I48" i="1"/>
  <c r="I23" i="1" s="1"/>
  <c r="J62" i="1"/>
  <c r="M62" i="1"/>
  <c r="R86" i="1"/>
  <c r="N134" i="1"/>
  <c r="N140" i="1" s="1"/>
  <c r="P137" i="1"/>
  <c r="P134" i="1" s="1"/>
  <c r="P140" i="1" s="1"/>
  <c r="H7" i="1"/>
  <c r="P86" i="1"/>
  <c r="I126" i="1"/>
  <c r="K33" i="1"/>
  <c r="K24" i="1" s="1"/>
  <c r="K23" i="1" s="1"/>
  <c r="K126" i="1" s="1"/>
  <c r="K164" i="1" s="1"/>
  <c r="K5" i="1" s="1"/>
  <c r="R55" i="1"/>
  <c r="U55" i="1"/>
  <c r="N55" i="1"/>
  <c r="O55" i="1" s="1"/>
  <c r="O48" i="1" s="1"/>
  <c r="G85" i="1"/>
  <c r="F84" i="1"/>
  <c r="T11" i="1"/>
  <c r="G49" i="1"/>
  <c r="M68" i="1"/>
  <c r="K68" i="1"/>
  <c r="N68" i="1" s="1"/>
  <c r="T68" i="1" s="1"/>
  <c r="J84" i="1"/>
  <c r="M85" i="1"/>
  <c r="S121" i="1"/>
  <c r="M130" i="1"/>
  <c r="R130" i="1" s="1"/>
  <c r="T130" i="1" s="1"/>
  <c r="R144" i="1"/>
  <c r="T144" i="1" s="1"/>
  <c r="N144" i="1"/>
  <c r="Q164" i="1"/>
  <c r="Q5" i="1" s="1"/>
  <c r="M44" i="1"/>
  <c r="N73" i="1"/>
  <c r="T73" i="1"/>
  <c r="T158" i="1"/>
  <c r="N155" i="1"/>
  <c r="N162" i="1" s="1"/>
  <c r="N12" i="1"/>
  <c r="S12" i="1" s="1"/>
  <c r="L24" i="1"/>
  <c r="L23" i="1" s="1"/>
  <c r="N24" i="1"/>
  <c r="R66" i="1"/>
  <c r="U66" i="1"/>
  <c r="H117" i="1"/>
  <c r="H116" i="1" s="1"/>
  <c r="H115" i="1" s="1"/>
  <c r="G116" i="1"/>
  <c r="G115" i="1" s="1"/>
  <c r="I141" i="1"/>
  <c r="I147" i="1" s="1"/>
  <c r="M142" i="1"/>
  <c r="S13" i="1"/>
  <c r="T13" i="1"/>
  <c r="U20" i="1"/>
  <c r="T20" i="1"/>
  <c r="S20" i="1"/>
  <c r="R20" i="1"/>
  <c r="T87" i="1"/>
  <c r="R109" i="1"/>
  <c r="R105" i="1" s="1"/>
  <c r="T109" i="1"/>
  <c r="T105" i="1" s="1"/>
  <c r="M105" i="1"/>
  <c r="G7" i="1"/>
  <c r="H80" i="1"/>
  <c r="U84" i="1"/>
  <c r="V44" i="1"/>
  <c r="H44" i="1"/>
  <c r="U13" i="1"/>
  <c r="N19" i="1"/>
  <c r="T19" i="1" s="1"/>
  <c r="S19" i="1"/>
  <c r="U64" i="1"/>
  <c r="N64" i="1"/>
  <c r="R64" i="1" s="1"/>
  <c r="N92" i="1"/>
  <c r="P92" i="1" s="1"/>
  <c r="G81" i="1"/>
  <c r="G80" i="1" s="1"/>
  <c r="F80" i="1"/>
  <c r="R137" i="1"/>
  <c r="G105" i="1"/>
  <c r="R156" i="1"/>
  <c r="M155" i="1"/>
  <c r="M162" i="1" s="1"/>
  <c r="I7" i="1"/>
  <c r="Z16" i="1"/>
  <c r="N18" i="1"/>
  <c r="R18" i="1" s="1"/>
  <c r="U18" i="1" s="1"/>
  <c r="U24" i="1"/>
  <c r="H38" i="1"/>
  <c r="U49" i="1"/>
  <c r="K48" i="1"/>
  <c r="T72" i="1"/>
  <c r="P89" i="1"/>
  <c r="R95" i="1"/>
  <c r="H106" i="1"/>
  <c r="H105" i="1" s="1"/>
  <c r="N111" i="1"/>
  <c r="N105" i="1" s="1"/>
  <c r="J7" i="1"/>
  <c r="N11" i="1"/>
  <c r="S11" i="1" s="1"/>
  <c r="Z15" i="1"/>
  <c r="Z19" i="1" s="1"/>
  <c r="O23" i="1"/>
  <c r="O126" i="1" s="1"/>
  <c r="O164" i="1" s="1"/>
  <c r="V25" i="1"/>
  <c r="M38" i="1"/>
  <c r="M61" i="1"/>
  <c r="S90" i="1"/>
  <c r="P90" i="1"/>
  <c r="K116" i="1"/>
  <c r="K115" i="1" s="1"/>
  <c r="F129" i="1"/>
  <c r="F127" i="1" s="1"/>
  <c r="F133" i="1" s="1"/>
  <c r="N148" i="1"/>
  <c r="N154" i="1" s="1"/>
  <c r="D126" i="1"/>
  <c r="D163" i="1" s="1"/>
  <c r="D164" i="1" s="1"/>
  <c r="D5" i="1" s="1"/>
  <c r="S18" i="1"/>
  <c r="T95" i="1"/>
  <c r="M8" i="1"/>
  <c r="N10" i="1"/>
  <c r="R10" i="1" s="1"/>
  <c r="N16" i="1"/>
  <c r="R17" i="1"/>
  <c r="U17" i="1" s="1"/>
  <c r="T18" i="1"/>
  <c r="N22" i="1"/>
  <c r="G24" i="1"/>
  <c r="N52" i="1"/>
  <c r="E66" i="1"/>
  <c r="P71" i="1"/>
  <c r="K84" i="1"/>
  <c r="T94" i="1"/>
  <c r="P94" i="1"/>
  <c r="M127" i="1"/>
  <c r="M133" i="1" s="1"/>
  <c r="R129" i="1"/>
  <c r="P131" i="1"/>
  <c r="P127" i="1" s="1"/>
  <c r="P133" i="1" s="1"/>
  <c r="M134" i="1"/>
  <c r="M140" i="1" s="1"/>
  <c r="R151" i="1"/>
  <c r="T151" i="1" s="1"/>
  <c r="I155" i="1"/>
  <c r="I162" i="1" s="1"/>
  <c r="L126" i="1"/>
  <c r="L164" i="1" s="1"/>
  <c r="V39" i="1"/>
  <c r="H39" i="1"/>
  <c r="J48" i="1"/>
  <c r="J23" i="1" s="1"/>
  <c r="J126" i="1" s="1"/>
  <c r="F105" i="1"/>
  <c r="M120" i="1"/>
  <c r="J116" i="1"/>
  <c r="J115" i="1" s="1"/>
  <c r="M30" i="1"/>
  <c r="V33" i="1"/>
  <c r="D48" i="1"/>
  <c r="D23" i="1" s="1"/>
  <c r="N83" i="1"/>
  <c r="R83" i="1" s="1"/>
  <c r="R80" i="1" s="1"/>
  <c r="M96" i="1"/>
  <c r="R131" i="1"/>
  <c r="T131" i="1" s="1"/>
  <c r="J105" i="1"/>
  <c r="M24" i="1" l="1"/>
  <c r="V126" i="1"/>
  <c r="J164" i="1"/>
  <c r="J5" i="1" s="1"/>
  <c r="L5" i="1"/>
  <c r="T137" i="1"/>
  <c r="T134" i="1" s="1"/>
  <c r="T140" i="1" s="1"/>
  <c r="R134" i="1"/>
  <c r="R140" i="1" s="1"/>
  <c r="I164" i="1"/>
  <c r="I5" i="1" s="1"/>
  <c r="M116" i="1"/>
  <c r="M115" i="1" s="1"/>
  <c r="S120" i="1"/>
  <c r="S116" i="1" s="1"/>
  <c r="S115" i="1" s="1"/>
  <c r="R120" i="1"/>
  <c r="R116" i="1" s="1"/>
  <c r="R115" i="1" s="1"/>
  <c r="P84" i="1"/>
  <c r="U16" i="1"/>
  <c r="T16" i="1"/>
  <c r="S16" i="1"/>
  <c r="H85" i="1"/>
  <c r="H84" i="1" s="1"/>
  <c r="G84" i="1"/>
  <c r="T22" i="1"/>
  <c r="S22" i="1"/>
  <c r="N85" i="1"/>
  <c r="N84" i="1" s="1"/>
  <c r="M84" i="1"/>
  <c r="T12" i="1"/>
  <c r="S86" i="1"/>
  <c r="S84" i="1" s="1"/>
  <c r="S23" i="1" s="1"/>
  <c r="P83" i="1"/>
  <c r="P80" i="1" s="1"/>
  <c r="N80" i="1"/>
  <c r="O181" i="1"/>
  <c r="O5" i="1"/>
  <c r="T84" i="1"/>
  <c r="M141" i="1"/>
  <c r="M147" i="1" s="1"/>
  <c r="T142" i="1"/>
  <c r="T141" i="1" s="1"/>
  <c r="T147" i="1" s="1"/>
  <c r="R142" i="1"/>
  <c r="R141" i="1" s="1"/>
  <c r="R147" i="1" s="1"/>
  <c r="R19" i="1"/>
  <c r="U19" i="1" s="1"/>
  <c r="R16" i="1"/>
  <c r="P144" i="1"/>
  <c r="P141" i="1" s="1"/>
  <c r="P147" i="1" s="1"/>
  <c r="N141" i="1"/>
  <c r="N147" i="1" s="1"/>
  <c r="T61" i="1"/>
  <c r="T48" i="1" s="1"/>
  <c r="T23" i="1" s="1"/>
  <c r="N61" i="1"/>
  <c r="M48" i="1"/>
  <c r="R127" i="1"/>
  <c r="R133" i="1" s="1"/>
  <c r="F66" i="1"/>
  <c r="E48" i="1"/>
  <c r="E23" i="1" s="1"/>
  <c r="E126" i="1" s="1"/>
  <c r="E164" i="1" s="1"/>
  <c r="N8" i="1"/>
  <c r="U10" i="1"/>
  <c r="T10" i="1"/>
  <c r="S10" i="1"/>
  <c r="S8" i="1" s="1"/>
  <c r="R73" i="1"/>
  <c r="P73" i="1"/>
  <c r="M33" i="1"/>
  <c r="M7" i="1"/>
  <c r="R11" i="1"/>
  <c r="R8" i="1" s="1"/>
  <c r="R12" i="1"/>
  <c r="U12" i="1" s="1"/>
  <c r="T127" i="1"/>
  <c r="T133" i="1" s="1"/>
  <c r="H49" i="1"/>
  <c r="R22" i="1"/>
  <c r="U22" i="1" s="1"/>
  <c r="R148" i="1"/>
  <c r="R154" i="1" s="1"/>
  <c r="V24" i="1"/>
  <c r="W24" i="1" s="1"/>
  <c r="Y24" i="1" s="1"/>
  <c r="U48" i="1"/>
  <c r="U23" i="1" s="1"/>
  <c r="R155" i="1"/>
  <c r="R162" i="1" s="1"/>
  <c r="T156" i="1"/>
  <c r="T155" i="1" s="1"/>
  <c r="T162" i="1" s="1"/>
  <c r="R92" i="1"/>
  <c r="R84" i="1" s="1"/>
  <c r="M148" i="1"/>
  <c r="M154" i="1" s="1"/>
  <c r="T149" i="1"/>
  <c r="T148" i="1" s="1"/>
  <c r="T154" i="1" s="1"/>
  <c r="R7" i="1" l="1"/>
  <c r="G66" i="1"/>
  <c r="F48" i="1"/>
  <c r="F23" i="1" s="1"/>
  <c r="F126" i="1" s="1"/>
  <c r="F164" i="1" s="1"/>
  <c r="V164" i="1"/>
  <c r="V171" i="1" s="1"/>
  <c r="N126" i="1"/>
  <c r="N164" i="1" s="1"/>
  <c r="N5" i="1" s="1"/>
  <c r="N7" i="1"/>
  <c r="S126" i="1"/>
  <c r="S164" i="1" s="1"/>
  <c r="S5" i="1" s="1"/>
  <c r="S7" i="1"/>
  <c r="P61" i="1"/>
  <c r="P48" i="1" s="1"/>
  <c r="P23" i="1" s="1"/>
  <c r="P126" i="1" s="1"/>
  <c r="P164" i="1" s="1"/>
  <c r="P5" i="1" s="1"/>
  <c r="N48" i="1"/>
  <c r="N23" i="1" s="1"/>
  <c r="U11" i="1"/>
  <c r="U8" i="1" s="1"/>
  <c r="T8" i="1"/>
  <c r="R61" i="1"/>
  <c r="R48" i="1" s="1"/>
  <c r="R23" i="1" s="1"/>
  <c r="R126" i="1" s="1"/>
  <c r="R164" i="1" s="1"/>
  <c r="R5" i="1" s="1"/>
  <c r="M23" i="1"/>
  <c r="M126" i="1" s="1"/>
  <c r="M164" i="1" s="1"/>
  <c r="M5" i="1" s="1"/>
  <c r="U126" i="1" l="1"/>
  <c r="U164" i="1" s="1"/>
  <c r="U5" i="1" s="1"/>
  <c r="U7" i="1"/>
  <c r="T126" i="1"/>
  <c r="T164" i="1" s="1"/>
  <c r="T5" i="1" s="1"/>
  <c r="T7" i="1"/>
  <c r="H66" i="1"/>
  <c r="H48" i="1" s="1"/>
  <c r="H23" i="1" s="1"/>
  <c r="H126" i="1" s="1"/>
  <c r="H164" i="1" s="1"/>
  <c r="G48" i="1"/>
  <c r="G23" i="1" s="1"/>
  <c r="G126" i="1" s="1"/>
  <c r="G164" i="1" s="1"/>
  <c r="Y164" i="1"/>
</calcChain>
</file>

<file path=xl/comments1.xml><?xml version="1.0" encoding="utf-8"?>
<comments xmlns="http://schemas.openxmlformats.org/spreadsheetml/2006/main">
  <authors>
    <author>I</author>
    <author>RELACIONES PUBLICAS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geologo estructural vial 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geologo estructural vial 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geologo estructural vial 
</t>
        </r>
      </text>
    </comment>
    <comment ref="K49" authorId="1">
      <text>
        <r>
          <rPr>
            <b/>
            <sz val="9"/>
            <color indexed="81"/>
            <rFont val="Tahoma"/>
            <family val="2"/>
          </rPr>
          <t>RELACIONES PUBLICAS:</t>
        </r>
        <r>
          <rPr>
            <sz val="9"/>
            <color indexed="81"/>
            <rFont val="Tahoma"/>
            <family val="2"/>
          </rPr>
          <t xml:space="preserve">
600 dolares se gastan en el 2013. Pero es un edificio dos veces mas grande</t>
        </r>
      </text>
    </comment>
    <comment ref="K50" authorId="1">
      <text>
        <r>
          <rPr>
            <b/>
            <sz val="9"/>
            <color indexed="81"/>
            <rFont val="Tahoma"/>
            <family val="2"/>
          </rPr>
          <t>RELACIONES PUBLICAS:</t>
        </r>
        <r>
          <rPr>
            <sz val="9"/>
            <color indexed="81"/>
            <rFont val="Tahoma"/>
            <family val="2"/>
          </rPr>
          <t xml:space="preserve">
CONSIDERANDO EDIFICIO NUEVO 6 PISOS</t>
        </r>
      </text>
    </comment>
    <comment ref="K51" authorId="1">
      <text>
        <r>
          <rPr>
            <b/>
            <sz val="9"/>
            <color indexed="81"/>
            <rFont val="Tahoma"/>
            <family val="2"/>
          </rPr>
          <t>RELACIONES PUBLICAS:</t>
        </r>
        <r>
          <rPr>
            <sz val="9"/>
            <color indexed="81"/>
            <rFont val="Tahoma"/>
            <family val="2"/>
          </rPr>
          <t xml:space="preserve">
50 % mas del 2013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Construcción de Bodegas y Baños en Talleres de equipo Liviano y Pesado, elaboración de Galpones para Talleres de Soldadura y adecación de Oficina Administrativa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para planificación y estudios</t>
        </r>
      </text>
    </comment>
    <comment ref="K73" authorId="1">
      <text>
        <r>
          <rPr>
            <b/>
            <sz val="9"/>
            <color indexed="81"/>
            <rFont val="Tahoma"/>
            <family val="2"/>
          </rPr>
          <t>RELACIONES PUBLICAS:</t>
        </r>
        <r>
          <rPr>
            <sz val="9"/>
            <color indexed="81"/>
            <rFont val="Tahoma"/>
            <family val="2"/>
          </rPr>
          <t xml:space="preserve">
valor mensual X 12 meses mas el 5%
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PARA ALQUILER DE MAQUINARIA DISTRIBUIDAS EN LAS 4 ZONAS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SE DISTRIBUYE EN  ESTUDIOS VIALES Y AMBIENTALES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PARA CONTRATACIONN DE CONSULTORIAS VIALES: ESTUDIOS SOCIOECONOMICOS, HIDROLOGICOS
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Ing. Patricio Barcenas Planificación y estudios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para compra de licencias autodesk y argis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requerimiento de gerencia tecnica para personal
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equipamiento de laboratorio de suelos y asfaltos
</t>
        </r>
      </text>
    </comment>
    <comment ref="I119" authorId="0">
      <text>
        <r>
          <rPr>
            <b/>
            <sz val="9"/>
            <color indexed="81"/>
            <rFont val="Tahoma"/>
            <family val="2"/>
          </rPr>
          <t>I:</t>
        </r>
        <r>
          <rPr>
            <sz val="9"/>
            <color indexed="81"/>
            <rFont val="Tahoma"/>
            <family val="2"/>
          </rPr>
          <t xml:space="preserve">
requerimiento de jefes de zona para la adquisicion de 4 camioneta mas 1 para estudios</t>
        </r>
      </text>
    </comment>
    <comment ref="K121" authorId="1">
      <text>
        <r>
          <rPr>
            <b/>
            <sz val="9"/>
            <color indexed="81"/>
            <rFont val="Tahoma"/>
            <family val="2"/>
          </rPr>
          <t>RELACIONES PUBLICAS:</t>
        </r>
        <r>
          <rPr>
            <sz val="9"/>
            <color indexed="81"/>
            <rFont val="Tahoma"/>
            <family val="2"/>
          </rPr>
          <t xml:space="preserve">
10000 Comunicación Y Equipos informaticos
</t>
        </r>
      </text>
    </comment>
  </commentList>
</comments>
</file>

<file path=xl/sharedStrings.xml><?xml version="1.0" encoding="utf-8"?>
<sst xmlns="http://schemas.openxmlformats.org/spreadsheetml/2006/main" count="263" uniqueCount="240">
  <si>
    <t>VIALSUR</t>
  </si>
  <si>
    <t>PROFORMA PRESUPUESTARIA  Y PLAN ANUAL DE COMPRAS 2014</t>
  </si>
  <si>
    <t>TOTAL</t>
  </si>
  <si>
    <t>AREA</t>
  </si>
  <si>
    <t>PROGRAMA</t>
  </si>
  <si>
    <t>CONCEPTO</t>
  </si>
  <si>
    <t>PRESUPUESTO PROYECTADO 2013</t>
  </si>
  <si>
    <t>GASTO MENSUAL 2012</t>
  </si>
  <si>
    <t>GASTO ANUAL 2013 (10% INCREMENTO)</t>
  </si>
  <si>
    <t>FINANCIA GPL 2013</t>
  </si>
  <si>
    <t>GASTO CORRIENTE 2013</t>
  </si>
  <si>
    <t>REQUERIMIENTO 2014 GERENCIA TECNICA</t>
  </si>
  <si>
    <t>REQUERIMIENTO MECANICA</t>
  </si>
  <si>
    <t>ADMINISTRATIVO</t>
  </si>
  <si>
    <t>TALENTO HUMANO</t>
  </si>
  <si>
    <t>TOTAL 2014</t>
  </si>
  <si>
    <t>FINANCIA GPL 2014</t>
  </si>
  <si>
    <t>PAC 2014</t>
  </si>
  <si>
    <t>PRESUPUESTO PARTICIPATIVO APORTE GADS M Y P</t>
  </si>
  <si>
    <t>GESTION 2014 VIALSUR</t>
  </si>
  <si>
    <t>GASTO DE CAPITAL 2014</t>
  </si>
  <si>
    <t>GASTO DE INVERSION 2014</t>
  </si>
  <si>
    <t>GASTO CORRIENTE 2014</t>
  </si>
  <si>
    <t>JUSTIFICACION</t>
  </si>
  <si>
    <t>1.1.1</t>
  </si>
  <si>
    <t>ADMINISTRACIÓN CENTRAL</t>
  </si>
  <si>
    <t>GASTOS DE PERSONAL</t>
  </si>
  <si>
    <t>Remuneraciones unificadas(servidores de planta y contratados)</t>
  </si>
  <si>
    <t>SERV DE PLANTA</t>
  </si>
  <si>
    <t>Décimo tercer sueldo</t>
  </si>
  <si>
    <t>Décimo cuarto sueldo</t>
  </si>
  <si>
    <t>Remuneración variable por eficiencia</t>
  </si>
  <si>
    <t>Estímulo económico</t>
  </si>
  <si>
    <t>Encargos y Subrogaciones</t>
  </si>
  <si>
    <t>ce</t>
  </si>
  <si>
    <t>Licencias Remuneradas</t>
  </si>
  <si>
    <t>la</t>
  </si>
  <si>
    <t>Dietas</t>
  </si>
  <si>
    <t>lo</t>
  </si>
  <si>
    <t>Asignaciones a Distribuir en Gastos</t>
  </si>
  <si>
    <t>hg</t>
  </si>
  <si>
    <t>Aporte patronal (Incluye IECE)</t>
  </si>
  <si>
    <t>et</t>
  </si>
  <si>
    <t>Fondos de Reserva</t>
  </si>
  <si>
    <t>A entidades descentralizadas y autónomas (Aporte a Contraloría)</t>
  </si>
  <si>
    <t>AL CONGOPE por aporte del Fondode Descentralización.</t>
  </si>
  <si>
    <t>GASTOS DE INVERSION</t>
  </si>
  <si>
    <t>GASTOS EN PERSONAL DE INVERSION</t>
  </si>
  <si>
    <t>Remuneraciones Unificadas (servidores planta - contratados)</t>
  </si>
  <si>
    <t>Salarios unificados (trabajadores planta - contratados)</t>
  </si>
  <si>
    <t xml:space="preserve">Décimo tercer sueldo </t>
  </si>
  <si>
    <t xml:space="preserve">Décimo cuarto sueldo </t>
  </si>
  <si>
    <t>Remuneración Variable por Eficiencia (compensación por productividad y rendim)</t>
  </si>
  <si>
    <t>Compensación por transporte</t>
  </si>
  <si>
    <t>Alimentación</t>
  </si>
  <si>
    <t>Por cargas familiares</t>
  </si>
  <si>
    <t xml:space="preserve">Subsidio por antigüedad </t>
  </si>
  <si>
    <t>Horas Extraordinarias y Suplementarias</t>
  </si>
  <si>
    <t>Servicios Personales por Contrato</t>
  </si>
  <si>
    <t>SERV POR CONTRATO</t>
  </si>
  <si>
    <t>Subrogación</t>
  </si>
  <si>
    <t>Encargos</t>
  </si>
  <si>
    <t>Aporte Patronal (Incluye IECE-SECAP)</t>
  </si>
  <si>
    <t xml:space="preserve">Fondos de Reserva </t>
  </si>
  <si>
    <t>Jubilación Patronal</t>
  </si>
  <si>
    <t>Supresión de Puestos</t>
  </si>
  <si>
    <t xml:space="preserve"> -</t>
  </si>
  <si>
    <t>Compra de renuncia</t>
  </si>
  <si>
    <t>Renuncia Voluntaria</t>
  </si>
  <si>
    <t>Por Jubilación</t>
  </si>
  <si>
    <t>Compensación por Vacaciones no Gozadas por Sesación de Funciones</t>
  </si>
  <si>
    <t>Otras indemnizaciones (Renuncias Voluntarias)</t>
  </si>
  <si>
    <t>Asignación a distribuir (INCIDENCIA POR CLASIFICADOR OBREROS. (Acuerdo MRL 2011))</t>
  </si>
  <si>
    <t>BIENES Y SERVICIOS EN INVERSION</t>
  </si>
  <si>
    <t>Agua Potable</t>
  </si>
  <si>
    <t>Energía Eléctrica</t>
  </si>
  <si>
    <t>Telecomunicaciones</t>
  </si>
  <si>
    <t>TELEFONO GENRENTE</t>
  </si>
  <si>
    <t>4 LINEAS TELEFONO EMPRESA</t>
  </si>
  <si>
    <t>INTERNET</t>
  </si>
  <si>
    <t>Servicio de Correo</t>
  </si>
  <si>
    <t>Fletes y Maniobras</t>
  </si>
  <si>
    <t>Almacenamiento, embalaje, envase y recarga extintores</t>
  </si>
  <si>
    <t>Edición, Impresión, Reproducción y Públicación</t>
  </si>
  <si>
    <t>impresiom de tripiticos y banners, compra de carpa iflable</t>
  </si>
  <si>
    <t>Eventos Públicos y Oficiales</t>
  </si>
  <si>
    <t>para programas de eleccion de directorio</t>
  </si>
  <si>
    <t>Difusión, Información y Publicidad</t>
  </si>
  <si>
    <t>para ser utilizado en desarrollo comunitario</t>
  </si>
  <si>
    <t>Servicio de Vigilancia</t>
  </si>
  <si>
    <t>Servicios de Aseo</t>
  </si>
  <si>
    <t>Difucion e información politica publica, planes y programas</t>
  </si>
  <si>
    <t>Publicidad y Propaganda en medios de comunicación masiva</t>
  </si>
  <si>
    <t>Otros Servicios</t>
  </si>
  <si>
    <t>Matriculación Vehícular</t>
  </si>
  <si>
    <t>carlos vega</t>
  </si>
  <si>
    <t xml:space="preserve">para matriculacion </t>
  </si>
  <si>
    <t>Pasajes al Interior</t>
  </si>
  <si>
    <t>Pasajes al Exterior</t>
  </si>
  <si>
    <t>VIAJES A GESTIONAR MAQUINARIA EN EL EXTERIOR Y UN VIAJE A BARRANQUILLA</t>
  </si>
  <si>
    <t>Viáticos y Subsistencias en el Interior</t>
  </si>
  <si>
    <t>Viáticos y Subsistencias en el Exterior</t>
  </si>
  <si>
    <t>Edificios, Locales y Residencias (mantenimiento y reparación)</t>
  </si>
  <si>
    <t>mantenimiento y repara cion del edificio</t>
  </si>
  <si>
    <t>Mobiliarios (mantenimiento y reparación)</t>
  </si>
  <si>
    <t>jorge matailo</t>
  </si>
  <si>
    <t xml:space="preserve"> Maquinaria y Equipos (mantenimiento y reparación)</t>
  </si>
  <si>
    <t>30 MAQUINAS A 150 $ MANTENIMIENTO</t>
  </si>
  <si>
    <t>Vehículos (mantenimiento y reparación)</t>
  </si>
  <si>
    <t>50 MANTENIMIENTO MENSUAL + 20 IMPREVISTOS Y CAMBIO DE BANDAS</t>
  </si>
  <si>
    <t>Herramientas (mantenimiento y reparación)</t>
  </si>
  <si>
    <t>Edificios, Locales y Residencias (alquiler)</t>
  </si>
  <si>
    <t>ARRIENDO EDIFICIO</t>
  </si>
  <si>
    <t>arriendo de edificio central y campametos</t>
  </si>
  <si>
    <t>Maquinaria y Equipo (alquiler)</t>
  </si>
  <si>
    <t>alquiler de maquinaria para mantenimiento de vias en la provincia</t>
  </si>
  <si>
    <t>Vehículos (alquiler)</t>
  </si>
  <si>
    <t>alquiler de vehiculos para trslado de personal en la provincia</t>
  </si>
  <si>
    <t>Contratación de Estudios e Información</t>
  </si>
  <si>
    <t>Consultoría, Asesoría e investigación Especialida (Reglam. Interno Seguridad y Salud)</t>
  </si>
  <si>
    <t xml:space="preserve"> consultoria ESTUDIOS AMBIENTALES</t>
  </si>
  <si>
    <t>Servicio de Capacitación</t>
  </si>
  <si>
    <t>LORENA talento humano</t>
  </si>
  <si>
    <t>contratacion de cursos de capacitacion</t>
  </si>
  <si>
    <t>Estudio y Diseño de Proyectos</t>
  </si>
  <si>
    <t>ESTUDIOS DE EDIFICIO Y VIAS</t>
  </si>
  <si>
    <t>contratacion del diseño arquitectonico del edificio propio de vialsur</t>
  </si>
  <si>
    <t>Gastos en Informática</t>
  </si>
  <si>
    <t>Desarrollo de Sistemas Informáticos</t>
  </si>
  <si>
    <t>Arrendamiento y Licencias de Uso de Paquetes Informáticos</t>
  </si>
  <si>
    <t>adquisicion de paquetes informaticos y licencias para antivirus</t>
  </si>
  <si>
    <t>ANTIVIRUS</t>
  </si>
  <si>
    <t>LICENCIAS DE OFICE</t>
  </si>
  <si>
    <t>CONTROL DE COMBUSTIBLE</t>
  </si>
  <si>
    <t>Mantenimiento y Reparación de Equipos y Sistemas Informáticos</t>
  </si>
  <si>
    <t>juan pablo sinche</t>
  </si>
  <si>
    <t>Bienes de Uso y Consumo en Inversión</t>
  </si>
  <si>
    <t>Alimentos y Bebidas</t>
  </si>
  <si>
    <t>Vestuario Lencería y Prendas de Proteccion</t>
  </si>
  <si>
    <t>LORENA</t>
  </si>
  <si>
    <t>compra de 454 ternos lee y 454 pares de zapatos de trabajo</t>
  </si>
  <si>
    <t>uniformes para personal administrativo</t>
  </si>
  <si>
    <t>Combustibles y Lubricantes</t>
  </si>
  <si>
    <t>combustibles</t>
  </si>
  <si>
    <t>Materiales de Oficina</t>
  </si>
  <si>
    <t>ANEXO ADMINISTRATIVO</t>
  </si>
  <si>
    <t>Materiales de Aseo</t>
  </si>
  <si>
    <t>Herramientas (compras)</t>
  </si>
  <si>
    <t>Materiales de Impresión, Fotografía, Reproducción y Publicaciones</t>
  </si>
  <si>
    <t>estudios y proyectos</t>
  </si>
  <si>
    <t>Medicina y Productos Farmacéuticos</t>
  </si>
  <si>
    <t>dra zoila aguirre</t>
  </si>
  <si>
    <t>Materiales de Construcción, Eléctricos, Plomería y Carpintería</t>
  </si>
  <si>
    <t>Repuestos y Accesorios</t>
  </si>
  <si>
    <t>llantas</t>
  </si>
  <si>
    <t>Meneaje de cocina y accesorios descartables</t>
  </si>
  <si>
    <t>utensilios de cocina y otros</t>
  </si>
  <si>
    <t>Partes y Repuestos</t>
  </si>
  <si>
    <t>Mobiliario</t>
  </si>
  <si>
    <t>Maquinaria y equipo</t>
  </si>
  <si>
    <t>Herramientas</t>
  </si>
  <si>
    <t>Equipos,Sistemas y Paquetes Informaticos</t>
  </si>
  <si>
    <t>Obras de Infraestructura</t>
  </si>
  <si>
    <t>Seguros, Costos Financieros y otros gastos</t>
  </si>
  <si>
    <t>Otros Impuestos, Tasas y Contribuciones</t>
  </si>
  <si>
    <t>soat</t>
  </si>
  <si>
    <t>Impuesto al Valor Agregado</t>
  </si>
  <si>
    <t>Tasas Generales, impuestos, contribuciones, permisos, licencias</t>
  </si>
  <si>
    <t>Seguros</t>
  </si>
  <si>
    <t>inclusiones</t>
  </si>
  <si>
    <t>deducibles</t>
  </si>
  <si>
    <t>Comisiones Bancarias</t>
  </si>
  <si>
    <t>Costas Judiciales</t>
  </si>
  <si>
    <t>para documentos ambientales (intersecciones y protocolizacion)</t>
  </si>
  <si>
    <t>Transferencias y Donaciones en Inversión</t>
  </si>
  <si>
    <t>Al Sector Privado no Financiero (Asoc. Empleados )</t>
  </si>
  <si>
    <t>GASTOS DE CAPITAL</t>
  </si>
  <si>
    <t>Bienes de Larga Duración</t>
  </si>
  <si>
    <t>administrativo</t>
  </si>
  <si>
    <t>Maquinarias y Equipos</t>
  </si>
  <si>
    <t>REFRIGERADORAS y cocinas</t>
  </si>
  <si>
    <t>handi</t>
  </si>
  <si>
    <t>gps difere</t>
  </si>
  <si>
    <t>Vehículos</t>
  </si>
  <si>
    <t>IMPRESORAS</t>
  </si>
  <si>
    <t>Herramientas (Compra de herramientas se deprecian)</t>
  </si>
  <si>
    <t>Equipos, Sistemas y Paquetes Informáticos</t>
  </si>
  <si>
    <t>21 COMPUTADORAS</t>
  </si>
  <si>
    <t>12 COMPUTADORAS PORTATILES</t>
  </si>
  <si>
    <t>SECRETARIA Y ADMINISTRATIVO</t>
  </si>
  <si>
    <t>ACTIVOS FIJOS</t>
  </si>
  <si>
    <t xml:space="preserve">TALENTO HUMANO </t>
  </si>
  <si>
    <t>PASIVO CIRCULANTE</t>
  </si>
  <si>
    <t>COMBUSTIBLES</t>
  </si>
  <si>
    <t>PLANIFICACIO</t>
  </si>
  <si>
    <t>ZONAS</t>
  </si>
  <si>
    <t>Deuda Flotante</t>
  </si>
  <si>
    <t>MIGUEL ORELLANA</t>
  </si>
  <si>
    <t>BODEGA</t>
  </si>
  <si>
    <t>De Cuentas por Pagar</t>
  </si>
  <si>
    <t>CARLOS VEGA</t>
  </si>
  <si>
    <t>TOTAL FUNCIÓN ADMINISTRACIÓN CENTRAL</t>
  </si>
  <si>
    <t>4.1.1</t>
  </si>
  <si>
    <t>PLANIFICACIÓN Y ESTUDIOS</t>
  </si>
  <si>
    <t xml:space="preserve">Planificación y Estudios </t>
  </si>
  <si>
    <t>Estudios de Impacto ambiental</t>
  </si>
  <si>
    <t>Estudio de Impacto Ambiental de Minas y Canteras</t>
  </si>
  <si>
    <t>TOTAL FUNCIÓN PLANIFICACIÓN Y ESTUDIOS</t>
  </si>
  <si>
    <t>4.1.2</t>
  </si>
  <si>
    <t>ZONA UNO</t>
  </si>
  <si>
    <t>Construcción de obras de arte</t>
  </si>
  <si>
    <t>Obras Publicas de Transporte y Vias (Puentes y Pasarelas)</t>
  </si>
  <si>
    <t>Microempresa de mantenimiento de la vía</t>
  </si>
  <si>
    <t>Mantenimiento de Plataformas de Riego</t>
  </si>
  <si>
    <t>Mantenimiento Emergente Alquiler de Maquinaria</t>
  </si>
  <si>
    <t>TOTAL FUNCIÓN ZONA UNO</t>
  </si>
  <si>
    <t>4.1.3</t>
  </si>
  <si>
    <t>ZONA DOS</t>
  </si>
  <si>
    <t xml:space="preserve">Mantenimiento de Plataformas de Riego </t>
  </si>
  <si>
    <t>TOTAL FUNCIÓN ZONA DOS</t>
  </si>
  <si>
    <t>4.1.4</t>
  </si>
  <si>
    <t>ZONA TRES</t>
  </si>
  <si>
    <t>Costrucción de obras de arte</t>
  </si>
  <si>
    <t>TOTAL FUNCIÓN ZONA TRES</t>
  </si>
  <si>
    <t>4.1.5</t>
  </si>
  <si>
    <t>ZONA CUATRO</t>
  </si>
  <si>
    <t>Mantenimiento Emergente Alquiler de maquinaria</t>
  </si>
  <si>
    <t>TOTAL FUNCIÓN ZONA CUATRO</t>
  </si>
  <si>
    <t xml:space="preserve">TOTAL PRESUPUESTO </t>
  </si>
  <si>
    <t>TOTALES</t>
  </si>
  <si>
    <t>JUNTAS PARROQUIALES</t>
  </si>
  <si>
    <t xml:space="preserve">RIDRENSUR PLATAFORMAS DE CANAL APORTA $ 1500/KM </t>
  </si>
  <si>
    <t>DEPROSUR ACCESOS A PLANTAS DE LANSACA YAMANA</t>
  </si>
  <si>
    <t xml:space="preserve">NOTA: Con financiamiento 2013 se considera la ejecución de la obras de arrastre equivalente a: </t>
  </si>
  <si>
    <t xml:space="preserve">TOTAL </t>
  </si>
  <si>
    <t>ECON. SANDRA ROJAS</t>
  </si>
  <si>
    <t>ELABORO:</t>
  </si>
  <si>
    <t>ING. JORGE M. ORDÓÑEZ ORELLANA</t>
  </si>
  <si>
    <t>COORDINADORA FINANCIERA</t>
  </si>
  <si>
    <t>TECNICO DE PROYECTOS DE LA GERENCIA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</si>
</sst>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-2]\ * #.##0.00_ ;_ [$€-2]\ * \-#.##0.00_ ;_ [$€-2]\ * &quot;-&quot;??_ "/>
    <numFmt numFmtId="165" formatCode="[$-C0A]General"/>
    <numFmt numFmtId="166" formatCode="_-* #,##0.00_-;\-* #,##0.00_-;_-* &quot;-&quot;??_-;_-@_-"/>
    <numFmt numFmtId="167" formatCode="_-* #,##0.00\ _$_-;\-* #,##0.00\ _$_-;_-* &quot;-&quot;??\ _$_-;_-@_-"/>
    <numFmt numFmtId="168" formatCode="_ * #,##0.00_ ;_ * \-#,##0.00_ ;_ * &quot;-&quot;??_ ;_ @_ "/>
    <numFmt numFmtId="169" formatCode="_-* #,##0.00\ _€_-;\-* #,##0.00\ _€_-;_-* &quot;-&quot;??\ _€_-;_-@_-"/>
    <numFmt numFmtId="170" formatCode="#,##0.00&quot;    &quot;;\-#,##0.00&quot;    &quot;;&quot; -&quot;#&quot;    &quot;;@\ "/>
    <numFmt numFmtId="171" formatCode="_-* #,##0.00\ _€_-;\-* #,##0.00\ _€_-;_-* \-??\ _€_-;_-@_-"/>
    <numFmt numFmtId="172" formatCode="&quot; &quot;#,##0.00&quot; &quot;;&quot;-&quot;#,##0.00&quot; &quot;;&quot; -&quot;00&quot; &quot;;&quot; &quot;@&quot; &quot;"/>
  </numFmts>
  <fonts count="4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rgb="FF000000"/>
      <name val="Arial1"/>
    </font>
    <font>
      <sz val="11"/>
      <color indexed="60"/>
      <name val="Calibri"/>
      <family val="2"/>
    </font>
    <font>
      <sz val="10"/>
      <name val="Lohit Hind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5" borderId="0" applyNumberFormat="0" applyBorder="0" applyAlignment="0" applyProtection="0"/>
    <xf numFmtId="0" fontId="23" fillId="17" borderId="30" applyNumberFormat="0" applyAlignment="0" applyProtection="0"/>
    <xf numFmtId="0" fontId="24" fillId="18" borderId="31" applyNumberFormat="0" applyAlignment="0" applyProtection="0"/>
    <xf numFmtId="0" fontId="25" fillId="0" borderId="32" applyNumberFormat="0" applyFill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8" fillId="8" borderId="30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30" fillId="0" borderId="0" applyBorder="0" applyProtection="0"/>
    <xf numFmtId="0" fontId="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2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166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" fillId="0" borderId="0"/>
    <xf numFmtId="171" fontId="2" fillId="0" borderId="0" applyFill="0" applyBorder="0" applyAlignment="0" applyProtection="0"/>
    <xf numFmtId="171" fontId="2" fillId="0" borderId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23" borderId="0" applyNumberFormat="0" applyBorder="0" applyAlignment="0" applyProtection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4" borderId="3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17" borderId="3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5" applyNumberFormat="0" applyFill="0" applyAlignment="0" applyProtection="0"/>
    <xf numFmtId="0" fontId="41" fillId="0" borderId="36" applyNumberFormat="0" applyFill="0" applyAlignment="0" applyProtection="0"/>
    <xf numFmtId="0" fontId="27" fillId="0" borderId="3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8" applyNumberFormat="0" applyFill="0" applyAlignment="0" applyProtection="0"/>
  </cellStyleXfs>
  <cellXfs count="18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43" fontId="3" fillId="2" borderId="2" xfId="1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3" fontId="4" fillId="2" borderId="0" xfId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3" fontId="5" fillId="2" borderId="0" xfId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 wrapText="1"/>
    </xf>
    <xf numFmtId="43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3" fontId="8" fillId="2" borderId="13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43" fontId="4" fillId="2" borderId="18" xfId="1" applyFont="1" applyFill="1" applyBorder="1" applyAlignment="1">
      <alignment horizontal="left" vertical="center"/>
    </xf>
    <xf numFmtId="43" fontId="4" fillId="2" borderId="19" xfId="1" applyFont="1" applyFill="1" applyBorder="1" applyAlignment="1">
      <alignment horizontal="left" vertical="center"/>
    </xf>
    <xf numFmtId="43" fontId="4" fillId="2" borderId="17" xfId="1" applyFont="1" applyFill="1" applyBorder="1" applyAlignment="1">
      <alignment horizontal="center" vertical="center"/>
    </xf>
    <xf numFmtId="43" fontId="4" fillId="2" borderId="20" xfId="1" applyFont="1" applyFill="1" applyBorder="1" applyAlignment="1">
      <alignment horizontal="center" vertical="center"/>
    </xf>
    <xf numFmtId="43" fontId="4" fillId="2" borderId="16" xfId="1" applyFont="1" applyFill="1" applyBorder="1" applyAlignment="1">
      <alignment horizontal="center" vertical="center"/>
    </xf>
    <xf numFmtId="43" fontId="4" fillId="2" borderId="18" xfId="1" applyFont="1" applyFill="1" applyBorder="1" applyAlignment="1">
      <alignment horizontal="center" vertical="center"/>
    </xf>
    <xf numFmtId="43" fontId="4" fillId="2" borderId="21" xfId="1" applyFont="1" applyFill="1" applyBorder="1" applyAlignment="1">
      <alignment horizontal="center" vertical="center"/>
    </xf>
    <xf numFmtId="43" fontId="4" fillId="2" borderId="22" xfId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0" xfId="0" applyFont="1" applyFill="1"/>
    <xf numFmtId="43" fontId="4" fillId="2" borderId="17" xfId="1" applyFont="1" applyFill="1" applyBorder="1" applyAlignment="1">
      <alignment horizontal="left" vertical="center"/>
    </xf>
    <xf numFmtId="43" fontId="4" fillId="2" borderId="20" xfId="1" applyFont="1" applyFill="1" applyBorder="1" applyAlignment="1">
      <alignment horizontal="left" vertical="center"/>
    </xf>
    <xf numFmtId="43" fontId="4" fillId="2" borderId="16" xfId="1" applyFont="1" applyFill="1" applyBorder="1" applyAlignment="1">
      <alignment horizontal="left" vertical="center"/>
    </xf>
    <xf numFmtId="43" fontId="4" fillId="2" borderId="21" xfId="1" applyFont="1" applyFill="1" applyBorder="1" applyAlignment="1">
      <alignment horizontal="left" vertical="center"/>
    </xf>
    <xf numFmtId="43" fontId="4" fillId="2" borderId="22" xfId="1" applyFont="1" applyFill="1" applyBorder="1" applyAlignment="1">
      <alignment horizontal="left" vertical="center" wrapText="1"/>
    </xf>
    <xf numFmtId="43" fontId="4" fillId="2" borderId="18" xfId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43" fontId="10" fillId="2" borderId="18" xfId="1" applyFont="1" applyFill="1" applyBorder="1" applyAlignment="1">
      <alignment vertical="center"/>
    </xf>
    <xf numFmtId="43" fontId="10" fillId="2" borderId="19" xfId="1" applyFont="1" applyFill="1" applyBorder="1" applyAlignment="1">
      <alignment vertical="center"/>
    </xf>
    <xf numFmtId="43" fontId="10" fillId="2" borderId="17" xfId="1" applyFont="1" applyFill="1" applyBorder="1" applyAlignment="1">
      <alignment vertical="center"/>
    </xf>
    <xf numFmtId="43" fontId="10" fillId="2" borderId="20" xfId="1" applyFont="1" applyFill="1" applyBorder="1" applyAlignment="1">
      <alignment vertical="center"/>
    </xf>
    <xf numFmtId="43" fontId="10" fillId="2" borderId="16" xfId="1" applyFont="1" applyFill="1" applyBorder="1" applyAlignment="1">
      <alignment vertical="center"/>
    </xf>
    <xf numFmtId="43" fontId="10" fillId="2" borderId="21" xfId="1" applyFont="1" applyFill="1" applyBorder="1" applyAlignment="1">
      <alignment vertical="center"/>
    </xf>
    <xf numFmtId="43" fontId="10" fillId="2" borderId="22" xfId="1" applyFont="1" applyFill="1" applyBorder="1" applyAlignment="1">
      <alignment vertical="center" wrapText="1"/>
    </xf>
    <xf numFmtId="43" fontId="10" fillId="2" borderId="18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/>
    </xf>
    <xf numFmtId="43" fontId="10" fillId="2" borderId="19" xfId="1" applyFont="1" applyFill="1" applyBorder="1" applyAlignment="1">
      <alignment horizontal="center" vertical="center"/>
    </xf>
    <xf numFmtId="43" fontId="10" fillId="2" borderId="18" xfId="1" applyFont="1" applyFill="1" applyBorder="1" applyAlignment="1">
      <alignment horizontal="center" vertical="center"/>
    </xf>
    <xf numFmtId="14" fontId="3" fillId="2" borderId="0" xfId="0" applyNumberFormat="1" applyFont="1" applyFill="1"/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43" fontId="4" fillId="2" borderId="18" xfId="1" applyFont="1" applyFill="1" applyBorder="1" applyAlignment="1">
      <alignment vertical="center"/>
    </xf>
    <xf numFmtId="43" fontId="4" fillId="2" borderId="19" xfId="1" applyFont="1" applyFill="1" applyBorder="1" applyAlignment="1">
      <alignment vertical="center"/>
    </xf>
    <xf numFmtId="43" fontId="4" fillId="2" borderId="17" xfId="1" applyFont="1" applyFill="1" applyBorder="1" applyAlignment="1">
      <alignment vertical="center"/>
    </xf>
    <xf numFmtId="43" fontId="4" fillId="2" borderId="20" xfId="1" applyFont="1" applyFill="1" applyBorder="1" applyAlignment="1">
      <alignment vertical="center"/>
    </xf>
    <xf numFmtId="43" fontId="4" fillId="2" borderId="16" xfId="1" applyFont="1" applyFill="1" applyBorder="1" applyAlignment="1">
      <alignment vertical="center"/>
    </xf>
    <xf numFmtId="43" fontId="4" fillId="2" borderId="21" xfId="1" applyFont="1" applyFill="1" applyBorder="1" applyAlignment="1">
      <alignment vertical="center"/>
    </xf>
    <xf numFmtId="43" fontId="4" fillId="2" borderId="22" xfId="1" applyFont="1" applyFill="1" applyBorder="1" applyAlignment="1">
      <alignment vertical="center" wrapText="1"/>
    </xf>
    <xf numFmtId="43" fontId="4" fillId="2" borderId="18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43" fontId="4" fillId="2" borderId="18" xfId="0" applyNumberFormat="1" applyFont="1" applyFill="1" applyBorder="1" applyAlignment="1">
      <alignment horizontal="center" vertical="center"/>
    </xf>
    <xf numFmtId="43" fontId="4" fillId="2" borderId="19" xfId="0" applyNumberFormat="1" applyFont="1" applyFill="1" applyBorder="1" applyAlignment="1">
      <alignment horizontal="center" vertical="center"/>
    </xf>
    <xf numFmtId="43" fontId="4" fillId="2" borderId="17" xfId="0" applyNumberFormat="1" applyFont="1" applyFill="1" applyBorder="1" applyAlignment="1">
      <alignment horizontal="center" vertical="center"/>
    </xf>
    <xf numFmtId="43" fontId="4" fillId="2" borderId="20" xfId="0" applyNumberFormat="1" applyFont="1" applyFill="1" applyBorder="1" applyAlignment="1">
      <alignment horizontal="center" vertical="center"/>
    </xf>
    <xf numFmtId="43" fontId="4" fillId="2" borderId="16" xfId="0" applyNumberFormat="1" applyFont="1" applyFill="1" applyBorder="1" applyAlignment="1">
      <alignment horizontal="center" vertical="center"/>
    </xf>
    <xf numFmtId="43" fontId="4" fillId="2" borderId="21" xfId="0" applyNumberFormat="1" applyFont="1" applyFill="1" applyBorder="1" applyAlignment="1">
      <alignment horizontal="center" vertical="center"/>
    </xf>
    <xf numFmtId="43" fontId="4" fillId="2" borderId="22" xfId="0" applyNumberFormat="1" applyFont="1" applyFill="1" applyBorder="1" applyAlignment="1">
      <alignment horizontal="center" vertical="center" wrapText="1"/>
    </xf>
    <xf numFmtId="43" fontId="4" fillId="2" borderId="18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Continuous" vertical="center" wrapText="1"/>
    </xf>
    <xf numFmtId="43" fontId="4" fillId="2" borderId="0" xfId="0" applyNumberFormat="1" applyFont="1" applyFill="1"/>
    <xf numFmtId="43" fontId="11" fillId="2" borderId="18" xfId="1" applyFont="1" applyFill="1" applyBorder="1" applyAlignment="1">
      <alignment horizontal="left" vertical="center"/>
    </xf>
    <xf numFmtId="43" fontId="11" fillId="2" borderId="19" xfId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 wrapText="1"/>
    </xf>
    <xf numFmtId="43" fontId="11" fillId="2" borderId="17" xfId="1" applyFont="1" applyFill="1" applyBorder="1" applyAlignment="1">
      <alignment vertical="center"/>
    </xf>
    <xf numFmtId="0" fontId="3" fillId="2" borderId="16" xfId="0" applyFont="1" applyFill="1" applyBorder="1"/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/>
    <xf numFmtId="13" fontId="10" fillId="2" borderId="19" xfId="1" applyNumberFormat="1" applyFont="1" applyFill="1" applyBorder="1" applyAlignment="1">
      <alignment vertical="center"/>
    </xf>
    <xf numFmtId="43" fontId="3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/>
    <xf numFmtId="0" fontId="3" fillId="2" borderId="17" xfId="0" applyFont="1" applyFill="1" applyBorder="1"/>
    <xf numFmtId="0" fontId="13" fillId="2" borderId="17" xfId="0" applyFont="1" applyFill="1" applyBorder="1" applyAlignment="1">
      <alignment horizontal="left" vertical="center" wrapText="1"/>
    </xf>
    <xf numFmtId="43" fontId="13" fillId="2" borderId="20" xfId="1" applyFont="1" applyFill="1" applyBorder="1" applyAlignment="1">
      <alignment vertical="center"/>
    </xf>
    <xf numFmtId="43" fontId="13" fillId="2" borderId="22" xfId="1" applyFont="1" applyFill="1" applyBorder="1" applyAlignment="1">
      <alignment vertical="center" wrapText="1"/>
    </xf>
    <xf numFmtId="43" fontId="13" fillId="2" borderId="18" xfId="1" applyFont="1" applyFill="1" applyBorder="1" applyAlignment="1">
      <alignment vertical="center" wrapText="1"/>
    </xf>
    <xf numFmtId="43" fontId="13" fillId="2" borderId="18" xfId="1" applyFont="1" applyFill="1" applyBorder="1" applyAlignment="1">
      <alignment vertical="center"/>
    </xf>
    <xf numFmtId="43" fontId="13" fillId="2" borderId="19" xfId="1" applyFont="1" applyFill="1" applyBorder="1" applyAlignment="1">
      <alignment vertical="center"/>
    </xf>
    <xf numFmtId="43" fontId="13" fillId="2" borderId="17" xfId="1" applyFont="1" applyFill="1" applyBorder="1" applyAlignment="1">
      <alignment vertical="center"/>
    </xf>
    <xf numFmtId="43" fontId="13" fillId="2" borderId="16" xfId="1" applyFont="1" applyFill="1" applyBorder="1" applyAlignment="1">
      <alignment vertical="center"/>
    </xf>
    <xf numFmtId="43" fontId="13" fillId="2" borderId="21" xfId="1" applyFont="1" applyFill="1" applyBorder="1" applyAlignment="1">
      <alignment vertical="center"/>
    </xf>
    <xf numFmtId="0" fontId="14" fillId="2" borderId="17" xfId="0" applyFont="1" applyFill="1" applyBorder="1" applyAlignment="1">
      <alignment horizontal="left" vertical="center" wrapText="1"/>
    </xf>
    <xf numFmtId="43" fontId="10" fillId="2" borderId="19" xfId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43" fontId="4" fillId="2" borderId="18" xfId="0" applyNumberFormat="1" applyFont="1" applyFill="1" applyBorder="1" applyAlignment="1">
      <alignment horizontal="centerContinuous" vertical="center"/>
    </xf>
    <xf numFmtId="43" fontId="4" fillId="2" borderId="19" xfId="0" applyNumberFormat="1" applyFont="1" applyFill="1" applyBorder="1" applyAlignment="1">
      <alignment horizontal="centerContinuous" vertical="center"/>
    </xf>
    <xf numFmtId="0" fontId="13" fillId="2" borderId="0" xfId="0" applyFont="1" applyFill="1" applyBorder="1"/>
    <xf numFmtId="0" fontId="13" fillId="2" borderId="16" xfId="0" applyFont="1" applyFill="1" applyBorder="1"/>
    <xf numFmtId="0" fontId="13" fillId="2" borderId="0" xfId="0" applyFont="1" applyFill="1" applyBorder="1" applyAlignment="1">
      <alignment wrapText="1"/>
    </xf>
    <xf numFmtId="0" fontId="10" fillId="2" borderId="17" xfId="0" applyFont="1" applyFill="1" applyBorder="1" applyAlignment="1">
      <alignment horizontal="left" wrapText="1"/>
    </xf>
    <xf numFmtId="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13" fillId="2" borderId="17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43" fontId="5" fillId="2" borderId="18" xfId="1" applyFont="1" applyFill="1" applyBorder="1"/>
    <xf numFmtId="43" fontId="5" fillId="2" borderId="19" xfId="1" applyFont="1" applyFill="1" applyBorder="1"/>
    <xf numFmtId="43" fontId="5" fillId="2" borderId="17" xfId="1" applyFont="1" applyFill="1" applyBorder="1"/>
    <xf numFmtId="43" fontId="5" fillId="2" borderId="20" xfId="1" applyFont="1" applyFill="1" applyBorder="1"/>
    <xf numFmtId="43" fontId="5" fillId="2" borderId="16" xfId="1" applyFont="1" applyFill="1" applyBorder="1"/>
    <xf numFmtId="43" fontId="5" fillId="2" borderId="21" xfId="1" applyFont="1" applyFill="1" applyBorder="1"/>
    <xf numFmtId="43" fontId="5" fillId="2" borderId="22" xfId="1" applyFont="1" applyFill="1" applyBorder="1" applyAlignment="1">
      <alignment wrapText="1"/>
    </xf>
    <xf numFmtId="43" fontId="5" fillId="2" borderId="18" xfId="1" applyFont="1" applyFill="1" applyBorder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43" fontId="10" fillId="2" borderId="18" xfId="1" applyFont="1" applyFill="1" applyBorder="1"/>
    <xf numFmtId="43" fontId="10" fillId="2" borderId="19" xfId="1" applyFont="1" applyFill="1" applyBorder="1"/>
    <xf numFmtId="43" fontId="10" fillId="2" borderId="17" xfId="1" applyFont="1" applyFill="1" applyBorder="1"/>
    <xf numFmtId="43" fontId="10" fillId="2" borderId="16" xfId="1" applyFont="1" applyFill="1" applyBorder="1"/>
    <xf numFmtId="43" fontId="11" fillId="2" borderId="22" xfId="1" applyFont="1" applyFill="1" applyBorder="1" applyAlignment="1">
      <alignment horizontal="left" vertical="center" wrapText="1"/>
    </xf>
    <xf numFmtId="43" fontId="11" fillId="2" borderId="18" xfId="1" applyFont="1" applyFill="1" applyBorder="1" applyAlignment="1">
      <alignment horizontal="left" vertical="center" wrapText="1"/>
    </xf>
    <xf numFmtId="43" fontId="10" fillId="2" borderId="17" xfId="1" applyFont="1" applyFill="1" applyBorder="1" applyAlignment="1">
      <alignment horizontal="right"/>
    </xf>
    <xf numFmtId="43" fontId="10" fillId="2" borderId="20" xfId="1" applyFont="1" applyFill="1" applyBorder="1"/>
    <xf numFmtId="43" fontId="10" fillId="2" borderId="22" xfId="1" applyFont="1" applyFill="1" applyBorder="1" applyAlignment="1">
      <alignment wrapText="1"/>
    </xf>
    <xf numFmtId="43" fontId="10" fillId="2" borderId="18" xfId="1" applyFont="1" applyFill="1" applyBorder="1" applyAlignment="1">
      <alignment wrapText="1"/>
    </xf>
    <xf numFmtId="43" fontId="11" fillId="2" borderId="17" xfId="1" applyFont="1" applyFill="1" applyBorder="1"/>
    <xf numFmtId="43" fontId="11" fillId="2" borderId="20" xfId="1" applyFont="1" applyFill="1" applyBorder="1"/>
    <xf numFmtId="43" fontId="11" fillId="2" borderId="16" xfId="1" applyFont="1" applyFill="1" applyBorder="1"/>
    <xf numFmtId="43" fontId="11" fillId="2" borderId="22" xfId="1" applyFont="1" applyFill="1" applyBorder="1" applyAlignment="1">
      <alignment wrapText="1"/>
    </xf>
    <xf numFmtId="43" fontId="11" fillId="2" borderId="18" xfId="1" applyFont="1" applyFill="1" applyBorder="1" applyAlignment="1">
      <alignment wrapText="1"/>
    </xf>
    <xf numFmtId="43" fontId="11" fillId="2" borderId="18" xfId="1" applyFont="1" applyFill="1" applyBorder="1"/>
    <xf numFmtId="43" fontId="11" fillId="2" borderId="21" xfId="1" applyFont="1" applyFill="1" applyBorder="1"/>
    <xf numFmtId="0" fontId="15" fillId="2" borderId="23" xfId="0" applyFont="1" applyFill="1" applyBorder="1" applyAlignment="1">
      <alignment horizontal="right"/>
    </xf>
    <xf numFmtId="0" fontId="15" fillId="2" borderId="24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 wrapText="1"/>
    </xf>
    <xf numFmtId="43" fontId="5" fillId="2" borderId="25" xfId="1" applyFont="1" applyFill="1" applyBorder="1"/>
    <xf numFmtId="43" fontId="5" fillId="2" borderId="26" xfId="1" applyFont="1" applyFill="1" applyBorder="1"/>
    <xf numFmtId="43" fontId="5" fillId="2" borderId="24" xfId="1" applyFont="1" applyFill="1" applyBorder="1"/>
    <xf numFmtId="43" fontId="5" fillId="2" borderId="27" xfId="1" applyFont="1" applyFill="1" applyBorder="1"/>
    <xf numFmtId="43" fontId="5" fillId="2" borderId="23" xfId="1" applyFont="1" applyFill="1" applyBorder="1"/>
    <xf numFmtId="43" fontId="5" fillId="2" borderId="28" xfId="1" applyFont="1" applyFill="1" applyBorder="1"/>
    <xf numFmtId="43" fontId="5" fillId="2" borderId="26" xfId="1" applyFont="1" applyFill="1" applyBorder="1" applyAlignment="1">
      <alignment wrapText="1"/>
    </xf>
    <xf numFmtId="43" fontId="5" fillId="2" borderId="24" xfId="1" applyFont="1" applyFill="1" applyBorder="1" applyAlignment="1">
      <alignment wrapText="1"/>
    </xf>
    <xf numFmtId="43" fontId="5" fillId="2" borderId="0" xfId="1" applyFont="1" applyFill="1" applyBorder="1"/>
    <xf numFmtId="0" fontId="3" fillId="2" borderId="0" xfId="0" applyFont="1" applyFill="1" applyAlignment="1">
      <alignment wrapText="1"/>
    </xf>
    <xf numFmtId="43" fontId="10" fillId="2" borderId="0" xfId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3" fontId="14" fillId="2" borderId="0" xfId="0" applyNumberFormat="1" applyFont="1" applyFill="1"/>
    <xf numFmtId="43" fontId="14" fillId="2" borderId="0" xfId="0" applyNumberFormat="1" applyFont="1" applyFill="1" applyAlignment="1">
      <alignment wrapText="1"/>
    </xf>
    <xf numFmtId="0" fontId="14" fillId="2" borderId="17" xfId="0" applyFont="1" applyFill="1" applyBorder="1" applyAlignment="1">
      <alignment horizontal="center"/>
    </xf>
    <xf numFmtId="43" fontId="14" fillId="2" borderId="17" xfId="0" applyNumberFormat="1" applyFont="1" applyFill="1" applyBorder="1"/>
    <xf numFmtId="0" fontId="14" fillId="2" borderId="0" xfId="0" applyFont="1" applyFill="1"/>
    <xf numFmtId="0" fontId="14" fillId="2" borderId="0" xfId="0" applyFont="1" applyFill="1" applyAlignment="1">
      <alignment wrapText="1"/>
    </xf>
    <xf numFmtId="43" fontId="14" fillId="2" borderId="29" xfId="0" applyNumberFormat="1" applyFont="1" applyFill="1" applyBorder="1"/>
    <xf numFmtId="0" fontId="16" fillId="2" borderId="0" xfId="2" applyFont="1" applyFill="1" applyAlignment="1">
      <alignment wrapText="1"/>
    </xf>
    <xf numFmtId="0" fontId="17" fillId="2" borderId="0" xfId="2" applyFont="1" applyFill="1"/>
    <xf numFmtId="0" fontId="18" fillId="2" borderId="0" xfId="2" applyFont="1" applyFill="1" applyAlignment="1">
      <alignment wrapText="1"/>
    </xf>
    <xf numFmtId="0" fontId="18" fillId="2" borderId="0" xfId="2" applyFont="1" applyFill="1"/>
  </cellXfs>
  <cellStyles count="11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Date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2 2" xfId="36"/>
    <cellStyle name="Excel Built-in Normal" xfId="37"/>
    <cellStyle name="Excel Built-in Normal 2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xed" xfId="46"/>
    <cellStyle name="HEADING1" xfId="47"/>
    <cellStyle name="HEADING2" xfId="48"/>
    <cellStyle name="Incorrecto 2" xfId="49"/>
    <cellStyle name="Millares" xfId="1" builtinId="3"/>
    <cellStyle name="Millares 13" xfId="50"/>
    <cellStyle name="Millares 2" xfId="51"/>
    <cellStyle name="Millares 2 2" xfId="52"/>
    <cellStyle name="Millares 2 2 2" xfId="53"/>
    <cellStyle name="Millares 2 3" xfId="54"/>
    <cellStyle name="Millares 3" xfId="55"/>
    <cellStyle name="Millares 3 2" xfId="56"/>
    <cellStyle name="Millares 3 2 2" xfId="57"/>
    <cellStyle name="Millares 3 2 3" xfId="58"/>
    <cellStyle name="Millares 3 2 4" xfId="59"/>
    <cellStyle name="Millares 3 2 5" xfId="60"/>
    <cellStyle name="Millares 3 2 9" xfId="61"/>
    <cellStyle name="Millares 4" xfId="62"/>
    <cellStyle name="Millares 4 2" xfId="63"/>
    <cellStyle name="Millares 5" xfId="64"/>
    <cellStyle name="Millares 6" xfId="65"/>
    <cellStyle name="Millares 7" xfId="66"/>
    <cellStyle name="Millares 7 2" xfId="67"/>
    <cellStyle name="Millares 8" xfId="68"/>
    <cellStyle name="Moneda 2" xfId="69"/>
    <cellStyle name="Moneda 3" xfId="70"/>
    <cellStyle name="Neutral 2" xfId="71"/>
    <cellStyle name="Normal" xfId="0" builtinId="0"/>
    <cellStyle name="Normal 10" xfId="72"/>
    <cellStyle name="Normal 11" xfId="73"/>
    <cellStyle name="Normal 2" xfId="74"/>
    <cellStyle name="Normal 2 2" xfId="75"/>
    <cellStyle name="Normal 2 3" xfId="76"/>
    <cellStyle name="Normal 2 3 2" xfId="77"/>
    <cellStyle name="Normal 2_EMPLEADOS DE PLANTA NUEVO PRESUPUESTO ULTIMO" xfId="78"/>
    <cellStyle name="Normal 23" xfId="79"/>
    <cellStyle name="Normal 23 2" xfId="80"/>
    <cellStyle name="Normal 23 3" xfId="81"/>
    <cellStyle name="Normal 24" xfId="82"/>
    <cellStyle name="Normal 24 2" xfId="83"/>
    <cellStyle name="Normal 24 3" xfId="84"/>
    <cellStyle name="Normal 3" xfId="85"/>
    <cellStyle name="Normal 3 2" xfId="86"/>
    <cellStyle name="Normal 3 2 2" xfId="87"/>
    <cellStyle name="Normal 3 3" xfId="88"/>
    <cellStyle name="Normal 4" xfId="89"/>
    <cellStyle name="Normal 4 2" xfId="90"/>
    <cellStyle name="Normal 4 2 2" xfId="91"/>
    <cellStyle name="Normal 4 3" xfId="2"/>
    <cellStyle name="Normal 5" xfId="92"/>
    <cellStyle name="Normal 6" xfId="93"/>
    <cellStyle name="Normal 7" xfId="94"/>
    <cellStyle name="Normal 7 2" xfId="95"/>
    <cellStyle name="Normal 8" xfId="96"/>
    <cellStyle name="Normal 8 2" xfId="97"/>
    <cellStyle name="Normal 9" xfId="98"/>
    <cellStyle name="Notas 2" xfId="99"/>
    <cellStyle name="Porcentaje 2" xfId="100"/>
    <cellStyle name="Porcentaje 3" xfId="101"/>
    <cellStyle name="Porcentaje 4" xfId="102"/>
    <cellStyle name="Porcentual 2" xfId="103"/>
    <cellStyle name="Salida 2" xfId="104"/>
    <cellStyle name="Texto de advertencia 2" xfId="105"/>
    <cellStyle name="Texto explicativo 2" xfId="106"/>
    <cellStyle name="Título 1 2" xfId="107"/>
    <cellStyle name="Título 2 2" xfId="108"/>
    <cellStyle name="Título 3 2" xfId="109"/>
    <cellStyle name="Título 4" xfId="110"/>
    <cellStyle name="Total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PROFORMA PRESUPUESTARIA VIALSUR EP 2012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hPercent val="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5.5368796878188442E-3"/>
                  <c:y val="-4.419684566764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56265626062751E-3"/>
                  <c:y val="-3.8997216765568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68796878188442E-3"/>
                  <c:y val="-6.759517572698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612032"/>
        <c:axId val="136651904"/>
        <c:axId val="0"/>
      </c:bar3DChart>
      <c:catAx>
        <c:axId val="131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651904"/>
        <c:crosses val="autoZero"/>
        <c:auto val="1"/>
        <c:lblAlgn val="ctr"/>
        <c:lblOffset val="100"/>
        <c:noMultiLvlLbl val="0"/>
      </c:catAx>
      <c:valAx>
        <c:axId val="136651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612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171</xdr:row>
      <xdr:rowOff>0</xdr:rowOff>
    </xdr:from>
    <xdr:to>
      <xdr:col>6</xdr:col>
      <xdr:colOff>0</xdr:colOff>
      <xdr:row>171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1</xdr:row>
      <xdr:rowOff>85725</xdr:rowOff>
    </xdr:from>
    <xdr:to>
      <xdr:col>13</xdr:col>
      <xdr:colOff>1171575</xdr:colOff>
      <xdr:row>1</xdr:row>
      <xdr:rowOff>400050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04800"/>
          <a:ext cx="1171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552450</xdr:colOff>
      <xdr:row>3</xdr:row>
      <xdr:rowOff>190500</xdr:rowOff>
    </xdr:to>
    <xdr:pic>
      <xdr:nvPicPr>
        <xdr:cNvPr id="4" name="20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524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/Desktop/2014/POA%20Y%20PAC%202014/PRESUPUESTO%20Y%20PAC%202014%20FINAL%20VIALSUR%20EP/PRESUPUESTO%20Y%20PAC%202014%20FINAL151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AONA\jorge\Mis%20documentos\te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C-2013"/>
      <sheetName val="salarios 2013 "/>
      <sheetName val="INVERSION VIALSUR PROYECTADA"/>
      <sheetName val="alcantar mtop"/>
      <sheetName val="NRO (2)"/>
      <sheetName val="LONG. RED VIAL"/>
      <sheetName val="S. PLANTA"/>
      <sheetName val="S. EVENTUALES"/>
      <sheetName val="T. PLANTA"/>
      <sheetName val="T. A LEGALIZAR"/>
      <sheetName val="T. EVENTUALES"/>
      <sheetName val="RESUMEN PERSONAL"/>
      <sheetName val="Presupuesto 2014"/>
      <sheetName val="resume presupuesto"/>
      <sheetName val="RESUMEN"/>
      <sheetName val="VIALSUR"/>
      <sheetName val="POA 2014"/>
      <sheetName val="RESUMEN POA 2014"/>
      <sheetName val="Hoja3"/>
      <sheetName val="resumen del poa 2014"/>
      <sheetName val="ANALISIS KM"/>
      <sheetName val="Hoja4"/>
      <sheetName val="ANALISIS KM (2)"/>
      <sheetName val="PARA GRAFICO"/>
      <sheetName val="POA 2014 (2)"/>
      <sheetName val="aportes  GADS"/>
      <sheetName val="PARTICIPATIVO"/>
      <sheetName val="MECANICA2"/>
      <sheetName val="MECANICA"/>
      <sheetName val="REFORMAS PRESUP "/>
      <sheetName val="SumINISTROS"/>
      <sheetName val="ingresos"/>
      <sheetName val="egresos"/>
      <sheetName val="PRES.REF.PRES.MACA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457768.2</v>
          </cell>
          <cell r="D7">
            <v>38147.35</v>
          </cell>
          <cell r="E7">
            <v>9867.5400000000009</v>
          </cell>
          <cell r="F7">
            <v>51041.15</v>
          </cell>
          <cell r="G7">
            <v>2288.84</v>
          </cell>
          <cell r="I7">
            <v>38132.089999999997</v>
          </cell>
        </row>
        <row r="8">
          <cell r="C8">
            <v>764957.28</v>
          </cell>
          <cell r="D8">
            <v>63746.44</v>
          </cell>
          <cell r="E8">
            <v>22438.080000000002</v>
          </cell>
          <cell r="F8">
            <v>81765.789999999994</v>
          </cell>
          <cell r="G8">
            <v>3824.79</v>
          </cell>
          <cell r="I8">
            <v>63720.94</v>
          </cell>
        </row>
        <row r="9">
          <cell r="C9">
            <v>1728765.96</v>
          </cell>
          <cell r="D9">
            <v>144063.82999999999</v>
          </cell>
          <cell r="E9">
            <v>76558.5</v>
          </cell>
          <cell r="F9">
            <v>192757.24</v>
          </cell>
          <cell r="G9">
            <v>8643.86</v>
          </cell>
          <cell r="H9">
            <v>8643.83</v>
          </cell>
          <cell r="I9">
            <v>144006.20000000001</v>
          </cell>
          <cell r="J9">
            <v>258714</v>
          </cell>
          <cell r="K9">
            <v>29700</v>
          </cell>
          <cell r="L9">
            <v>7441.2</v>
          </cell>
          <cell r="M9">
            <v>17351.36</v>
          </cell>
        </row>
        <row r="10">
          <cell r="C10">
            <v>183060</v>
          </cell>
          <cell r="D10">
            <v>15255</v>
          </cell>
          <cell r="E10">
            <v>9260.16</v>
          </cell>
          <cell r="F10">
            <v>20411.16</v>
          </cell>
          <cell r="G10">
            <v>915.3</v>
          </cell>
          <cell r="H10">
            <v>915.3</v>
          </cell>
          <cell r="I10">
            <v>15248.97</v>
          </cell>
          <cell r="J10">
            <v>29895.84</v>
          </cell>
          <cell r="K10">
            <v>3432</v>
          </cell>
        </row>
        <row r="11">
          <cell r="C11">
            <v>906324</v>
          </cell>
          <cell r="D11">
            <v>75527</v>
          </cell>
          <cell r="E11">
            <v>46300.800000000003</v>
          </cell>
          <cell r="F11">
            <v>101055</v>
          </cell>
          <cell r="G11">
            <v>4531.62</v>
          </cell>
          <cell r="H11">
            <v>4531.62</v>
          </cell>
        </row>
        <row r="13">
          <cell r="D13">
            <v>336739.62</v>
          </cell>
          <cell r="E13">
            <v>164425.07999999999</v>
          </cell>
          <cell r="F13">
            <v>447030.34</v>
          </cell>
          <cell r="G13">
            <v>20204.41</v>
          </cell>
          <cell r="H13">
            <v>14090.75</v>
          </cell>
          <cell r="I13">
            <v>261108.2</v>
          </cell>
          <cell r="J13">
            <v>288609.84000000003</v>
          </cell>
          <cell r="K13">
            <v>33132</v>
          </cell>
          <cell r="L13">
            <v>7441.2</v>
          </cell>
          <cell r="M13">
            <v>17351.36</v>
          </cell>
          <cell r="O13">
            <v>314820</v>
          </cell>
        </row>
      </sheetData>
      <sheetData sheetId="13"/>
      <sheetData sheetId="14"/>
      <sheetData sheetId="15"/>
      <sheetData sheetId="16"/>
      <sheetData sheetId="17">
        <row r="23">
          <cell r="B23">
            <v>0.21249999999999999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S"/>
      <sheetName val="ANALISIS"/>
      <sheetName val="PRESUPUESTO"/>
      <sheetName val="MAT"/>
      <sheetName val="SALARIOS EN DOLARES"/>
      <sheetName val="EQUIPO"/>
      <sheetName val="CRONOGRAMA"/>
      <sheetName val="LISTMAT"/>
      <sheetName val="LIST_M.OBRA"/>
      <sheetName val="LIST_EQUIPO"/>
      <sheetName val="LISTA_TRANSPORTE"/>
      <sheetName val="SIMBOLOS POLINÓMICA "/>
      <sheetName val="COSTO-ANEXOS"/>
      <sheetName val="TRANSPORTE"/>
      <sheetName val="JUSTIFICATIVO1"/>
      <sheetName val="JUSTIFICATIVO2"/>
      <sheetName val="RESUMEN"/>
    </sheetNames>
    <sheetDataSet>
      <sheetData sheetId="0">
        <row r="6">
          <cell r="A6">
            <v>1</v>
          </cell>
          <cell r="D6" t="str">
            <v>MOP 832-1</v>
          </cell>
          <cell r="E6" t="str">
            <v>REPLANTEO Y NIVELACIÓN LINEAL CON APARATOS</v>
          </cell>
          <cell r="G6" t="str">
            <v>m</v>
          </cell>
          <cell r="H6">
            <v>18</v>
          </cell>
          <cell r="I6">
            <v>70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AW6">
            <v>47</v>
          </cell>
          <cell r="AX6">
            <v>1</v>
          </cell>
          <cell r="AY6">
            <v>24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Q6">
            <v>7</v>
          </cell>
          <cell r="BR6">
            <v>1</v>
          </cell>
          <cell r="BS6">
            <v>1</v>
          </cell>
          <cell r="BT6">
            <v>1</v>
          </cell>
        </row>
        <row r="7">
          <cell r="A7">
            <v>2</v>
          </cell>
          <cell r="D7" t="str">
            <v>MOP 302-1</v>
          </cell>
          <cell r="E7" t="str">
            <v>DESBROCE, DESBOSQUE Y LIMPIEZA</v>
          </cell>
          <cell r="G7" t="str">
            <v>Ha</v>
          </cell>
          <cell r="H7">
            <v>0.35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AW7">
            <v>58</v>
          </cell>
          <cell r="AX7">
            <v>1</v>
          </cell>
          <cell r="AY7">
            <v>93</v>
          </cell>
          <cell r="AZ7">
            <v>1</v>
          </cell>
          <cell r="BA7">
            <v>1</v>
          </cell>
          <cell r="BB7">
            <v>2</v>
          </cell>
          <cell r="BQ7">
            <v>14</v>
          </cell>
          <cell r="BR7">
            <v>0.75</v>
          </cell>
          <cell r="BS7">
            <v>53</v>
          </cell>
          <cell r="BT7">
            <v>2</v>
          </cell>
          <cell r="BU7">
            <v>1</v>
          </cell>
          <cell r="BV7">
            <v>1</v>
          </cell>
        </row>
        <row r="8">
          <cell r="A8">
            <v>3</v>
          </cell>
          <cell r="D8" t="str">
            <v>MOP 303-2(1)</v>
          </cell>
          <cell r="E8" t="str">
            <v>EXCAVACIÓN  SIN CLASIFICAR A MAQUINA</v>
          </cell>
          <cell r="F8">
            <v>0</v>
          </cell>
          <cell r="G8" t="str">
            <v>m3</v>
          </cell>
          <cell r="H8">
            <v>40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58</v>
          </cell>
          <cell r="AX8">
            <v>1</v>
          </cell>
          <cell r="AY8">
            <v>93</v>
          </cell>
          <cell r="AZ8">
            <v>0.5</v>
          </cell>
          <cell r="BA8">
            <v>4</v>
          </cell>
          <cell r="BB8">
            <v>1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14</v>
          </cell>
          <cell r="BR8">
            <v>0.75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1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</row>
        <row r="9">
          <cell r="A9">
            <v>4</v>
          </cell>
          <cell r="D9" t="str">
            <v>MOP 303-2(3)</v>
          </cell>
          <cell r="E9" t="str">
            <v>EXCAVACIÓN EN ROCA A MAQUINA</v>
          </cell>
          <cell r="F9">
            <v>0</v>
          </cell>
          <cell r="G9" t="str">
            <v>m3</v>
          </cell>
          <cell r="H9">
            <v>35</v>
          </cell>
          <cell r="I9">
            <v>9</v>
          </cell>
          <cell r="J9">
            <v>0.1</v>
          </cell>
          <cell r="K9">
            <v>10</v>
          </cell>
          <cell r="L9">
            <v>0.5</v>
          </cell>
          <cell r="M9">
            <v>11</v>
          </cell>
          <cell r="N9">
            <v>0.05</v>
          </cell>
          <cell r="O9">
            <v>12</v>
          </cell>
          <cell r="P9">
            <v>0.35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W9">
            <v>82</v>
          </cell>
          <cell r="AX9">
            <v>1</v>
          </cell>
          <cell r="AY9">
            <v>62</v>
          </cell>
          <cell r="AZ9">
            <v>2</v>
          </cell>
          <cell r="BA9">
            <v>4</v>
          </cell>
          <cell r="BB9">
            <v>2</v>
          </cell>
          <cell r="BC9">
            <v>93</v>
          </cell>
          <cell r="BD9">
            <v>2</v>
          </cell>
          <cell r="BE9">
            <v>1</v>
          </cell>
          <cell r="BF9">
            <v>2</v>
          </cell>
          <cell r="BQ9">
            <v>14</v>
          </cell>
          <cell r="BR9">
            <v>1</v>
          </cell>
          <cell r="BS9">
            <v>5</v>
          </cell>
          <cell r="BT9">
            <v>1</v>
          </cell>
          <cell r="BU9">
            <v>34</v>
          </cell>
          <cell r="BV9">
            <v>1</v>
          </cell>
          <cell r="BW9">
            <v>2</v>
          </cell>
          <cell r="BX9">
            <v>1</v>
          </cell>
          <cell r="BY9">
            <v>1</v>
          </cell>
          <cell r="BZ9">
            <v>1</v>
          </cell>
          <cell r="CA9">
            <v>0</v>
          </cell>
          <cell r="CC9">
            <v>0</v>
          </cell>
        </row>
        <row r="10">
          <cell r="A10">
            <v>5</v>
          </cell>
          <cell r="D10" t="str">
            <v>MOP 308-4(1)</v>
          </cell>
          <cell r="E10" t="str">
            <v>LIMPIEZA DE DERRUMBES</v>
          </cell>
          <cell r="G10" t="str">
            <v>m3</v>
          </cell>
          <cell r="H10">
            <v>50</v>
          </cell>
          <cell r="AW10">
            <v>61</v>
          </cell>
          <cell r="AX10">
            <v>1</v>
          </cell>
          <cell r="AY10">
            <v>93</v>
          </cell>
          <cell r="AZ10">
            <v>2</v>
          </cell>
          <cell r="BA10">
            <v>98</v>
          </cell>
          <cell r="BB10">
            <v>3</v>
          </cell>
          <cell r="BQ10">
            <v>20</v>
          </cell>
          <cell r="BR10">
            <v>0.75</v>
          </cell>
          <cell r="BS10">
            <v>35</v>
          </cell>
          <cell r="BT10">
            <v>3</v>
          </cell>
        </row>
        <row r="11">
          <cell r="A11">
            <v>6</v>
          </cell>
          <cell r="D11" t="str">
            <v>MOP 308-2(1)</v>
          </cell>
          <cell r="E11" t="str">
            <v>CONFORMACIÓN Y COMPACTACIÓN DE  SUBRASANTE</v>
          </cell>
          <cell r="F11">
            <v>0</v>
          </cell>
          <cell r="G11" t="str">
            <v>m2</v>
          </cell>
          <cell r="H11">
            <v>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W11">
            <v>4</v>
          </cell>
          <cell r="AX11">
            <v>2</v>
          </cell>
          <cell r="AY11">
            <v>52</v>
          </cell>
          <cell r="AZ11">
            <v>1</v>
          </cell>
          <cell r="BA11">
            <v>73</v>
          </cell>
          <cell r="BB11">
            <v>1</v>
          </cell>
          <cell r="BC11">
            <v>98</v>
          </cell>
          <cell r="BD11">
            <v>1</v>
          </cell>
          <cell r="BE11">
            <v>1</v>
          </cell>
          <cell r="BF11">
            <v>1</v>
          </cell>
          <cell r="BG11">
            <v>0</v>
          </cell>
          <cell r="BH11">
            <v>0</v>
          </cell>
          <cell r="BI11">
            <v>0</v>
          </cell>
          <cell r="BQ11">
            <v>32</v>
          </cell>
          <cell r="BR11">
            <v>0.25</v>
          </cell>
          <cell r="BS11">
            <v>29</v>
          </cell>
          <cell r="BT11">
            <v>0.25</v>
          </cell>
          <cell r="BU11">
            <v>30</v>
          </cell>
          <cell r="BV11">
            <v>0.25</v>
          </cell>
          <cell r="BW11">
            <v>1</v>
          </cell>
          <cell r="BX11">
            <v>1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</row>
        <row r="12">
          <cell r="A12">
            <v>7</v>
          </cell>
          <cell r="D12" t="str">
            <v>MOP 402-2(1)</v>
          </cell>
          <cell r="E12" t="str">
            <v>RELLENO COMPACTADO CON MATERIAL DE MEJORAMIENTO</v>
          </cell>
          <cell r="F12">
            <v>0</v>
          </cell>
          <cell r="G12" t="str">
            <v>m3</v>
          </cell>
          <cell r="H12">
            <v>25</v>
          </cell>
          <cell r="I12">
            <v>1842</v>
          </cell>
          <cell r="J12">
            <v>1.2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W12">
            <v>4</v>
          </cell>
          <cell r="AX12">
            <v>2</v>
          </cell>
          <cell r="AY12">
            <v>58</v>
          </cell>
          <cell r="AZ12">
            <v>3</v>
          </cell>
          <cell r="BA12">
            <v>98</v>
          </cell>
          <cell r="BB12">
            <v>1</v>
          </cell>
          <cell r="BC12">
            <v>1</v>
          </cell>
          <cell r="BD12">
            <v>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Q12">
            <v>29</v>
          </cell>
          <cell r="BR12">
            <v>1</v>
          </cell>
          <cell r="BS12">
            <v>20</v>
          </cell>
          <cell r="BT12">
            <v>1</v>
          </cell>
          <cell r="BU12">
            <v>33</v>
          </cell>
          <cell r="BV12">
            <v>0.75</v>
          </cell>
          <cell r="BW12">
            <v>32</v>
          </cell>
          <cell r="BX12">
            <v>1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</row>
        <row r="13">
          <cell r="A13">
            <v>8</v>
          </cell>
          <cell r="D13" t="str">
            <v>MOP 403-1</v>
          </cell>
          <cell r="E13" t="str">
            <v>SUB BASE CLASE - 1</v>
          </cell>
          <cell r="F13">
            <v>0</v>
          </cell>
          <cell r="G13" t="str">
            <v>m3</v>
          </cell>
          <cell r="H13">
            <v>30</v>
          </cell>
          <cell r="I13">
            <v>1847</v>
          </cell>
          <cell r="J13">
            <v>1.2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W13">
            <v>52</v>
          </cell>
          <cell r="AX13">
            <v>1</v>
          </cell>
          <cell r="AY13">
            <v>73</v>
          </cell>
          <cell r="AZ13">
            <v>1</v>
          </cell>
          <cell r="BA13">
            <v>98</v>
          </cell>
          <cell r="BB13">
            <v>1</v>
          </cell>
          <cell r="BC13">
            <v>1</v>
          </cell>
          <cell r="BD13">
            <v>2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Q13">
            <v>32</v>
          </cell>
          <cell r="BR13">
            <v>1</v>
          </cell>
          <cell r="BS13">
            <v>33</v>
          </cell>
          <cell r="BT13">
            <v>1</v>
          </cell>
          <cell r="BU13">
            <v>29</v>
          </cell>
          <cell r="BV13">
            <v>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A14">
            <v>9</v>
          </cell>
          <cell r="D14" t="str">
            <v>MOP 404-1</v>
          </cell>
          <cell r="E14" t="str">
            <v>BASE CLASE - 1</v>
          </cell>
          <cell r="F14">
            <v>0</v>
          </cell>
          <cell r="G14" t="str">
            <v>m3</v>
          </cell>
          <cell r="H14">
            <v>20</v>
          </cell>
          <cell r="I14">
            <v>1848</v>
          </cell>
          <cell r="J14">
            <v>1.2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W14">
            <v>52</v>
          </cell>
          <cell r="AX14">
            <v>1</v>
          </cell>
          <cell r="AY14">
            <v>73</v>
          </cell>
          <cell r="AZ14">
            <v>1</v>
          </cell>
          <cell r="BA14">
            <v>98</v>
          </cell>
          <cell r="BB14">
            <v>1</v>
          </cell>
          <cell r="BC14">
            <v>1</v>
          </cell>
          <cell r="BD14">
            <v>2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Q14">
            <v>32</v>
          </cell>
          <cell r="BR14">
            <v>1</v>
          </cell>
          <cell r="BS14">
            <v>33</v>
          </cell>
          <cell r="BT14">
            <v>1</v>
          </cell>
          <cell r="BU14">
            <v>29</v>
          </cell>
          <cell r="BV14">
            <v>1</v>
          </cell>
          <cell r="BW14">
            <v>55</v>
          </cell>
          <cell r="BX14">
            <v>1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</row>
        <row r="15">
          <cell r="A15">
            <v>10</v>
          </cell>
          <cell r="D15" t="str">
            <v>MOP 304-1(2)</v>
          </cell>
          <cell r="E15" t="str">
            <v xml:space="preserve">TRANSPORTE DE MATERIAL </v>
          </cell>
          <cell r="F15">
            <v>0</v>
          </cell>
          <cell r="G15" t="str">
            <v>m3/Km</v>
          </cell>
          <cell r="H15">
            <v>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W15">
            <v>98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Q15">
            <v>35</v>
          </cell>
          <cell r="BR15">
            <v>1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</row>
        <row r="16">
          <cell r="A16">
            <v>11</v>
          </cell>
          <cell r="D16" t="str">
            <v>MOP 307-3(1)</v>
          </cell>
          <cell r="E16" t="str">
            <v>EXCAVACIÓN MANUAL PARA CUNETAS Y ENCAUSAMIENTOS</v>
          </cell>
          <cell r="G16" t="str">
            <v>m3</v>
          </cell>
          <cell r="H16">
            <v>0.6</v>
          </cell>
          <cell r="AW16">
            <v>1</v>
          </cell>
          <cell r="AX16">
            <v>3</v>
          </cell>
          <cell r="BQ16">
            <v>1</v>
          </cell>
          <cell r="BR16">
            <v>1</v>
          </cell>
        </row>
        <row r="17">
          <cell r="A17">
            <v>12</v>
          </cell>
          <cell r="D17" t="str">
            <v>MOP 405-1</v>
          </cell>
          <cell r="E17" t="str">
            <v>IMPRIMACIÓN ASFÁLTICA</v>
          </cell>
          <cell r="G17" t="str">
            <v>m2</v>
          </cell>
          <cell r="H17">
            <v>600</v>
          </cell>
          <cell r="I17">
            <v>1849</v>
          </cell>
          <cell r="J17">
            <v>1.02</v>
          </cell>
          <cell r="AW17">
            <v>74</v>
          </cell>
          <cell r="AX17">
            <v>3</v>
          </cell>
          <cell r="AY17">
            <v>84</v>
          </cell>
          <cell r="AZ17">
            <v>1</v>
          </cell>
          <cell r="BA17">
            <v>4</v>
          </cell>
          <cell r="BB17">
            <v>1</v>
          </cell>
          <cell r="BC17">
            <v>98</v>
          </cell>
          <cell r="BD17">
            <v>1</v>
          </cell>
          <cell r="BE17">
            <v>1</v>
          </cell>
          <cell r="BF17">
            <v>4</v>
          </cell>
          <cell r="BQ17">
            <v>38</v>
          </cell>
          <cell r="BR17">
            <v>1</v>
          </cell>
          <cell r="BS17">
            <v>39</v>
          </cell>
          <cell r="BT17">
            <v>1</v>
          </cell>
          <cell r="BU17">
            <v>54</v>
          </cell>
          <cell r="BV17">
            <v>1</v>
          </cell>
          <cell r="BW17">
            <v>32</v>
          </cell>
          <cell r="BX17">
            <v>1</v>
          </cell>
          <cell r="BY17">
            <v>55</v>
          </cell>
          <cell r="BZ17">
            <v>1</v>
          </cell>
        </row>
        <row r="18">
          <cell r="A18">
            <v>13</v>
          </cell>
          <cell r="D18" t="str">
            <v>MOP 405-3</v>
          </cell>
          <cell r="E18" t="str">
            <v>DOBLE TRATAMIENTO SUPERFICIAL BITUMINOSO</v>
          </cell>
          <cell r="F18">
            <v>0</v>
          </cell>
          <cell r="G18" t="str">
            <v>m2</v>
          </cell>
          <cell r="H18">
            <v>300</v>
          </cell>
          <cell r="I18">
            <v>1849</v>
          </cell>
          <cell r="J18">
            <v>3.5</v>
          </cell>
          <cell r="K18">
            <v>1850</v>
          </cell>
          <cell r="L18">
            <v>0.05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84</v>
          </cell>
          <cell r="AX18">
            <v>1</v>
          </cell>
          <cell r="AY18">
            <v>73</v>
          </cell>
          <cell r="AZ18">
            <v>1</v>
          </cell>
          <cell r="BA18">
            <v>74</v>
          </cell>
          <cell r="BB18">
            <v>1</v>
          </cell>
          <cell r="BC18">
            <v>75</v>
          </cell>
          <cell r="BD18">
            <v>1</v>
          </cell>
          <cell r="BE18">
            <v>98</v>
          </cell>
          <cell r="BF18">
            <v>1</v>
          </cell>
          <cell r="BG18">
            <v>4</v>
          </cell>
          <cell r="BH18">
            <v>1</v>
          </cell>
          <cell r="BI18">
            <v>1</v>
          </cell>
          <cell r="BJ18">
            <v>2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</v>
          </cell>
          <cell r="BR18">
            <v>1</v>
          </cell>
          <cell r="BS18">
            <v>39</v>
          </cell>
          <cell r="BT18">
            <v>0.75</v>
          </cell>
          <cell r="BU18">
            <v>38</v>
          </cell>
          <cell r="BV18">
            <v>0.5</v>
          </cell>
          <cell r="BW18">
            <v>54</v>
          </cell>
          <cell r="BX18">
            <v>0.75</v>
          </cell>
          <cell r="BY18">
            <v>32</v>
          </cell>
          <cell r="BZ18">
            <v>0.75</v>
          </cell>
          <cell r="CA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</row>
        <row r="19">
          <cell r="A19">
            <v>14</v>
          </cell>
          <cell r="D19" t="str">
            <v>MOP 302-1</v>
          </cell>
          <cell r="E19" t="str">
            <v xml:space="preserve">REPLANTEO Y NIVELACIÓN </v>
          </cell>
          <cell r="F19">
            <v>0</v>
          </cell>
          <cell r="G19" t="str">
            <v>m2</v>
          </cell>
          <cell r="H19">
            <v>15</v>
          </cell>
          <cell r="I19">
            <v>113</v>
          </cell>
          <cell r="J19">
            <v>0.2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V19">
            <v>0</v>
          </cell>
          <cell r="AW19">
            <v>47</v>
          </cell>
          <cell r="AX19">
            <v>1</v>
          </cell>
          <cell r="AY19">
            <v>24</v>
          </cell>
          <cell r="AZ19">
            <v>2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Q19">
            <v>22</v>
          </cell>
          <cell r="BR19">
            <v>1</v>
          </cell>
          <cell r="BS19">
            <v>1</v>
          </cell>
          <cell r="BT19">
            <v>1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>
            <v>15</v>
          </cell>
          <cell r="D20" t="str">
            <v>MOP 307-2(1)</v>
          </cell>
          <cell r="E20" t="str">
            <v>EXCAVACIÓN Y RELLENO DE ESTRUCTURAS MENORES</v>
          </cell>
          <cell r="F20">
            <v>0</v>
          </cell>
          <cell r="G20" t="str">
            <v>m3</v>
          </cell>
          <cell r="H20">
            <v>25</v>
          </cell>
          <cell r="I20">
            <v>1854</v>
          </cell>
          <cell r="J20">
            <v>0.3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W20">
            <v>1</v>
          </cell>
          <cell r="AX20">
            <v>5</v>
          </cell>
          <cell r="AY20">
            <v>30</v>
          </cell>
          <cell r="AZ20">
            <v>0.2</v>
          </cell>
          <cell r="BA20">
            <v>93</v>
          </cell>
          <cell r="BB20">
            <v>1</v>
          </cell>
          <cell r="BC20">
            <v>62</v>
          </cell>
          <cell r="BD20">
            <v>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Q20">
            <v>5</v>
          </cell>
          <cell r="BR20">
            <v>1</v>
          </cell>
          <cell r="BS20">
            <v>6</v>
          </cell>
          <cell r="BT20">
            <v>1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</row>
        <row r="21">
          <cell r="A21">
            <v>16</v>
          </cell>
          <cell r="D21" t="str">
            <v>MOP 602 2(3)</v>
          </cell>
          <cell r="E21" t="str">
            <v>LIMPIEZA DE ALCANTARILLAS</v>
          </cell>
          <cell r="G21" t="str">
            <v>m3</v>
          </cell>
          <cell r="H21">
            <v>2.5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AW21">
            <v>30</v>
          </cell>
          <cell r="AX21">
            <v>1</v>
          </cell>
          <cell r="AY21">
            <v>1</v>
          </cell>
          <cell r="AZ21">
            <v>10</v>
          </cell>
          <cell r="BA21">
            <v>0</v>
          </cell>
          <cell r="BB21">
            <v>0</v>
          </cell>
          <cell r="BQ21">
            <v>1</v>
          </cell>
          <cell r="BR21">
            <v>1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  <row r="22">
          <cell r="A22">
            <v>17</v>
          </cell>
          <cell r="D22" t="str">
            <v>MOP 602-(2A)</v>
          </cell>
          <cell r="E22" t="str">
            <v>TUBERÍA ARMCO D=0.90 m MP 68 e = 2.5 mm  (Galv)</v>
          </cell>
          <cell r="F22" t="str">
            <v>INCLUYE COLOC. Y TRANSP</v>
          </cell>
          <cell r="G22" t="str">
            <v>ml</v>
          </cell>
          <cell r="H22">
            <v>1.75</v>
          </cell>
          <cell r="I22">
            <v>1851</v>
          </cell>
          <cell r="J22">
            <v>1.05</v>
          </cell>
          <cell r="K22">
            <v>1849</v>
          </cell>
          <cell r="L22">
            <v>7.66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W22">
            <v>1</v>
          </cell>
          <cell r="AX22">
            <v>10</v>
          </cell>
          <cell r="AY22">
            <v>30</v>
          </cell>
          <cell r="AZ22">
            <v>4</v>
          </cell>
          <cell r="BA22">
            <v>13</v>
          </cell>
          <cell r="BB22">
            <v>1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Q22">
            <v>1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</row>
        <row r="23">
          <cell r="A23">
            <v>18</v>
          </cell>
          <cell r="D23" t="str">
            <v>MOP 602-(2A)</v>
          </cell>
          <cell r="E23" t="str">
            <v>TUBERÍA ARMCO D=1.20 m MP 68 e = 2.5 mm  (Galv)</v>
          </cell>
          <cell r="F23" t="str">
            <v>INCLUYE COLOC. Y TRANSP</v>
          </cell>
          <cell r="G23" t="str">
            <v>ml</v>
          </cell>
          <cell r="H23">
            <v>1.75</v>
          </cell>
          <cell r="I23">
            <v>1852</v>
          </cell>
          <cell r="J23">
            <v>1.05</v>
          </cell>
          <cell r="K23">
            <v>1849</v>
          </cell>
          <cell r="L23">
            <v>7.66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W23">
            <v>1</v>
          </cell>
          <cell r="AX23">
            <v>10</v>
          </cell>
          <cell r="AY23">
            <v>30</v>
          </cell>
          <cell r="AZ23">
            <v>4</v>
          </cell>
          <cell r="BA23">
            <v>13</v>
          </cell>
          <cell r="BB23">
            <v>1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Q23">
            <v>1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24">
          <cell r="A24">
            <v>19</v>
          </cell>
          <cell r="D24" t="str">
            <v>MOP 503-(2)</v>
          </cell>
          <cell r="E24" t="str">
            <v xml:space="preserve">H.S.  CLASE B f´c=210 KG/CM2 </v>
          </cell>
          <cell r="F24" t="str">
            <v>H.S. 210  + PLASTOCRETE 161 HE (en alcantarillas)</v>
          </cell>
          <cell r="G24" t="str">
            <v>m3</v>
          </cell>
          <cell r="H24">
            <v>0.3</v>
          </cell>
          <cell r="I24">
            <v>5</v>
          </cell>
          <cell r="J24">
            <v>370</v>
          </cell>
          <cell r="K24">
            <v>1</v>
          </cell>
          <cell r="L24">
            <v>0.7</v>
          </cell>
          <cell r="M24">
            <v>2</v>
          </cell>
          <cell r="N24">
            <v>1</v>
          </cell>
          <cell r="O24">
            <v>4</v>
          </cell>
          <cell r="P24">
            <v>0.3</v>
          </cell>
          <cell r="Q24">
            <v>13</v>
          </cell>
          <cell r="R24">
            <v>0.75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V24">
            <v>0</v>
          </cell>
          <cell r="AW24">
            <v>1</v>
          </cell>
          <cell r="AX24">
            <v>10</v>
          </cell>
          <cell r="AY24">
            <v>13</v>
          </cell>
          <cell r="AZ24">
            <v>1</v>
          </cell>
          <cell r="BA24">
            <v>30</v>
          </cell>
          <cell r="BB24">
            <v>0.12</v>
          </cell>
          <cell r="BC24">
            <v>0</v>
          </cell>
          <cell r="BQ24">
            <v>1</v>
          </cell>
          <cell r="BR24">
            <v>0</v>
          </cell>
          <cell r="BS24">
            <v>3</v>
          </cell>
          <cell r="BT24">
            <v>1</v>
          </cell>
          <cell r="BU24">
            <v>4</v>
          </cell>
          <cell r="BV24">
            <v>1</v>
          </cell>
          <cell r="BW24">
            <v>0</v>
          </cell>
        </row>
        <row r="25">
          <cell r="A25">
            <v>20</v>
          </cell>
          <cell r="D25" t="str">
            <v>MOP 504-(1)</v>
          </cell>
          <cell r="E25" t="str">
            <v>ACERO DE REFUERZO EN BARRAS</v>
          </cell>
          <cell r="F25">
            <v>0</v>
          </cell>
          <cell r="G25" t="str">
            <v>KG</v>
          </cell>
          <cell r="H25">
            <v>25</v>
          </cell>
          <cell r="I25">
            <v>62</v>
          </cell>
          <cell r="J25">
            <v>0.05</v>
          </cell>
          <cell r="K25">
            <v>63</v>
          </cell>
          <cell r="L25">
            <v>1.05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5</v>
          </cell>
          <cell r="AX25">
            <v>1</v>
          </cell>
          <cell r="AY25">
            <v>16</v>
          </cell>
          <cell r="AZ25">
            <v>1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1</v>
          </cell>
          <cell r="BR25">
            <v>1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</row>
        <row r="26">
          <cell r="A26">
            <v>21</v>
          </cell>
          <cell r="D26" t="str">
            <v>MOP 503-(5)</v>
          </cell>
          <cell r="E26" t="str">
            <v>HORMIGÓN CICLÓPEO  F´c=180Kg/cm2</v>
          </cell>
          <cell r="G26" t="str">
            <v>m3</v>
          </cell>
          <cell r="H26">
            <v>3</v>
          </cell>
          <cell r="I26">
            <v>1</v>
          </cell>
          <cell r="J26">
            <v>0.5</v>
          </cell>
          <cell r="K26">
            <v>2</v>
          </cell>
          <cell r="L26">
            <v>0.8</v>
          </cell>
          <cell r="M26">
            <v>4</v>
          </cell>
          <cell r="N26">
            <v>180</v>
          </cell>
          <cell r="O26">
            <v>3</v>
          </cell>
          <cell r="P26">
            <v>0.5</v>
          </cell>
          <cell r="Q26">
            <v>5</v>
          </cell>
          <cell r="R26">
            <v>225</v>
          </cell>
          <cell r="AA26">
            <v>0</v>
          </cell>
          <cell r="AB26">
            <v>0</v>
          </cell>
          <cell r="AW26">
            <v>1</v>
          </cell>
          <cell r="AX26">
            <v>10</v>
          </cell>
          <cell r="AY26">
            <v>13</v>
          </cell>
          <cell r="AZ26">
            <v>1</v>
          </cell>
          <cell r="BA26">
            <v>30</v>
          </cell>
          <cell r="BB26">
            <v>0.15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1</v>
          </cell>
          <cell r="BR26">
            <v>1</v>
          </cell>
          <cell r="BS26">
            <v>3</v>
          </cell>
          <cell r="BT26">
            <v>1</v>
          </cell>
          <cell r="BU26">
            <v>4</v>
          </cell>
          <cell r="BV26">
            <v>1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5</v>
          </cell>
          <cell r="CD26">
            <v>225</v>
          </cell>
          <cell r="CE26" t="str">
            <v>kg</v>
          </cell>
          <cell r="CF26">
            <v>10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</row>
        <row r="27">
          <cell r="A27">
            <v>22</v>
          </cell>
          <cell r="D27" t="str">
            <v>MOP 201-1(2)</v>
          </cell>
          <cell r="E27" t="str">
            <v>LETRINA SANITARIA SIN ARRASTRE DE AGUA</v>
          </cell>
          <cell r="F27" t="str">
            <v>INCLUYE EXCAV. DE POSO Y PINTURA</v>
          </cell>
          <cell r="G27" t="str">
            <v>U</v>
          </cell>
          <cell r="H27">
            <v>0.05</v>
          </cell>
          <cell r="I27">
            <v>1</v>
          </cell>
          <cell r="J27">
            <v>0.2</v>
          </cell>
          <cell r="K27">
            <v>2</v>
          </cell>
          <cell r="L27">
            <v>0.3</v>
          </cell>
          <cell r="M27">
            <v>105</v>
          </cell>
          <cell r="N27">
            <v>100</v>
          </cell>
          <cell r="O27">
            <v>417</v>
          </cell>
          <cell r="P27">
            <v>1</v>
          </cell>
          <cell r="Q27">
            <v>5</v>
          </cell>
          <cell r="R27">
            <v>145</v>
          </cell>
          <cell r="S27">
            <v>60</v>
          </cell>
          <cell r="T27">
            <v>4.9800000000000004</v>
          </cell>
          <cell r="U27">
            <v>506</v>
          </cell>
          <cell r="V27">
            <v>1</v>
          </cell>
          <cell r="W27">
            <v>62</v>
          </cell>
          <cell r="X27">
            <v>15</v>
          </cell>
          <cell r="Y27">
            <v>255</v>
          </cell>
          <cell r="Z27">
            <v>1</v>
          </cell>
          <cell r="AA27">
            <v>209</v>
          </cell>
          <cell r="AB27">
            <v>2</v>
          </cell>
          <cell r="AW27">
            <v>1</v>
          </cell>
          <cell r="AX27">
            <v>1</v>
          </cell>
          <cell r="AY27">
            <v>6</v>
          </cell>
          <cell r="AZ27">
            <v>2</v>
          </cell>
          <cell r="BA27">
            <v>13</v>
          </cell>
          <cell r="BB27">
            <v>1</v>
          </cell>
          <cell r="BC27">
            <v>17</v>
          </cell>
          <cell r="BD27">
            <v>1</v>
          </cell>
          <cell r="BE27">
            <v>30</v>
          </cell>
          <cell r="BF27">
            <v>0.25</v>
          </cell>
          <cell r="BG27">
            <v>0</v>
          </cell>
          <cell r="BH27">
            <v>0</v>
          </cell>
          <cell r="BQ27">
            <v>1</v>
          </cell>
          <cell r="BR27">
            <v>0</v>
          </cell>
          <cell r="BS27">
            <v>3</v>
          </cell>
          <cell r="BT27">
            <v>0.13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</row>
        <row r="28">
          <cell r="A28">
            <v>23</v>
          </cell>
          <cell r="D28" t="str">
            <v>MOP 201-1(2)</v>
          </cell>
          <cell r="E28" t="str">
            <v>FOSO PARA BASURAS</v>
          </cell>
          <cell r="F28" t="str">
            <v>H=2m</v>
          </cell>
          <cell r="G28" t="str">
            <v>U</v>
          </cell>
          <cell r="H28">
            <v>0.1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W28">
            <v>1</v>
          </cell>
          <cell r="AX28">
            <v>2</v>
          </cell>
          <cell r="AY28">
            <v>30</v>
          </cell>
          <cell r="AZ28">
            <v>0.5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Q28">
            <v>1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</row>
        <row r="29">
          <cell r="A29">
            <v>24</v>
          </cell>
          <cell r="D29" t="str">
            <v>MOP 201-(1)</v>
          </cell>
          <cell r="E29" t="str">
            <v xml:space="preserve">CAMPAMENTO </v>
          </cell>
          <cell r="F29">
            <v>0</v>
          </cell>
          <cell r="G29" t="str">
            <v>m2</v>
          </cell>
          <cell r="H29">
            <v>2</v>
          </cell>
          <cell r="I29">
            <v>53</v>
          </cell>
          <cell r="J29">
            <v>5</v>
          </cell>
          <cell r="K29">
            <v>113</v>
          </cell>
          <cell r="L29">
            <v>2</v>
          </cell>
          <cell r="M29">
            <v>61</v>
          </cell>
          <cell r="N29">
            <v>0.4</v>
          </cell>
          <cell r="O29">
            <v>894</v>
          </cell>
          <cell r="P29">
            <v>2</v>
          </cell>
          <cell r="Q29">
            <v>1855</v>
          </cell>
          <cell r="R29">
            <v>1</v>
          </cell>
          <cell r="S29">
            <v>109</v>
          </cell>
          <cell r="T29">
            <v>0.5</v>
          </cell>
          <cell r="U29">
            <v>893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W29">
            <v>13</v>
          </cell>
          <cell r="AX29">
            <v>1</v>
          </cell>
          <cell r="AY29">
            <v>1</v>
          </cell>
          <cell r="AZ29">
            <v>1</v>
          </cell>
          <cell r="BA29">
            <v>30</v>
          </cell>
          <cell r="BB29">
            <v>0.2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1</v>
          </cell>
          <cell r="BR29">
            <v>1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</row>
        <row r="30">
          <cell r="A30">
            <v>25</v>
          </cell>
          <cell r="D30" t="str">
            <v>MOP 708-5(1)</v>
          </cell>
          <cell r="E30" t="str">
            <v>SEÑALIZACIÓN PREVENTIVA</v>
          </cell>
          <cell r="G30" t="str">
            <v>U</v>
          </cell>
          <cell r="H30">
            <v>1.5</v>
          </cell>
          <cell r="I30">
            <v>1</v>
          </cell>
          <cell r="J30">
            <v>0.02</v>
          </cell>
          <cell r="K30">
            <v>2</v>
          </cell>
          <cell r="L30">
            <v>0.04</v>
          </cell>
          <cell r="M30">
            <v>4</v>
          </cell>
          <cell r="N30">
            <v>0.01</v>
          </cell>
          <cell r="O30">
            <v>5</v>
          </cell>
          <cell r="P30">
            <v>15</v>
          </cell>
          <cell r="Q30">
            <v>751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W30">
            <v>1</v>
          </cell>
          <cell r="AX30">
            <v>1</v>
          </cell>
          <cell r="AY30">
            <v>13</v>
          </cell>
          <cell r="AZ30">
            <v>1</v>
          </cell>
          <cell r="BA30">
            <v>37</v>
          </cell>
          <cell r="BB30">
            <v>0.25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1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</row>
        <row r="31">
          <cell r="A31">
            <v>26</v>
          </cell>
          <cell r="D31" t="str">
            <v>MOP 708-5(1)</v>
          </cell>
          <cell r="E31" t="str">
            <v>SEÑALIZACIÓN INFORMATIVA</v>
          </cell>
          <cell r="G31" t="str">
            <v>U</v>
          </cell>
          <cell r="H31">
            <v>1.5</v>
          </cell>
          <cell r="I31">
            <v>1</v>
          </cell>
          <cell r="J31">
            <v>0.04</v>
          </cell>
          <cell r="K31">
            <v>2</v>
          </cell>
          <cell r="L31">
            <v>0.09</v>
          </cell>
          <cell r="M31">
            <v>4</v>
          </cell>
          <cell r="N31">
            <v>0.02</v>
          </cell>
          <cell r="O31">
            <v>5</v>
          </cell>
          <cell r="P31">
            <v>30</v>
          </cell>
          <cell r="Q31">
            <v>752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W31">
            <v>1</v>
          </cell>
          <cell r="AX31">
            <v>1</v>
          </cell>
          <cell r="AY31">
            <v>13</v>
          </cell>
          <cell r="AZ31">
            <v>1</v>
          </cell>
          <cell r="BA31">
            <v>37</v>
          </cell>
          <cell r="BB31">
            <v>0.25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1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A32">
            <v>27</v>
          </cell>
          <cell r="D32" t="str">
            <v>MOP 708-5(1)</v>
          </cell>
          <cell r="E32" t="str">
            <v>SEÑALIZACIÓN RESTRICTIVA</v>
          </cell>
          <cell r="G32" t="str">
            <v>U</v>
          </cell>
          <cell r="H32">
            <v>1.5</v>
          </cell>
          <cell r="I32">
            <v>1</v>
          </cell>
          <cell r="J32">
            <v>0.02</v>
          </cell>
          <cell r="K32">
            <v>2</v>
          </cell>
          <cell r="L32">
            <v>0.04</v>
          </cell>
          <cell r="M32">
            <v>4</v>
          </cell>
          <cell r="N32">
            <v>0.01</v>
          </cell>
          <cell r="O32">
            <v>5</v>
          </cell>
          <cell r="P32">
            <v>15</v>
          </cell>
          <cell r="Q32">
            <v>753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W32">
            <v>1</v>
          </cell>
          <cell r="AX32">
            <v>1</v>
          </cell>
          <cell r="AY32">
            <v>13</v>
          </cell>
          <cell r="AZ32">
            <v>1</v>
          </cell>
          <cell r="BA32">
            <v>37</v>
          </cell>
          <cell r="BB32">
            <v>0.25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P188"/>
  <sheetViews>
    <sheetView tabSelected="1" topLeftCell="B160" zoomScale="85" zoomScaleNormal="85" workbookViewId="0">
      <selection activeCell="O1" sqref="O1"/>
    </sheetView>
  </sheetViews>
  <sheetFormatPr baseColWidth="10" defaultColWidth="11.42578125" defaultRowHeight="16.5" outlineLevelRow="1"/>
  <cols>
    <col min="1" max="1" width="9.85546875" style="5" hidden="1" customWidth="1"/>
    <col min="2" max="2" width="14.5703125" style="5" customWidth="1"/>
    <col min="3" max="3" width="84.7109375" style="173" customWidth="1"/>
    <col min="4" max="4" width="20" style="5" hidden="1" customWidth="1"/>
    <col min="5" max="5" width="18" style="5" hidden="1" customWidth="1"/>
    <col min="6" max="6" width="20.140625" style="5" hidden="1" customWidth="1"/>
    <col min="7" max="7" width="19.5703125" style="5" hidden="1" customWidth="1"/>
    <col min="8" max="8" width="18.7109375" style="5" hidden="1" customWidth="1"/>
    <col min="9" max="10" width="22.140625" style="5" hidden="1" customWidth="1"/>
    <col min="11" max="11" width="19.28515625" style="5" hidden="1" customWidth="1"/>
    <col min="12" max="12" width="18" style="5" hidden="1" customWidth="1"/>
    <col min="13" max="13" width="19.5703125" style="5" hidden="1" customWidth="1"/>
    <col min="14" max="15" width="23.5703125" style="5" customWidth="1"/>
    <col min="16" max="16" width="23.5703125" style="5" hidden="1" customWidth="1"/>
    <col min="17" max="21" width="19.5703125" style="5" hidden="1" customWidth="1"/>
    <col min="22" max="23" width="24.140625" style="173" hidden="1" customWidth="1"/>
    <col min="24" max="24" width="16.7109375" style="5" hidden="1" customWidth="1"/>
    <col min="25" max="25" width="24.140625" style="173" hidden="1" customWidth="1"/>
    <col min="26" max="26" width="12.140625" style="5" hidden="1" customWidth="1"/>
    <col min="27" max="27" width="15.140625" style="5" hidden="1" customWidth="1"/>
    <col min="28" max="28" width="11.42578125" style="5" hidden="1" customWidth="1"/>
    <col min="29" max="29" width="15.140625" style="5" hidden="1" customWidth="1"/>
    <col min="30" max="34" width="11.42578125" style="5" customWidth="1"/>
    <col min="35" max="35" width="17.85546875" style="5" customWidth="1"/>
    <col min="36" max="36" width="17.42578125" style="5" customWidth="1"/>
    <col min="37" max="37" width="14.140625" style="5" bestFit="1" customWidth="1"/>
    <col min="38" max="38" width="12.85546875" style="5" bestFit="1" customWidth="1"/>
    <col min="39" max="16384" width="11.42578125" style="5"/>
  </cols>
  <sheetData>
    <row r="1" spans="1:28" ht="17.25" thickTop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37.5" customHeight="1">
      <c r="A2" s="6" t="s">
        <v>0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8" ht="20.25">
      <c r="A3" s="9" t="s">
        <v>1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8" ht="30" customHeight="1" thickBot="1">
      <c r="A4" s="12"/>
      <c r="B4" s="13"/>
      <c r="C4" s="1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8" ht="21.75" thickTop="1" thickBot="1">
      <c r="A5" s="15"/>
      <c r="B5" s="16"/>
      <c r="C5" s="17" t="s">
        <v>2</v>
      </c>
      <c r="D5" s="18">
        <f>+D164</f>
        <v>9968046.3986666687</v>
      </c>
      <c r="E5" s="19"/>
      <c r="F5" s="19"/>
      <c r="G5" s="20"/>
      <c r="H5" s="21"/>
      <c r="I5" s="18">
        <f t="shared" ref="I5:U5" si="0">+I164</f>
        <v>1934741.5599999998</v>
      </c>
      <c r="J5" s="18">
        <f t="shared" si="0"/>
        <v>2306112.2249999996</v>
      </c>
      <c r="K5" s="18">
        <f t="shared" si="0"/>
        <v>650755.16499999992</v>
      </c>
      <c r="L5" s="18">
        <f t="shared" si="0"/>
        <v>6104027.2400000002</v>
      </c>
      <c r="M5" s="18">
        <f t="shared" si="0"/>
        <v>10865636.189999999</v>
      </c>
      <c r="N5" s="18">
        <f t="shared" si="0"/>
        <v>5999999.9824999999</v>
      </c>
      <c r="O5" s="18">
        <f t="shared" si="0"/>
        <v>1428719.25</v>
      </c>
      <c r="P5" s="18">
        <f t="shared" si="0"/>
        <v>2061.7283333333344</v>
      </c>
      <c r="Q5" s="18">
        <f t="shared" si="0"/>
        <v>638232.11</v>
      </c>
      <c r="R5" s="18">
        <f t="shared" si="0"/>
        <v>4232204.0974999992</v>
      </c>
      <c r="S5" s="18">
        <f t="shared" si="0"/>
        <v>329086.71000000002</v>
      </c>
      <c r="T5" s="18">
        <f t="shared" si="0"/>
        <v>8718719.2750000004</v>
      </c>
      <c r="U5" s="18">
        <f t="shared" si="0"/>
        <v>1810170.2050000003</v>
      </c>
      <c r="V5" s="22"/>
      <c r="W5" s="22"/>
      <c r="X5" s="22"/>
      <c r="Y5" s="22"/>
    </row>
    <row r="6" spans="1:28" s="36" customFormat="1" ht="39" thickTop="1">
      <c r="A6" s="23" t="s">
        <v>3</v>
      </c>
      <c r="B6" s="24" t="s">
        <v>4</v>
      </c>
      <c r="C6" s="24" t="s">
        <v>5</v>
      </c>
      <c r="D6" s="25" t="s">
        <v>6</v>
      </c>
      <c r="E6" s="26" t="s">
        <v>7</v>
      </c>
      <c r="F6" s="27" t="s">
        <v>8</v>
      </c>
      <c r="G6" s="27" t="s">
        <v>9</v>
      </c>
      <c r="H6" s="28" t="s">
        <v>10</v>
      </c>
      <c r="I6" s="29" t="s">
        <v>11</v>
      </c>
      <c r="J6" s="30" t="s">
        <v>12</v>
      </c>
      <c r="K6" s="30" t="s">
        <v>13</v>
      </c>
      <c r="L6" s="30" t="s">
        <v>14</v>
      </c>
      <c r="M6" s="31" t="s">
        <v>15</v>
      </c>
      <c r="N6" s="32" t="s">
        <v>16</v>
      </c>
      <c r="O6" s="32" t="s">
        <v>17</v>
      </c>
      <c r="P6" s="32"/>
      <c r="Q6" s="33" t="s">
        <v>18</v>
      </c>
      <c r="R6" s="32" t="s">
        <v>19</v>
      </c>
      <c r="S6" s="32" t="s">
        <v>20</v>
      </c>
      <c r="T6" s="32" t="s">
        <v>21</v>
      </c>
      <c r="U6" s="32" t="s">
        <v>22</v>
      </c>
      <c r="V6" s="34" t="s">
        <v>23</v>
      </c>
      <c r="W6" s="35"/>
      <c r="Y6" s="35"/>
    </row>
    <row r="7" spans="1:28" s="49" customFormat="1" ht="18" customHeight="1">
      <c r="A7" s="37"/>
      <c r="B7" s="38" t="s">
        <v>24</v>
      </c>
      <c r="C7" s="39" t="s">
        <v>25</v>
      </c>
      <c r="D7" s="40">
        <f>+SUM(D9:D20)</f>
        <v>0</v>
      </c>
      <c r="E7" s="41">
        <f>+SUM(E8)</f>
        <v>0</v>
      </c>
      <c r="F7" s="42">
        <f>F8</f>
        <v>0</v>
      </c>
      <c r="G7" s="42">
        <f t="shared" ref="G7:U7" si="1">+G8</f>
        <v>0</v>
      </c>
      <c r="H7" s="43">
        <f t="shared" si="1"/>
        <v>0</v>
      </c>
      <c r="I7" s="44">
        <f t="shared" si="1"/>
        <v>0</v>
      </c>
      <c r="J7" s="42">
        <f t="shared" si="1"/>
        <v>0</v>
      </c>
      <c r="K7" s="42">
        <f t="shared" si="1"/>
        <v>0</v>
      </c>
      <c r="L7" s="42">
        <f t="shared" si="1"/>
        <v>0</v>
      </c>
      <c r="M7" s="45">
        <f t="shared" si="1"/>
        <v>0</v>
      </c>
      <c r="N7" s="46">
        <f t="shared" si="1"/>
        <v>0</v>
      </c>
      <c r="O7" s="46"/>
      <c r="P7" s="46"/>
      <c r="Q7" s="46"/>
      <c r="R7" s="46">
        <f t="shared" si="1"/>
        <v>0</v>
      </c>
      <c r="S7" s="46">
        <f t="shared" si="1"/>
        <v>0</v>
      </c>
      <c r="T7" s="46">
        <f t="shared" si="1"/>
        <v>0</v>
      </c>
      <c r="U7" s="46">
        <f t="shared" si="1"/>
        <v>0</v>
      </c>
      <c r="V7" s="47"/>
      <c r="W7" s="48"/>
      <c r="Y7" s="48"/>
    </row>
    <row r="8" spans="1:28" s="49" customFormat="1" ht="18" customHeight="1">
      <c r="A8" s="37"/>
      <c r="B8" s="38"/>
      <c r="C8" s="39" t="s">
        <v>26</v>
      </c>
      <c r="D8" s="40">
        <f>+SUM(D9:D20)</f>
        <v>0</v>
      </c>
      <c r="E8" s="41">
        <f>+SUM(E9:E21)</f>
        <v>0</v>
      </c>
      <c r="F8" s="50">
        <f t="shared" ref="F8:M8" si="2">SUM(F9:F21)</f>
        <v>0</v>
      </c>
      <c r="G8" s="50">
        <f t="shared" si="2"/>
        <v>0</v>
      </c>
      <c r="H8" s="51">
        <f t="shared" si="2"/>
        <v>0</v>
      </c>
      <c r="I8" s="52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40">
        <f t="shared" si="2"/>
        <v>0</v>
      </c>
      <c r="N8" s="53">
        <f>SUM(N9:N21)</f>
        <v>0</v>
      </c>
      <c r="O8" s="53"/>
      <c r="P8" s="53"/>
      <c r="Q8" s="53"/>
      <c r="R8" s="53">
        <f>SUM(R9:R21)</f>
        <v>0</v>
      </c>
      <c r="S8" s="53">
        <f>SUM(S9:S21)</f>
        <v>0</v>
      </c>
      <c r="T8" s="53">
        <f>SUM(T9:T21)</f>
        <v>0</v>
      </c>
      <c r="U8" s="53">
        <f>SUM(U9:U21)</f>
        <v>0</v>
      </c>
      <c r="V8" s="54"/>
      <c r="W8" s="55"/>
      <c r="Y8" s="55"/>
      <c r="Z8" s="49">
        <f>+Z9-Y9</f>
        <v>24</v>
      </c>
      <c r="AA8" s="49">
        <f>+AA9-Z9</f>
        <v>28</v>
      </c>
      <c r="AB8" s="49">
        <v>30</v>
      </c>
    </row>
    <row r="9" spans="1:28" ht="43.5" customHeight="1" outlineLevel="1">
      <c r="A9" s="56"/>
      <c r="B9" s="57">
        <v>510105</v>
      </c>
      <c r="C9" s="58" t="s">
        <v>27</v>
      </c>
      <c r="D9" s="59"/>
      <c r="E9" s="60"/>
      <c r="F9" s="61"/>
      <c r="G9" s="61"/>
      <c r="H9" s="62"/>
      <c r="I9" s="63"/>
      <c r="J9" s="61"/>
      <c r="K9" s="61"/>
      <c r="L9" s="61"/>
      <c r="M9" s="59">
        <f>SUM(I9:L9)</f>
        <v>0</v>
      </c>
      <c r="N9" s="64">
        <f>SUM(J9:M9)</f>
        <v>0</v>
      </c>
      <c r="O9" s="64"/>
      <c r="P9" s="64"/>
      <c r="Q9" s="64"/>
      <c r="R9" s="64">
        <f t="shared" ref="R9:R21" si="3">SUM(K9:N9)</f>
        <v>0</v>
      </c>
      <c r="S9" s="64">
        <f t="shared" ref="S9:S21" si="4">SUM(J9:N9)</f>
        <v>0</v>
      </c>
      <c r="T9" s="64">
        <f t="shared" ref="T9:U21" si="5">SUM(K9:Q9)</f>
        <v>0</v>
      </c>
      <c r="U9" s="64">
        <f t="shared" si="5"/>
        <v>0</v>
      </c>
      <c r="V9" s="65" t="s">
        <v>28</v>
      </c>
      <c r="W9" s="66"/>
      <c r="Y9" s="66">
        <v>240</v>
      </c>
      <c r="Z9" s="5">
        <v>264</v>
      </c>
      <c r="AA9" s="5">
        <v>292</v>
      </c>
      <c r="AB9" s="5">
        <f>+AB8+AA9</f>
        <v>322</v>
      </c>
    </row>
    <row r="10" spans="1:28" ht="16.5" customHeight="1" outlineLevel="1">
      <c r="A10" s="67"/>
      <c r="B10" s="57">
        <v>510203</v>
      </c>
      <c r="C10" s="58" t="s">
        <v>29</v>
      </c>
      <c r="D10" s="59"/>
      <c r="E10" s="60"/>
      <c r="F10" s="61">
        <v>0</v>
      </c>
      <c r="G10" s="61"/>
      <c r="H10" s="62"/>
      <c r="I10" s="63"/>
      <c r="J10" s="61"/>
      <c r="K10" s="61"/>
      <c r="L10" s="61"/>
      <c r="M10" s="59">
        <f t="shared" ref="M10:N21" si="6">SUM(I10:L10)</f>
        <v>0</v>
      </c>
      <c r="N10" s="64">
        <f t="shared" si="6"/>
        <v>0</v>
      </c>
      <c r="O10" s="64"/>
      <c r="P10" s="64"/>
      <c r="Q10" s="64"/>
      <c r="R10" s="64">
        <f t="shared" si="3"/>
        <v>0</v>
      </c>
      <c r="S10" s="64">
        <f t="shared" si="4"/>
        <v>0</v>
      </c>
      <c r="T10" s="64">
        <f t="shared" si="5"/>
        <v>0</v>
      </c>
      <c r="U10" s="64">
        <f t="shared" si="5"/>
        <v>0</v>
      </c>
      <c r="V10" s="65"/>
      <c r="W10" s="66"/>
      <c r="Y10" s="66"/>
    </row>
    <row r="11" spans="1:28" ht="16.5" customHeight="1" outlineLevel="1">
      <c r="A11" s="67"/>
      <c r="B11" s="57">
        <v>510204</v>
      </c>
      <c r="C11" s="58" t="s">
        <v>30</v>
      </c>
      <c r="D11" s="59"/>
      <c r="E11" s="60"/>
      <c r="F11" s="61"/>
      <c r="G11" s="61"/>
      <c r="H11" s="62"/>
      <c r="I11" s="63"/>
      <c r="J11" s="61"/>
      <c r="K11" s="61"/>
      <c r="L11" s="61"/>
      <c r="M11" s="59">
        <f>SUM(I11:L11)</f>
        <v>0</v>
      </c>
      <c r="N11" s="64">
        <f t="shared" si="6"/>
        <v>0</v>
      </c>
      <c r="O11" s="64"/>
      <c r="P11" s="64"/>
      <c r="Q11" s="64"/>
      <c r="R11" s="64">
        <f t="shared" si="3"/>
        <v>0</v>
      </c>
      <c r="S11" s="64">
        <f t="shared" si="4"/>
        <v>0</v>
      </c>
      <c r="T11" s="64">
        <f t="shared" si="5"/>
        <v>0</v>
      </c>
      <c r="U11" s="64">
        <f t="shared" si="5"/>
        <v>0</v>
      </c>
      <c r="V11" s="65"/>
      <c r="W11" s="66"/>
      <c r="Y11" s="66"/>
    </row>
    <row r="12" spans="1:28" ht="16.5" customHeight="1" outlineLevel="1">
      <c r="A12" s="67"/>
      <c r="B12" s="57">
        <v>510235</v>
      </c>
      <c r="C12" s="58" t="s">
        <v>31</v>
      </c>
      <c r="D12" s="59"/>
      <c r="E12" s="68"/>
      <c r="F12" s="61">
        <v>0</v>
      </c>
      <c r="G12" s="61"/>
      <c r="H12" s="62"/>
      <c r="I12" s="63"/>
      <c r="J12" s="61"/>
      <c r="K12" s="61"/>
      <c r="L12" s="61"/>
      <c r="M12" s="59">
        <f t="shared" si="6"/>
        <v>0</v>
      </c>
      <c r="N12" s="64">
        <f t="shared" si="6"/>
        <v>0</v>
      </c>
      <c r="O12" s="64"/>
      <c r="P12" s="64"/>
      <c r="Q12" s="64"/>
      <c r="R12" s="64">
        <f t="shared" si="3"/>
        <v>0</v>
      </c>
      <c r="S12" s="64">
        <f t="shared" si="4"/>
        <v>0</v>
      </c>
      <c r="T12" s="64">
        <f t="shared" si="5"/>
        <v>0</v>
      </c>
      <c r="U12" s="64">
        <f t="shared" si="5"/>
        <v>0</v>
      </c>
      <c r="V12" s="65"/>
      <c r="W12" s="66"/>
      <c r="Y12" s="66"/>
    </row>
    <row r="13" spans="1:28" ht="16.5" customHeight="1" outlineLevel="1">
      <c r="A13" s="67"/>
      <c r="B13" s="57">
        <v>510407</v>
      </c>
      <c r="C13" s="58" t="s">
        <v>32</v>
      </c>
      <c r="D13" s="69"/>
      <c r="E13" s="68"/>
      <c r="F13" s="61">
        <v>0</v>
      </c>
      <c r="G13" s="61"/>
      <c r="H13" s="62"/>
      <c r="I13" s="63"/>
      <c r="J13" s="61"/>
      <c r="K13" s="61"/>
      <c r="L13" s="61"/>
      <c r="M13" s="59">
        <f t="shared" si="6"/>
        <v>0</v>
      </c>
      <c r="N13" s="64">
        <f t="shared" si="6"/>
        <v>0</v>
      </c>
      <c r="O13" s="64"/>
      <c r="P13" s="64"/>
      <c r="Q13" s="64"/>
      <c r="R13" s="64">
        <f t="shared" si="3"/>
        <v>0</v>
      </c>
      <c r="S13" s="64">
        <f t="shared" si="4"/>
        <v>0</v>
      </c>
      <c r="T13" s="64">
        <f t="shared" si="5"/>
        <v>0</v>
      </c>
      <c r="U13" s="64">
        <f t="shared" si="5"/>
        <v>0</v>
      </c>
      <c r="V13" s="65"/>
      <c r="W13" s="66"/>
      <c r="Y13" s="66">
        <f>322*5</f>
        <v>1610</v>
      </c>
    </row>
    <row r="14" spans="1:28" ht="16.5" customHeight="1" outlineLevel="1">
      <c r="A14" s="67"/>
      <c r="B14" s="57">
        <v>510504</v>
      </c>
      <c r="C14" s="58" t="s">
        <v>33</v>
      </c>
      <c r="D14" s="69"/>
      <c r="E14" s="68"/>
      <c r="F14" s="61">
        <v>0</v>
      </c>
      <c r="G14" s="61"/>
      <c r="H14" s="62"/>
      <c r="I14" s="63"/>
      <c r="J14" s="61"/>
      <c r="K14" s="61"/>
      <c r="L14" s="61"/>
      <c r="M14" s="59">
        <f t="shared" si="6"/>
        <v>0</v>
      </c>
      <c r="N14" s="64">
        <f t="shared" si="6"/>
        <v>0</v>
      </c>
      <c r="O14" s="64"/>
      <c r="P14" s="64"/>
      <c r="Q14" s="64"/>
      <c r="R14" s="64">
        <f t="shared" si="3"/>
        <v>0</v>
      </c>
      <c r="S14" s="64">
        <f t="shared" si="4"/>
        <v>0</v>
      </c>
      <c r="T14" s="64">
        <f t="shared" si="5"/>
        <v>0</v>
      </c>
      <c r="U14" s="64">
        <f t="shared" si="5"/>
        <v>0</v>
      </c>
      <c r="V14" s="65">
        <v>34336</v>
      </c>
      <c r="W14" s="66" t="s">
        <v>34</v>
      </c>
      <c r="Y14" s="66">
        <f>19-4</f>
        <v>15</v>
      </c>
      <c r="Z14" s="5">
        <f>+$Y$13*Y14</f>
        <v>24150</v>
      </c>
      <c r="AA14" s="70"/>
    </row>
    <row r="15" spans="1:28" ht="16.5" customHeight="1" outlineLevel="1">
      <c r="A15" s="67"/>
      <c r="B15" s="57">
        <v>510506</v>
      </c>
      <c r="C15" s="58" t="s">
        <v>35</v>
      </c>
      <c r="D15" s="69"/>
      <c r="E15" s="68"/>
      <c r="F15" s="61">
        <v>0</v>
      </c>
      <c r="G15" s="61"/>
      <c r="H15" s="62"/>
      <c r="I15" s="63"/>
      <c r="J15" s="61"/>
      <c r="K15" s="61"/>
      <c r="L15" s="61"/>
      <c r="M15" s="59">
        <f t="shared" si="6"/>
        <v>0</v>
      </c>
      <c r="N15" s="64">
        <f t="shared" si="6"/>
        <v>0</v>
      </c>
      <c r="O15" s="64"/>
      <c r="P15" s="64"/>
      <c r="Q15" s="64"/>
      <c r="R15" s="64">
        <f t="shared" si="3"/>
        <v>0</v>
      </c>
      <c r="S15" s="64">
        <f t="shared" si="4"/>
        <v>0</v>
      </c>
      <c r="T15" s="64">
        <f t="shared" si="5"/>
        <v>0</v>
      </c>
      <c r="U15" s="64">
        <f t="shared" si="5"/>
        <v>0</v>
      </c>
      <c r="V15" s="65">
        <v>35951</v>
      </c>
      <c r="W15" s="66" t="s">
        <v>36</v>
      </c>
      <c r="Y15" s="66">
        <v>14</v>
      </c>
      <c r="Z15" s="5">
        <f>+$Y$13*Y15</f>
        <v>22540</v>
      </c>
    </row>
    <row r="16" spans="1:28" ht="16.5" customHeight="1" outlineLevel="1">
      <c r="A16" s="67"/>
      <c r="B16" s="57">
        <v>510508</v>
      </c>
      <c r="C16" s="58" t="s">
        <v>37</v>
      </c>
      <c r="D16" s="69"/>
      <c r="E16" s="68"/>
      <c r="F16" s="61">
        <v>0</v>
      </c>
      <c r="G16" s="61"/>
      <c r="H16" s="62"/>
      <c r="I16" s="63"/>
      <c r="J16" s="61"/>
      <c r="K16" s="61"/>
      <c r="L16" s="61"/>
      <c r="M16" s="59">
        <f t="shared" si="6"/>
        <v>0</v>
      </c>
      <c r="N16" s="64">
        <f t="shared" si="6"/>
        <v>0</v>
      </c>
      <c r="O16" s="64"/>
      <c r="P16" s="64"/>
      <c r="Q16" s="64"/>
      <c r="R16" s="64">
        <f t="shared" si="3"/>
        <v>0</v>
      </c>
      <c r="S16" s="64">
        <f t="shared" si="4"/>
        <v>0</v>
      </c>
      <c r="T16" s="64">
        <f t="shared" si="5"/>
        <v>0</v>
      </c>
      <c r="U16" s="64">
        <f t="shared" si="5"/>
        <v>0</v>
      </c>
      <c r="V16" s="65">
        <v>38088</v>
      </c>
      <c r="W16" s="66" t="s">
        <v>38</v>
      </c>
      <c r="Y16" s="66">
        <v>8</v>
      </c>
      <c r="Z16" s="5">
        <f>+$Y$13*Y16</f>
        <v>12880</v>
      </c>
    </row>
    <row r="17" spans="1:37" ht="16.5" customHeight="1" outlineLevel="1">
      <c r="A17" s="67"/>
      <c r="B17" s="57">
        <v>519901</v>
      </c>
      <c r="C17" s="58" t="s">
        <v>39</v>
      </c>
      <c r="D17" s="59"/>
      <c r="E17" s="68"/>
      <c r="F17" s="61">
        <v>0</v>
      </c>
      <c r="G17" s="61"/>
      <c r="H17" s="62"/>
      <c r="I17" s="63"/>
      <c r="J17" s="61"/>
      <c r="K17" s="61"/>
      <c r="L17" s="61"/>
      <c r="M17" s="59">
        <f t="shared" si="6"/>
        <v>0</v>
      </c>
      <c r="N17" s="64">
        <f t="shared" si="6"/>
        <v>0</v>
      </c>
      <c r="O17" s="64"/>
      <c r="P17" s="64"/>
      <c r="Q17" s="64"/>
      <c r="R17" s="64">
        <f t="shared" si="3"/>
        <v>0</v>
      </c>
      <c r="S17" s="64">
        <f t="shared" si="4"/>
        <v>0</v>
      </c>
      <c r="T17" s="64">
        <f t="shared" si="5"/>
        <v>0</v>
      </c>
      <c r="U17" s="64">
        <f t="shared" si="5"/>
        <v>0</v>
      </c>
      <c r="V17" s="65"/>
      <c r="W17" s="66" t="s">
        <v>40</v>
      </c>
      <c r="Y17" s="66"/>
      <c r="Z17" s="5">
        <v>55000</v>
      </c>
    </row>
    <row r="18" spans="1:37" ht="16.5" customHeight="1" outlineLevel="1">
      <c r="A18" s="67"/>
      <c r="B18" s="57">
        <v>510601</v>
      </c>
      <c r="C18" s="58" t="s">
        <v>41</v>
      </c>
      <c r="D18" s="59"/>
      <c r="E18" s="60"/>
      <c r="F18" s="61"/>
      <c r="G18" s="61"/>
      <c r="H18" s="62"/>
      <c r="I18" s="63"/>
      <c r="J18" s="61"/>
      <c r="K18" s="61"/>
      <c r="L18" s="61"/>
      <c r="M18" s="59">
        <f t="shared" si="6"/>
        <v>0</v>
      </c>
      <c r="N18" s="64">
        <f t="shared" si="6"/>
        <v>0</v>
      </c>
      <c r="O18" s="64"/>
      <c r="P18" s="64"/>
      <c r="Q18" s="64"/>
      <c r="R18" s="64">
        <f t="shared" si="3"/>
        <v>0</v>
      </c>
      <c r="S18" s="64">
        <f t="shared" si="4"/>
        <v>0</v>
      </c>
      <c r="T18" s="64">
        <f t="shared" si="5"/>
        <v>0</v>
      </c>
      <c r="U18" s="64">
        <f t="shared" si="5"/>
        <v>0</v>
      </c>
      <c r="V18" s="65"/>
      <c r="W18" s="66" t="s">
        <v>42</v>
      </c>
      <c r="Y18" s="66">
        <v>30</v>
      </c>
      <c r="Z18" s="5">
        <f>+Y13*Y18</f>
        <v>48300</v>
      </c>
    </row>
    <row r="19" spans="1:37" ht="16.5" customHeight="1" outlineLevel="1">
      <c r="A19" s="67"/>
      <c r="B19" s="57">
        <v>510602</v>
      </c>
      <c r="C19" s="58" t="s">
        <v>43</v>
      </c>
      <c r="D19" s="59"/>
      <c r="E19" s="60"/>
      <c r="F19" s="61"/>
      <c r="G19" s="61"/>
      <c r="H19" s="62"/>
      <c r="I19" s="63"/>
      <c r="J19" s="61"/>
      <c r="K19" s="61"/>
      <c r="L19" s="61"/>
      <c r="M19" s="59">
        <f t="shared" si="6"/>
        <v>0</v>
      </c>
      <c r="N19" s="64">
        <f t="shared" si="6"/>
        <v>0</v>
      </c>
      <c r="O19" s="64"/>
      <c r="P19" s="64"/>
      <c r="Q19" s="64"/>
      <c r="R19" s="64">
        <f t="shared" si="3"/>
        <v>0</v>
      </c>
      <c r="S19" s="64">
        <f t="shared" si="4"/>
        <v>0</v>
      </c>
      <c r="T19" s="64">
        <f t="shared" si="5"/>
        <v>0</v>
      </c>
      <c r="U19" s="64">
        <f t="shared" si="5"/>
        <v>0</v>
      </c>
      <c r="V19" s="65"/>
      <c r="W19" s="66"/>
      <c r="Y19" s="66"/>
      <c r="Z19" s="5">
        <f>SUM(Z15:Z18)</f>
        <v>138720</v>
      </c>
    </row>
    <row r="20" spans="1:37" outlineLevel="1">
      <c r="A20" s="67"/>
      <c r="B20" s="57">
        <v>580102</v>
      </c>
      <c r="C20" s="58" t="s">
        <v>44</v>
      </c>
      <c r="D20" s="69"/>
      <c r="E20" s="68"/>
      <c r="F20" s="61">
        <v>0</v>
      </c>
      <c r="G20" s="61"/>
      <c r="H20" s="62"/>
      <c r="I20" s="63"/>
      <c r="J20" s="61"/>
      <c r="K20" s="61"/>
      <c r="L20" s="61"/>
      <c r="M20" s="59">
        <f t="shared" si="6"/>
        <v>0</v>
      </c>
      <c r="N20" s="64">
        <f t="shared" si="6"/>
        <v>0</v>
      </c>
      <c r="O20" s="64"/>
      <c r="P20" s="64"/>
      <c r="Q20" s="64"/>
      <c r="R20" s="64">
        <f t="shared" si="3"/>
        <v>0</v>
      </c>
      <c r="S20" s="64">
        <f t="shared" si="4"/>
        <v>0</v>
      </c>
      <c r="T20" s="64">
        <f t="shared" si="5"/>
        <v>0</v>
      </c>
      <c r="U20" s="64">
        <f t="shared" si="5"/>
        <v>0</v>
      </c>
      <c r="V20" s="65"/>
      <c r="W20" s="66"/>
      <c r="Y20" s="66"/>
    </row>
    <row r="21" spans="1:37" outlineLevel="1">
      <c r="A21" s="67"/>
      <c r="B21" s="57">
        <v>580607</v>
      </c>
      <c r="C21" s="58" t="s">
        <v>45</v>
      </c>
      <c r="D21" s="69"/>
      <c r="E21" s="68"/>
      <c r="F21" s="61">
        <v>0</v>
      </c>
      <c r="G21" s="61"/>
      <c r="H21" s="62"/>
      <c r="I21" s="63"/>
      <c r="J21" s="61"/>
      <c r="K21" s="61"/>
      <c r="L21" s="61"/>
      <c r="M21" s="59">
        <f t="shared" si="6"/>
        <v>0</v>
      </c>
      <c r="N21" s="64">
        <f t="shared" si="6"/>
        <v>0</v>
      </c>
      <c r="O21" s="64"/>
      <c r="P21" s="64"/>
      <c r="Q21" s="64"/>
      <c r="R21" s="64">
        <f t="shared" si="3"/>
        <v>0</v>
      </c>
      <c r="S21" s="64">
        <f t="shared" si="4"/>
        <v>0</v>
      </c>
      <c r="T21" s="64">
        <f t="shared" si="5"/>
        <v>0</v>
      </c>
      <c r="U21" s="64">
        <f t="shared" si="5"/>
        <v>0</v>
      </c>
      <c r="V21" s="65">
        <f>30000*78</f>
        <v>2340000</v>
      </c>
      <c r="W21" s="66"/>
      <c r="Y21" s="66"/>
    </row>
    <row r="22" spans="1:37" s="49" customFormat="1" ht="18" customHeight="1">
      <c r="A22" s="71"/>
      <c r="B22" s="72"/>
      <c r="C22" s="39"/>
      <c r="D22" s="73"/>
      <c r="E22" s="74"/>
      <c r="F22" s="75"/>
      <c r="G22" s="75"/>
      <c r="H22" s="76"/>
      <c r="I22" s="77"/>
      <c r="J22" s="75"/>
      <c r="K22" s="75"/>
      <c r="L22" s="75"/>
      <c r="M22" s="73">
        <f>SUBTOTAL(9,I22:L22)</f>
        <v>0</v>
      </c>
      <c r="N22" s="78">
        <f>SUBTOTAL(9,J22:M22)</f>
        <v>0</v>
      </c>
      <c r="O22" s="78"/>
      <c r="P22" s="78"/>
      <c r="Q22" s="78"/>
      <c r="R22" s="78">
        <f>SUBTOTAL(9,K22:N22)</f>
        <v>0</v>
      </c>
      <c r="S22" s="78">
        <f>SUBTOTAL(9,J22:N22)</f>
        <v>0</v>
      </c>
      <c r="T22" s="78">
        <f>SUBTOTAL(9,K22:Q22)</f>
        <v>0</v>
      </c>
      <c r="U22" s="78">
        <f>SUBTOTAL(9,L22:R22)</f>
        <v>0</v>
      </c>
      <c r="V22" s="79"/>
      <c r="W22" s="80"/>
      <c r="Y22" s="80"/>
    </row>
    <row r="23" spans="1:37" s="49" customFormat="1" ht="18">
      <c r="A23" s="81"/>
      <c r="B23" s="82" t="s">
        <v>46</v>
      </c>
      <c r="C23" s="39"/>
      <c r="D23" s="83">
        <f>D24+D48+D76+D80+D84+D105+D112</f>
        <v>8695664.2536666673</v>
      </c>
      <c r="E23" s="84">
        <f t="shared" ref="E23:U23" si="7">E24+E48+E76+E80+E84+E103+E105+E112</f>
        <v>183078.90333333335</v>
      </c>
      <c r="F23" s="85" t="e">
        <f t="shared" si="7"/>
        <v>#REF!</v>
      </c>
      <c r="G23" s="85" t="e">
        <f t="shared" si="7"/>
        <v>#REF!</v>
      </c>
      <c r="H23" s="86" t="e">
        <f t="shared" si="7"/>
        <v>#REF!</v>
      </c>
      <c r="I23" s="87">
        <f t="shared" si="7"/>
        <v>259209.12</v>
      </c>
      <c r="J23" s="85">
        <f t="shared" si="7"/>
        <v>2289486.2249999996</v>
      </c>
      <c r="K23" s="85">
        <f t="shared" si="7"/>
        <v>602245.33499999996</v>
      </c>
      <c r="L23" s="85">
        <f t="shared" si="7"/>
        <v>6104027.2400000002</v>
      </c>
      <c r="M23" s="83">
        <f t="shared" si="7"/>
        <v>9254967.9199999999</v>
      </c>
      <c r="N23" s="88">
        <f t="shared" si="7"/>
        <v>5685456.5525000002</v>
      </c>
      <c r="O23" s="88">
        <f t="shared" si="7"/>
        <v>1114175.81</v>
      </c>
      <c r="P23" s="88">
        <f t="shared" si="7"/>
        <v>2061.7350000000024</v>
      </c>
      <c r="Q23" s="88">
        <f>Q24+Q48+Q76+Q80+Q84+Q103+Q105+Q112</f>
        <v>342000.71</v>
      </c>
      <c r="R23" s="88">
        <f t="shared" si="7"/>
        <v>3219850.6574999997</v>
      </c>
      <c r="S23" s="88">
        <f t="shared" si="7"/>
        <v>263950.88</v>
      </c>
      <c r="T23" s="88">
        <f>T24+T48+T76+T80+T84+T103+T105+T112</f>
        <v>7173186.835</v>
      </c>
      <c r="U23" s="88">
        <f t="shared" si="7"/>
        <v>1810170.2050000003</v>
      </c>
      <c r="V23" s="89"/>
      <c r="W23" s="90"/>
      <c r="Y23" s="90"/>
    </row>
    <row r="24" spans="1:37" s="49" customFormat="1" ht="18">
      <c r="A24" s="71"/>
      <c r="B24" s="72"/>
      <c r="C24" s="91" t="s">
        <v>47</v>
      </c>
      <c r="D24" s="83">
        <f t="shared" ref="D24:M24" si="8">SUM(D25:D47)</f>
        <v>4893083.04</v>
      </c>
      <c r="E24" s="84">
        <f>+SUM(E26:E47)</f>
        <v>1500</v>
      </c>
      <c r="F24" s="85" t="e">
        <f t="shared" si="8"/>
        <v>#REF!</v>
      </c>
      <c r="G24" s="85" t="e">
        <f t="shared" si="8"/>
        <v>#REF!</v>
      </c>
      <c r="H24" s="86" t="e">
        <f t="shared" si="8"/>
        <v>#REF!</v>
      </c>
      <c r="I24" s="87">
        <f t="shared" si="8"/>
        <v>0</v>
      </c>
      <c r="J24" s="85">
        <f t="shared" si="8"/>
        <v>0</v>
      </c>
      <c r="K24" s="85">
        <f t="shared" si="8"/>
        <v>0</v>
      </c>
      <c r="L24" s="85">
        <f t="shared" si="8"/>
        <v>6003027.2400000002</v>
      </c>
      <c r="M24" s="83">
        <f t="shared" si="8"/>
        <v>6003027.2400000002</v>
      </c>
      <c r="N24" s="88">
        <f t="shared" ref="N24:U24" si="9">SUM(N25:N47)</f>
        <v>4527738.2</v>
      </c>
      <c r="O24" s="88">
        <f t="shared" ref="O24:P24" si="10">SUM(O25:O47)</f>
        <v>0</v>
      </c>
      <c r="P24" s="88">
        <f t="shared" si="10"/>
        <v>0</v>
      </c>
      <c r="Q24" s="88">
        <f t="shared" si="9"/>
        <v>0</v>
      </c>
      <c r="R24" s="88">
        <f t="shared" si="9"/>
        <v>1475289.04</v>
      </c>
      <c r="S24" s="88">
        <f t="shared" si="9"/>
        <v>0</v>
      </c>
      <c r="T24" s="88">
        <f t="shared" si="9"/>
        <v>4355778.3900000006</v>
      </c>
      <c r="U24" s="88">
        <f t="shared" si="9"/>
        <v>1647248.8500000003</v>
      </c>
      <c r="V24" s="79" t="e">
        <f t="shared" ref="V24:V33" si="11">+I24+G24</f>
        <v>#REF!</v>
      </c>
      <c r="W24" s="80" t="e">
        <f>+V24-F36-F37-F44</f>
        <v>#REF!</v>
      </c>
      <c r="Y24" s="80" t="e">
        <f>+W24-#REF!</f>
        <v>#REF!</v>
      </c>
      <c r="AI24" s="92"/>
      <c r="AJ24" s="92"/>
      <c r="AK24" s="92"/>
    </row>
    <row r="25" spans="1:37" ht="18.75">
      <c r="A25" s="67"/>
      <c r="B25" s="57">
        <v>710105</v>
      </c>
      <c r="C25" s="58" t="s">
        <v>48</v>
      </c>
      <c r="D25" s="93">
        <v>1329841.1599999999</v>
      </c>
      <c r="E25" s="94"/>
      <c r="F25" s="61" t="e">
        <f>+#REF!+#REF!</f>
        <v>#REF!</v>
      </c>
      <c r="G25" s="61" t="e">
        <f>+F25</f>
        <v>#REF!</v>
      </c>
      <c r="H25" s="62" t="e">
        <f>+G25</f>
        <v>#REF!</v>
      </c>
      <c r="I25" s="63"/>
      <c r="J25" s="61">
        <f>+I25</f>
        <v>0</v>
      </c>
      <c r="K25" s="61">
        <f>+J25</f>
        <v>0</v>
      </c>
      <c r="L25" s="61">
        <f>+'[1]RESUMEN PERSONAL'!C7+'[1]RESUMEN PERSONAL'!C8</f>
        <v>1222725.48</v>
      </c>
      <c r="M25" s="59">
        <f t="shared" ref="M25:M88" si="12">SUM(I25:L25)</f>
        <v>1222725.48</v>
      </c>
      <c r="N25" s="64">
        <f>+'[1]RESUMEN PERSONAL'!C7+'[1]RESUMEN PERSONAL'!C8</f>
        <v>1222725.48</v>
      </c>
      <c r="O25" s="64"/>
      <c r="P25" s="64"/>
      <c r="Q25" s="64"/>
      <c r="R25" s="64"/>
      <c r="S25" s="64"/>
      <c r="T25" s="64"/>
      <c r="U25" s="64">
        <f>+'[1]RESUMEN PERSONAL'!C7+'[1]RESUMEN PERSONAL'!C8</f>
        <v>1222725.48</v>
      </c>
      <c r="V25" s="65" t="e">
        <f t="shared" si="11"/>
        <v>#REF!</v>
      </c>
      <c r="W25" s="66"/>
      <c r="Y25" s="66"/>
      <c r="AI25" s="92"/>
      <c r="AJ25" s="92"/>
      <c r="AK25" s="92"/>
    </row>
    <row r="26" spans="1:37" ht="18.75">
      <c r="A26" s="67"/>
      <c r="B26" s="57">
        <v>710106</v>
      </c>
      <c r="C26" s="58" t="s">
        <v>49</v>
      </c>
      <c r="D26" s="59">
        <v>2044576.62</v>
      </c>
      <c r="E26" s="60"/>
      <c r="F26" s="61" t="e">
        <f>+#REF!</f>
        <v>#REF!</v>
      </c>
      <c r="G26" s="61" t="e">
        <f>+#REF!</f>
        <v>#REF!</v>
      </c>
      <c r="H26" s="62"/>
      <c r="I26" s="63"/>
      <c r="J26" s="61"/>
      <c r="K26" s="61"/>
      <c r="L26" s="61">
        <f>+'[1]RESUMEN PERSONAL'!C9+'[1]RESUMEN PERSONAL'!C10+'[1]RESUMEN PERSONAL'!C11</f>
        <v>2818149.96</v>
      </c>
      <c r="M26" s="59">
        <f t="shared" si="12"/>
        <v>2818149.96</v>
      </c>
      <c r="N26" s="64">
        <f>+'[1]RESUMEN PERSONAL'!C9+'[1]RESUMEN PERSONAL'!C10</f>
        <v>1911825.96</v>
      </c>
      <c r="O26" s="64"/>
      <c r="P26" s="64"/>
      <c r="Q26" s="64"/>
      <c r="R26" s="64">
        <f>+'[1]RESUMEN PERSONAL'!C11</f>
        <v>906324</v>
      </c>
      <c r="S26" s="64"/>
      <c r="T26" s="64">
        <f>+'[1]RESUMEN PERSONAL'!C9+'[1]RESUMEN PERSONAL'!C10+'[1]RESUMEN PERSONAL'!C11</f>
        <v>2818149.96</v>
      </c>
      <c r="U26" s="64"/>
      <c r="V26" s="65" t="e">
        <f t="shared" si="11"/>
        <v>#REF!</v>
      </c>
      <c r="W26" s="66"/>
      <c r="Y26" s="66"/>
      <c r="AI26" s="92"/>
      <c r="AJ26" s="92"/>
      <c r="AK26" s="92"/>
    </row>
    <row r="27" spans="1:37" ht="19.5" customHeight="1">
      <c r="A27" s="67"/>
      <c r="B27" s="57">
        <v>710203</v>
      </c>
      <c r="C27" s="58" t="s">
        <v>50</v>
      </c>
      <c r="D27" s="59">
        <v>296230.15999999997</v>
      </c>
      <c r="E27" s="60"/>
      <c r="F27" s="61" t="e">
        <f>+#REF!+#REF!+#REF!</f>
        <v>#REF!</v>
      </c>
      <c r="G27" s="61" t="e">
        <f>+#REF!+#REF!+#REF!</f>
        <v>#REF!</v>
      </c>
      <c r="H27" s="62" t="e">
        <f>+G27</f>
        <v>#REF!</v>
      </c>
      <c r="I27" s="63"/>
      <c r="J27" s="61"/>
      <c r="K27" s="61"/>
      <c r="L27" s="61">
        <f>+'[1]RESUMEN PERSONAL'!D13</f>
        <v>336739.62</v>
      </c>
      <c r="M27" s="59">
        <f t="shared" si="12"/>
        <v>336739.62</v>
      </c>
      <c r="N27" s="64">
        <f>+'[1]RESUMEN PERSONAL'!D7+'[1]RESUMEN PERSONAL'!D8+'[1]RESUMEN PERSONAL'!D9+'[1]RESUMEN PERSONAL'!D10</f>
        <v>261212.62</v>
      </c>
      <c r="O27" s="64"/>
      <c r="P27" s="64"/>
      <c r="Q27" s="64"/>
      <c r="R27" s="64">
        <f>+M27-N27</f>
        <v>75527</v>
      </c>
      <c r="S27" s="64"/>
      <c r="T27" s="64">
        <f>+'[1]RESUMEN PERSONAL'!D9+'[1]RESUMEN PERSONAL'!D10+'[1]RESUMEN PERSONAL'!D11</f>
        <v>234845.83</v>
      </c>
      <c r="U27" s="64">
        <f>+'[1]RESUMEN PERSONAL'!D7+'[1]RESUMEN PERSONAL'!D8</f>
        <v>101893.79000000001</v>
      </c>
      <c r="V27" s="65" t="e">
        <f t="shared" si="11"/>
        <v>#REF!</v>
      </c>
      <c r="W27" s="66"/>
      <c r="Y27" s="66"/>
      <c r="AI27" s="92"/>
      <c r="AJ27" s="92"/>
      <c r="AK27" s="92"/>
    </row>
    <row r="28" spans="1:37" ht="19.5" customHeight="1">
      <c r="A28" s="67"/>
      <c r="B28" s="57">
        <v>710204</v>
      </c>
      <c r="C28" s="58" t="s">
        <v>51</v>
      </c>
      <c r="D28" s="59">
        <v>117644.8</v>
      </c>
      <c r="E28" s="60"/>
      <c r="F28" s="61" t="e">
        <f>+#REF!+#REF!+#REF!</f>
        <v>#REF!</v>
      </c>
      <c r="G28" s="61" t="e">
        <f>+#REF!+#REF!+#REF!</f>
        <v>#REF!</v>
      </c>
      <c r="H28" s="62" t="e">
        <f>+G28</f>
        <v>#REF!</v>
      </c>
      <c r="I28" s="63"/>
      <c r="J28" s="61"/>
      <c r="K28" s="61"/>
      <c r="L28" s="61">
        <f>+'[1]RESUMEN PERSONAL'!E13</f>
        <v>164425.07999999999</v>
      </c>
      <c r="M28" s="59">
        <f t="shared" si="12"/>
        <v>164425.07999999999</v>
      </c>
      <c r="N28" s="64">
        <f>+'[1]RESUMEN PERSONAL'!E7+'[1]RESUMEN PERSONAL'!E8+'[1]RESUMEN PERSONAL'!E9+'[1]RESUMEN PERSONAL'!E10</f>
        <v>118124.28</v>
      </c>
      <c r="O28" s="64"/>
      <c r="P28" s="64"/>
      <c r="Q28" s="64"/>
      <c r="R28" s="64">
        <f>+M28-N28</f>
        <v>46300.799999999988</v>
      </c>
      <c r="S28" s="64"/>
      <c r="T28" s="64">
        <f>+'[1]RESUMEN PERSONAL'!E9+'[1]RESUMEN PERSONAL'!E10+'[1]RESUMEN PERSONAL'!E11</f>
        <v>132119.46000000002</v>
      </c>
      <c r="U28" s="64">
        <f>+'[1]RESUMEN PERSONAL'!E7+'[1]RESUMEN PERSONAL'!E8</f>
        <v>32305.620000000003</v>
      </c>
      <c r="V28" s="65" t="e">
        <f t="shared" si="11"/>
        <v>#REF!</v>
      </c>
      <c r="W28" s="66"/>
      <c r="Y28" s="66"/>
      <c r="AI28" s="92"/>
      <c r="AJ28" s="92"/>
      <c r="AK28" s="92"/>
    </row>
    <row r="29" spans="1:37" ht="18.75">
      <c r="A29" s="67"/>
      <c r="B29" s="57">
        <v>710235</v>
      </c>
      <c r="C29" s="58" t="s">
        <v>52</v>
      </c>
      <c r="D29" s="59"/>
      <c r="E29" s="60"/>
      <c r="F29" s="61"/>
      <c r="G29" s="61"/>
      <c r="H29" s="62"/>
      <c r="I29" s="63"/>
      <c r="J29" s="61"/>
      <c r="K29" s="61"/>
      <c r="L29" s="61"/>
      <c r="M29" s="59">
        <f t="shared" si="12"/>
        <v>0</v>
      </c>
      <c r="N29" s="64"/>
      <c r="O29" s="64"/>
      <c r="P29" s="64"/>
      <c r="Q29" s="64"/>
      <c r="R29" s="64"/>
      <c r="S29" s="64"/>
      <c r="T29" s="64"/>
      <c r="U29" s="64"/>
      <c r="V29" s="65">
        <f t="shared" si="11"/>
        <v>0</v>
      </c>
      <c r="W29" s="66"/>
      <c r="Y29" s="66"/>
      <c r="AI29" s="92"/>
      <c r="AJ29" s="92"/>
      <c r="AK29" s="92"/>
    </row>
    <row r="30" spans="1:37" ht="18.75">
      <c r="A30" s="67"/>
      <c r="B30" s="57">
        <v>710304</v>
      </c>
      <c r="C30" s="58" t="s">
        <v>53</v>
      </c>
      <c r="D30" s="59">
        <v>32678.45</v>
      </c>
      <c r="E30" s="60"/>
      <c r="F30" s="61" t="e">
        <f>+#REF!</f>
        <v>#REF!</v>
      </c>
      <c r="G30" s="61" t="e">
        <f>+F30</f>
        <v>#REF!</v>
      </c>
      <c r="H30" s="62"/>
      <c r="I30" s="63">
        <f t="shared" ref="I30:K32" si="13">+H30</f>
        <v>0</v>
      </c>
      <c r="J30" s="61">
        <f t="shared" si="13"/>
        <v>0</v>
      </c>
      <c r="K30" s="61">
        <f t="shared" si="13"/>
        <v>0</v>
      </c>
      <c r="L30" s="61">
        <f>+'[1]RESUMEN PERSONAL'!K13</f>
        <v>33132</v>
      </c>
      <c r="M30" s="59">
        <f t="shared" si="12"/>
        <v>33132</v>
      </c>
      <c r="N30" s="64">
        <f>+'[1]RESUMEN PERSONAL'!K9+'[1]RESUMEN PERSONAL'!K10</f>
        <v>33132</v>
      </c>
      <c r="O30" s="64"/>
      <c r="P30" s="64"/>
      <c r="Q30" s="64"/>
      <c r="R30" s="64"/>
      <c r="S30" s="64"/>
      <c r="T30" s="64">
        <f>+'[1]RESUMEN PERSONAL'!K9+'[1]RESUMEN PERSONAL'!K10+'[1]RESUMEN PERSONAL'!K11</f>
        <v>33132</v>
      </c>
      <c r="U30" s="64"/>
      <c r="V30" s="65" t="e">
        <f t="shared" si="11"/>
        <v>#REF!</v>
      </c>
      <c r="W30" s="66"/>
      <c r="Y30" s="66"/>
      <c r="AI30" s="92"/>
      <c r="AJ30" s="92"/>
      <c r="AK30" s="92"/>
    </row>
    <row r="31" spans="1:37" ht="19.5" customHeight="1">
      <c r="A31" s="67"/>
      <c r="B31" s="57">
        <v>710306</v>
      </c>
      <c r="C31" s="58" t="s">
        <v>54</v>
      </c>
      <c r="D31" s="59">
        <v>260573.36</v>
      </c>
      <c r="E31" s="60"/>
      <c r="F31" s="61" t="e">
        <f>+#REF!</f>
        <v>#REF!</v>
      </c>
      <c r="G31" s="61" t="e">
        <f>+F31</f>
        <v>#REF!</v>
      </c>
      <c r="H31" s="62"/>
      <c r="I31" s="63">
        <f t="shared" si="13"/>
        <v>0</v>
      </c>
      <c r="J31" s="61">
        <f t="shared" si="13"/>
        <v>0</v>
      </c>
      <c r="K31" s="61">
        <f t="shared" si="13"/>
        <v>0</v>
      </c>
      <c r="L31" s="61">
        <f>+'[1]RESUMEN PERSONAL'!J13</f>
        <v>288609.84000000003</v>
      </c>
      <c r="M31" s="59">
        <f t="shared" si="12"/>
        <v>288609.84000000003</v>
      </c>
      <c r="N31" s="64">
        <f>+'[1]RESUMEN PERSONAL'!J9+'[1]RESUMEN PERSONAL'!J10</f>
        <v>288609.84000000003</v>
      </c>
      <c r="O31" s="64"/>
      <c r="P31" s="64"/>
      <c r="Q31" s="64"/>
      <c r="R31" s="64"/>
      <c r="S31" s="64"/>
      <c r="T31" s="64">
        <f>+'[1]RESUMEN PERSONAL'!J9+'[1]RESUMEN PERSONAL'!J10+'[1]RESUMEN PERSONAL'!J11</f>
        <v>288609.84000000003</v>
      </c>
      <c r="U31" s="64"/>
      <c r="V31" s="65" t="e">
        <f t="shared" si="11"/>
        <v>#REF!</v>
      </c>
      <c r="W31" s="66"/>
      <c r="Y31" s="66"/>
      <c r="AI31" s="92"/>
      <c r="AJ31" s="92"/>
      <c r="AK31" s="92"/>
    </row>
    <row r="32" spans="1:37" ht="19.5" customHeight="1">
      <c r="A32" s="67"/>
      <c r="B32" s="57">
        <v>710401</v>
      </c>
      <c r="C32" s="58" t="s">
        <v>55</v>
      </c>
      <c r="D32" s="59">
        <v>11694.4</v>
      </c>
      <c r="E32" s="60"/>
      <c r="F32" s="61" t="e">
        <f>+#REF!</f>
        <v>#REF!</v>
      </c>
      <c r="G32" s="61" t="e">
        <f>+F32</f>
        <v>#REF!</v>
      </c>
      <c r="H32" s="62"/>
      <c r="I32" s="63">
        <f t="shared" si="13"/>
        <v>0</v>
      </c>
      <c r="J32" s="61">
        <f t="shared" si="13"/>
        <v>0</v>
      </c>
      <c r="K32" s="61">
        <f t="shared" si="13"/>
        <v>0</v>
      </c>
      <c r="L32" s="61">
        <f>+'[1]RESUMEN PERSONAL'!L13</f>
        <v>7441.2</v>
      </c>
      <c r="M32" s="59">
        <f t="shared" si="12"/>
        <v>7441.2</v>
      </c>
      <c r="N32" s="64">
        <f>+'[1]RESUMEN PERSONAL'!L9</f>
        <v>7441.2</v>
      </c>
      <c r="O32" s="64"/>
      <c r="P32" s="64"/>
      <c r="Q32" s="64"/>
      <c r="R32" s="64"/>
      <c r="S32" s="64"/>
      <c r="T32" s="64">
        <f>+'[1]RESUMEN PERSONAL'!L9+'[1]RESUMEN PERSONAL'!L10+'[1]RESUMEN PERSONAL'!L11</f>
        <v>7441.2</v>
      </c>
      <c r="U32" s="64"/>
      <c r="V32" s="65" t="e">
        <f t="shared" si="11"/>
        <v>#REF!</v>
      </c>
      <c r="W32" s="66"/>
      <c r="Y32" s="66"/>
      <c r="AI32" s="92"/>
      <c r="AJ32" s="92"/>
      <c r="AK32" s="92"/>
    </row>
    <row r="33" spans="1:37" ht="18.75">
      <c r="A33" s="67"/>
      <c r="B33" s="57">
        <v>710408</v>
      </c>
      <c r="C33" s="58" t="s">
        <v>56</v>
      </c>
      <c r="D33" s="59">
        <v>14591.73</v>
      </c>
      <c r="E33" s="60"/>
      <c r="F33" s="61" t="e">
        <f>+#REF!</f>
        <v>#REF!</v>
      </c>
      <c r="G33" s="61" t="e">
        <f>+F33:F33</f>
        <v>#REF!</v>
      </c>
      <c r="H33" s="62"/>
      <c r="I33" s="63">
        <f>+H33:H33</f>
        <v>0</v>
      </c>
      <c r="J33" s="61">
        <f>+I33:I33</f>
        <v>0</v>
      </c>
      <c r="K33" s="61">
        <f>+J33:J33</f>
        <v>0</v>
      </c>
      <c r="L33" s="61">
        <f>+'[1]RESUMEN PERSONAL'!M13</f>
        <v>17351.36</v>
      </c>
      <c r="M33" s="59">
        <f t="shared" si="12"/>
        <v>17351.36</v>
      </c>
      <c r="N33" s="64">
        <f>+'[1]RESUMEN PERSONAL'!M9</f>
        <v>17351.36</v>
      </c>
      <c r="O33" s="64"/>
      <c r="P33" s="64"/>
      <c r="Q33" s="64"/>
      <c r="R33" s="64"/>
      <c r="S33" s="64"/>
      <c r="T33" s="64"/>
      <c r="U33" s="64">
        <f>+N33</f>
        <v>17351.36</v>
      </c>
      <c r="V33" s="65" t="e">
        <f t="shared" si="11"/>
        <v>#REF!</v>
      </c>
      <c r="W33" s="66"/>
      <c r="Y33" s="66"/>
      <c r="AI33" s="92"/>
      <c r="AJ33" s="92"/>
      <c r="AK33" s="92"/>
    </row>
    <row r="34" spans="1:37" ht="33.75" customHeight="1">
      <c r="A34" s="67"/>
      <c r="B34" s="57">
        <v>710509</v>
      </c>
      <c r="C34" s="58" t="s">
        <v>57</v>
      </c>
      <c r="D34" s="59">
        <v>5000</v>
      </c>
      <c r="E34" s="60"/>
      <c r="F34" s="61"/>
      <c r="G34" s="61"/>
      <c r="H34" s="62"/>
      <c r="I34" s="63"/>
      <c r="J34" s="61"/>
      <c r="K34" s="61"/>
      <c r="L34" s="61">
        <f>+D34</f>
        <v>5000</v>
      </c>
      <c r="M34" s="59">
        <f t="shared" si="12"/>
        <v>5000</v>
      </c>
      <c r="N34" s="64">
        <f>+D34</f>
        <v>5000</v>
      </c>
      <c r="O34" s="64"/>
      <c r="P34" s="64"/>
      <c r="Q34" s="64"/>
      <c r="R34" s="64"/>
      <c r="S34" s="64"/>
      <c r="T34" s="64">
        <f>+N34</f>
        <v>5000</v>
      </c>
      <c r="U34" s="64"/>
      <c r="V34" s="65"/>
      <c r="W34" s="66"/>
      <c r="Y34" s="66"/>
      <c r="AI34" s="92"/>
      <c r="AJ34" s="92"/>
      <c r="AK34" s="92"/>
    </row>
    <row r="35" spans="1:37" ht="19.5" customHeight="1">
      <c r="A35" s="67"/>
      <c r="B35" s="57">
        <v>710510</v>
      </c>
      <c r="C35" s="58" t="s">
        <v>58</v>
      </c>
      <c r="D35" s="59"/>
      <c r="E35" s="60"/>
      <c r="F35" s="61"/>
      <c r="G35" s="61"/>
      <c r="H35" s="62"/>
      <c r="I35" s="63"/>
      <c r="J35" s="61"/>
      <c r="K35" s="61"/>
      <c r="L35" s="61"/>
      <c r="M35" s="59">
        <f t="shared" si="12"/>
        <v>0</v>
      </c>
      <c r="N35" s="64"/>
      <c r="O35" s="64"/>
      <c r="P35" s="64"/>
      <c r="Q35" s="64"/>
      <c r="R35" s="64"/>
      <c r="S35" s="64"/>
      <c r="T35" s="64"/>
      <c r="U35" s="64"/>
      <c r="V35" s="65" t="s">
        <v>59</v>
      </c>
      <c r="W35" s="66"/>
      <c r="Y35" s="66"/>
      <c r="AI35" s="92"/>
      <c r="AJ35" s="92"/>
      <c r="AK35" s="92"/>
    </row>
    <row r="36" spans="1:37" ht="19.5" customHeight="1">
      <c r="A36" s="67"/>
      <c r="B36" s="57">
        <v>710512</v>
      </c>
      <c r="C36" s="58" t="s">
        <v>60</v>
      </c>
      <c r="D36" s="59">
        <v>20000</v>
      </c>
      <c r="E36" s="60">
        <v>500</v>
      </c>
      <c r="F36" s="61">
        <v>20000</v>
      </c>
      <c r="G36" s="61">
        <v>20000</v>
      </c>
      <c r="H36" s="62">
        <f>+G36</f>
        <v>20000</v>
      </c>
      <c r="I36" s="63"/>
      <c r="J36" s="61"/>
      <c r="K36" s="61"/>
      <c r="L36" s="61">
        <f>+D36</f>
        <v>20000</v>
      </c>
      <c r="M36" s="59">
        <f t="shared" si="12"/>
        <v>20000</v>
      </c>
      <c r="N36" s="64">
        <f>+D36</f>
        <v>20000</v>
      </c>
      <c r="O36" s="64"/>
      <c r="P36" s="64"/>
      <c r="Q36" s="64"/>
      <c r="R36" s="64"/>
      <c r="S36" s="64"/>
      <c r="T36" s="64">
        <f>+N36</f>
        <v>20000</v>
      </c>
      <c r="U36" s="64"/>
      <c r="V36" s="65">
        <f>+I36+G36</f>
        <v>20000</v>
      </c>
      <c r="W36" s="66"/>
      <c r="Y36" s="66"/>
      <c r="AI36" s="92"/>
      <c r="AJ36" s="92"/>
      <c r="AK36" s="92"/>
    </row>
    <row r="37" spans="1:37" ht="19.5" customHeight="1">
      <c r="A37" s="67"/>
      <c r="B37" s="57">
        <v>710513</v>
      </c>
      <c r="C37" s="58" t="s">
        <v>61</v>
      </c>
      <c r="D37" s="59">
        <v>5000</v>
      </c>
      <c r="E37" s="60">
        <v>500</v>
      </c>
      <c r="F37" s="61">
        <v>5000</v>
      </c>
      <c r="G37" s="61">
        <v>5000</v>
      </c>
      <c r="H37" s="62">
        <f>+G37</f>
        <v>5000</v>
      </c>
      <c r="I37" s="63"/>
      <c r="J37" s="61"/>
      <c r="K37" s="61"/>
      <c r="L37" s="61"/>
      <c r="M37" s="59">
        <f t="shared" si="12"/>
        <v>0</v>
      </c>
      <c r="N37" s="64"/>
      <c r="O37" s="64"/>
      <c r="P37" s="64"/>
      <c r="Q37" s="64"/>
      <c r="R37" s="64"/>
      <c r="S37" s="64"/>
      <c r="T37" s="64"/>
      <c r="U37" s="64"/>
      <c r="V37" s="65">
        <f>+I37+G37</f>
        <v>5000</v>
      </c>
      <c r="W37" s="66"/>
      <c r="Y37" s="66"/>
      <c r="AI37" s="92"/>
      <c r="AJ37" s="92"/>
      <c r="AK37" s="92"/>
    </row>
    <row r="38" spans="1:37" ht="36.75" customHeight="1">
      <c r="A38" s="67"/>
      <c r="B38" s="57">
        <v>710601</v>
      </c>
      <c r="C38" s="58" t="s">
        <v>62</v>
      </c>
      <c r="D38" s="59">
        <v>351308.44</v>
      </c>
      <c r="E38" s="60"/>
      <c r="F38" s="61" t="e">
        <f>+#REF!+#REF!+#REF!+#REF!+#REF!+#REF!+#REF!</f>
        <v>#REF!</v>
      </c>
      <c r="G38" s="61" t="e">
        <f>+F38</f>
        <v>#REF!</v>
      </c>
      <c r="H38" s="62" t="e">
        <f>+G38</f>
        <v>#REF!</v>
      </c>
      <c r="I38" s="63"/>
      <c r="J38" s="61">
        <f>+I38</f>
        <v>0</v>
      </c>
      <c r="K38" s="61">
        <f>+J38</f>
        <v>0</v>
      </c>
      <c r="L38" s="61">
        <f>+'[1]RESUMEN PERSONAL'!F13+'[1]RESUMEN PERSONAL'!G13+'[1]RESUMEN PERSONAL'!H13</f>
        <v>481325.5</v>
      </c>
      <c r="M38" s="59">
        <f t="shared" si="12"/>
        <v>481325.5</v>
      </c>
      <c r="N38" s="64">
        <f>+'[1]RESUMEN PERSONAL'!F7+'[1]RESUMEN PERSONAL'!F8+'[1]RESUMEN PERSONAL'!F9+'[1]RESUMEN PERSONAL'!F10+'[1]RESUMEN PERSONAL'!G7+'[1]RESUMEN PERSONAL'!G8+'[1]RESUMEN PERSONAL'!G9+'[1]RESUMEN PERSONAL'!G10+'[1]RESUMEN PERSONAL'!H9+'[1]RESUMEN PERSONAL'!H10</f>
        <v>371207.25999999995</v>
      </c>
      <c r="O38" s="64"/>
      <c r="P38" s="64"/>
      <c r="Q38" s="64"/>
      <c r="R38" s="64">
        <f>+'[1]RESUMEN PERSONAL'!F11+'[1]RESUMEN PERSONAL'!G11+'[1]RESUMEN PERSONAL'!H11</f>
        <v>110118.23999999999</v>
      </c>
      <c r="S38" s="64"/>
      <c r="T38" s="64">
        <f>+'[1]RESUMEN PERSONAL'!F9+'[1]RESUMEN PERSONAL'!F10+'[1]RESUMEN PERSONAL'!F11+'[1]RESUMEN PERSONAL'!G9+'[1]RESUMEN PERSONAL'!G10+'[1]RESUMEN PERSONAL'!G11+'[1]RESUMEN PERSONAL'!H9+'[1]RESUMEN PERSONAL'!H10+'[1]RESUMEN PERSONAL'!H11</f>
        <v>342404.93</v>
      </c>
      <c r="U38" s="64">
        <f>+'[1]RESUMEN PERSONAL'!F7+'[1]RESUMEN PERSONAL'!F8+'[1]RESUMEN PERSONAL'!G7+'[1]RESUMEN PERSONAL'!G8</f>
        <v>138920.57</v>
      </c>
      <c r="V38" s="65" t="e">
        <f>+I38+G38</f>
        <v>#REF!</v>
      </c>
      <c r="W38" s="66"/>
      <c r="Y38" s="66"/>
      <c r="AI38" s="92"/>
      <c r="AJ38" s="92"/>
      <c r="AK38" s="92"/>
    </row>
    <row r="39" spans="1:37" ht="19.5" customHeight="1">
      <c r="A39" s="67"/>
      <c r="B39" s="57">
        <v>710602</v>
      </c>
      <c r="C39" s="58" t="s">
        <v>63</v>
      </c>
      <c r="D39" s="59">
        <v>209988.74</v>
      </c>
      <c r="E39" s="60"/>
      <c r="F39" s="61" t="e">
        <f>+#REF!+#REF!+#REF!</f>
        <v>#REF!</v>
      </c>
      <c r="G39" s="61" t="e">
        <f>+F39</f>
        <v>#REF!</v>
      </c>
      <c r="H39" s="62" t="e">
        <f>+G39</f>
        <v>#REF!</v>
      </c>
      <c r="I39" s="63"/>
      <c r="J39" s="61">
        <f>+I39</f>
        <v>0</v>
      </c>
      <c r="K39" s="61">
        <f>+J39</f>
        <v>0</v>
      </c>
      <c r="L39" s="61">
        <f>+'[1]RESUMEN PERSONAL'!I13</f>
        <v>261108.2</v>
      </c>
      <c r="M39" s="59">
        <f t="shared" si="12"/>
        <v>261108.2</v>
      </c>
      <c r="N39" s="64">
        <f>+'[1]RESUMEN PERSONAL'!I7+'[1]RESUMEN PERSONAL'!I8+'[1]RESUMEN PERSONAL'!I9+'[1]RESUMEN PERSONAL'!I10</f>
        <v>261108.2</v>
      </c>
      <c r="O39" s="64"/>
      <c r="P39" s="64"/>
      <c r="Q39" s="64"/>
      <c r="R39" s="64"/>
      <c r="S39" s="64"/>
      <c r="T39" s="64">
        <f>+'[1]RESUMEN PERSONAL'!I9+'[1]RESUMEN PERSONAL'!I10+'[1]RESUMEN PERSONAL'!I11</f>
        <v>159255.17000000001</v>
      </c>
      <c r="U39" s="64">
        <f>+'[1]RESUMEN PERSONAL'!I7+'[1]RESUMEN PERSONAL'!I8</f>
        <v>101853.03</v>
      </c>
      <c r="V39" s="65" t="e">
        <f>+I39+G39</f>
        <v>#REF!</v>
      </c>
      <c r="W39" s="66"/>
      <c r="Y39" s="66"/>
      <c r="AI39" s="92"/>
      <c r="AJ39" s="92"/>
      <c r="AK39" s="92"/>
    </row>
    <row r="40" spans="1:37" ht="19.5" customHeight="1">
      <c r="A40" s="67"/>
      <c r="B40" s="57">
        <v>710603</v>
      </c>
      <c r="C40" s="58" t="s">
        <v>64</v>
      </c>
      <c r="D40" s="69">
        <v>100756.18</v>
      </c>
      <c r="E40" s="60">
        <v>0</v>
      </c>
      <c r="F40" s="61"/>
      <c r="G40" s="61"/>
      <c r="H40" s="62"/>
      <c r="I40" s="63"/>
      <c r="J40" s="61"/>
      <c r="K40" s="61"/>
      <c r="L40" s="61">
        <f>+'[1]RESUMEN PERSONAL'!O13</f>
        <v>314820</v>
      </c>
      <c r="M40" s="59">
        <f t="shared" si="12"/>
        <v>314820</v>
      </c>
      <c r="N40" s="64"/>
      <c r="O40" s="64"/>
      <c r="P40" s="64"/>
      <c r="Q40" s="64"/>
      <c r="R40" s="64">
        <f>+M40-N40-Q40</f>
        <v>314820</v>
      </c>
      <c r="S40" s="64"/>
      <c r="T40" s="64">
        <f>+M40</f>
        <v>314820</v>
      </c>
      <c r="U40" s="64"/>
      <c r="V40" s="65"/>
      <c r="W40" s="66"/>
      <c r="Y40" s="66"/>
      <c r="AI40" s="92"/>
      <c r="AJ40" s="92"/>
      <c r="AK40" s="92"/>
    </row>
    <row r="41" spans="1:37" ht="19.5" customHeight="1">
      <c r="A41" s="67"/>
      <c r="B41" s="57">
        <v>710702</v>
      </c>
      <c r="C41" s="58" t="s">
        <v>65</v>
      </c>
      <c r="D41" s="69">
        <v>32462.5</v>
      </c>
      <c r="E41" s="68" t="s">
        <v>66</v>
      </c>
      <c r="F41" s="61"/>
      <c r="G41" s="61"/>
      <c r="H41" s="62"/>
      <c r="I41" s="63"/>
      <c r="J41" s="61"/>
      <c r="K41" s="61"/>
      <c r="L41" s="61"/>
      <c r="M41" s="59">
        <f t="shared" si="12"/>
        <v>0</v>
      </c>
      <c r="N41" s="64"/>
      <c r="O41" s="64"/>
      <c r="P41" s="64"/>
      <c r="Q41" s="64"/>
      <c r="R41" s="64">
        <f>+M41-N41-Q41</f>
        <v>0</v>
      </c>
      <c r="S41" s="64"/>
      <c r="T41" s="64">
        <f>+M41</f>
        <v>0</v>
      </c>
      <c r="U41" s="64"/>
      <c r="V41" s="65"/>
      <c r="W41" s="66"/>
      <c r="Y41" s="66"/>
      <c r="AI41" s="92"/>
      <c r="AJ41" s="92"/>
      <c r="AK41" s="92"/>
    </row>
    <row r="42" spans="1:37" ht="19.5" customHeight="1">
      <c r="A42" s="67"/>
      <c r="B42" s="57">
        <v>710710</v>
      </c>
      <c r="C42" s="58" t="s">
        <v>67</v>
      </c>
      <c r="D42" s="69">
        <v>28537.5</v>
      </c>
      <c r="E42" s="68"/>
      <c r="F42" s="61">
        <v>131000</v>
      </c>
      <c r="G42" s="61">
        <v>131000</v>
      </c>
      <c r="H42" s="62">
        <f>+G42</f>
        <v>131000</v>
      </c>
      <c r="I42" s="63"/>
      <c r="J42" s="61"/>
      <c r="K42" s="61"/>
      <c r="L42" s="61"/>
      <c r="M42" s="59">
        <f t="shared" si="12"/>
        <v>0</v>
      </c>
      <c r="N42" s="64"/>
      <c r="O42" s="64"/>
      <c r="P42" s="64"/>
      <c r="Q42" s="64"/>
      <c r="R42" s="64"/>
      <c r="S42" s="64"/>
      <c r="T42" s="64"/>
      <c r="U42" s="64"/>
      <c r="V42" s="65"/>
      <c r="W42" s="66"/>
      <c r="Y42" s="66"/>
      <c r="AI42" s="92"/>
      <c r="AJ42" s="92"/>
      <c r="AK42" s="92"/>
    </row>
    <row r="43" spans="1:37" ht="19.5" customHeight="1">
      <c r="A43" s="67"/>
      <c r="B43" s="57">
        <v>710709</v>
      </c>
      <c r="C43" s="58" t="s">
        <v>68</v>
      </c>
      <c r="D43" s="69">
        <v>0</v>
      </c>
      <c r="E43" s="68" t="s">
        <v>66</v>
      </c>
      <c r="F43" s="61">
        <v>30000</v>
      </c>
      <c r="G43" s="61">
        <v>30000</v>
      </c>
      <c r="H43" s="62">
        <f>+G43</f>
        <v>30000</v>
      </c>
      <c r="I43" s="63"/>
      <c r="J43" s="61"/>
      <c r="K43" s="61"/>
      <c r="L43" s="61"/>
      <c r="M43" s="59">
        <f t="shared" si="12"/>
        <v>0</v>
      </c>
      <c r="N43" s="64"/>
      <c r="O43" s="64"/>
      <c r="P43" s="64"/>
      <c r="Q43" s="64"/>
      <c r="R43" s="64"/>
      <c r="S43" s="64"/>
      <c r="T43" s="64"/>
      <c r="U43" s="64"/>
      <c r="V43" s="65"/>
      <c r="W43" s="66"/>
      <c r="Y43" s="66"/>
      <c r="AI43" s="92"/>
      <c r="AJ43" s="92"/>
      <c r="AK43" s="92"/>
    </row>
    <row r="44" spans="1:37" ht="19.5" customHeight="1">
      <c r="A44" s="67"/>
      <c r="B44" s="57">
        <v>710706</v>
      </c>
      <c r="C44" s="58" t="s">
        <v>69</v>
      </c>
      <c r="D44" s="69"/>
      <c r="E44" s="68"/>
      <c r="F44" s="61">
        <f>184756.18-80000</f>
        <v>104756.18</v>
      </c>
      <c r="G44" s="61">
        <f>+F44</f>
        <v>104756.18</v>
      </c>
      <c r="H44" s="62">
        <f>+G44</f>
        <v>104756.18</v>
      </c>
      <c r="I44" s="63"/>
      <c r="J44" s="61">
        <f>+I44</f>
        <v>0</v>
      </c>
      <c r="K44" s="61">
        <f>+J44</f>
        <v>0</v>
      </c>
      <c r="L44" s="61"/>
      <c r="M44" s="59">
        <f t="shared" si="12"/>
        <v>0</v>
      </c>
      <c r="N44" s="64"/>
      <c r="O44" s="64"/>
      <c r="P44" s="64"/>
      <c r="Q44" s="64"/>
      <c r="R44" s="64"/>
      <c r="S44" s="64"/>
      <c r="T44" s="64"/>
      <c r="U44" s="64"/>
      <c r="V44" s="65">
        <f>+I44+G44</f>
        <v>104756.18</v>
      </c>
      <c r="W44" s="66"/>
      <c r="Y44" s="66"/>
      <c r="AI44" s="92"/>
      <c r="AJ44" s="92"/>
      <c r="AK44" s="92"/>
    </row>
    <row r="45" spans="1:37" ht="36.75" customHeight="1">
      <c r="A45" s="67"/>
      <c r="B45" s="57">
        <v>710707</v>
      </c>
      <c r="C45" s="58" t="s">
        <v>70</v>
      </c>
      <c r="D45" s="69">
        <v>32199</v>
      </c>
      <c r="E45" s="68">
        <v>500</v>
      </c>
      <c r="F45" s="61"/>
      <c r="G45" s="61"/>
      <c r="H45" s="62"/>
      <c r="I45" s="63"/>
      <c r="J45" s="61"/>
      <c r="K45" s="61"/>
      <c r="L45" s="61">
        <f>+D45</f>
        <v>32199</v>
      </c>
      <c r="M45" s="59">
        <f t="shared" si="12"/>
        <v>32199</v>
      </c>
      <c r="N45" s="64">
        <v>10000</v>
      </c>
      <c r="O45" s="64"/>
      <c r="P45" s="64"/>
      <c r="Q45" s="64"/>
      <c r="R45" s="64">
        <f>+M45-N45-Q45</f>
        <v>22199</v>
      </c>
      <c r="S45" s="64"/>
      <c r="T45" s="64"/>
      <c r="U45" s="64">
        <f>+M45</f>
        <v>32199</v>
      </c>
      <c r="V45" s="65"/>
      <c r="W45" s="66"/>
      <c r="Y45" s="66"/>
      <c r="AI45" s="92"/>
      <c r="AJ45" s="92"/>
      <c r="AK45" s="92"/>
    </row>
    <row r="46" spans="1:37" ht="28.5" customHeight="1">
      <c r="A46" s="67"/>
      <c r="B46" s="57">
        <v>710799</v>
      </c>
      <c r="C46" s="58" t="s">
        <v>71</v>
      </c>
      <c r="D46" s="69"/>
      <c r="E46" s="68" t="s">
        <v>66</v>
      </c>
      <c r="F46" s="61">
        <v>0</v>
      </c>
      <c r="G46" s="61"/>
      <c r="H46" s="62"/>
      <c r="I46" s="63"/>
      <c r="J46" s="61"/>
      <c r="K46" s="61"/>
      <c r="L46" s="61">
        <f>+D46</f>
        <v>0</v>
      </c>
      <c r="M46" s="59">
        <f t="shared" si="12"/>
        <v>0</v>
      </c>
      <c r="N46" s="64">
        <f>+M46</f>
        <v>0</v>
      </c>
      <c r="O46" s="64"/>
      <c r="P46" s="64"/>
      <c r="Q46" s="64"/>
      <c r="R46" s="64"/>
      <c r="S46" s="64"/>
      <c r="T46" s="64"/>
      <c r="U46" s="64"/>
      <c r="V46" s="65"/>
      <c r="W46" s="66"/>
      <c r="Y46" s="66"/>
      <c r="AI46" s="92"/>
      <c r="AJ46" s="92"/>
      <c r="AK46" s="92"/>
    </row>
    <row r="47" spans="1:37" ht="43.5" customHeight="1">
      <c r="A47" s="67"/>
      <c r="B47" s="57">
        <v>719901</v>
      </c>
      <c r="C47" s="95" t="s">
        <v>72</v>
      </c>
      <c r="D47" s="59"/>
      <c r="E47" s="60"/>
      <c r="F47" s="61">
        <v>0</v>
      </c>
      <c r="G47" s="61"/>
      <c r="H47" s="62"/>
      <c r="I47" s="63"/>
      <c r="J47" s="61"/>
      <c r="K47" s="61"/>
      <c r="L47" s="61"/>
      <c r="M47" s="59">
        <f t="shared" si="12"/>
        <v>0</v>
      </c>
      <c r="N47" s="64"/>
      <c r="O47" s="64"/>
      <c r="P47" s="64"/>
      <c r="Q47" s="64"/>
      <c r="R47" s="64"/>
      <c r="S47" s="64"/>
      <c r="T47" s="64"/>
      <c r="U47" s="64"/>
      <c r="V47" s="65"/>
      <c r="W47" s="66"/>
      <c r="Y47" s="66"/>
      <c r="AI47" s="92"/>
      <c r="AJ47" s="92"/>
      <c r="AK47" s="92"/>
    </row>
    <row r="48" spans="1:37" s="49" customFormat="1" ht="18">
      <c r="A48" s="71"/>
      <c r="B48" s="72"/>
      <c r="C48" s="91" t="s">
        <v>73</v>
      </c>
      <c r="D48" s="83">
        <f>SUM(D49:D71)</f>
        <v>204306.16500000001</v>
      </c>
      <c r="E48" s="84">
        <f t="shared" ref="E48:U48" si="14">SUM(E49:E75)</f>
        <v>46580.664999999994</v>
      </c>
      <c r="F48" s="85">
        <f t="shared" si="14"/>
        <v>619305.80700000003</v>
      </c>
      <c r="G48" s="85">
        <f t="shared" si="14"/>
        <v>261698.11975000001</v>
      </c>
      <c r="H48" s="86">
        <f t="shared" si="14"/>
        <v>179370.81975</v>
      </c>
      <c r="I48" s="87">
        <f t="shared" si="14"/>
        <v>74401.240000000005</v>
      </c>
      <c r="J48" s="85">
        <f t="shared" si="14"/>
        <v>74333.55</v>
      </c>
      <c r="K48" s="85">
        <f t="shared" si="14"/>
        <v>120073.33499999999</v>
      </c>
      <c r="L48" s="85">
        <f t="shared" si="14"/>
        <v>0</v>
      </c>
      <c r="M48" s="83">
        <f t="shared" si="14"/>
        <v>268808.125</v>
      </c>
      <c r="N48" s="88">
        <f t="shared" si="14"/>
        <v>132851.51749999999</v>
      </c>
      <c r="O48" s="88">
        <f t="shared" si="14"/>
        <v>91808.97</v>
      </c>
      <c r="P48" s="88">
        <f t="shared" si="14"/>
        <v>2061.7399999999998</v>
      </c>
      <c r="Q48" s="88">
        <f t="shared" si="14"/>
        <v>0</v>
      </c>
      <c r="R48" s="88">
        <f t="shared" si="14"/>
        <v>135956.60750000001</v>
      </c>
      <c r="S48" s="88">
        <f t="shared" si="14"/>
        <v>0</v>
      </c>
      <c r="T48" s="88">
        <f>SUM(T49:T75)</f>
        <v>154658.76999999999</v>
      </c>
      <c r="U48" s="88">
        <f t="shared" si="14"/>
        <v>114149.35500000001</v>
      </c>
      <c r="V48" s="54"/>
      <c r="W48" s="55"/>
      <c r="Y48" s="55"/>
      <c r="AI48" s="92"/>
      <c r="AJ48" s="92"/>
      <c r="AK48" s="92"/>
    </row>
    <row r="49" spans="1:37" ht="21" customHeight="1">
      <c r="A49" s="67"/>
      <c r="B49" s="57">
        <v>730101</v>
      </c>
      <c r="C49" s="58" t="s">
        <v>74</v>
      </c>
      <c r="D49" s="59">
        <f>428.69*1.5</f>
        <v>643.03499999999997</v>
      </c>
      <c r="E49" s="60">
        <v>271</v>
      </c>
      <c r="F49" s="61">
        <f>(E49*1.05)*12</f>
        <v>3414.6000000000004</v>
      </c>
      <c r="G49" s="61">
        <f t="shared" ref="G49:J52" si="15">+F49</f>
        <v>3414.6000000000004</v>
      </c>
      <c r="H49" s="62">
        <f t="shared" si="15"/>
        <v>3414.6000000000004</v>
      </c>
      <c r="I49" s="63"/>
      <c r="J49" s="61">
        <f t="shared" si="15"/>
        <v>0</v>
      </c>
      <c r="K49" s="61">
        <v>1200</v>
      </c>
      <c r="L49" s="96"/>
      <c r="M49" s="59">
        <f t="shared" si="12"/>
        <v>1200</v>
      </c>
      <c r="N49" s="64">
        <f t="shared" ref="N49:N54" si="16">+M49</f>
        <v>1200</v>
      </c>
      <c r="O49" s="64"/>
      <c r="P49" s="64"/>
      <c r="Q49" s="64"/>
      <c r="R49" s="64"/>
      <c r="S49" s="64"/>
      <c r="T49" s="64"/>
      <c r="U49" s="64">
        <f>+M49</f>
        <v>1200</v>
      </c>
      <c r="V49" s="65"/>
      <c r="W49" s="66"/>
      <c r="Y49" s="66"/>
      <c r="AI49" s="92"/>
      <c r="AJ49" s="92"/>
      <c r="AK49" s="92"/>
    </row>
    <row r="50" spans="1:37" ht="21" customHeight="1">
      <c r="A50" s="67"/>
      <c r="B50" s="57">
        <v>730104</v>
      </c>
      <c r="C50" s="58" t="s">
        <v>75</v>
      </c>
      <c r="D50" s="59">
        <f>1745.6*1.5</f>
        <v>2618.3999999999996</v>
      </c>
      <c r="E50" s="60">
        <v>153.61000000000001</v>
      </c>
      <c r="F50" s="61">
        <f>(E50*1.05)*12</f>
        <v>1935.4860000000001</v>
      </c>
      <c r="G50" s="61">
        <f t="shared" si="15"/>
        <v>1935.4860000000001</v>
      </c>
      <c r="H50" s="62">
        <f t="shared" si="15"/>
        <v>1935.4860000000001</v>
      </c>
      <c r="I50" s="63"/>
      <c r="J50" s="61">
        <f t="shared" si="15"/>
        <v>0</v>
      </c>
      <c r="K50" s="61">
        <v>2400</v>
      </c>
      <c r="L50" s="96"/>
      <c r="M50" s="59">
        <f t="shared" si="12"/>
        <v>2400</v>
      </c>
      <c r="N50" s="64">
        <f t="shared" si="16"/>
        <v>2400</v>
      </c>
      <c r="O50" s="64"/>
      <c r="P50" s="64"/>
      <c r="Q50" s="64"/>
      <c r="R50" s="64"/>
      <c r="S50" s="64"/>
      <c r="T50" s="64"/>
      <c r="U50" s="64">
        <f>+M50</f>
        <v>2400</v>
      </c>
      <c r="V50" s="65"/>
      <c r="W50" s="66"/>
      <c r="Y50" s="66"/>
      <c r="AI50" s="92"/>
      <c r="AJ50" s="92"/>
      <c r="AK50" s="92"/>
    </row>
    <row r="51" spans="1:37" ht="21" customHeight="1">
      <c r="A51" s="67"/>
      <c r="B51" s="57">
        <v>730105</v>
      </c>
      <c r="C51" s="58" t="s">
        <v>76</v>
      </c>
      <c r="D51" s="59">
        <f>3697.25*1.5</f>
        <v>5545.875</v>
      </c>
      <c r="E51" s="60">
        <f>209.71+107.32+(7200/12)</f>
        <v>917.03</v>
      </c>
      <c r="F51" s="61">
        <f>(E51*1.05)*12</f>
        <v>11554.578</v>
      </c>
      <c r="G51" s="61">
        <f t="shared" si="15"/>
        <v>11554.578</v>
      </c>
      <c r="H51" s="62">
        <f t="shared" si="15"/>
        <v>11554.578</v>
      </c>
      <c r="I51" s="63"/>
      <c r="J51" s="61"/>
      <c r="K51" s="61">
        <f>6123.48/2</f>
        <v>3061.74</v>
      </c>
      <c r="L51" s="96"/>
      <c r="M51" s="59">
        <f t="shared" si="12"/>
        <v>3061.74</v>
      </c>
      <c r="N51" s="64">
        <f t="shared" si="16"/>
        <v>3061.74</v>
      </c>
      <c r="O51" s="64">
        <v>1000</v>
      </c>
      <c r="P51" s="64">
        <f>+N51-O51</f>
        <v>2061.7399999999998</v>
      </c>
      <c r="Q51" s="64"/>
      <c r="R51" s="64"/>
      <c r="S51" s="64"/>
      <c r="T51" s="64"/>
      <c r="U51" s="64">
        <f>+M51</f>
        <v>3061.74</v>
      </c>
      <c r="V51" s="65" t="s">
        <v>77</v>
      </c>
      <c r="W51" s="66" t="s">
        <v>78</v>
      </c>
      <c r="Y51" s="66" t="s">
        <v>79</v>
      </c>
      <c r="AI51" s="92"/>
      <c r="AJ51" s="92"/>
      <c r="AK51" s="92"/>
    </row>
    <row r="52" spans="1:37" ht="21" customHeight="1">
      <c r="A52" s="67"/>
      <c r="B52" s="57">
        <v>730106</v>
      </c>
      <c r="C52" s="58" t="s">
        <v>80</v>
      </c>
      <c r="D52" s="59">
        <f>6*1.5</f>
        <v>9</v>
      </c>
      <c r="E52" s="60">
        <v>20</v>
      </c>
      <c r="F52" s="61">
        <f>(E52*1.05)*12</f>
        <v>252</v>
      </c>
      <c r="G52" s="61">
        <f t="shared" si="15"/>
        <v>252</v>
      </c>
      <c r="H52" s="62">
        <f t="shared" si="15"/>
        <v>252</v>
      </c>
      <c r="I52" s="63"/>
      <c r="J52" s="61">
        <f t="shared" si="15"/>
        <v>0</v>
      </c>
      <c r="K52" s="61">
        <v>250</v>
      </c>
      <c r="L52" s="96"/>
      <c r="M52" s="59">
        <f t="shared" si="12"/>
        <v>250</v>
      </c>
      <c r="N52" s="64">
        <f t="shared" si="16"/>
        <v>250</v>
      </c>
      <c r="O52" s="64"/>
      <c r="P52" s="64"/>
      <c r="Q52" s="64"/>
      <c r="R52" s="64"/>
      <c r="S52" s="64"/>
      <c r="T52" s="64"/>
      <c r="U52" s="64">
        <f>+M52</f>
        <v>250</v>
      </c>
      <c r="V52" s="65"/>
      <c r="W52" s="66"/>
      <c r="Y52" s="66"/>
      <c r="AI52" s="92"/>
      <c r="AJ52" s="92"/>
      <c r="AK52" s="92"/>
    </row>
    <row r="53" spans="1:37" ht="20.25" customHeight="1">
      <c r="A53" s="67"/>
      <c r="B53" s="57">
        <v>730202</v>
      </c>
      <c r="C53" s="58" t="s">
        <v>81</v>
      </c>
      <c r="D53" s="59">
        <f>200*1.5</f>
        <v>300</v>
      </c>
      <c r="E53" s="60"/>
      <c r="F53" s="61">
        <v>0</v>
      </c>
      <c r="G53" s="61"/>
      <c r="H53" s="62">
        <f>+G53</f>
        <v>0</v>
      </c>
      <c r="I53" s="63"/>
      <c r="J53" s="61"/>
      <c r="K53" s="61">
        <v>1000</v>
      </c>
      <c r="L53" s="96"/>
      <c r="M53" s="59">
        <f t="shared" si="12"/>
        <v>1000</v>
      </c>
      <c r="N53" s="64">
        <f t="shared" si="16"/>
        <v>1000</v>
      </c>
      <c r="O53" s="64"/>
      <c r="P53" s="64"/>
      <c r="Q53" s="64"/>
      <c r="R53" s="64"/>
      <c r="S53" s="64"/>
      <c r="T53" s="64"/>
      <c r="U53" s="64">
        <f>+N53</f>
        <v>1000</v>
      </c>
      <c r="V53" s="65"/>
      <c r="W53" s="66"/>
      <c r="Y53" s="66"/>
      <c r="AI53" s="92"/>
      <c r="AJ53" s="92"/>
      <c r="AK53" s="92"/>
    </row>
    <row r="54" spans="1:37" ht="33" customHeight="1">
      <c r="A54" s="67"/>
      <c r="B54" s="57">
        <v>730203</v>
      </c>
      <c r="C54" s="58" t="s">
        <v>82</v>
      </c>
      <c r="D54" s="59">
        <f>372*1.5</f>
        <v>558</v>
      </c>
      <c r="E54" s="60"/>
      <c r="F54" s="61"/>
      <c r="G54" s="61"/>
      <c r="H54" s="62"/>
      <c r="I54" s="63"/>
      <c r="J54" s="61"/>
      <c r="K54" s="61">
        <v>800</v>
      </c>
      <c r="L54" s="96"/>
      <c r="M54" s="59">
        <f t="shared" si="12"/>
        <v>800</v>
      </c>
      <c r="N54" s="64">
        <f t="shared" si="16"/>
        <v>800</v>
      </c>
      <c r="O54" s="64"/>
      <c r="P54" s="64"/>
      <c r="Q54" s="64"/>
      <c r="R54" s="64"/>
      <c r="S54" s="64"/>
      <c r="T54" s="64"/>
      <c r="U54" s="64">
        <f>+N54</f>
        <v>800</v>
      </c>
      <c r="V54" s="65"/>
      <c r="W54" s="66"/>
      <c r="Y54" s="66"/>
      <c r="AI54" s="92"/>
      <c r="AJ54" s="92"/>
      <c r="AK54" s="92"/>
    </row>
    <row r="55" spans="1:37" ht="38.25" customHeight="1">
      <c r="A55" s="67"/>
      <c r="B55" s="57">
        <v>730204</v>
      </c>
      <c r="C55" s="58" t="s">
        <v>83</v>
      </c>
      <c r="D55" s="59">
        <f>8746.89*1.5</f>
        <v>13120.334999999999</v>
      </c>
      <c r="E55" s="60">
        <v>500</v>
      </c>
      <c r="F55" s="61">
        <f>(E55*1.05)*12</f>
        <v>6300</v>
      </c>
      <c r="G55" s="61">
        <f t="shared" ref="G55:H57" si="17">+F55</f>
        <v>6300</v>
      </c>
      <c r="H55" s="62">
        <f t="shared" si="17"/>
        <v>6300</v>
      </c>
      <c r="I55" s="63"/>
      <c r="J55" s="61">
        <f>+I55</f>
        <v>0</v>
      </c>
      <c r="K55" s="61">
        <v>13866</v>
      </c>
      <c r="L55" s="96"/>
      <c r="M55" s="59">
        <f t="shared" si="12"/>
        <v>13866</v>
      </c>
      <c r="N55" s="64">
        <f>+M55</f>
        <v>13866</v>
      </c>
      <c r="O55" s="64">
        <f>+N55</f>
        <v>13866</v>
      </c>
      <c r="P55" s="64"/>
      <c r="Q55" s="64"/>
      <c r="R55" s="64">
        <f>+M55-N55-Q55</f>
        <v>0</v>
      </c>
      <c r="S55" s="64"/>
      <c r="T55" s="64"/>
      <c r="U55" s="64">
        <f>+M55</f>
        <v>13866</v>
      </c>
      <c r="V55" s="65" t="s">
        <v>84</v>
      </c>
      <c r="W55" s="66"/>
      <c r="Y55" s="66"/>
      <c r="AI55" s="92"/>
      <c r="AJ55" s="92"/>
      <c r="AK55" s="92"/>
    </row>
    <row r="56" spans="1:37" ht="21" customHeight="1">
      <c r="A56" s="67"/>
      <c r="B56" s="57">
        <v>730206</v>
      </c>
      <c r="C56" s="58" t="s">
        <v>85</v>
      </c>
      <c r="D56" s="59">
        <v>0</v>
      </c>
      <c r="E56" s="60">
        <v>500</v>
      </c>
      <c r="F56" s="61">
        <f>(E56*1.05)*12</f>
        <v>6300</v>
      </c>
      <c r="G56" s="61">
        <f t="shared" si="17"/>
        <v>6300</v>
      </c>
      <c r="H56" s="62">
        <f t="shared" si="17"/>
        <v>6300</v>
      </c>
      <c r="I56" s="63"/>
      <c r="J56" s="61">
        <f>+I56</f>
        <v>0</v>
      </c>
      <c r="K56" s="61"/>
      <c r="L56" s="96"/>
      <c r="M56" s="59">
        <f>SUM(I56:L56)</f>
        <v>0</v>
      </c>
      <c r="N56" s="64"/>
      <c r="O56" s="64"/>
      <c r="P56" s="64"/>
      <c r="Q56" s="64"/>
      <c r="R56" s="64">
        <f>+M56</f>
        <v>0</v>
      </c>
      <c r="S56" s="64"/>
      <c r="T56" s="64"/>
      <c r="U56" s="64">
        <f>+M56</f>
        <v>0</v>
      </c>
      <c r="V56" s="65" t="s">
        <v>86</v>
      </c>
      <c r="W56" s="66"/>
      <c r="Y56" s="66"/>
      <c r="AI56" s="92"/>
      <c r="AJ56" s="92"/>
      <c r="AK56" s="92"/>
    </row>
    <row r="57" spans="1:37" ht="21" customHeight="1">
      <c r="A57" s="67"/>
      <c r="B57" s="57">
        <v>730207</v>
      </c>
      <c r="C57" s="58" t="s">
        <v>87</v>
      </c>
      <c r="D57" s="59"/>
      <c r="E57" s="60">
        <v>170</v>
      </c>
      <c r="F57" s="61">
        <f>(E57*1.05)*12+48000</f>
        <v>50142</v>
      </c>
      <c r="G57" s="61">
        <f t="shared" si="17"/>
        <v>50142</v>
      </c>
      <c r="H57" s="62">
        <f t="shared" si="17"/>
        <v>50142</v>
      </c>
      <c r="I57" s="63"/>
      <c r="J57" s="61">
        <f>+I57</f>
        <v>0</v>
      </c>
      <c r="K57" s="61"/>
      <c r="L57" s="96"/>
      <c r="M57" s="59">
        <f t="shared" si="12"/>
        <v>0</v>
      </c>
      <c r="N57" s="64"/>
      <c r="O57" s="64"/>
      <c r="P57" s="64"/>
      <c r="Q57" s="64"/>
      <c r="R57" s="64"/>
      <c r="S57" s="64"/>
      <c r="T57" s="64"/>
      <c r="U57" s="64">
        <f>+M57</f>
        <v>0</v>
      </c>
      <c r="V57" s="65" t="s">
        <v>88</v>
      </c>
      <c r="W57" s="66"/>
      <c r="Y57" s="66"/>
      <c r="AI57" s="92"/>
      <c r="AJ57" s="92"/>
      <c r="AK57" s="92"/>
    </row>
    <row r="58" spans="1:37" ht="21" customHeight="1">
      <c r="A58" s="67"/>
      <c r="B58" s="57">
        <v>730208</v>
      </c>
      <c r="C58" s="58" t="s">
        <v>89</v>
      </c>
      <c r="D58" s="59"/>
      <c r="E58" s="60"/>
      <c r="F58" s="61"/>
      <c r="G58" s="61"/>
      <c r="H58" s="62"/>
      <c r="I58" s="63"/>
      <c r="J58" s="61"/>
      <c r="K58" s="61"/>
      <c r="L58" s="96"/>
      <c r="M58" s="59">
        <f t="shared" si="12"/>
        <v>0</v>
      </c>
      <c r="N58" s="64"/>
      <c r="O58" s="64"/>
      <c r="P58" s="64"/>
      <c r="Q58" s="64"/>
      <c r="R58" s="64">
        <f>+M58-N58-Q58</f>
        <v>0</v>
      </c>
      <c r="S58" s="64"/>
      <c r="T58" s="64"/>
      <c r="U58" s="64">
        <f>+M58</f>
        <v>0</v>
      </c>
      <c r="V58" s="65"/>
      <c r="W58" s="66"/>
      <c r="Y58" s="66"/>
      <c r="AI58" s="92"/>
      <c r="AJ58" s="92"/>
      <c r="AK58" s="92"/>
    </row>
    <row r="59" spans="1:37" ht="21" customHeight="1">
      <c r="A59" s="67"/>
      <c r="B59" s="57">
        <v>730209</v>
      </c>
      <c r="C59" s="58" t="s">
        <v>90</v>
      </c>
      <c r="D59" s="59">
        <f>16998.26*1.5</f>
        <v>25497.39</v>
      </c>
      <c r="E59" s="60"/>
      <c r="F59" s="61"/>
      <c r="G59" s="61"/>
      <c r="H59" s="62"/>
      <c r="I59" s="63"/>
      <c r="J59" s="61"/>
      <c r="K59" s="61">
        <v>35000</v>
      </c>
      <c r="L59" s="96"/>
      <c r="M59" s="59">
        <f t="shared" si="12"/>
        <v>35000</v>
      </c>
      <c r="N59" s="64">
        <v>10000</v>
      </c>
      <c r="O59" s="64">
        <v>10000</v>
      </c>
      <c r="P59" s="64">
        <f>+N59-O59</f>
        <v>0</v>
      </c>
      <c r="Q59" s="64"/>
      <c r="R59" s="64">
        <f>+M59-N59-Q59</f>
        <v>25000</v>
      </c>
      <c r="S59" s="64"/>
      <c r="T59" s="64"/>
      <c r="U59" s="64">
        <f>+M59</f>
        <v>35000</v>
      </c>
      <c r="V59" s="65"/>
      <c r="W59" s="66"/>
      <c r="Y59" s="66"/>
      <c r="AI59" s="92"/>
      <c r="AJ59" s="92"/>
      <c r="AK59" s="92"/>
    </row>
    <row r="60" spans="1:37" ht="36" customHeight="1">
      <c r="A60" s="67"/>
      <c r="B60" s="57">
        <v>730217</v>
      </c>
      <c r="C60" s="58" t="s">
        <v>91</v>
      </c>
      <c r="D60" s="59">
        <f>12302.86*1.5</f>
        <v>18454.29</v>
      </c>
      <c r="E60" s="60"/>
      <c r="F60" s="61"/>
      <c r="G60" s="61"/>
      <c r="H60" s="62"/>
      <c r="I60" s="63"/>
      <c r="J60" s="61"/>
      <c r="K60" s="61">
        <v>10000</v>
      </c>
      <c r="L60" s="96"/>
      <c r="M60" s="59">
        <f t="shared" si="12"/>
        <v>10000</v>
      </c>
      <c r="N60" s="64"/>
      <c r="O60" s="64"/>
      <c r="P60" s="64"/>
      <c r="Q60" s="64"/>
      <c r="R60" s="64">
        <f>+M60-N60-Q60</f>
        <v>10000</v>
      </c>
      <c r="S60" s="64"/>
      <c r="T60" s="64">
        <f>+M60</f>
        <v>10000</v>
      </c>
      <c r="U60" s="64"/>
      <c r="V60" s="65"/>
      <c r="W60" s="66"/>
      <c r="Y60" s="66"/>
      <c r="AI60" s="92"/>
      <c r="AJ60" s="92"/>
      <c r="AK60" s="92"/>
    </row>
    <row r="61" spans="1:37" ht="36" customHeight="1">
      <c r="A61" s="67"/>
      <c r="B61" s="57">
        <v>730218</v>
      </c>
      <c r="C61" s="58" t="s">
        <v>92</v>
      </c>
      <c r="D61" s="59">
        <f>5295.88*1.5</f>
        <v>7943.82</v>
      </c>
      <c r="E61" s="60"/>
      <c r="F61" s="61"/>
      <c r="G61" s="61"/>
      <c r="H61" s="62"/>
      <c r="I61" s="63"/>
      <c r="J61" s="61"/>
      <c r="K61" s="61">
        <f>+D61</f>
        <v>7943.82</v>
      </c>
      <c r="L61" s="96"/>
      <c r="M61" s="59">
        <f t="shared" si="12"/>
        <v>7943.82</v>
      </c>
      <c r="N61" s="64">
        <f>+M61+10000</f>
        <v>17943.82</v>
      </c>
      <c r="O61" s="64">
        <f>7943.82+10000</f>
        <v>17943.82</v>
      </c>
      <c r="P61" s="64">
        <f>+N61-O61</f>
        <v>0</v>
      </c>
      <c r="Q61" s="64"/>
      <c r="R61" s="64">
        <f>+M61-N61-Q61</f>
        <v>-10000</v>
      </c>
      <c r="S61" s="64"/>
      <c r="T61" s="64">
        <f>+M61</f>
        <v>7943.82</v>
      </c>
      <c r="U61" s="64"/>
      <c r="V61" s="65"/>
      <c r="W61" s="66"/>
      <c r="Y61" s="66"/>
      <c r="AI61" s="92"/>
      <c r="AJ61" s="92"/>
      <c r="AK61" s="92"/>
    </row>
    <row r="62" spans="1:37" ht="21" customHeight="1">
      <c r="A62" s="67"/>
      <c r="B62" s="57">
        <v>730299.01</v>
      </c>
      <c r="C62" s="58" t="s">
        <v>93</v>
      </c>
      <c r="D62" s="59"/>
      <c r="E62" s="60">
        <v>83.22</v>
      </c>
      <c r="F62" s="61"/>
      <c r="G62" s="61">
        <f t="shared" ref="G62:G72" si="18">+F62</f>
        <v>0</v>
      </c>
      <c r="H62" s="62"/>
      <c r="I62" s="63">
        <f>+H62</f>
        <v>0</v>
      </c>
      <c r="J62" s="61">
        <f>+I62</f>
        <v>0</v>
      </c>
      <c r="K62" s="61"/>
      <c r="L62" s="96"/>
      <c r="M62" s="59">
        <f t="shared" si="12"/>
        <v>0</v>
      </c>
      <c r="N62" s="64"/>
      <c r="O62" s="64"/>
      <c r="P62" s="64"/>
      <c r="Q62" s="64"/>
      <c r="R62" s="64"/>
      <c r="S62" s="64"/>
      <c r="T62" s="64"/>
      <c r="U62" s="64"/>
      <c r="V62" s="65"/>
      <c r="W62" s="66"/>
      <c r="Y62" s="66"/>
      <c r="AI62" s="92"/>
      <c r="AJ62" s="92"/>
      <c r="AK62" s="92"/>
    </row>
    <row r="63" spans="1:37" ht="21" customHeight="1">
      <c r="A63" s="67"/>
      <c r="B63" s="57">
        <v>730299.02</v>
      </c>
      <c r="C63" s="58" t="s">
        <v>94</v>
      </c>
      <c r="D63" s="59"/>
      <c r="E63" s="60">
        <f>1500*9</f>
        <v>13500</v>
      </c>
      <c r="F63" s="61">
        <f t="shared" ref="F63:F71" si="19">(E63*1.05)*12</f>
        <v>170100</v>
      </c>
      <c r="G63" s="61">
        <f>+F63*0.35</f>
        <v>59534.999999999993</v>
      </c>
      <c r="H63" s="62">
        <f t="shared" ref="H63:H69" si="20">+G63</f>
        <v>59534.999999999993</v>
      </c>
      <c r="I63" s="63"/>
      <c r="J63" s="61">
        <f>+I63*0.35</f>
        <v>0</v>
      </c>
      <c r="K63" s="61"/>
      <c r="L63" s="96"/>
      <c r="M63" s="59"/>
      <c r="N63" s="64">
        <f>+M63</f>
        <v>0</v>
      </c>
      <c r="O63" s="64"/>
      <c r="P63" s="64"/>
      <c r="Q63" s="64"/>
      <c r="R63" s="64"/>
      <c r="S63" s="64"/>
      <c r="T63" s="64"/>
      <c r="U63" s="64">
        <f>+M63</f>
        <v>0</v>
      </c>
      <c r="V63" s="65" t="s">
        <v>95</v>
      </c>
      <c r="W63" s="66" t="s">
        <v>96</v>
      </c>
      <c r="Y63" s="66"/>
      <c r="AI63" s="92"/>
      <c r="AJ63" s="92"/>
      <c r="AK63" s="92"/>
    </row>
    <row r="64" spans="1:37" ht="21" customHeight="1">
      <c r="A64" s="67"/>
      <c r="B64" s="57">
        <v>730301</v>
      </c>
      <c r="C64" s="58" t="s">
        <v>97</v>
      </c>
      <c r="D64" s="59">
        <f>7337.85*1.5</f>
        <v>11006.775000000001</v>
      </c>
      <c r="E64" s="60">
        <f>255*3</f>
        <v>765</v>
      </c>
      <c r="F64" s="61">
        <f t="shared" si="19"/>
        <v>9639</v>
      </c>
      <c r="G64" s="61">
        <f t="shared" si="18"/>
        <v>9639</v>
      </c>
      <c r="H64" s="62">
        <f t="shared" si="20"/>
        <v>9639</v>
      </c>
      <c r="I64" s="63"/>
      <c r="J64" s="61"/>
      <c r="K64" s="61">
        <f>+D64</f>
        <v>11006.775000000001</v>
      </c>
      <c r="L64" s="96"/>
      <c r="M64" s="59">
        <f t="shared" si="12"/>
        <v>11006.775000000001</v>
      </c>
      <c r="N64" s="64">
        <f t="shared" ref="N64:N65" si="21">+M64/2</f>
        <v>5503.3875000000007</v>
      </c>
      <c r="O64" s="64"/>
      <c r="P64" s="64"/>
      <c r="Q64" s="64"/>
      <c r="R64" s="64">
        <f t="shared" ref="R64:R65" si="22">+M64-N64</f>
        <v>5503.3875000000007</v>
      </c>
      <c r="S64" s="64"/>
      <c r="T64" s="64"/>
      <c r="U64" s="64">
        <f>+M64</f>
        <v>11006.775000000001</v>
      </c>
      <c r="V64" s="65"/>
      <c r="W64" s="66"/>
      <c r="Y64" s="66"/>
      <c r="AI64" s="92"/>
      <c r="AJ64" s="92"/>
      <c r="AK64" s="92"/>
    </row>
    <row r="65" spans="1:37" ht="23.25" customHeight="1">
      <c r="A65" s="67"/>
      <c r="B65" s="57">
        <v>730302</v>
      </c>
      <c r="C65" s="58" t="s">
        <v>98</v>
      </c>
      <c r="D65" s="59"/>
      <c r="E65" s="60">
        <v>500</v>
      </c>
      <c r="F65" s="61">
        <v>3000</v>
      </c>
      <c r="G65" s="61">
        <f t="shared" si="18"/>
        <v>3000</v>
      </c>
      <c r="H65" s="62">
        <f t="shared" si="20"/>
        <v>3000</v>
      </c>
      <c r="I65" s="63">
        <v>3000</v>
      </c>
      <c r="J65" s="61"/>
      <c r="K65" s="61"/>
      <c r="L65" s="96"/>
      <c r="M65" s="59">
        <f t="shared" si="12"/>
        <v>3000</v>
      </c>
      <c r="N65" s="64">
        <f t="shared" si="21"/>
        <v>1500</v>
      </c>
      <c r="O65" s="64"/>
      <c r="P65" s="64"/>
      <c r="Q65" s="64"/>
      <c r="R65" s="64">
        <f t="shared" si="22"/>
        <v>1500</v>
      </c>
      <c r="S65" s="64"/>
      <c r="T65" s="64">
        <f>+M65</f>
        <v>3000</v>
      </c>
      <c r="U65" s="64"/>
      <c r="V65" s="65">
        <v>3300</v>
      </c>
      <c r="W65" s="66" t="s">
        <v>99</v>
      </c>
      <c r="Y65" s="66"/>
      <c r="AI65" s="92"/>
      <c r="AJ65" s="92"/>
      <c r="AK65" s="92"/>
    </row>
    <row r="66" spans="1:37" ht="26.25" customHeight="1">
      <c r="A66" s="67"/>
      <c r="B66" s="57">
        <v>730303</v>
      </c>
      <c r="C66" s="58" t="s">
        <v>100</v>
      </c>
      <c r="D66" s="59">
        <f>30376.56*1.5</f>
        <v>45564.840000000004</v>
      </c>
      <c r="E66" s="60">
        <f>+D66/8+1200</f>
        <v>6895.6050000000005</v>
      </c>
      <c r="F66" s="61">
        <f t="shared" si="19"/>
        <v>86884.623000000021</v>
      </c>
      <c r="G66" s="61">
        <f>+F66*0.25</f>
        <v>21721.155750000005</v>
      </c>
      <c r="H66" s="62">
        <f t="shared" si="20"/>
        <v>21721.155750000005</v>
      </c>
      <c r="I66" s="63">
        <f>+D66</f>
        <v>45564.840000000004</v>
      </c>
      <c r="J66" s="61"/>
      <c r="K66" s="61"/>
      <c r="L66" s="96"/>
      <c r="M66" s="59">
        <f t="shared" si="12"/>
        <v>45564.840000000004</v>
      </c>
      <c r="N66" s="64">
        <f>+M66/2</f>
        <v>22782.420000000002</v>
      </c>
      <c r="O66" s="64"/>
      <c r="P66" s="64"/>
      <c r="Q66" s="64"/>
      <c r="R66" s="64">
        <f>+M66-N66</f>
        <v>22782.420000000002</v>
      </c>
      <c r="S66" s="64"/>
      <c r="T66" s="64"/>
      <c r="U66" s="64">
        <f>+M66</f>
        <v>45564.840000000004</v>
      </c>
      <c r="V66" s="65"/>
      <c r="W66" s="66"/>
      <c r="Y66" s="66"/>
      <c r="AI66" s="92"/>
      <c r="AJ66" s="92"/>
      <c r="AK66" s="92"/>
    </row>
    <row r="67" spans="1:37" ht="28.5" customHeight="1">
      <c r="A67" s="67"/>
      <c r="B67" s="57">
        <v>730304</v>
      </c>
      <c r="C67" s="58" t="s">
        <v>101</v>
      </c>
      <c r="D67" s="59"/>
      <c r="E67" s="60">
        <v>500</v>
      </c>
      <c r="F67" s="61">
        <v>3000</v>
      </c>
      <c r="G67" s="61">
        <f t="shared" si="18"/>
        <v>3000</v>
      </c>
      <c r="H67" s="62">
        <f t="shared" si="20"/>
        <v>3000</v>
      </c>
      <c r="I67" s="63">
        <v>3000</v>
      </c>
      <c r="J67" s="61"/>
      <c r="K67" s="61"/>
      <c r="L67" s="96"/>
      <c r="M67" s="59">
        <f t="shared" si="12"/>
        <v>3000</v>
      </c>
      <c r="N67" s="64">
        <f>+M67/2</f>
        <v>1500</v>
      </c>
      <c r="O67" s="64"/>
      <c r="P67" s="64"/>
      <c r="Q67" s="64"/>
      <c r="R67" s="64">
        <f>+M67-N67-Q67</f>
        <v>1500</v>
      </c>
      <c r="S67" s="64"/>
      <c r="T67" s="64">
        <f>+M67</f>
        <v>3000</v>
      </c>
      <c r="U67" s="64"/>
      <c r="V67" s="65">
        <v>3300</v>
      </c>
      <c r="W67" s="66" t="s">
        <v>99</v>
      </c>
      <c r="Y67" s="66"/>
      <c r="AI67" s="92"/>
      <c r="AJ67" s="92"/>
      <c r="AK67" s="92"/>
    </row>
    <row r="68" spans="1:37" ht="34.5" customHeight="1">
      <c r="A68" s="67"/>
      <c r="B68" s="57">
        <v>730402</v>
      </c>
      <c r="C68" s="58" t="s">
        <v>102</v>
      </c>
      <c r="D68" s="59">
        <f>568*1.5</f>
        <v>852</v>
      </c>
      <c r="E68" s="60">
        <v>1250</v>
      </c>
      <c r="F68" s="61">
        <f>6490*1.2</f>
        <v>7788</v>
      </c>
      <c r="G68" s="61">
        <f>+F68*0.25</f>
        <v>1947</v>
      </c>
      <c r="H68" s="62">
        <f t="shared" si="20"/>
        <v>1947</v>
      </c>
      <c r="I68" s="97"/>
      <c r="J68" s="61"/>
      <c r="K68" s="61">
        <f>+D68</f>
        <v>852</v>
      </c>
      <c r="L68" s="96"/>
      <c r="M68" s="59">
        <f>+D68</f>
        <v>852</v>
      </c>
      <c r="N68" s="64">
        <f>+K68</f>
        <v>852</v>
      </c>
      <c r="O68" s="64"/>
      <c r="P68" s="64"/>
      <c r="Q68" s="64"/>
      <c r="R68" s="64"/>
      <c r="S68" s="64"/>
      <c r="T68" s="64">
        <f t="shared" ref="T68:T69" si="23">+N68</f>
        <v>852</v>
      </c>
      <c r="U68" s="64"/>
      <c r="V68" s="65" t="s">
        <v>103</v>
      </c>
      <c r="W68" s="66"/>
      <c r="Y68" s="66"/>
      <c r="AI68" s="92"/>
      <c r="AJ68" s="92"/>
      <c r="AK68" s="92"/>
    </row>
    <row r="69" spans="1:37" ht="39" customHeight="1">
      <c r="A69" s="67"/>
      <c r="B69" s="57">
        <v>730403</v>
      </c>
      <c r="C69" s="58" t="s">
        <v>104</v>
      </c>
      <c r="D69" s="59"/>
      <c r="E69" s="60">
        <v>50</v>
      </c>
      <c r="F69" s="61">
        <f t="shared" si="19"/>
        <v>630</v>
      </c>
      <c r="G69" s="61">
        <f t="shared" si="18"/>
        <v>630</v>
      </c>
      <c r="H69" s="62">
        <f t="shared" si="20"/>
        <v>630</v>
      </c>
      <c r="I69" s="63">
        <v>500</v>
      </c>
      <c r="J69" s="61"/>
      <c r="K69" s="61">
        <v>693</v>
      </c>
      <c r="L69" s="96"/>
      <c r="M69" s="59">
        <f t="shared" si="12"/>
        <v>1193</v>
      </c>
      <c r="N69" s="64">
        <f t="shared" ref="N69:N74" si="24">+M69</f>
        <v>1193</v>
      </c>
      <c r="O69" s="64"/>
      <c r="P69" s="64"/>
      <c r="Q69" s="64"/>
      <c r="R69" s="64"/>
      <c r="S69" s="64"/>
      <c r="T69" s="64">
        <f t="shared" si="23"/>
        <v>1193</v>
      </c>
      <c r="U69" s="64"/>
      <c r="V69" s="65" t="s">
        <v>105</v>
      </c>
      <c r="W69" s="66"/>
      <c r="Y69" s="66"/>
      <c r="AI69" s="92"/>
      <c r="AJ69" s="92"/>
      <c r="AK69" s="92"/>
    </row>
    <row r="70" spans="1:37" ht="38.25" customHeight="1">
      <c r="A70" s="67"/>
      <c r="B70" s="57">
        <v>730404</v>
      </c>
      <c r="C70" s="58" t="s">
        <v>106</v>
      </c>
      <c r="D70" s="59">
        <f>27555.7*1.5</f>
        <v>41333.550000000003</v>
      </c>
      <c r="E70" s="60">
        <f>150*30</f>
        <v>4500</v>
      </c>
      <c r="F70" s="61">
        <f t="shared" si="19"/>
        <v>56700</v>
      </c>
      <c r="G70" s="61">
        <f>+F70*0.25-3519.18-2295.56</f>
        <v>8360.26</v>
      </c>
      <c r="H70" s="62"/>
      <c r="I70" s="63"/>
      <c r="J70" s="61">
        <f>+D70</f>
        <v>41333.550000000003</v>
      </c>
      <c r="K70" s="61">
        <f>+H70*10%+H70</f>
        <v>0</v>
      </c>
      <c r="L70" s="96"/>
      <c r="M70" s="59">
        <f t="shared" si="12"/>
        <v>41333.550000000003</v>
      </c>
      <c r="N70" s="64">
        <v>10000</v>
      </c>
      <c r="O70" s="64">
        <v>10000</v>
      </c>
      <c r="P70" s="64">
        <f>+N70-O70</f>
        <v>0</v>
      </c>
      <c r="Q70" s="64"/>
      <c r="R70" s="64">
        <f>+M70-N70-Q70</f>
        <v>31333.550000000003</v>
      </c>
      <c r="S70" s="64"/>
      <c r="T70" s="64">
        <f>+N70+R70</f>
        <v>41333.550000000003</v>
      </c>
      <c r="U70" s="64"/>
      <c r="V70" s="65" t="s">
        <v>107</v>
      </c>
      <c r="W70" s="66" t="s">
        <v>95</v>
      </c>
      <c r="Y70" s="66"/>
      <c r="AI70" s="92"/>
      <c r="AJ70" s="92"/>
      <c r="AK70" s="92"/>
    </row>
    <row r="71" spans="1:37" ht="39" customHeight="1">
      <c r="A71" s="67"/>
      <c r="B71" s="57">
        <v>730405</v>
      </c>
      <c r="C71" s="58" t="s">
        <v>108</v>
      </c>
      <c r="D71" s="59">
        <f>20572.57*1.5</f>
        <v>30858.855</v>
      </c>
      <c r="E71" s="60">
        <f>70*43</f>
        <v>3010</v>
      </c>
      <c r="F71" s="61">
        <f t="shared" si="19"/>
        <v>37926</v>
      </c>
      <c r="G71" s="61">
        <f>+F71*0.1+619.92</f>
        <v>4412.5200000000004</v>
      </c>
      <c r="H71" s="62"/>
      <c r="I71" s="63"/>
      <c r="J71" s="61">
        <v>30000</v>
      </c>
      <c r="K71" s="61">
        <f>+H71*10%+H71</f>
        <v>0</v>
      </c>
      <c r="L71" s="96"/>
      <c r="M71" s="59">
        <f t="shared" si="12"/>
        <v>30000</v>
      </c>
      <c r="N71" s="64">
        <f>10000-1169.05</f>
        <v>8830.9500000000007</v>
      </c>
      <c r="O71" s="64">
        <v>8830.9500000000007</v>
      </c>
      <c r="P71" s="64">
        <f>+N71-O71</f>
        <v>0</v>
      </c>
      <c r="Q71" s="64"/>
      <c r="R71" s="64">
        <f>+M71-N71-Q71</f>
        <v>21169.05</v>
      </c>
      <c r="S71" s="64"/>
      <c r="T71" s="64">
        <f>+M71</f>
        <v>30000</v>
      </c>
      <c r="U71" s="64"/>
      <c r="V71" s="65" t="s">
        <v>109</v>
      </c>
      <c r="W71" s="66" t="s">
        <v>95</v>
      </c>
      <c r="Y71" s="66"/>
      <c r="AI71" s="92"/>
      <c r="AJ71" s="92"/>
      <c r="AK71" s="92"/>
    </row>
    <row r="72" spans="1:37" ht="28.5" customHeight="1">
      <c r="A72" s="67"/>
      <c r="B72" s="57">
        <v>730406</v>
      </c>
      <c r="C72" s="58" t="s">
        <v>110</v>
      </c>
      <c r="D72" s="59"/>
      <c r="E72" s="60"/>
      <c r="F72" s="61">
        <v>0</v>
      </c>
      <c r="G72" s="61">
        <f t="shared" si="18"/>
        <v>0</v>
      </c>
      <c r="H72" s="62"/>
      <c r="I72" s="63"/>
      <c r="J72" s="61">
        <v>3000</v>
      </c>
      <c r="K72" s="61"/>
      <c r="L72" s="96"/>
      <c r="M72" s="59">
        <f t="shared" si="12"/>
        <v>3000</v>
      </c>
      <c r="N72" s="64">
        <f t="shared" si="24"/>
        <v>3000</v>
      </c>
      <c r="O72" s="64">
        <v>3000</v>
      </c>
      <c r="P72" s="64">
        <f>+N72-O72</f>
        <v>0</v>
      </c>
      <c r="Q72" s="64"/>
      <c r="R72" s="64"/>
      <c r="S72" s="64"/>
      <c r="T72" s="64">
        <f>+M72</f>
        <v>3000</v>
      </c>
      <c r="U72" s="64"/>
      <c r="V72" s="65"/>
      <c r="W72" s="66"/>
      <c r="Y72" s="66"/>
      <c r="AI72" s="92"/>
      <c r="AJ72" s="92"/>
      <c r="AK72" s="92"/>
    </row>
    <row r="73" spans="1:37" ht="28.5" customHeight="1">
      <c r="A73" s="67"/>
      <c r="B73" s="57">
        <v>730502</v>
      </c>
      <c r="C73" s="58" t="s">
        <v>111</v>
      </c>
      <c r="D73" s="59">
        <f>37153.8*1.5</f>
        <v>55730.700000000004</v>
      </c>
      <c r="E73" s="60">
        <f>+AA73</f>
        <v>4695.2000000000007</v>
      </c>
      <c r="F73" s="61">
        <f>(E73*1.05)*12</f>
        <v>59159.520000000011</v>
      </c>
      <c r="G73" s="61">
        <f>+F73</f>
        <v>59159.520000000011</v>
      </c>
      <c r="H73" s="62"/>
      <c r="I73" s="63">
        <f>+H68*1.2</f>
        <v>2336.4</v>
      </c>
      <c r="J73" s="61"/>
      <c r="K73" s="61">
        <v>32000</v>
      </c>
      <c r="L73" s="96"/>
      <c r="M73" s="59">
        <f t="shared" si="12"/>
        <v>34336.400000000001</v>
      </c>
      <c r="N73" s="64">
        <f>+M73/2</f>
        <v>17168.2</v>
      </c>
      <c r="O73" s="64">
        <v>17168.2</v>
      </c>
      <c r="P73" s="64">
        <f>+N73-O73</f>
        <v>0</v>
      </c>
      <c r="Q73" s="64"/>
      <c r="R73" s="64">
        <f>+M73-N73-Q73</f>
        <v>17168.2</v>
      </c>
      <c r="S73" s="64"/>
      <c r="T73" s="64">
        <f>+M73</f>
        <v>34336.400000000001</v>
      </c>
      <c r="U73" s="64"/>
      <c r="V73" s="65">
        <f>1960*1.12</f>
        <v>2195.2000000000003</v>
      </c>
      <c r="W73" s="66" t="s">
        <v>112</v>
      </c>
      <c r="Y73" s="66">
        <f>250*10</f>
        <v>2500</v>
      </c>
      <c r="AA73" s="5">
        <f>+Y73+V73</f>
        <v>4695.2000000000007</v>
      </c>
      <c r="AB73" s="5">
        <f>2500*12</f>
        <v>30000</v>
      </c>
      <c r="AC73" s="5" t="s">
        <v>113</v>
      </c>
      <c r="AI73" s="92"/>
      <c r="AJ73" s="92"/>
      <c r="AK73" s="92"/>
    </row>
    <row r="74" spans="1:37" ht="28.5" customHeight="1">
      <c r="A74" s="67"/>
      <c r="B74" s="57">
        <v>730504</v>
      </c>
      <c r="C74" s="58" t="s">
        <v>114</v>
      </c>
      <c r="D74" s="59">
        <f>472587.97*1.5</f>
        <v>708881.95499999996</v>
      </c>
      <c r="E74" s="60">
        <v>5000</v>
      </c>
      <c r="F74" s="61">
        <f>(E74*1.05)*12</f>
        <v>63000</v>
      </c>
      <c r="G74" s="61"/>
      <c r="H74" s="62"/>
      <c r="I74" s="63"/>
      <c r="J74" s="61"/>
      <c r="K74" s="61"/>
      <c r="L74" s="96"/>
      <c r="M74" s="59"/>
      <c r="N74" s="64">
        <f t="shared" si="24"/>
        <v>0</v>
      </c>
      <c r="O74" s="64"/>
      <c r="P74" s="64"/>
      <c r="Q74" s="64"/>
      <c r="R74" s="64"/>
      <c r="S74" s="64"/>
      <c r="T74" s="64"/>
      <c r="U74" s="64"/>
      <c r="V74" s="65" t="s">
        <v>115</v>
      </c>
      <c r="W74" s="66"/>
      <c r="Y74" s="66"/>
      <c r="AI74" s="92"/>
      <c r="AJ74" s="92"/>
      <c r="AK74" s="92"/>
    </row>
    <row r="75" spans="1:37" ht="28.5" customHeight="1">
      <c r="A75" s="67"/>
      <c r="B75" s="57">
        <v>730505</v>
      </c>
      <c r="C75" s="58" t="s">
        <v>116</v>
      </c>
      <c r="D75" s="59">
        <f>111128.4*1.5</f>
        <v>166692.59999999998</v>
      </c>
      <c r="E75" s="60">
        <v>3300</v>
      </c>
      <c r="F75" s="61">
        <f>(E75*1.05)*12</f>
        <v>41580</v>
      </c>
      <c r="G75" s="61">
        <f>+F75*0.25</f>
        <v>10395</v>
      </c>
      <c r="H75" s="62"/>
      <c r="I75" s="63">
        <v>20000</v>
      </c>
      <c r="J75" s="61"/>
      <c r="K75" s="61"/>
      <c r="L75" s="96"/>
      <c r="M75" s="59">
        <f t="shared" si="12"/>
        <v>20000</v>
      </c>
      <c r="N75" s="64">
        <f>+M75/2</f>
        <v>10000</v>
      </c>
      <c r="O75" s="64">
        <v>10000</v>
      </c>
      <c r="P75" s="64">
        <f>+N75-O75</f>
        <v>0</v>
      </c>
      <c r="Q75" s="64"/>
      <c r="R75" s="64">
        <f>+M75-N75-Q75</f>
        <v>10000</v>
      </c>
      <c r="S75" s="64"/>
      <c r="T75" s="64">
        <f>+M75</f>
        <v>20000</v>
      </c>
      <c r="U75" s="64"/>
      <c r="V75" s="65" t="s">
        <v>117</v>
      </c>
      <c r="W75" s="66">
        <v>3</v>
      </c>
      <c r="Y75" s="66"/>
      <c r="AI75" s="92"/>
      <c r="AJ75" s="92"/>
      <c r="AK75" s="92"/>
    </row>
    <row r="76" spans="1:37" s="100" customFormat="1" ht="18">
      <c r="A76" s="98"/>
      <c r="B76" s="99"/>
      <c r="C76" s="91" t="s">
        <v>118</v>
      </c>
      <c r="D76" s="83">
        <f>SUM(D77:D78)</f>
        <v>144647.01</v>
      </c>
      <c r="E76" s="84">
        <f t="shared" ref="E76:U76" si="25">SUM(E77:E79)</f>
        <v>94157.636666666673</v>
      </c>
      <c r="F76" s="85">
        <f t="shared" si="25"/>
        <v>1213900</v>
      </c>
      <c r="G76" s="85">
        <f t="shared" si="25"/>
        <v>133900</v>
      </c>
      <c r="H76" s="86">
        <f t="shared" si="25"/>
        <v>0</v>
      </c>
      <c r="I76" s="87">
        <f t="shared" si="25"/>
        <v>35675</v>
      </c>
      <c r="J76" s="85">
        <f t="shared" si="25"/>
        <v>0</v>
      </c>
      <c r="K76" s="85">
        <f t="shared" si="25"/>
        <v>0</v>
      </c>
      <c r="L76" s="85">
        <f t="shared" si="25"/>
        <v>25000</v>
      </c>
      <c r="M76" s="83">
        <f t="shared" si="25"/>
        <v>60675</v>
      </c>
      <c r="N76" s="88">
        <f t="shared" si="25"/>
        <v>10000</v>
      </c>
      <c r="O76" s="88">
        <f t="shared" si="25"/>
        <v>10000</v>
      </c>
      <c r="P76" s="88">
        <f t="shared" si="25"/>
        <v>0</v>
      </c>
      <c r="Q76" s="88">
        <f t="shared" si="25"/>
        <v>0</v>
      </c>
      <c r="R76" s="88">
        <f t="shared" si="25"/>
        <v>50675</v>
      </c>
      <c r="S76" s="88">
        <f t="shared" si="25"/>
        <v>0</v>
      </c>
      <c r="T76" s="88">
        <f t="shared" si="25"/>
        <v>60675</v>
      </c>
      <c r="U76" s="88">
        <f t="shared" si="25"/>
        <v>0</v>
      </c>
      <c r="V76" s="79"/>
      <c r="W76" s="80"/>
      <c r="Y76" s="80"/>
      <c r="AI76" s="92"/>
      <c r="AJ76" s="92"/>
      <c r="AK76" s="92"/>
    </row>
    <row r="77" spans="1:37" ht="47.25" customHeight="1">
      <c r="A77" s="67"/>
      <c r="B77" s="57">
        <v>730601</v>
      </c>
      <c r="C77" s="58" t="s">
        <v>119</v>
      </c>
      <c r="D77" s="59">
        <f>93117.06*1.5</f>
        <v>139675.59</v>
      </c>
      <c r="E77" s="60">
        <v>90990.97</v>
      </c>
      <c r="F77" s="61">
        <v>860000</v>
      </c>
      <c r="G77" s="61">
        <f>+F77*0.1-6000</f>
        <v>80000</v>
      </c>
      <c r="H77" s="62"/>
      <c r="I77" s="63">
        <v>35675</v>
      </c>
      <c r="J77" s="61"/>
      <c r="K77" s="96"/>
      <c r="L77" s="96"/>
      <c r="M77" s="59">
        <f t="shared" si="12"/>
        <v>35675</v>
      </c>
      <c r="N77" s="64">
        <v>5000</v>
      </c>
      <c r="O77" s="64">
        <v>5000</v>
      </c>
      <c r="P77" s="64">
        <f>+N77-O77</f>
        <v>0</v>
      </c>
      <c r="Q77" s="64"/>
      <c r="R77" s="64">
        <f>+M77-N77-Q77</f>
        <v>30675</v>
      </c>
      <c r="S77" s="64"/>
      <c r="T77" s="64">
        <f>+M77</f>
        <v>35675</v>
      </c>
      <c r="U77" s="64"/>
      <c r="V77" s="65" t="s">
        <v>120</v>
      </c>
      <c r="W77" s="66"/>
      <c r="Y77" s="66"/>
      <c r="AI77" s="92"/>
      <c r="AJ77" s="92"/>
      <c r="AK77" s="92"/>
    </row>
    <row r="78" spans="1:37" ht="32.25" customHeight="1">
      <c r="A78" s="67"/>
      <c r="B78" s="57">
        <v>730603</v>
      </c>
      <c r="C78" s="58" t="s">
        <v>121</v>
      </c>
      <c r="D78" s="59">
        <f>3314.28*1.5</f>
        <v>4971.42</v>
      </c>
      <c r="E78" s="101">
        <v>1666.6666666666667</v>
      </c>
      <c r="F78" s="61">
        <v>35000</v>
      </c>
      <c r="G78" s="61">
        <f>+F78</f>
        <v>35000</v>
      </c>
      <c r="H78" s="62"/>
      <c r="I78" s="63"/>
      <c r="J78" s="61"/>
      <c r="K78" s="96"/>
      <c r="L78" s="61">
        <v>25000</v>
      </c>
      <c r="M78" s="59">
        <f t="shared" si="12"/>
        <v>25000</v>
      </c>
      <c r="N78" s="64">
        <v>5000</v>
      </c>
      <c r="O78" s="64">
        <v>5000</v>
      </c>
      <c r="P78" s="64">
        <f>+N78-O78</f>
        <v>0</v>
      </c>
      <c r="Q78" s="64"/>
      <c r="R78" s="64">
        <f>+M78-N78-Q78</f>
        <v>20000</v>
      </c>
      <c r="S78" s="64"/>
      <c r="T78" s="64">
        <f>+M78</f>
        <v>25000</v>
      </c>
      <c r="U78" s="64"/>
      <c r="V78" s="65" t="s">
        <v>122</v>
      </c>
      <c r="W78" s="66">
        <v>14000</v>
      </c>
      <c r="X78" s="102"/>
      <c r="Y78" s="66" t="s">
        <v>123</v>
      </c>
      <c r="AI78" s="92"/>
      <c r="AJ78" s="92"/>
      <c r="AK78" s="92"/>
    </row>
    <row r="79" spans="1:37" ht="32.25" customHeight="1">
      <c r="A79" s="67"/>
      <c r="B79" s="57">
        <v>730605</v>
      </c>
      <c r="C79" s="58" t="s">
        <v>124</v>
      </c>
      <c r="D79" s="59">
        <f>3314.2*1.5</f>
        <v>4971.2999999999993</v>
      </c>
      <c r="E79" s="60">
        <v>1500</v>
      </c>
      <c r="F79" s="61">
        <f>(E79*1.05)*12+300000</f>
        <v>318900</v>
      </c>
      <c r="G79" s="61">
        <v>18900</v>
      </c>
      <c r="H79" s="62"/>
      <c r="I79" s="63"/>
      <c r="J79" s="61"/>
      <c r="K79" s="96"/>
      <c r="L79" s="96"/>
      <c r="M79" s="59">
        <f t="shared" si="12"/>
        <v>0</v>
      </c>
      <c r="N79" s="64"/>
      <c r="O79" s="64"/>
      <c r="P79" s="64"/>
      <c r="Q79" s="64"/>
      <c r="R79" s="64"/>
      <c r="S79" s="64"/>
      <c r="T79" s="64"/>
      <c r="U79" s="64"/>
      <c r="V79" s="65" t="s">
        <v>125</v>
      </c>
      <c r="W79" s="66" t="s">
        <v>126</v>
      </c>
      <c r="X79" s="102"/>
      <c r="Y79" s="66"/>
      <c r="AI79" s="92"/>
      <c r="AJ79" s="92"/>
      <c r="AK79" s="92"/>
    </row>
    <row r="80" spans="1:37" ht="32.25" customHeight="1">
      <c r="A80" s="67"/>
      <c r="B80" s="57"/>
      <c r="C80" s="91" t="s">
        <v>127</v>
      </c>
      <c r="D80" s="83"/>
      <c r="E80" s="84">
        <f t="shared" ref="E80:U80" si="26">SUM(E81:E83)</f>
        <v>2200</v>
      </c>
      <c r="F80" s="85">
        <f t="shared" si="26"/>
        <v>27720</v>
      </c>
      <c r="G80" s="85">
        <f t="shared" si="26"/>
        <v>19720</v>
      </c>
      <c r="H80" s="86">
        <f t="shared" si="26"/>
        <v>19720</v>
      </c>
      <c r="I80" s="87">
        <f t="shared" si="26"/>
        <v>27720</v>
      </c>
      <c r="J80" s="85">
        <f t="shared" si="26"/>
        <v>0</v>
      </c>
      <c r="K80" s="85">
        <f t="shared" si="26"/>
        <v>2772</v>
      </c>
      <c r="L80" s="85">
        <f t="shared" si="26"/>
        <v>0</v>
      </c>
      <c r="M80" s="83">
        <f t="shared" si="26"/>
        <v>30492</v>
      </c>
      <c r="N80" s="88">
        <f t="shared" si="26"/>
        <v>5549.6100000000006</v>
      </c>
      <c r="O80" s="88">
        <f t="shared" si="26"/>
        <v>5549.6100000000006</v>
      </c>
      <c r="P80" s="88">
        <f t="shared" ref="P80" si="27">SUM(P81:P83)</f>
        <v>0</v>
      </c>
      <c r="Q80" s="88"/>
      <c r="R80" s="88">
        <f t="shared" si="26"/>
        <v>24942.39</v>
      </c>
      <c r="S80" s="88">
        <f t="shared" ref="S80:T80" si="28">SUM(S81:S83)</f>
        <v>27720</v>
      </c>
      <c r="T80" s="88">
        <f t="shared" si="28"/>
        <v>0</v>
      </c>
      <c r="U80" s="88">
        <f t="shared" si="26"/>
        <v>2772</v>
      </c>
      <c r="V80" s="65"/>
      <c r="W80" s="66"/>
      <c r="Y80" s="66"/>
      <c r="AI80" s="92"/>
      <c r="AJ80" s="92"/>
      <c r="AK80" s="92"/>
    </row>
    <row r="81" spans="1:37" ht="32.25" customHeight="1">
      <c r="A81" s="67"/>
      <c r="B81" s="57">
        <v>730701</v>
      </c>
      <c r="C81" s="58" t="s">
        <v>128</v>
      </c>
      <c r="D81" s="59"/>
      <c r="E81" s="101"/>
      <c r="F81" s="61">
        <f>(E81*1.05)*12</f>
        <v>0</v>
      </c>
      <c r="G81" s="61">
        <f>+F81</f>
        <v>0</v>
      </c>
      <c r="H81" s="62"/>
      <c r="I81" s="63"/>
      <c r="J81" s="61"/>
      <c r="K81" s="96"/>
      <c r="L81" s="96"/>
      <c r="M81" s="59">
        <f t="shared" si="12"/>
        <v>0</v>
      </c>
      <c r="N81" s="64"/>
      <c r="O81" s="64"/>
      <c r="P81" s="64"/>
      <c r="Q81" s="64"/>
      <c r="R81" s="64"/>
      <c r="S81" s="64"/>
      <c r="T81" s="64"/>
      <c r="U81" s="64"/>
      <c r="V81" s="65"/>
      <c r="W81" s="66"/>
      <c r="Y81" s="66"/>
      <c r="AI81" s="92"/>
      <c r="AJ81" s="92"/>
      <c r="AK81" s="92"/>
    </row>
    <row r="82" spans="1:37" ht="32.25" customHeight="1">
      <c r="A82" s="67"/>
      <c r="B82" s="57">
        <v>730702</v>
      </c>
      <c r="C82" s="58" t="s">
        <v>129</v>
      </c>
      <c r="D82" s="59"/>
      <c r="E82" s="60">
        <f>2000</f>
        <v>2000</v>
      </c>
      <c r="F82" s="61">
        <f>(E82*1.05)*12</f>
        <v>25200</v>
      </c>
      <c r="G82" s="61">
        <f>+F82-5000-3000</f>
        <v>17200</v>
      </c>
      <c r="H82" s="62">
        <f>+G82</f>
        <v>17200</v>
      </c>
      <c r="I82" s="63">
        <v>27720</v>
      </c>
      <c r="J82" s="61"/>
      <c r="K82" s="96"/>
      <c r="L82" s="61"/>
      <c r="M82" s="59">
        <f t="shared" si="12"/>
        <v>27720</v>
      </c>
      <c r="N82" s="64">
        <v>3000</v>
      </c>
      <c r="O82" s="64">
        <v>3000</v>
      </c>
      <c r="P82" s="64">
        <f>+N82-O82</f>
        <v>0</v>
      </c>
      <c r="Q82" s="64"/>
      <c r="R82" s="64">
        <f>+M82-N82-Q82</f>
        <v>24720</v>
      </c>
      <c r="S82" s="64">
        <f>+M82</f>
        <v>27720</v>
      </c>
      <c r="T82" s="64">
        <f>+L82</f>
        <v>0</v>
      </c>
      <c r="U82" s="64"/>
      <c r="V82" s="65" t="s">
        <v>130</v>
      </c>
      <c r="W82" s="66">
        <v>15000</v>
      </c>
      <c r="Y82" s="66" t="s">
        <v>131</v>
      </c>
      <c r="Z82" s="5">
        <v>2000</v>
      </c>
      <c r="AA82" s="5" t="s">
        <v>132</v>
      </c>
      <c r="AB82" s="5">
        <v>5000</v>
      </c>
      <c r="AC82" s="5" t="s">
        <v>133</v>
      </c>
      <c r="AI82" s="92"/>
      <c r="AJ82" s="92"/>
      <c r="AK82" s="92"/>
    </row>
    <row r="83" spans="1:37" ht="32.25" customHeight="1">
      <c r="A83" s="67"/>
      <c r="B83" s="57">
        <v>730704</v>
      </c>
      <c r="C83" s="58" t="s">
        <v>134</v>
      </c>
      <c r="D83" s="59">
        <f>80*1.5</f>
        <v>120</v>
      </c>
      <c r="E83" s="60">
        <v>200</v>
      </c>
      <c r="F83" s="61">
        <f>(E83*1.05)*12</f>
        <v>2520</v>
      </c>
      <c r="G83" s="61">
        <f>+F83</f>
        <v>2520</v>
      </c>
      <c r="H83" s="62">
        <f>+G83</f>
        <v>2520</v>
      </c>
      <c r="I83" s="63"/>
      <c r="J83" s="61">
        <f>+I83</f>
        <v>0</v>
      </c>
      <c r="K83" s="61">
        <v>2772</v>
      </c>
      <c r="L83" s="61"/>
      <c r="M83" s="59">
        <f t="shared" si="12"/>
        <v>2772</v>
      </c>
      <c r="N83" s="64">
        <f>+M83-222.39</f>
        <v>2549.61</v>
      </c>
      <c r="O83" s="64">
        <v>2549.61</v>
      </c>
      <c r="P83" s="64">
        <f>+N83-O83</f>
        <v>0</v>
      </c>
      <c r="Q83" s="64"/>
      <c r="R83" s="64">
        <f>+M83-N83-Q83</f>
        <v>222.38999999999987</v>
      </c>
      <c r="S83" s="64"/>
      <c r="T83" s="64">
        <f>+L83</f>
        <v>0</v>
      </c>
      <c r="U83" s="64">
        <f>+M83</f>
        <v>2772</v>
      </c>
      <c r="V83" s="65" t="s">
        <v>135</v>
      </c>
      <c r="W83" s="66"/>
      <c r="Y83" s="66"/>
      <c r="AI83" s="92"/>
      <c r="AJ83" s="92"/>
      <c r="AK83" s="92"/>
    </row>
    <row r="84" spans="1:37" s="100" customFormat="1" ht="44.25" customHeight="1">
      <c r="A84" s="98"/>
      <c r="B84" s="99"/>
      <c r="C84" s="91" t="s">
        <v>136</v>
      </c>
      <c r="D84" s="83">
        <f t="shared" ref="D84:H84" si="29">SUM(D85:D96)</f>
        <v>3064820.2986666667</v>
      </c>
      <c r="E84" s="84">
        <f t="shared" si="29"/>
        <v>9732.2683333333334</v>
      </c>
      <c r="F84" s="85" t="e">
        <f t="shared" si="29"/>
        <v>#REF!</v>
      </c>
      <c r="G84" s="85" t="e">
        <f t="shared" si="29"/>
        <v>#REF!</v>
      </c>
      <c r="H84" s="86">
        <f t="shared" si="29"/>
        <v>120711.58100000001</v>
      </c>
      <c r="I84" s="87">
        <f t="shared" ref="I84:Q84" si="30">SUM(I85:I101)</f>
        <v>121412.88</v>
      </c>
      <c r="J84" s="85">
        <f t="shared" si="30"/>
        <v>2215152.6749999998</v>
      </c>
      <c r="K84" s="85">
        <f t="shared" si="30"/>
        <v>61900</v>
      </c>
      <c r="L84" s="85">
        <f t="shared" si="30"/>
        <v>76000</v>
      </c>
      <c r="M84" s="83">
        <f t="shared" si="30"/>
        <v>2474465.5549999997</v>
      </c>
      <c r="N84" s="88">
        <f t="shared" si="30"/>
        <v>809317.22500000009</v>
      </c>
      <c r="O84" s="88">
        <f t="shared" si="30"/>
        <v>809317.23</v>
      </c>
      <c r="P84" s="88">
        <f t="shared" si="30"/>
        <v>-4.9999999973806553E-3</v>
      </c>
      <c r="Q84" s="88">
        <f t="shared" si="30"/>
        <v>342000.71</v>
      </c>
      <c r="R84" s="88">
        <f t="shared" ref="R84" si="31">SUM(R85:R97)</f>
        <v>1315487.6199999999</v>
      </c>
      <c r="S84" s="88">
        <f>SUM(S85:S101)</f>
        <v>236230.88</v>
      </c>
      <c r="T84" s="88">
        <f>SUM(T85:T101)</f>
        <v>2187074.6749999998</v>
      </c>
      <c r="U84" s="88">
        <f>SUM(U85:U101)</f>
        <v>43500</v>
      </c>
      <c r="V84" s="79"/>
      <c r="W84" s="80"/>
      <c r="Y84" s="80"/>
      <c r="AI84" s="92"/>
      <c r="AJ84" s="92"/>
      <c r="AK84" s="92"/>
    </row>
    <row r="85" spans="1:37" ht="27.75" customHeight="1">
      <c r="A85" s="67"/>
      <c r="B85" s="57">
        <v>730801</v>
      </c>
      <c r="C85" s="58" t="s">
        <v>137</v>
      </c>
      <c r="D85" s="59">
        <f>1049.96*1.5</f>
        <v>1574.94</v>
      </c>
      <c r="E85" s="60">
        <v>83.33</v>
      </c>
      <c r="F85" s="61">
        <f>(E85*1.05)*12</f>
        <v>1049.9580000000001</v>
      </c>
      <c r="G85" s="61">
        <f>+F85</f>
        <v>1049.9580000000001</v>
      </c>
      <c r="H85" s="62">
        <f>+G85</f>
        <v>1049.9580000000001</v>
      </c>
      <c r="I85" s="63"/>
      <c r="J85" s="61">
        <f>+I85</f>
        <v>0</v>
      </c>
      <c r="K85" s="61"/>
      <c r="L85" s="61"/>
      <c r="M85" s="59">
        <f t="shared" si="12"/>
        <v>0</v>
      </c>
      <c r="N85" s="64">
        <f>+M85</f>
        <v>0</v>
      </c>
      <c r="O85" s="64"/>
      <c r="P85" s="64"/>
      <c r="Q85" s="64"/>
      <c r="R85" s="64"/>
      <c r="S85" s="64"/>
      <c r="T85" s="64"/>
      <c r="U85" s="64"/>
      <c r="V85" s="65"/>
      <c r="W85" s="66"/>
      <c r="Y85" s="66"/>
      <c r="AI85" s="92"/>
      <c r="AJ85" s="92"/>
      <c r="AK85" s="92"/>
    </row>
    <row r="86" spans="1:37" ht="30" customHeight="1">
      <c r="A86" s="67"/>
      <c r="B86" s="57">
        <v>730802</v>
      </c>
      <c r="C86" s="58" t="s">
        <v>138</v>
      </c>
      <c r="D86" s="59">
        <f>70228.83*1.5</f>
        <v>105343.245</v>
      </c>
      <c r="E86" s="60">
        <f>30287.26/12</f>
        <v>2523.938333333333</v>
      </c>
      <c r="F86" s="61">
        <f>(E86*1.05)*12</f>
        <v>31801.623</v>
      </c>
      <c r="G86" s="61">
        <f>+F86</f>
        <v>31801.623</v>
      </c>
      <c r="H86" s="62">
        <f>+G86</f>
        <v>31801.623</v>
      </c>
      <c r="I86" s="63">
        <v>35343.25</v>
      </c>
      <c r="J86" s="61"/>
      <c r="K86" s="61"/>
      <c r="L86" s="61">
        <v>70000</v>
      </c>
      <c r="M86" s="59">
        <f t="shared" si="12"/>
        <v>105343.25</v>
      </c>
      <c r="N86" s="64">
        <f>+M86/2</f>
        <v>52671.625</v>
      </c>
      <c r="O86" s="64">
        <v>52671.63</v>
      </c>
      <c r="P86" s="64">
        <f>+N86-O86</f>
        <v>-4.9999999973806553E-3</v>
      </c>
      <c r="Q86" s="64"/>
      <c r="R86" s="64">
        <f>+M86-N86-Q86</f>
        <v>52671.625</v>
      </c>
      <c r="S86" s="64">
        <f>+N86+R86</f>
        <v>105343.25</v>
      </c>
      <c r="T86" s="64"/>
      <c r="U86" s="64"/>
      <c r="V86" s="65" t="s">
        <v>139</v>
      </c>
      <c r="W86" s="66" t="s">
        <v>140</v>
      </c>
      <c r="Y86" s="66">
        <v>40000</v>
      </c>
      <c r="Z86" s="103" t="s">
        <v>141</v>
      </c>
      <c r="AA86" s="104">
        <v>31</v>
      </c>
      <c r="AB86" s="104">
        <v>13000</v>
      </c>
      <c r="AC86" s="5">
        <f>SUM(AB86:AB87)</f>
        <v>33967.741935483871</v>
      </c>
      <c r="AI86" s="92"/>
      <c r="AJ86" s="92"/>
      <c r="AK86" s="92"/>
    </row>
    <row r="87" spans="1:37" ht="26.25" customHeight="1">
      <c r="A87" s="67"/>
      <c r="B87" s="57">
        <v>730803</v>
      </c>
      <c r="C87" s="58" t="s">
        <v>142</v>
      </c>
      <c r="D87" s="59">
        <f>581072.61*1.5</f>
        <v>871608.91500000004</v>
      </c>
      <c r="E87" s="60"/>
      <c r="F87" s="61" t="e">
        <f>+(#REF!+#REF!)</f>
        <v>#REF!</v>
      </c>
      <c r="G87" s="61" t="e">
        <f>+F87*0.21-10000-14000-3000-1000-25000+40441.95-100000-13334.95+54000+58.83</f>
        <v>#REF!</v>
      </c>
      <c r="H87" s="62"/>
      <c r="I87" s="63"/>
      <c r="J87" s="61">
        <f>+D87</f>
        <v>871608.91500000004</v>
      </c>
      <c r="K87" s="61"/>
      <c r="L87" s="61"/>
      <c r="M87" s="59">
        <f t="shared" si="12"/>
        <v>871608.91500000004</v>
      </c>
      <c r="N87" s="64">
        <f>350000+88000-343.29-90000</f>
        <v>347656.71</v>
      </c>
      <c r="O87" s="64">
        <v>347656.71</v>
      </c>
      <c r="P87" s="64"/>
      <c r="Q87" s="64">
        <f>91693.59+41000+113627.61+95679.51</f>
        <v>342000.71</v>
      </c>
      <c r="R87" s="64">
        <f>+M87-N87-Q87</f>
        <v>181951.495</v>
      </c>
      <c r="S87" s="64"/>
      <c r="T87" s="64">
        <f>+N87+R87+Q87</f>
        <v>871608.91500000004</v>
      </c>
      <c r="U87" s="64"/>
      <c r="V87" s="65" t="s">
        <v>143</v>
      </c>
      <c r="W87" s="66"/>
      <c r="Y87" s="66" t="e">
        <f>+F87*0.3</f>
        <v>#REF!</v>
      </c>
      <c r="AA87" s="5">
        <v>50</v>
      </c>
      <c r="AB87" s="5">
        <f>+AA87*AB86/AA86</f>
        <v>20967.741935483871</v>
      </c>
      <c r="AI87" s="92"/>
      <c r="AJ87" s="92"/>
      <c r="AK87" s="92"/>
    </row>
    <row r="88" spans="1:37" ht="28.5" customHeight="1">
      <c r="A88" s="67"/>
      <c r="B88" s="57">
        <v>730804</v>
      </c>
      <c r="C88" s="58" t="s">
        <v>144</v>
      </c>
      <c r="D88" s="59">
        <f>32195.11*1.2</f>
        <v>38634.131999999998</v>
      </c>
      <c r="E88" s="60">
        <f>46200/12</f>
        <v>3850</v>
      </c>
      <c r="F88" s="61">
        <f>(E88*1.05)*12</f>
        <v>48510</v>
      </c>
      <c r="G88" s="61">
        <f>+F88</f>
        <v>48510</v>
      </c>
      <c r="H88" s="62">
        <f>+G88</f>
        <v>48510</v>
      </c>
      <c r="I88" s="63"/>
      <c r="J88" s="61"/>
      <c r="K88" s="61">
        <v>35000</v>
      </c>
      <c r="L88" s="61"/>
      <c r="M88" s="59">
        <f t="shared" si="12"/>
        <v>35000</v>
      </c>
      <c r="N88" s="64">
        <v>29428.05</v>
      </c>
      <c r="O88" s="64">
        <v>29428.05</v>
      </c>
      <c r="P88" s="64">
        <f t="shared" ref="P88:P94" si="32">+N88-O88</f>
        <v>0</v>
      </c>
      <c r="Q88" s="64"/>
      <c r="R88" s="64">
        <f>+M88-N88-Q88</f>
        <v>5571.9500000000007</v>
      </c>
      <c r="S88" s="64"/>
      <c r="T88" s="64"/>
      <c r="U88" s="64">
        <f>+M88</f>
        <v>35000</v>
      </c>
      <c r="V88" s="65" t="s">
        <v>145</v>
      </c>
      <c r="W88" s="66"/>
      <c r="Y88" s="66"/>
      <c r="AC88" s="5">
        <f>750/12</f>
        <v>62.5</v>
      </c>
      <c r="AI88" s="92"/>
      <c r="AJ88" s="92"/>
      <c r="AK88" s="92"/>
    </row>
    <row r="89" spans="1:37" ht="29.25" customHeight="1">
      <c r="A89" s="67"/>
      <c r="B89" s="57">
        <v>730805</v>
      </c>
      <c r="C89" s="58" t="s">
        <v>146</v>
      </c>
      <c r="D89" s="59">
        <f>1963.01*1.5</f>
        <v>2944.5149999999999</v>
      </c>
      <c r="E89" s="60">
        <v>500</v>
      </c>
      <c r="F89" s="61">
        <f>(E89*1.05)*12</f>
        <v>6300</v>
      </c>
      <c r="G89" s="61">
        <f>+F89</f>
        <v>6300</v>
      </c>
      <c r="H89" s="62">
        <f>+G89</f>
        <v>6300</v>
      </c>
      <c r="I89" s="63"/>
      <c r="J89" s="61"/>
      <c r="K89" s="61">
        <v>2500</v>
      </c>
      <c r="L89" s="61"/>
      <c r="M89" s="59">
        <f t="shared" ref="M89:M101" si="33">SUM(I89:L89)</f>
        <v>2500</v>
      </c>
      <c r="N89" s="64">
        <f>+M89/2+1251</f>
        <v>2501</v>
      </c>
      <c r="O89" s="64">
        <v>2501</v>
      </c>
      <c r="P89" s="64">
        <f t="shared" si="32"/>
        <v>0</v>
      </c>
      <c r="Q89" s="64"/>
      <c r="R89" s="64">
        <f>+M89-N89-Q89</f>
        <v>-1</v>
      </c>
      <c r="S89" s="64"/>
      <c r="T89" s="64"/>
      <c r="U89" s="64">
        <f>+M89</f>
        <v>2500</v>
      </c>
      <c r="V89" s="65"/>
      <c r="W89" s="66">
        <f>1.034+1.48</f>
        <v>2.5140000000000002</v>
      </c>
      <c r="Y89" s="66">
        <f>+W89/2</f>
        <v>1.2570000000000001</v>
      </c>
      <c r="Z89" s="105" t="e">
        <f>+F87/Y89</f>
        <v>#REF!</v>
      </c>
      <c r="AI89" s="92"/>
      <c r="AJ89" s="92"/>
      <c r="AK89" s="92"/>
    </row>
    <row r="90" spans="1:37" ht="18.75" customHeight="1">
      <c r="A90" s="67"/>
      <c r="B90" s="57">
        <v>730806</v>
      </c>
      <c r="C90" s="58" t="s">
        <v>147</v>
      </c>
      <c r="D90" s="59">
        <f>1231.55555555556*12</f>
        <v>14778.666666666719</v>
      </c>
      <c r="E90" s="60"/>
      <c r="F90" s="61">
        <f>(E90*1.1)*12</f>
        <v>0</v>
      </c>
      <c r="G90" s="61"/>
      <c r="H90" s="62"/>
      <c r="I90" s="63"/>
      <c r="J90" s="61">
        <f>14778+13000</f>
        <v>27778</v>
      </c>
      <c r="K90" s="61"/>
      <c r="L90" s="61"/>
      <c r="M90" s="59">
        <f t="shared" si="33"/>
        <v>27778</v>
      </c>
      <c r="N90" s="64">
        <f>4000-1251</f>
        <v>2749</v>
      </c>
      <c r="O90" s="64">
        <v>2749</v>
      </c>
      <c r="P90" s="64">
        <f t="shared" si="32"/>
        <v>0</v>
      </c>
      <c r="Q90" s="64"/>
      <c r="R90" s="64">
        <f>+M90-N90-Q90</f>
        <v>25029</v>
      </c>
      <c r="S90" s="64">
        <f>+N90+R90</f>
        <v>27778</v>
      </c>
      <c r="T90" s="64"/>
      <c r="U90" s="64"/>
      <c r="V90" s="65"/>
      <c r="W90" s="66"/>
      <c r="Y90" s="66"/>
      <c r="AI90" s="92"/>
      <c r="AJ90" s="92"/>
      <c r="AK90" s="92"/>
    </row>
    <row r="91" spans="1:37" ht="30" customHeight="1">
      <c r="A91" s="67"/>
      <c r="B91" s="57">
        <v>730807</v>
      </c>
      <c r="C91" s="58" t="s">
        <v>148</v>
      </c>
      <c r="D91" s="59"/>
      <c r="E91" s="101">
        <v>500</v>
      </c>
      <c r="F91" s="61">
        <f>(E91*1.05)*12</f>
        <v>6300</v>
      </c>
      <c r="G91" s="61">
        <f t="shared" ref="G91:K93" si="34">+F91</f>
        <v>6300</v>
      </c>
      <c r="H91" s="62">
        <f t="shared" si="34"/>
        <v>6300</v>
      </c>
      <c r="I91" s="63"/>
      <c r="J91" s="61"/>
      <c r="K91" s="106"/>
      <c r="L91" s="61"/>
      <c r="M91" s="59">
        <f t="shared" si="33"/>
        <v>0</v>
      </c>
      <c r="N91" s="64"/>
      <c r="O91" s="64"/>
      <c r="P91" s="64"/>
      <c r="Q91" s="64"/>
      <c r="R91" s="64"/>
      <c r="S91" s="64"/>
      <c r="T91" s="64"/>
      <c r="U91" s="64">
        <f>+M91</f>
        <v>0</v>
      </c>
      <c r="V91" s="65" t="s">
        <v>149</v>
      </c>
      <c r="W91" s="66"/>
      <c r="Y91" s="66"/>
      <c r="AI91" s="92"/>
      <c r="AJ91" s="92"/>
      <c r="AK91" s="92"/>
    </row>
    <row r="92" spans="1:37" ht="34.5" customHeight="1">
      <c r="A92" s="67"/>
      <c r="B92" s="57">
        <v>730809</v>
      </c>
      <c r="C92" s="58" t="s">
        <v>150</v>
      </c>
      <c r="D92" s="59">
        <v>4500</v>
      </c>
      <c r="E92" s="60">
        <f>10*12.5</f>
        <v>125</v>
      </c>
      <c r="F92" s="61">
        <f>(E92*1.05)*12+2925</f>
        <v>4500</v>
      </c>
      <c r="G92" s="61">
        <f t="shared" si="34"/>
        <v>4500</v>
      </c>
      <c r="H92" s="62">
        <f t="shared" si="34"/>
        <v>4500</v>
      </c>
      <c r="I92" s="63"/>
      <c r="J92" s="61"/>
      <c r="K92" s="61">
        <f t="shared" si="34"/>
        <v>0</v>
      </c>
      <c r="L92" s="61">
        <v>6000</v>
      </c>
      <c r="M92" s="59">
        <f t="shared" si="33"/>
        <v>6000</v>
      </c>
      <c r="N92" s="64">
        <f>+M92/2</f>
        <v>3000</v>
      </c>
      <c r="O92" s="64">
        <v>3000</v>
      </c>
      <c r="P92" s="64">
        <f t="shared" si="32"/>
        <v>0</v>
      </c>
      <c r="Q92" s="64"/>
      <c r="R92" s="64">
        <f>+M92-N92-Q92</f>
        <v>3000</v>
      </c>
      <c r="S92" s="64"/>
      <c r="T92" s="64"/>
      <c r="U92" s="64">
        <f>+M92</f>
        <v>6000</v>
      </c>
      <c r="V92" s="65" t="s">
        <v>151</v>
      </c>
      <c r="W92" s="66"/>
      <c r="Y92" s="66"/>
      <c r="AI92" s="92"/>
      <c r="AJ92" s="92"/>
      <c r="AK92" s="92"/>
    </row>
    <row r="93" spans="1:37" ht="26.25" customHeight="1">
      <c r="A93" s="67"/>
      <c r="B93" s="57">
        <v>730811</v>
      </c>
      <c r="C93" s="58" t="s">
        <v>152</v>
      </c>
      <c r="D93" s="59">
        <f>64046.42*1.5</f>
        <v>96069.63</v>
      </c>
      <c r="E93" s="60">
        <v>750</v>
      </c>
      <c r="F93" s="61">
        <f>+E93*12*1.05</f>
        <v>9450</v>
      </c>
      <c r="G93" s="61">
        <f t="shared" si="34"/>
        <v>9450</v>
      </c>
      <c r="H93" s="62">
        <f t="shared" si="34"/>
        <v>9450</v>
      </c>
      <c r="I93" s="63">
        <f>+D93-K93</f>
        <v>81069.63</v>
      </c>
      <c r="J93" s="61"/>
      <c r="K93" s="61">
        <v>15000</v>
      </c>
      <c r="L93" s="61"/>
      <c r="M93" s="59">
        <f t="shared" si="33"/>
        <v>96069.63</v>
      </c>
      <c r="N93" s="64"/>
      <c r="O93" s="64"/>
      <c r="P93" s="64"/>
      <c r="Q93" s="64"/>
      <c r="R93" s="64">
        <f>+M93-N93-Q93</f>
        <v>96069.63</v>
      </c>
      <c r="S93" s="64">
        <f>+N93+R93</f>
        <v>96069.63</v>
      </c>
      <c r="T93" s="64"/>
      <c r="U93" s="64"/>
      <c r="V93" s="65"/>
      <c r="W93" s="66"/>
      <c r="Y93" s="66"/>
      <c r="AI93" s="92"/>
      <c r="AJ93" s="92"/>
      <c r="AK93" s="92"/>
    </row>
    <row r="94" spans="1:37" ht="24" customHeight="1">
      <c r="A94" s="67"/>
      <c r="B94" s="57">
        <v>730813</v>
      </c>
      <c r="C94" s="58" t="s">
        <v>153</v>
      </c>
      <c r="D94" s="59">
        <f>1283444.17*1.5</f>
        <v>1925166.2549999999</v>
      </c>
      <c r="E94" s="60"/>
      <c r="F94" s="61" t="e">
        <f>+#REF!-33209.98</f>
        <v>#REF!</v>
      </c>
      <c r="G94" s="61" t="e">
        <f>+F94*0.2-6567.98-5000-1000-25000-100000-10000</f>
        <v>#REF!</v>
      </c>
      <c r="H94" s="62"/>
      <c r="I94" s="63"/>
      <c r="J94" s="61">
        <f>1300000+6866+4770.75-10.99-400+40</f>
        <v>1311265.76</v>
      </c>
      <c r="K94" s="61"/>
      <c r="L94" s="61"/>
      <c r="M94" s="59">
        <f>+J94</f>
        <v>1311265.76</v>
      </c>
      <c r="N94" s="64">
        <f>1261670.84-500000-200000-25000-170000</f>
        <v>366670.84000000008</v>
      </c>
      <c r="O94" s="64">
        <v>366670.84</v>
      </c>
      <c r="P94" s="64">
        <f t="shared" si="32"/>
        <v>0</v>
      </c>
      <c r="Q94" s="64"/>
      <c r="R94" s="64">
        <f>+M94-N94-Q94</f>
        <v>944594.91999999993</v>
      </c>
      <c r="S94" s="64"/>
      <c r="T94" s="64">
        <f>+N94+R94</f>
        <v>1311265.76</v>
      </c>
      <c r="U94" s="64"/>
      <c r="V94" s="65" t="s">
        <v>154</v>
      </c>
      <c r="W94" s="66"/>
      <c r="Y94" s="66"/>
      <c r="AI94" s="92"/>
      <c r="AJ94" s="92"/>
      <c r="AK94" s="92"/>
    </row>
    <row r="95" spans="1:37" ht="31.5" customHeight="1">
      <c r="A95" s="67"/>
      <c r="B95" s="57">
        <v>730820</v>
      </c>
      <c r="C95" s="58" t="s">
        <v>155</v>
      </c>
      <c r="D95" s="59">
        <f>2800*1.5</f>
        <v>4200</v>
      </c>
      <c r="E95" s="60">
        <v>1000</v>
      </c>
      <c r="F95" s="61">
        <v>12800</v>
      </c>
      <c r="G95" s="61">
        <f>+F95</f>
        <v>12800</v>
      </c>
      <c r="H95" s="62">
        <f>+G95</f>
        <v>12800</v>
      </c>
      <c r="I95" s="63"/>
      <c r="J95" s="61">
        <f>+I95</f>
        <v>0</v>
      </c>
      <c r="K95" s="61">
        <f>+D95</f>
        <v>4200</v>
      </c>
      <c r="L95" s="61"/>
      <c r="M95" s="59">
        <f t="shared" si="33"/>
        <v>4200</v>
      </c>
      <c r="N95" s="64">
        <f>+M95/2</f>
        <v>2100</v>
      </c>
      <c r="O95" s="64">
        <v>2100</v>
      </c>
      <c r="P95" s="64"/>
      <c r="Q95" s="64"/>
      <c r="R95" s="64">
        <f>+M95-N95-Q95</f>
        <v>2100</v>
      </c>
      <c r="S95" s="64"/>
      <c r="T95" s="64">
        <f>+N95+R95</f>
        <v>4200</v>
      </c>
      <c r="U95" s="64"/>
      <c r="V95" s="65"/>
      <c r="W95" s="66"/>
      <c r="Y95" s="66"/>
      <c r="AI95" s="92"/>
      <c r="AJ95" s="92"/>
      <c r="AK95" s="92"/>
    </row>
    <row r="96" spans="1:37" ht="19.5" customHeight="1">
      <c r="A96" s="67"/>
      <c r="B96" s="57">
        <v>730899</v>
      </c>
      <c r="C96" s="58"/>
      <c r="D96" s="59"/>
      <c r="E96" s="60">
        <v>400</v>
      </c>
      <c r="F96" s="61"/>
      <c r="G96" s="61">
        <f>+F96</f>
        <v>0</v>
      </c>
      <c r="H96" s="62"/>
      <c r="I96" s="63">
        <f>+H96</f>
        <v>0</v>
      </c>
      <c r="J96" s="61">
        <f>+I96</f>
        <v>0</v>
      </c>
      <c r="K96" s="61">
        <f>+J96</f>
        <v>0</v>
      </c>
      <c r="L96" s="61"/>
      <c r="M96" s="59">
        <f t="shared" si="33"/>
        <v>0</v>
      </c>
      <c r="N96" s="64"/>
      <c r="O96" s="64"/>
      <c r="P96" s="64"/>
      <c r="Q96" s="64"/>
      <c r="R96" s="64"/>
      <c r="S96" s="64"/>
      <c r="T96" s="64"/>
      <c r="U96" s="64"/>
      <c r="V96" s="65" t="s">
        <v>156</v>
      </c>
      <c r="W96" s="66"/>
      <c r="Y96" s="66"/>
      <c r="AI96" s="92"/>
      <c r="AJ96" s="92"/>
      <c r="AK96" s="92"/>
    </row>
    <row r="97" spans="1:37" ht="20.25" customHeight="1">
      <c r="A97" s="67"/>
      <c r="B97" s="57">
        <v>73141</v>
      </c>
      <c r="C97" s="58" t="s">
        <v>157</v>
      </c>
      <c r="D97" s="59"/>
      <c r="E97" s="60"/>
      <c r="F97" s="61"/>
      <c r="G97" s="61"/>
      <c r="H97" s="62"/>
      <c r="I97" s="63"/>
      <c r="J97" s="61">
        <v>4500</v>
      </c>
      <c r="K97" s="61"/>
      <c r="L97" s="61"/>
      <c r="M97" s="59">
        <f t="shared" si="33"/>
        <v>4500</v>
      </c>
      <c r="N97" s="64"/>
      <c r="O97" s="64"/>
      <c r="P97" s="64"/>
      <c r="Q97" s="64"/>
      <c r="R97" s="64">
        <f>+M97-N97-Q97</f>
        <v>4500</v>
      </c>
      <c r="S97" s="64">
        <f>+N97+R97</f>
        <v>4500</v>
      </c>
      <c r="T97" s="64"/>
      <c r="U97" s="64"/>
      <c r="V97" s="65"/>
      <c r="W97" s="66"/>
      <c r="Y97" s="66"/>
      <c r="AI97" s="92"/>
      <c r="AJ97" s="92"/>
      <c r="AK97" s="92"/>
    </row>
    <row r="98" spans="1:37" ht="20.25" customHeight="1">
      <c r="A98" s="67"/>
      <c r="B98" s="57">
        <v>731403</v>
      </c>
      <c r="C98" s="58" t="s">
        <v>158</v>
      </c>
      <c r="D98" s="59"/>
      <c r="E98" s="60"/>
      <c r="F98" s="61"/>
      <c r="G98" s="61"/>
      <c r="H98" s="62"/>
      <c r="I98" s="63"/>
      <c r="J98" s="61"/>
      <c r="K98" s="61">
        <v>200</v>
      </c>
      <c r="L98" s="61"/>
      <c r="M98" s="59">
        <f t="shared" si="33"/>
        <v>200</v>
      </c>
      <c r="N98" s="64"/>
      <c r="O98" s="64"/>
      <c r="P98" s="64"/>
      <c r="Q98" s="64"/>
      <c r="R98" s="64"/>
      <c r="S98" s="64">
        <f>+N98</f>
        <v>0</v>
      </c>
      <c r="T98" s="64"/>
      <c r="U98" s="64"/>
      <c r="V98" s="65"/>
      <c r="W98" s="66"/>
      <c r="Y98" s="66"/>
      <c r="AI98" s="92"/>
      <c r="AJ98" s="92"/>
      <c r="AK98" s="92"/>
    </row>
    <row r="99" spans="1:37" ht="20.25" customHeight="1">
      <c r="A99" s="67"/>
      <c r="B99" s="57">
        <v>731404</v>
      </c>
      <c r="C99" s="58" t="s">
        <v>159</v>
      </c>
      <c r="D99" s="59"/>
      <c r="E99" s="60"/>
      <c r="F99" s="61"/>
      <c r="G99" s="61"/>
      <c r="H99" s="62"/>
      <c r="I99" s="63">
        <v>5000</v>
      </c>
      <c r="J99" s="61"/>
      <c r="K99" s="61"/>
      <c r="L99" s="61"/>
      <c r="M99" s="59">
        <f t="shared" si="33"/>
        <v>5000</v>
      </c>
      <c r="N99" s="64">
        <v>832</v>
      </c>
      <c r="O99" s="64">
        <v>832</v>
      </c>
      <c r="P99" s="64">
        <f>+N99-O99</f>
        <v>0</v>
      </c>
      <c r="Q99" s="64"/>
      <c r="R99" s="64"/>
      <c r="S99" s="64">
        <f>+N99</f>
        <v>832</v>
      </c>
      <c r="T99" s="64"/>
      <c r="U99" s="64"/>
      <c r="V99" s="65"/>
      <c r="W99" s="66"/>
      <c r="Y99" s="66"/>
      <c r="AI99" s="92"/>
      <c r="AJ99" s="92"/>
      <c r="AK99" s="92"/>
    </row>
    <row r="100" spans="1:37" ht="20.25" customHeight="1">
      <c r="A100" s="67"/>
      <c r="B100" s="57">
        <v>731406</v>
      </c>
      <c r="C100" s="58" t="s">
        <v>160</v>
      </c>
      <c r="D100" s="59"/>
      <c r="E100" s="60"/>
      <c r="F100" s="61"/>
      <c r="G100" s="61"/>
      <c r="H100" s="62"/>
      <c r="I100" s="63"/>
      <c r="J100" s="61"/>
      <c r="K100" s="61">
        <v>4000</v>
      </c>
      <c r="L100" s="61"/>
      <c r="M100" s="59">
        <f t="shared" si="33"/>
        <v>4000</v>
      </c>
      <c r="N100" s="64">
        <f>4000-2292</f>
        <v>1708</v>
      </c>
      <c r="O100" s="64">
        <v>1708</v>
      </c>
      <c r="P100" s="64">
        <f>+N100-O100</f>
        <v>0</v>
      </c>
      <c r="Q100" s="64"/>
      <c r="R100" s="64"/>
      <c r="S100" s="64">
        <f>+N100</f>
        <v>1708</v>
      </c>
      <c r="T100" s="64"/>
      <c r="U100" s="64"/>
      <c r="V100" s="65"/>
      <c r="W100" s="66"/>
      <c r="Y100" s="66"/>
      <c r="AI100" s="92"/>
      <c r="AJ100" s="92"/>
      <c r="AK100" s="92"/>
    </row>
    <row r="101" spans="1:37" ht="33" customHeight="1">
      <c r="A101" s="67"/>
      <c r="B101" s="57">
        <v>731407</v>
      </c>
      <c r="C101" s="58" t="s">
        <v>161</v>
      </c>
      <c r="D101" s="59"/>
      <c r="E101" s="60"/>
      <c r="F101" s="61"/>
      <c r="G101" s="61"/>
      <c r="H101" s="62"/>
      <c r="I101" s="63"/>
      <c r="J101" s="61"/>
      <c r="K101" s="61">
        <v>1000</v>
      </c>
      <c r="L101" s="61"/>
      <c r="M101" s="59">
        <f t="shared" si="33"/>
        <v>1000</v>
      </c>
      <c r="N101" s="64"/>
      <c r="O101" s="64"/>
      <c r="P101" s="64"/>
      <c r="Q101" s="64"/>
      <c r="R101" s="64"/>
      <c r="S101" s="64">
        <f>+N101</f>
        <v>0</v>
      </c>
      <c r="T101" s="64"/>
      <c r="U101" s="64"/>
      <c r="V101" s="65"/>
      <c r="W101" s="66"/>
      <c r="Y101" s="66"/>
      <c r="AI101" s="92"/>
      <c r="AJ101" s="92"/>
      <c r="AK101" s="92"/>
    </row>
    <row r="102" spans="1:37" ht="20.25" customHeight="1">
      <c r="A102" s="67"/>
      <c r="B102" s="57"/>
      <c r="C102" s="58"/>
      <c r="D102" s="59"/>
      <c r="E102" s="60"/>
      <c r="F102" s="61"/>
      <c r="G102" s="61"/>
      <c r="H102" s="62"/>
      <c r="I102" s="63"/>
      <c r="J102" s="61"/>
      <c r="K102" s="61"/>
      <c r="L102" s="61"/>
      <c r="M102" s="59"/>
      <c r="N102" s="64"/>
      <c r="O102" s="64"/>
      <c r="P102" s="64"/>
      <c r="Q102" s="64"/>
      <c r="R102" s="64"/>
      <c r="S102" s="64"/>
      <c r="T102" s="64"/>
      <c r="U102" s="64"/>
      <c r="V102" s="65"/>
      <c r="W102" s="66"/>
      <c r="Y102" s="66"/>
      <c r="AI102" s="92"/>
      <c r="AJ102" s="92"/>
      <c r="AK102" s="92"/>
    </row>
    <row r="103" spans="1:37" s="100" customFormat="1" ht="36" customHeight="1">
      <c r="A103" s="98"/>
      <c r="B103" s="99"/>
      <c r="C103" s="107" t="s">
        <v>162</v>
      </c>
      <c r="D103" s="45"/>
      <c r="E103" s="41">
        <f>SUM(E104:E104)</f>
        <v>0</v>
      </c>
      <c r="F103" s="75">
        <f>SUM(F104:F104)</f>
        <v>0</v>
      </c>
      <c r="G103" s="75">
        <f>SUM(G104:G104)</f>
        <v>0</v>
      </c>
      <c r="H103" s="108"/>
      <c r="I103" s="77">
        <f>SUM(I104:I104)</f>
        <v>0</v>
      </c>
      <c r="J103" s="75">
        <f>SUM(J104:J104)</f>
        <v>0</v>
      </c>
      <c r="K103" s="75">
        <f>SUM(K104:K104)</f>
        <v>0</v>
      </c>
      <c r="L103" s="75"/>
      <c r="M103" s="73"/>
      <c r="N103" s="78"/>
      <c r="O103" s="78"/>
      <c r="P103" s="78"/>
      <c r="Q103" s="78"/>
      <c r="R103" s="78"/>
      <c r="S103" s="78"/>
      <c r="T103" s="78"/>
      <c r="U103" s="78"/>
      <c r="V103" s="109"/>
      <c r="W103" s="110"/>
      <c r="Y103" s="110"/>
      <c r="AI103" s="92"/>
      <c r="AJ103" s="92"/>
      <c r="AK103" s="92"/>
    </row>
    <row r="104" spans="1:37" s="100" customFormat="1" ht="18" customHeight="1">
      <c r="A104" s="98"/>
      <c r="B104" s="99"/>
      <c r="C104" s="107"/>
      <c r="D104" s="111"/>
      <c r="E104" s="112"/>
      <c r="F104" s="113">
        <v>0</v>
      </c>
      <c r="G104" s="113"/>
      <c r="H104" s="108"/>
      <c r="I104" s="114"/>
      <c r="J104" s="113"/>
      <c r="K104" s="113"/>
      <c r="L104" s="113"/>
      <c r="M104" s="111"/>
      <c r="N104" s="115"/>
      <c r="O104" s="115"/>
      <c r="P104" s="115"/>
      <c r="Q104" s="115"/>
      <c r="R104" s="115"/>
      <c r="S104" s="115"/>
      <c r="T104" s="115"/>
      <c r="U104" s="115"/>
      <c r="V104" s="109"/>
      <c r="W104" s="110"/>
      <c r="Y104" s="110"/>
      <c r="AI104" s="92"/>
      <c r="AJ104" s="92"/>
      <c r="AK104" s="92"/>
    </row>
    <row r="105" spans="1:37" s="100" customFormat="1" ht="18">
      <c r="A105" s="98"/>
      <c r="B105" s="99"/>
      <c r="C105" s="91" t="s">
        <v>163</v>
      </c>
      <c r="D105" s="83">
        <f>SUM(D109:D111)</f>
        <v>388807.74000000005</v>
      </c>
      <c r="E105" s="84">
        <f t="shared" ref="E105:U105" si="35">SUM(E106:E111)</f>
        <v>28908.333333333332</v>
      </c>
      <c r="F105" s="85">
        <f t="shared" si="35"/>
        <v>364245</v>
      </c>
      <c r="G105" s="85">
        <f t="shared" si="35"/>
        <v>114345</v>
      </c>
      <c r="H105" s="86">
        <f t="shared" si="35"/>
        <v>114345</v>
      </c>
      <c r="I105" s="87">
        <f t="shared" si="35"/>
        <v>0</v>
      </c>
      <c r="J105" s="85">
        <f t="shared" si="35"/>
        <v>0</v>
      </c>
      <c r="K105" s="85">
        <f t="shared" si="35"/>
        <v>417500</v>
      </c>
      <c r="L105" s="85">
        <f t="shared" si="35"/>
        <v>0</v>
      </c>
      <c r="M105" s="83">
        <f t="shared" si="35"/>
        <v>417500</v>
      </c>
      <c r="N105" s="88">
        <f t="shared" si="35"/>
        <v>200000</v>
      </c>
      <c r="O105" s="88">
        <f t="shared" si="35"/>
        <v>197500</v>
      </c>
      <c r="P105" s="88">
        <f t="shared" si="35"/>
        <v>0</v>
      </c>
      <c r="Q105" s="88">
        <f t="shared" si="35"/>
        <v>0</v>
      </c>
      <c r="R105" s="88">
        <f t="shared" si="35"/>
        <v>217500</v>
      </c>
      <c r="S105" s="88">
        <f t="shared" si="35"/>
        <v>0</v>
      </c>
      <c r="T105" s="88">
        <f t="shared" si="35"/>
        <v>415000</v>
      </c>
      <c r="U105" s="88">
        <f t="shared" si="35"/>
        <v>2500</v>
      </c>
      <c r="V105" s="79"/>
      <c r="W105" s="80"/>
      <c r="Y105" s="80"/>
      <c r="AI105" s="92"/>
      <c r="AJ105" s="92"/>
      <c r="AK105" s="92"/>
    </row>
    <row r="106" spans="1:37" ht="42.75" customHeight="1">
      <c r="A106" s="67"/>
      <c r="B106" s="57">
        <v>770199</v>
      </c>
      <c r="C106" s="116" t="s">
        <v>164</v>
      </c>
      <c r="D106" s="93"/>
      <c r="E106" s="117">
        <v>200</v>
      </c>
      <c r="F106" s="61">
        <f>(E106*1.05)*12</f>
        <v>2520</v>
      </c>
      <c r="G106" s="61">
        <f>+F106</f>
        <v>2520</v>
      </c>
      <c r="H106" s="62">
        <f>+G106</f>
        <v>2520</v>
      </c>
      <c r="I106" s="63"/>
      <c r="J106" s="61">
        <f>+I106</f>
        <v>0</v>
      </c>
      <c r="K106" s="61">
        <f>+J106</f>
        <v>0</v>
      </c>
      <c r="L106" s="61"/>
      <c r="M106" s="59">
        <f>SUBTOTAL(9,I106:L106)</f>
        <v>0</v>
      </c>
      <c r="N106" s="64"/>
      <c r="O106" s="64"/>
      <c r="P106" s="64"/>
      <c r="Q106" s="64"/>
      <c r="R106" s="64"/>
      <c r="S106" s="64">
        <f>+K106</f>
        <v>0</v>
      </c>
      <c r="T106" s="64">
        <f>+L106</f>
        <v>0</v>
      </c>
      <c r="U106" s="64">
        <f>+M106</f>
        <v>0</v>
      </c>
      <c r="V106" s="65">
        <v>20000</v>
      </c>
      <c r="W106" s="66" t="s">
        <v>165</v>
      </c>
      <c r="Y106" s="66"/>
      <c r="AI106" s="92"/>
      <c r="AJ106" s="92"/>
      <c r="AK106" s="92"/>
    </row>
    <row r="107" spans="1:37" ht="19.5" customHeight="1">
      <c r="A107" s="67"/>
      <c r="B107" s="57">
        <v>770101</v>
      </c>
      <c r="C107" s="58" t="s">
        <v>166</v>
      </c>
      <c r="D107" s="93"/>
      <c r="E107" s="117"/>
      <c r="F107" s="61"/>
      <c r="G107" s="61"/>
      <c r="H107" s="62"/>
      <c r="I107" s="63"/>
      <c r="J107" s="61"/>
      <c r="K107" s="61"/>
      <c r="L107" s="61"/>
      <c r="M107" s="59">
        <f t="shared" ref="M107:M113" si="36">SUM(I107:L107)</f>
        <v>0</v>
      </c>
      <c r="N107" s="64"/>
      <c r="O107" s="64"/>
      <c r="P107" s="64"/>
      <c r="Q107" s="64"/>
      <c r="R107" s="64"/>
      <c r="S107" s="64"/>
      <c r="T107" s="64"/>
      <c r="U107" s="64"/>
      <c r="V107" s="65"/>
      <c r="W107" s="66"/>
      <c r="Y107" s="66"/>
      <c r="AI107" s="92"/>
      <c r="AJ107" s="92"/>
      <c r="AK107" s="92"/>
    </row>
    <row r="108" spans="1:37" ht="42.75" customHeight="1">
      <c r="A108" s="67"/>
      <c r="B108" s="57">
        <v>770102</v>
      </c>
      <c r="C108" s="58" t="s">
        <v>167</v>
      </c>
      <c r="D108" s="93">
        <f>12717.42*1.5</f>
        <v>19076.13</v>
      </c>
      <c r="E108" s="117"/>
      <c r="F108" s="61"/>
      <c r="G108" s="61"/>
      <c r="H108" s="62"/>
      <c r="I108" s="63"/>
      <c r="J108" s="61"/>
      <c r="K108" s="61">
        <v>55000</v>
      </c>
      <c r="L108" s="61"/>
      <c r="M108" s="59">
        <f t="shared" si="36"/>
        <v>55000</v>
      </c>
      <c r="N108" s="64">
        <f>+M108/2</f>
        <v>27500</v>
      </c>
      <c r="O108" s="64">
        <v>27500</v>
      </c>
      <c r="P108" s="64">
        <f>+N108-O108</f>
        <v>0</v>
      </c>
      <c r="Q108" s="64"/>
      <c r="R108" s="64">
        <f>+M108-N108-Q108</f>
        <v>27500</v>
      </c>
      <c r="S108" s="64"/>
      <c r="T108" s="64">
        <f>+M108</f>
        <v>55000</v>
      </c>
      <c r="U108" s="64"/>
      <c r="V108" s="65"/>
      <c r="W108" s="66"/>
      <c r="Y108" s="66"/>
      <c r="AI108" s="92"/>
      <c r="AJ108" s="92"/>
      <c r="AK108" s="92"/>
    </row>
    <row r="109" spans="1:37" ht="19.5" customHeight="1">
      <c r="A109" s="67"/>
      <c r="B109" s="57">
        <v>770201</v>
      </c>
      <c r="C109" s="58" t="s">
        <v>168</v>
      </c>
      <c r="D109" s="59">
        <f>258201.68*1.5</f>
        <v>387302.52</v>
      </c>
      <c r="E109" s="60">
        <f>340000/12</f>
        <v>28333.333333333332</v>
      </c>
      <c r="F109" s="61">
        <f>(E109*1.05)*12-V174</f>
        <v>357000</v>
      </c>
      <c r="G109" s="61">
        <f>+F109*0.3</f>
        <v>107100</v>
      </c>
      <c r="H109" s="62">
        <f>+G109</f>
        <v>107100</v>
      </c>
      <c r="I109" s="63"/>
      <c r="J109" s="61">
        <f>+I109*0.3</f>
        <v>0</v>
      </c>
      <c r="K109" s="61">
        <v>360000</v>
      </c>
      <c r="L109" s="61"/>
      <c r="M109" s="59">
        <f t="shared" si="36"/>
        <v>360000</v>
      </c>
      <c r="N109" s="64">
        <f>170000</f>
        <v>170000</v>
      </c>
      <c r="O109" s="64">
        <v>170000</v>
      </c>
      <c r="P109" s="64">
        <f>+N109-O109</f>
        <v>0</v>
      </c>
      <c r="Q109" s="64"/>
      <c r="R109" s="64">
        <f>+M109-N109-Q109</f>
        <v>190000</v>
      </c>
      <c r="S109" s="64"/>
      <c r="T109" s="64">
        <f>+M109</f>
        <v>360000</v>
      </c>
      <c r="U109" s="64"/>
      <c r="V109" s="65">
        <v>180000</v>
      </c>
      <c r="W109" s="66">
        <v>120000</v>
      </c>
      <c r="Y109" s="66">
        <f>+W109+V109</f>
        <v>300000</v>
      </c>
      <c r="Z109" s="102"/>
      <c r="AA109" s="5" t="s">
        <v>169</v>
      </c>
      <c r="AB109" s="5">
        <v>20000</v>
      </c>
      <c r="AC109" s="5" t="s">
        <v>170</v>
      </c>
      <c r="AI109" s="92"/>
      <c r="AJ109" s="92"/>
      <c r="AK109" s="92"/>
    </row>
    <row r="110" spans="1:37" ht="19.5" customHeight="1">
      <c r="A110" s="67"/>
      <c r="B110" s="57">
        <v>770203</v>
      </c>
      <c r="C110" s="58" t="s">
        <v>171</v>
      </c>
      <c r="D110" s="59">
        <f>870.71*1.5</f>
        <v>1306.0650000000001</v>
      </c>
      <c r="E110" s="60">
        <v>125</v>
      </c>
      <c r="F110" s="61">
        <f>(E110*1.05)*12</f>
        <v>1575</v>
      </c>
      <c r="G110" s="61">
        <f>+F110</f>
        <v>1575</v>
      </c>
      <c r="H110" s="62">
        <f>+G110</f>
        <v>1575</v>
      </c>
      <c r="I110" s="63"/>
      <c r="J110" s="61">
        <f>+I110</f>
        <v>0</v>
      </c>
      <c r="K110" s="61">
        <v>1500</v>
      </c>
      <c r="L110" s="61"/>
      <c r="M110" s="59">
        <f t="shared" si="36"/>
        <v>1500</v>
      </c>
      <c r="N110" s="64">
        <f>+M110</f>
        <v>1500</v>
      </c>
      <c r="O110" s="64"/>
      <c r="P110" s="64"/>
      <c r="Q110" s="64"/>
      <c r="R110" s="64"/>
      <c r="S110" s="64"/>
      <c r="T110" s="64"/>
      <c r="U110" s="64">
        <f>+M110</f>
        <v>1500</v>
      </c>
      <c r="V110" s="65"/>
      <c r="W110" s="66"/>
      <c r="Y110" s="66"/>
      <c r="AI110" s="92"/>
      <c r="AJ110" s="92"/>
      <c r="AK110" s="92"/>
    </row>
    <row r="111" spans="1:37" ht="19.5" customHeight="1">
      <c r="A111" s="67"/>
      <c r="B111" s="57">
        <v>770206</v>
      </c>
      <c r="C111" s="58" t="s">
        <v>172</v>
      </c>
      <c r="D111" s="59">
        <f>132.77*1.5</f>
        <v>199.15500000000003</v>
      </c>
      <c r="E111" s="60">
        <v>250</v>
      </c>
      <c r="F111" s="61">
        <f>(E111*1.05)*12</f>
        <v>3150</v>
      </c>
      <c r="G111" s="61">
        <f>+F111</f>
        <v>3150</v>
      </c>
      <c r="H111" s="62">
        <f>+G111</f>
        <v>3150</v>
      </c>
      <c r="I111" s="63"/>
      <c r="J111" s="61">
        <f>+I111</f>
        <v>0</v>
      </c>
      <c r="K111" s="61">
        <v>1000</v>
      </c>
      <c r="L111" s="61"/>
      <c r="M111" s="59">
        <f t="shared" si="36"/>
        <v>1000</v>
      </c>
      <c r="N111" s="64">
        <f>+M111</f>
        <v>1000</v>
      </c>
      <c r="O111" s="64"/>
      <c r="P111" s="64"/>
      <c r="Q111" s="64"/>
      <c r="R111" s="64"/>
      <c r="S111" s="64"/>
      <c r="T111" s="64"/>
      <c r="U111" s="64">
        <f>+M111</f>
        <v>1000</v>
      </c>
      <c r="V111" s="65" t="s">
        <v>173</v>
      </c>
      <c r="W111" s="66"/>
      <c r="Y111" s="66"/>
      <c r="AI111" s="92"/>
      <c r="AJ111" s="92"/>
      <c r="AK111" s="92"/>
    </row>
    <row r="112" spans="1:37" s="100" customFormat="1" ht="18" customHeight="1">
      <c r="A112" s="98"/>
      <c r="B112" s="99"/>
      <c r="C112" s="91" t="s">
        <v>174</v>
      </c>
      <c r="D112" s="83"/>
      <c r="E112" s="84">
        <f>SUM(E113)</f>
        <v>0</v>
      </c>
      <c r="F112" s="85">
        <f>SUM(F113)</f>
        <v>0</v>
      </c>
      <c r="G112" s="85">
        <f>SUM(G113)</f>
        <v>0</v>
      </c>
      <c r="H112" s="86"/>
      <c r="I112" s="87">
        <f>SUM(I113)</f>
        <v>0</v>
      </c>
      <c r="J112" s="85">
        <f>SUM(J113)</f>
        <v>0</v>
      </c>
      <c r="K112" s="85">
        <f>SUM(K113)</f>
        <v>0</v>
      </c>
      <c r="L112" s="85"/>
      <c r="M112" s="83"/>
      <c r="N112" s="88"/>
      <c r="O112" s="88"/>
      <c r="P112" s="88"/>
      <c r="Q112" s="88"/>
      <c r="R112" s="88"/>
      <c r="S112" s="88"/>
      <c r="T112" s="88"/>
      <c r="U112" s="88"/>
      <c r="V112" s="109"/>
      <c r="W112" s="110"/>
      <c r="Y112" s="110"/>
      <c r="AI112" s="92"/>
      <c r="AJ112" s="92"/>
      <c r="AK112" s="92"/>
    </row>
    <row r="113" spans="1:42" ht="30.75" customHeight="1">
      <c r="A113" s="67"/>
      <c r="B113" s="57">
        <v>780204</v>
      </c>
      <c r="C113" s="58" t="s">
        <v>175</v>
      </c>
      <c r="D113" s="59"/>
      <c r="E113" s="60"/>
      <c r="F113" s="61"/>
      <c r="G113" s="61"/>
      <c r="H113" s="62"/>
      <c r="I113" s="63"/>
      <c r="J113" s="61"/>
      <c r="K113" s="61"/>
      <c r="L113" s="61"/>
      <c r="M113" s="59">
        <f t="shared" si="36"/>
        <v>0</v>
      </c>
      <c r="N113" s="64"/>
      <c r="O113" s="64"/>
      <c r="P113" s="64"/>
      <c r="Q113" s="64"/>
      <c r="R113" s="64"/>
      <c r="S113" s="64"/>
      <c r="T113" s="64"/>
      <c r="U113" s="64"/>
      <c r="V113" s="65"/>
      <c r="W113" s="66"/>
      <c r="Y113" s="66"/>
      <c r="AI113" s="92"/>
      <c r="AJ113" s="92"/>
      <c r="AK113" s="92"/>
    </row>
    <row r="114" spans="1:42" s="100" customFormat="1" ht="18" customHeight="1">
      <c r="A114" s="98"/>
      <c r="B114" s="99"/>
      <c r="C114" s="107"/>
      <c r="D114" s="111"/>
      <c r="E114" s="112"/>
      <c r="F114" s="113"/>
      <c r="G114" s="113"/>
      <c r="H114" s="108"/>
      <c r="I114" s="114"/>
      <c r="J114" s="113"/>
      <c r="K114" s="113"/>
      <c r="L114" s="113"/>
      <c r="M114" s="111">
        <f>SUBTOTAL(9,I114:L114)</f>
        <v>0</v>
      </c>
      <c r="N114" s="115"/>
      <c r="O114" s="115"/>
      <c r="P114" s="115"/>
      <c r="Q114" s="115"/>
      <c r="R114" s="115"/>
      <c r="S114" s="115"/>
      <c r="T114" s="115"/>
      <c r="U114" s="115"/>
      <c r="V114" s="109"/>
      <c r="W114" s="110"/>
      <c r="Y114" s="110"/>
      <c r="AI114" s="92"/>
      <c r="AJ114" s="92"/>
      <c r="AK114" s="92"/>
    </row>
    <row r="115" spans="1:42" s="100" customFormat="1" ht="18" customHeight="1">
      <c r="A115" s="118" t="s">
        <v>176</v>
      </c>
      <c r="B115" s="119"/>
      <c r="C115" s="91"/>
      <c r="D115" s="120">
        <f t="shared" ref="D115:U115" si="37">D116</f>
        <v>177418.38</v>
      </c>
      <c r="E115" s="121">
        <f t="shared" si="37"/>
        <v>12883.333333333334</v>
      </c>
      <c r="F115" s="75">
        <f t="shared" si="37"/>
        <v>39000</v>
      </c>
      <c r="G115" s="75">
        <f t="shared" si="37"/>
        <v>25713.43</v>
      </c>
      <c r="H115" s="76">
        <f t="shared" si="37"/>
        <v>25713.43</v>
      </c>
      <c r="I115" s="77">
        <f t="shared" si="37"/>
        <v>130000</v>
      </c>
      <c r="J115" s="75">
        <f t="shared" si="37"/>
        <v>16626</v>
      </c>
      <c r="K115" s="75">
        <f t="shared" si="37"/>
        <v>48509.83</v>
      </c>
      <c r="L115" s="75">
        <f t="shared" si="37"/>
        <v>0</v>
      </c>
      <c r="M115" s="73">
        <f t="shared" si="37"/>
        <v>65135.83</v>
      </c>
      <c r="N115" s="78">
        <f t="shared" si="37"/>
        <v>55651</v>
      </c>
      <c r="O115" s="78">
        <f t="shared" si="37"/>
        <v>55651</v>
      </c>
      <c r="P115" s="78">
        <f t="shared" si="37"/>
        <v>0</v>
      </c>
      <c r="Q115" s="78">
        <f t="shared" si="37"/>
        <v>0</v>
      </c>
      <c r="R115" s="78">
        <f t="shared" si="37"/>
        <v>21944.83</v>
      </c>
      <c r="S115" s="78">
        <f t="shared" si="37"/>
        <v>65135.83</v>
      </c>
      <c r="T115" s="78">
        <f t="shared" si="37"/>
        <v>0</v>
      </c>
      <c r="U115" s="78">
        <f t="shared" si="37"/>
        <v>0</v>
      </c>
      <c r="V115" s="79"/>
      <c r="W115" s="80"/>
      <c r="Y115" s="80"/>
      <c r="AI115" s="92"/>
      <c r="AJ115" s="92"/>
      <c r="AK115" s="92"/>
      <c r="AL115" s="122"/>
      <c r="AM115" s="122"/>
      <c r="AN115" s="122"/>
      <c r="AO115" s="122"/>
      <c r="AP115" s="122"/>
    </row>
    <row r="116" spans="1:42" s="100" customFormat="1" ht="18" customHeight="1">
      <c r="A116" s="123"/>
      <c r="B116" s="99"/>
      <c r="C116" s="91" t="s">
        <v>177</v>
      </c>
      <c r="D116" s="83">
        <f t="shared" ref="D116:U116" si="38">SUM(D117:D121)</f>
        <v>177418.38</v>
      </c>
      <c r="E116" s="84">
        <f t="shared" si="38"/>
        <v>12883.333333333334</v>
      </c>
      <c r="F116" s="85">
        <f t="shared" si="38"/>
        <v>39000</v>
      </c>
      <c r="G116" s="85">
        <f t="shared" si="38"/>
        <v>25713.43</v>
      </c>
      <c r="H116" s="86">
        <f t="shared" si="38"/>
        <v>25713.43</v>
      </c>
      <c r="I116" s="87">
        <f t="shared" si="38"/>
        <v>130000</v>
      </c>
      <c r="J116" s="85">
        <f t="shared" si="38"/>
        <v>16626</v>
      </c>
      <c r="K116" s="85">
        <f t="shared" si="38"/>
        <v>48509.83</v>
      </c>
      <c r="L116" s="85">
        <f t="shared" si="38"/>
        <v>0</v>
      </c>
      <c r="M116" s="83">
        <f t="shared" si="38"/>
        <v>65135.83</v>
      </c>
      <c r="N116" s="88">
        <f t="shared" si="38"/>
        <v>55651</v>
      </c>
      <c r="O116" s="88">
        <f t="shared" ref="O116:P116" si="39">SUM(O117:O121)</f>
        <v>55651</v>
      </c>
      <c r="P116" s="88">
        <f t="shared" si="39"/>
        <v>0</v>
      </c>
      <c r="Q116" s="88">
        <f>SUM(Q117:Q121)</f>
        <v>0</v>
      </c>
      <c r="R116" s="88">
        <f t="shared" si="38"/>
        <v>21944.83</v>
      </c>
      <c r="S116" s="88">
        <f t="shared" ref="S116:T116" si="40">SUM(S117:S121)</f>
        <v>65135.83</v>
      </c>
      <c r="T116" s="88">
        <f t="shared" si="40"/>
        <v>0</v>
      </c>
      <c r="U116" s="88">
        <f t="shared" si="38"/>
        <v>0</v>
      </c>
      <c r="V116" s="79"/>
      <c r="W116" s="80"/>
      <c r="Y116" s="80"/>
      <c r="AI116" s="92"/>
      <c r="AJ116" s="92"/>
      <c r="AK116" s="92"/>
      <c r="AL116" s="124"/>
      <c r="AM116" s="124"/>
      <c r="AN116" s="124"/>
      <c r="AO116" s="122"/>
      <c r="AP116" s="122"/>
    </row>
    <row r="117" spans="1:42" ht="24" customHeight="1">
      <c r="A117" s="97"/>
      <c r="B117" s="57">
        <v>840103</v>
      </c>
      <c r="C117" s="125" t="s">
        <v>158</v>
      </c>
      <c r="D117" s="59">
        <f>200*1.5+8899*12/8</f>
        <v>13648.5</v>
      </c>
      <c r="E117" s="101">
        <v>1000</v>
      </c>
      <c r="F117" s="61">
        <f>(E117*1.05)*12</f>
        <v>12600</v>
      </c>
      <c r="G117" s="61">
        <f>+F117-2003.17-0.69</f>
        <v>10596.14</v>
      </c>
      <c r="H117" s="62">
        <f>+G117</f>
        <v>10596.14</v>
      </c>
      <c r="I117" s="63"/>
      <c r="J117" s="61"/>
      <c r="K117" s="61">
        <v>12000</v>
      </c>
      <c r="L117" s="61"/>
      <c r="M117" s="59">
        <f>SUM(I117:L117)</f>
        <v>12000</v>
      </c>
      <c r="N117" s="64">
        <v>11821</v>
      </c>
      <c r="O117" s="64">
        <v>11821</v>
      </c>
      <c r="P117" s="64">
        <f>+N117-O117</f>
        <v>0</v>
      </c>
      <c r="Q117" s="64"/>
      <c r="R117" s="64">
        <f>+M117-N117-Q117</f>
        <v>179</v>
      </c>
      <c r="S117" s="64">
        <f>+M117</f>
        <v>12000</v>
      </c>
      <c r="T117" s="64"/>
      <c r="U117" s="64"/>
      <c r="V117" s="65" t="s">
        <v>178</v>
      </c>
      <c r="W117" s="66" t="s">
        <v>105</v>
      </c>
      <c r="Y117" s="66"/>
      <c r="AI117" s="92"/>
      <c r="AJ117" s="92"/>
      <c r="AK117" s="92"/>
      <c r="AL117" s="126"/>
      <c r="AM117" s="126"/>
      <c r="AN117" s="126"/>
      <c r="AO117" s="127"/>
      <c r="AP117" s="127"/>
    </row>
    <row r="118" spans="1:42" ht="24" customHeight="1">
      <c r="A118" s="97"/>
      <c r="B118" s="57">
        <v>840104</v>
      </c>
      <c r="C118" s="125" t="s">
        <v>179</v>
      </c>
      <c r="D118" s="59">
        <f>4109.66*1.5+79581.4*12/8</f>
        <v>125536.59</v>
      </c>
      <c r="E118" s="101">
        <f>116200/12</f>
        <v>9683.3333333333339</v>
      </c>
      <c r="F118" s="61">
        <f>+AG118+AI118</f>
        <v>0</v>
      </c>
      <c r="G118" s="61">
        <f>+F118*0.1</f>
        <v>0</v>
      </c>
      <c r="H118" s="62"/>
      <c r="I118" s="63">
        <v>55000</v>
      </c>
      <c r="J118" s="61"/>
      <c r="K118" s="61"/>
      <c r="L118" s="61"/>
      <c r="M118" s="59"/>
      <c r="N118" s="64">
        <v>12460</v>
      </c>
      <c r="O118" s="64">
        <v>12460</v>
      </c>
      <c r="P118" s="64">
        <f>+N118-O118</f>
        <v>0</v>
      </c>
      <c r="Q118" s="64"/>
      <c r="R118" s="64">
        <f>+M118</f>
        <v>0</v>
      </c>
      <c r="S118" s="64">
        <f>+R118</f>
        <v>0</v>
      </c>
      <c r="T118" s="64"/>
      <c r="U118" s="64"/>
      <c r="V118" s="65" t="s">
        <v>180</v>
      </c>
      <c r="W118" s="66">
        <v>7000</v>
      </c>
      <c r="Y118" s="66"/>
      <c r="AA118" s="5" t="s">
        <v>181</v>
      </c>
      <c r="AB118" s="5">
        <f>16*200</f>
        <v>3200</v>
      </c>
      <c r="AC118" s="5" t="s">
        <v>182</v>
      </c>
      <c r="AI118" s="92"/>
      <c r="AJ118" s="92"/>
      <c r="AK118" s="92"/>
      <c r="AL118" s="128"/>
      <c r="AM118" s="128"/>
      <c r="AN118" s="128"/>
      <c r="AO118" s="127"/>
      <c r="AP118" s="127"/>
    </row>
    <row r="119" spans="1:42" ht="24" customHeight="1">
      <c r="A119" s="97"/>
      <c r="B119" s="57">
        <v>840105</v>
      </c>
      <c r="C119" s="125" t="s">
        <v>183</v>
      </c>
      <c r="D119" s="59"/>
      <c r="E119" s="60"/>
      <c r="F119" s="61"/>
      <c r="G119" s="61"/>
      <c r="H119" s="62"/>
      <c r="I119" s="63">
        <v>75000</v>
      </c>
      <c r="J119" s="61"/>
      <c r="K119" s="61"/>
      <c r="L119" s="61"/>
      <c r="M119" s="59"/>
      <c r="N119" s="64"/>
      <c r="O119" s="64"/>
      <c r="P119" s="64"/>
      <c r="Q119" s="64"/>
      <c r="R119" s="64">
        <f>+M119</f>
        <v>0</v>
      </c>
      <c r="S119" s="64">
        <f>+R119</f>
        <v>0</v>
      </c>
      <c r="T119" s="64"/>
      <c r="U119" s="64"/>
      <c r="V119" s="65"/>
      <c r="W119" s="66"/>
      <c r="Y119" s="66"/>
      <c r="AC119" s="5" t="s">
        <v>184</v>
      </c>
      <c r="AI119" s="92"/>
      <c r="AJ119" s="92"/>
      <c r="AK119" s="92"/>
      <c r="AL119" s="128"/>
      <c r="AM119" s="128"/>
      <c r="AN119" s="128"/>
      <c r="AO119" s="127"/>
      <c r="AP119" s="127"/>
    </row>
    <row r="120" spans="1:42" ht="36" customHeight="1">
      <c r="A120" s="97"/>
      <c r="B120" s="57">
        <v>840106</v>
      </c>
      <c r="C120" s="125" t="s">
        <v>185</v>
      </c>
      <c r="D120" s="59">
        <f>11084*1.5</f>
        <v>16626</v>
      </c>
      <c r="E120" s="60"/>
      <c r="F120" s="61"/>
      <c r="G120" s="61"/>
      <c r="H120" s="62"/>
      <c r="I120" s="63"/>
      <c r="J120" s="61">
        <f>+D120</f>
        <v>16626</v>
      </c>
      <c r="K120" s="61"/>
      <c r="L120" s="61"/>
      <c r="M120" s="59">
        <f>SUM(I120:L120)</f>
        <v>16626</v>
      </c>
      <c r="N120" s="64">
        <f>5000-700</f>
        <v>4300</v>
      </c>
      <c r="O120" s="64">
        <v>4300</v>
      </c>
      <c r="P120" s="64">
        <f t="shared" ref="P120:P121" si="41">+N120-O120</f>
        <v>0</v>
      </c>
      <c r="Q120" s="64"/>
      <c r="R120" s="64">
        <f>+M120-N120-Q120</f>
        <v>12326</v>
      </c>
      <c r="S120" s="64">
        <f>+M120</f>
        <v>16626</v>
      </c>
      <c r="T120" s="64"/>
      <c r="U120" s="64"/>
      <c r="V120" s="65"/>
      <c r="W120" s="66"/>
      <c r="Y120" s="66"/>
      <c r="AI120" s="92"/>
      <c r="AJ120" s="92"/>
      <c r="AK120" s="92"/>
      <c r="AL120" s="128"/>
      <c r="AM120" s="128"/>
      <c r="AN120" s="128"/>
      <c r="AO120" s="127"/>
      <c r="AP120" s="127"/>
    </row>
    <row r="121" spans="1:42" ht="43.5" customHeight="1">
      <c r="A121" s="97"/>
      <c r="B121" s="57">
        <v>840107</v>
      </c>
      <c r="C121" s="125" t="s">
        <v>186</v>
      </c>
      <c r="D121" s="59">
        <f>206.97*1.5+14197.89*12/8</f>
        <v>21607.29</v>
      </c>
      <c r="E121" s="60">
        <v>2200</v>
      </c>
      <c r="F121" s="61">
        <f>(E121)*12</f>
        <v>26400</v>
      </c>
      <c r="G121" s="61">
        <f>+F121*G173+G174</f>
        <v>15117.29</v>
      </c>
      <c r="H121" s="62">
        <f>+G121</f>
        <v>15117.29</v>
      </c>
      <c r="I121" s="63"/>
      <c r="J121" s="61">
        <f>+I121*J173+J174</f>
        <v>0</v>
      </c>
      <c r="K121" s="61">
        <f>29040+12488.46-5018.77+0.34-0.2</f>
        <v>36509.83</v>
      </c>
      <c r="L121" s="61"/>
      <c r="M121" s="59">
        <f>SUM(I121:L121)</f>
        <v>36509.83</v>
      </c>
      <c r="N121" s="64">
        <v>27070</v>
      </c>
      <c r="O121" s="64">
        <v>27070</v>
      </c>
      <c r="P121" s="64">
        <f t="shared" si="41"/>
        <v>0</v>
      </c>
      <c r="Q121" s="64"/>
      <c r="R121" s="64">
        <f>+M121-N121-Q121</f>
        <v>9439.8300000000017</v>
      </c>
      <c r="S121" s="64">
        <f>+M121</f>
        <v>36509.83</v>
      </c>
      <c r="T121" s="64"/>
      <c r="U121" s="64"/>
      <c r="V121" s="65" t="s">
        <v>135</v>
      </c>
      <c r="W121" s="66">
        <v>16500</v>
      </c>
      <c r="Y121" s="66" t="s">
        <v>187</v>
      </c>
      <c r="AA121" s="5" t="s">
        <v>188</v>
      </c>
      <c r="AB121" s="5">
        <v>9500</v>
      </c>
      <c r="AC121" s="5" t="s">
        <v>189</v>
      </c>
      <c r="AI121" s="92"/>
      <c r="AJ121" s="92"/>
      <c r="AK121" s="92"/>
      <c r="AL121" s="128"/>
      <c r="AM121" s="128"/>
      <c r="AN121" s="128"/>
      <c r="AO121" s="127"/>
      <c r="AP121" s="127"/>
    </row>
    <row r="122" spans="1:42" s="100" customFormat="1" ht="18" customHeight="1">
      <c r="A122" s="123"/>
      <c r="B122" s="99"/>
      <c r="C122" s="129"/>
      <c r="D122" s="111"/>
      <c r="E122" s="112"/>
      <c r="F122" s="113"/>
      <c r="G122" s="113"/>
      <c r="H122" s="108"/>
      <c r="I122" s="114"/>
      <c r="J122" s="113"/>
      <c r="K122" s="113"/>
      <c r="L122" s="113"/>
      <c r="M122" s="111">
        <f>SUBTOTAL(9,I122:L122)</f>
        <v>0</v>
      </c>
      <c r="N122" s="115"/>
      <c r="O122" s="115"/>
      <c r="P122" s="115"/>
      <c r="Q122" s="115"/>
      <c r="R122" s="115"/>
      <c r="S122" s="115"/>
      <c r="T122" s="115"/>
      <c r="U122" s="115"/>
      <c r="V122" s="109" t="e">
        <f>+G118+#REF!</f>
        <v>#REF!</v>
      </c>
      <c r="W122" s="110"/>
      <c r="Y122" s="110" t="s">
        <v>190</v>
      </c>
      <c r="Z122" s="100">
        <v>1</v>
      </c>
      <c r="AC122" s="100" t="s">
        <v>191</v>
      </c>
      <c r="AI122" s="92"/>
      <c r="AJ122" s="92"/>
      <c r="AK122" s="92"/>
      <c r="AL122" s="122"/>
      <c r="AM122" s="122"/>
      <c r="AN122" s="122"/>
      <c r="AO122" s="122"/>
      <c r="AP122" s="122"/>
    </row>
    <row r="123" spans="1:42" s="100" customFormat="1" ht="18" customHeight="1">
      <c r="A123" s="118" t="s">
        <v>192</v>
      </c>
      <c r="B123" s="119"/>
      <c r="C123" s="91"/>
      <c r="D123" s="120" t="str">
        <f>D125</f>
        <v xml:space="preserve"> -</v>
      </c>
      <c r="E123" s="121">
        <f>E125</f>
        <v>0</v>
      </c>
      <c r="F123" s="75">
        <f t="shared" ref="F123:U123" si="42">F124</f>
        <v>0</v>
      </c>
      <c r="G123" s="75">
        <f t="shared" si="42"/>
        <v>0</v>
      </c>
      <c r="H123" s="76">
        <f t="shared" si="42"/>
        <v>0</v>
      </c>
      <c r="I123" s="77">
        <f t="shared" si="42"/>
        <v>0</v>
      </c>
      <c r="J123" s="75">
        <f t="shared" si="42"/>
        <v>0</v>
      </c>
      <c r="K123" s="75">
        <f t="shared" si="42"/>
        <v>0</v>
      </c>
      <c r="L123" s="75">
        <f t="shared" si="42"/>
        <v>0</v>
      </c>
      <c r="M123" s="73">
        <f t="shared" si="42"/>
        <v>0</v>
      </c>
      <c r="N123" s="78">
        <f t="shared" si="42"/>
        <v>0</v>
      </c>
      <c r="O123" s="78"/>
      <c r="P123" s="78"/>
      <c r="Q123" s="78"/>
      <c r="R123" s="78">
        <f t="shared" si="42"/>
        <v>0</v>
      </c>
      <c r="S123" s="78"/>
      <c r="T123" s="78"/>
      <c r="U123" s="78">
        <f t="shared" si="42"/>
        <v>0</v>
      </c>
      <c r="V123" s="109"/>
      <c r="W123" s="110"/>
      <c r="Y123" s="110" t="s">
        <v>193</v>
      </c>
      <c r="Z123" s="100">
        <v>1</v>
      </c>
      <c r="AA123" s="100" t="s">
        <v>194</v>
      </c>
      <c r="AB123" s="100">
        <v>2</v>
      </c>
      <c r="AC123" s="100" t="s">
        <v>195</v>
      </c>
      <c r="AI123" s="92"/>
      <c r="AJ123" s="92"/>
      <c r="AK123" s="92"/>
      <c r="AL123" s="122"/>
      <c r="AM123" s="122"/>
      <c r="AN123" s="122"/>
      <c r="AO123" s="122"/>
      <c r="AP123" s="122"/>
    </row>
    <row r="124" spans="1:42" s="100" customFormat="1" ht="18" customHeight="1">
      <c r="A124" s="118"/>
      <c r="B124" s="119"/>
      <c r="C124" s="91" t="s">
        <v>196</v>
      </c>
      <c r="D124" s="83">
        <f t="shared" ref="D124:U124" si="43">SUM(D125)</f>
        <v>0</v>
      </c>
      <c r="E124" s="84">
        <f t="shared" si="43"/>
        <v>0</v>
      </c>
      <c r="F124" s="85">
        <f t="shared" si="43"/>
        <v>0</v>
      </c>
      <c r="G124" s="85">
        <f t="shared" si="43"/>
        <v>0</v>
      </c>
      <c r="H124" s="86">
        <f t="shared" si="43"/>
        <v>0</v>
      </c>
      <c r="I124" s="87">
        <f t="shared" si="43"/>
        <v>0</v>
      </c>
      <c r="J124" s="85">
        <f t="shared" si="43"/>
        <v>0</v>
      </c>
      <c r="K124" s="85">
        <f t="shared" si="43"/>
        <v>0</v>
      </c>
      <c r="L124" s="85">
        <f t="shared" si="43"/>
        <v>0</v>
      </c>
      <c r="M124" s="83">
        <f t="shared" si="43"/>
        <v>0</v>
      </c>
      <c r="N124" s="88">
        <f t="shared" si="43"/>
        <v>0</v>
      </c>
      <c r="O124" s="88"/>
      <c r="P124" s="88"/>
      <c r="Q124" s="88"/>
      <c r="R124" s="88">
        <f t="shared" si="43"/>
        <v>0</v>
      </c>
      <c r="S124" s="88">
        <f t="shared" si="43"/>
        <v>0</v>
      </c>
      <c r="T124" s="88">
        <f t="shared" si="43"/>
        <v>0</v>
      </c>
      <c r="U124" s="88">
        <f t="shared" si="43"/>
        <v>0</v>
      </c>
      <c r="V124" s="109"/>
      <c r="W124" s="110"/>
      <c r="Y124" s="110"/>
      <c r="AA124" s="100" t="s">
        <v>197</v>
      </c>
      <c r="AB124" s="100">
        <v>1</v>
      </c>
      <c r="AC124" s="100" t="s">
        <v>198</v>
      </c>
      <c r="AI124" s="92"/>
      <c r="AJ124" s="92"/>
      <c r="AK124" s="92"/>
    </row>
    <row r="125" spans="1:42" ht="18.75" customHeight="1">
      <c r="A125" s="97"/>
      <c r="B125" s="57">
        <v>970101</v>
      </c>
      <c r="C125" s="125" t="s">
        <v>199</v>
      </c>
      <c r="D125" s="69" t="s">
        <v>66</v>
      </c>
      <c r="E125" s="60"/>
      <c r="F125" s="61"/>
      <c r="G125" s="61"/>
      <c r="H125" s="62"/>
      <c r="I125" s="63"/>
      <c r="J125" s="61"/>
      <c r="K125" s="61"/>
      <c r="L125" s="61"/>
      <c r="M125" s="59">
        <f>SUM(I125:L125)</f>
        <v>0</v>
      </c>
      <c r="N125" s="64">
        <f>+M125</f>
        <v>0</v>
      </c>
      <c r="O125" s="64"/>
      <c r="P125" s="64"/>
      <c r="Q125" s="64"/>
      <c r="R125" s="64"/>
      <c r="S125" s="64"/>
      <c r="T125" s="64"/>
      <c r="U125" s="64"/>
      <c r="V125" s="65"/>
      <c r="W125" s="66"/>
      <c r="Y125" s="66"/>
      <c r="AA125" s="5" t="s">
        <v>200</v>
      </c>
      <c r="AB125" s="5">
        <v>1</v>
      </c>
      <c r="AI125" s="92"/>
      <c r="AJ125" s="92"/>
      <c r="AK125" s="92"/>
    </row>
    <row r="126" spans="1:42" ht="20.25">
      <c r="A126" s="130" t="s">
        <v>201</v>
      </c>
      <c r="B126" s="131"/>
      <c r="C126" s="131"/>
      <c r="D126" s="132">
        <f>D8+D23+D115</f>
        <v>8873082.6336666681</v>
      </c>
      <c r="E126" s="133">
        <f t="shared" ref="E126:U126" si="44">E8+E23+E115+E123</f>
        <v>195962.23666666669</v>
      </c>
      <c r="F126" s="134" t="e">
        <f t="shared" si="44"/>
        <v>#REF!</v>
      </c>
      <c r="G126" s="134" t="e">
        <f t="shared" si="44"/>
        <v>#REF!</v>
      </c>
      <c r="H126" s="135" t="e">
        <f t="shared" si="44"/>
        <v>#REF!</v>
      </c>
      <c r="I126" s="136">
        <f t="shared" si="44"/>
        <v>389209.12</v>
      </c>
      <c r="J126" s="134">
        <f t="shared" si="44"/>
        <v>2306112.2249999996</v>
      </c>
      <c r="K126" s="134">
        <f t="shared" si="44"/>
        <v>650755.16499999992</v>
      </c>
      <c r="L126" s="134">
        <f t="shared" si="44"/>
        <v>6104027.2400000002</v>
      </c>
      <c r="M126" s="132">
        <f t="shared" si="44"/>
        <v>9320103.75</v>
      </c>
      <c r="N126" s="137">
        <f t="shared" si="44"/>
        <v>5741107.5525000002</v>
      </c>
      <c r="O126" s="137">
        <f t="shared" si="44"/>
        <v>1169826.81</v>
      </c>
      <c r="P126" s="137">
        <f t="shared" si="44"/>
        <v>2061.7350000000024</v>
      </c>
      <c r="Q126" s="137">
        <f t="shared" si="44"/>
        <v>342000.71</v>
      </c>
      <c r="R126" s="137">
        <f t="shared" si="44"/>
        <v>3241795.4874999998</v>
      </c>
      <c r="S126" s="137">
        <f t="shared" si="44"/>
        <v>329086.71000000002</v>
      </c>
      <c r="T126" s="137">
        <f t="shared" si="44"/>
        <v>7173186.835</v>
      </c>
      <c r="U126" s="137">
        <f t="shared" si="44"/>
        <v>1810170.2050000003</v>
      </c>
      <c r="V126" s="138">
        <f>SUM(J126:L126)</f>
        <v>9060894.629999999</v>
      </c>
      <c r="W126" s="139"/>
      <c r="Y126" s="139"/>
      <c r="AA126" s="5" t="s">
        <v>13</v>
      </c>
      <c r="AB126" s="5">
        <v>1</v>
      </c>
      <c r="AI126" s="92"/>
      <c r="AJ126" s="92"/>
      <c r="AK126" s="92"/>
    </row>
    <row r="127" spans="1:42" ht="31.5" customHeight="1">
      <c r="A127" s="140"/>
      <c r="B127" s="141" t="s">
        <v>202</v>
      </c>
      <c r="C127" s="91" t="s">
        <v>203</v>
      </c>
      <c r="D127" s="83">
        <f>SUM(D128:D132)</f>
        <v>172774.5</v>
      </c>
      <c r="E127" s="84">
        <f>SUM(E128:E129)</f>
        <v>2969.25</v>
      </c>
      <c r="F127" s="85">
        <f>SUM(F128:F129)</f>
        <v>2400</v>
      </c>
      <c r="G127" s="85">
        <f>SUM(G128:G129)</f>
        <v>18000</v>
      </c>
      <c r="H127" s="86"/>
      <c r="I127" s="87">
        <f t="shared" ref="I127:U127" si="45">SUM(I128:I132)</f>
        <v>260375.16999999998</v>
      </c>
      <c r="J127" s="85">
        <f t="shared" si="45"/>
        <v>0</v>
      </c>
      <c r="K127" s="85">
        <f t="shared" si="45"/>
        <v>0</v>
      </c>
      <c r="L127" s="85">
        <f t="shared" si="45"/>
        <v>0</v>
      </c>
      <c r="M127" s="83">
        <f t="shared" si="45"/>
        <v>260375.16999999998</v>
      </c>
      <c r="N127" s="88">
        <f t="shared" si="45"/>
        <v>30618.75</v>
      </c>
      <c r="O127" s="88">
        <f t="shared" si="45"/>
        <v>30618.75</v>
      </c>
      <c r="P127" s="88">
        <f t="shared" si="45"/>
        <v>0</v>
      </c>
      <c r="Q127" s="88">
        <f t="shared" si="45"/>
        <v>16000</v>
      </c>
      <c r="R127" s="88">
        <f t="shared" si="45"/>
        <v>213756.41999999998</v>
      </c>
      <c r="S127" s="88">
        <f t="shared" si="45"/>
        <v>0</v>
      </c>
      <c r="T127" s="88">
        <f t="shared" si="45"/>
        <v>260375.16999999998</v>
      </c>
      <c r="U127" s="88">
        <f t="shared" si="45"/>
        <v>0</v>
      </c>
      <c r="V127" s="65"/>
      <c r="W127" s="66"/>
      <c r="Y127" s="66"/>
      <c r="Z127" s="5">
        <v>3</v>
      </c>
      <c r="AB127" s="5">
        <v>6</v>
      </c>
      <c r="AC127" s="5">
        <v>5</v>
      </c>
      <c r="AI127" s="92"/>
      <c r="AJ127" s="92"/>
      <c r="AK127" s="92"/>
    </row>
    <row r="128" spans="1:42" ht="15" customHeight="1">
      <c r="A128" s="142"/>
      <c r="B128" s="143">
        <v>730505</v>
      </c>
      <c r="C128" s="125" t="s">
        <v>183</v>
      </c>
      <c r="D128" s="144"/>
      <c r="E128" s="145"/>
      <c r="F128" s="146">
        <f>+D128</f>
        <v>0</v>
      </c>
      <c r="G128" s="146">
        <f>+F128</f>
        <v>0</v>
      </c>
      <c r="H128" s="62"/>
      <c r="I128" s="147"/>
      <c r="J128" s="146"/>
      <c r="K128" s="146">
        <f>+J128</f>
        <v>0</v>
      </c>
      <c r="L128" s="146"/>
      <c r="M128" s="59"/>
      <c r="N128" s="64"/>
      <c r="O128" s="64"/>
      <c r="P128" s="64"/>
      <c r="Q128" s="64"/>
      <c r="R128" s="64"/>
      <c r="S128" s="64">
        <f>+R128</f>
        <v>0</v>
      </c>
      <c r="T128" s="64"/>
      <c r="U128" s="64"/>
      <c r="V128" s="65"/>
      <c r="W128" s="66"/>
      <c r="Y128" s="66"/>
      <c r="Z128" s="5">
        <f>+Z127*700</f>
        <v>2100</v>
      </c>
      <c r="AB128" s="5">
        <f>+AB127*1300</f>
        <v>7800</v>
      </c>
      <c r="AC128" s="5">
        <f>+AC127*1500</f>
        <v>7500</v>
      </c>
      <c r="AI128" s="92"/>
      <c r="AJ128" s="92"/>
      <c r="AK128" s="92"/>
    </row>
    <row r="129" spans="1:37" ht="23.25" customHeight="1">
      <c r="A129" s="142"/>
      <c r="B129" s="143">
        <v>7501050101</v>
      </c>
      <c r="C129" s="125" t="s">
        <v>204</v>
      </c>
      <c r="D129" s="144">
        <f>1600*1.5</f>
        <v>2400</v>
      </c>
      <c r="E129" s="145">
        <v>2969.25</v>
      </c>
      <c r="F129" s="146">
        <f>+D129</f>
        <v>2400</v>
      </c>
      <c r="G129" s="146">
        <v>18000</v>
      </c>
      <c r="H129" s="62"/>
      <c r="I129" s="147">
        <f>74000.67+16000</f>
        <v>90000.67</v>
      </c>
      <c r="J129" s="146"/>
      <c r="K129" s="146"/>
      <c r="L129" s="146"/>
      <c r="M129" s="59">
        <f>SUM(I129:L129)</f>
        <v>90000.67</v>
      </c>
      <c r="N129" s="64"/>
      <c r="O129" s="64"/>
      <c r="P129" s="64"/>
      <c r="Q129" s="64">
        <v>16000</v>
      </c>
      <c r="R129" s="64">
        <f>+M129-N129-Q129</f>
        <v>74000.67</v>
      </c>
      <c r="S129" s="64"/>
      <c r="T129" s="64">
        <f>+M129</f>
        <v>90000.67</v>
      </c>
      <c r="U129" s="64"/>
      <c r="V129" s="65"/>
      <c r="W129" s="66"/>
      <c r="Y129" s="66"/>
      <c r="AI129" s="92"/>
      <c r="AJ129" s="92"/>
      <c r="AK129" s="92"/>
    </row>
    <row r="130" spans="1:37" ht="22.5" customHeight="1">
      <c r="A130" s="142"/>
      <c r="B130" s="143">
        <v>7501050214</v>
      </c>
      <c r="C130" s="125" t="s">
        <v>205</v>
      </c>
      <c r="D130" s="144">
        <f>72758*1.5</f>
        <v>109137</v>
      </c>
      <c r="E130" s="145"/>
      <c r="F130" s="146"/>
      <c r="G130" s="146"/>
      <c r="H130" s="62"/>
      <c r="I130" s="147">
        <f>+D130</f>
        <v>109137</v>
      </c>
      <c r="J130" s="146"/>
      <c r="K130" s="146"/>
      <c r="L130" s="146"/>
      <c r="M130" s="59">
        <f>SUM(I130:L130)</f>
        <v>109137</v>
      </c>
      <c r="N130" s="64"/>
      <c r="O130" s="64"/>
      <c r="P130" s="64"/>
      <c r="Q130" s="64"/>
      <c r="R130" s="64">
        <f>+M130-N130-Q130</f>
        <v>109137</v>
      </c>
      <c r="S130" s="64"/>
      <c r="T130" s="64">
        <f>+N130+R130</f>
        <v>109137</v>
      </c>
      <c r="U130" s="64"/>
      <c r="V130" s="65"/>
      <c r="W130" s="66"/>
      <c r="Y130" s="66"/>
      <c r="AI130" s="92"/>
      <c r="AJ130" s="92"/>
      <c r="AK130" s="92"/>
    </row>
    <row r="131" spans="1:37" ht="31.5" customHeight="1">
      <c r="A131" s="142"/>
      <c r="B131" s="143">
        <v>730601</v>
      </c>
      <c r="C131" s="125" t="s">
        <v>206</v>
      </c>
      <c r="D131" s="144">
        <f>40825*1.5</f>
        <v>61237.5</v>
      </c>
      <c r="E131" s="145"/>
      <c r="F131" s="146"/>
      <c r="G131" s="146"/>
      <c r="H131" s="62"/>
      <c r="I131" s="147">
        <f>+D131</f>
        <v>61237.5</v>
      </c>
      <c r="J131" s="146"/>
      <c r="K131" s="146"/>
      <c r="L131" s="146"/>
      <c r="M131" s="59">
        <f>SUM(I131:L131)</f>
        <v>61237.5</v>
      </c>
      <c r="N131" s="64">
        <f>+M131/2</f>
        <v>30618.75</v>
      </c>
      <c r="O131" s="64">
        <v>30618.75</v>
      </c>
      <c r="P131" s="64">
        <f>+N131-O131</f>
        <v>0</v>
      </c>
      <c r="Q131" s="64"/>
      <c r="R131" s="64">
        <f>+M131-N131-Q131</f>
        <v>30618.75</v>
      </c>
      <c r="S131" s="64"/>
      <c r="T131" s="64">
        <f>+N131+R131</f>
        <v>61237.5</v>
      </c>
      <c r="U131" s="64"/>
      <c r="V131" s="65"/>
      <c r="W131" s="66"/>
      <c r="Y131" s="66"/>
      <c r="AI131" s="92"/>
      <c r="AJ131" s="92"/>
      <c r="AK131" s="92"/>
    </row>
    <row r="132" spans="1:37" ht="15" customHeight="1">
      <c r="A132" s="142"/>
      <c r="B132" s="143"/>
      <c r="C132" s="125"/>
      <c r="D132" s="144"/>
      <c r="E132" s="145"/>
      <c r="F132" s="146"/>
      <c r="G132" s="146"/>
      <c r="H132" s="62"/>
      <c r="I132" s="147"/>
      <c r="J132" s="146"/>
      <c r="K132" s="146"/>
      <c r="L132" s="146"/>
      <c r="M132" s="59"/>
      <c r="N132" s="64"/>
      <c r="O132" s="64"/>
      <c r="P132" s="64"/>
      <c r="Q132" s="64"/>
      <c r="R132" s="64"/>
      <c r="S132" s="64"/>
      <c r="T132" s="64"/>
      <c r="U132" s="64"/>
      <c r="V132" s="65"/>
      <c r="W132" s="66"/>
      <c r="Y132" s="66"/>
      <c r="AI132" s="92"/>
      <c r="AJ132" s="92"/>
      <c r="AK132" s="92"/>
    </row>
    <row r="133" spans="1:37" ht="20.25">
      <c r="A133" s="130" t="s">
        <v>207</v>
      </c>
      <c r="B133" s="131"/>
      <c r="C133" s="131"/>
      <c r="D133" s="132">
        <f t="shared" ref="D133:U133" si="46">D127</f>
        <v>172774.5</v>
      </c>
      <c r="E133" s="133">
        <f t="shared" si="46"/>
        <v>2969.25</v>
      </c>
      <c r="F133" s="134">
        <f t="shared" si="46"/>
        <v>2400</v>
      </c>
      <c r="G133" s="134">
        <f t="shared" si="46"/>
        <v>18000</v>
      </c>
      <c r="H133" s="135">
        <f t="shared" si="46"/>
        <v>0</v>
      </c>
      <c r="I133" s="136">
        <f t="shared" si="46"/>
        <v>260375.16999999998</v>
      </c>
      <c r="J133" s="134">
        <f t="shared" si="46"/>
        <v>0</v>
      </c>
      <c r="K133" s="134">
        <f t="shared" si="46"/>
        <v>0</v>
      </c>
      <c r="L133" s="134">
        <f t="shared" si="46"/>
        <v>0</v>
      </c>
      <c r="M133" s="132">
        <f t="shared" si="46"/>
        <v>260375.16999999998</v>
      </c>
      <c r="N133" s="137">
        <f t="shared" si="46"/>
        <v>30618.75</v>
      </c>
      <c r="O133" s="137">
        <f t="shared" si="46"/>
        <v>30618.75</v>
      </c>
      <c r="P133" s="137">
        <f t="shared" si="46"/>
        <v>0</v>
      </c>
      <c r="Q133" s="137">
        <f t="shared" si="46"/>
        <v>16000</v>
      </c>
      <c r="R133" s="137">
        <f t="shared" si="46"/>
        <v>213756.41999999998</v>
      </c>
      <c r="S133" s="137">
        <f t="shared" si="46"/>
        <v>0</v>
      </c>
      <c r="T133" s="137">
        <f t="shared" si="46"/>
        <v>260375.16999999998</v>
      </c>
      <c r="U133" s="137">
        <f t="shared" si="46"/>
        <v>0</v>
      </c>
      <c r="V133" s="138"/>
      <c r="W133" s="139"/>
      <c r="Y133" s="139"/>
      <c r="AI133" s="92"/>
      <c r="AJ133" s="92"/>
      <c r="AK133" s="92"/>
    </row>
    <row r="134" spans="1:37" ht="18.75">
      <c r="A134" s="140"/>
      <c r="B134" s="141" t="s">
        <v>208</v>
      </c>
      <c r="C134" s="91" t="s">
        <v>209</v>
      </c>
      <c r="D134" s="83">
        <f t="shared" ref="D134:U134" si="47">SUM(D135:D139)</f>
        <v>71140.125</v>
      </c>
      <c r="E134" s="84">
        <f t="shared" si="47"/>
        <v>0</v>
      </c>
      <c r="F134" s="85">
        <f t="shared" si="47"/>
        <v>57500</v>
      </c>
      <c r="G134" s="85">
        <f t="shared" si="47"/>
        <v>45411.479999999996</v>
      </c>
      <c r="H134" s="86">
        <f t="shared" si="47"/>
        <v>0</v>
      </c>
      <c r="I134" s="87">
        <f t="shared" si="47"/>
        <v>562159.86</v>
      </c>
      <c r="J134" s="85">
        <f t="shared" si="47"/>
        <v>0</v>
      </c>
      <c r="K134" s="85">
        <f t="shared" si="47"/>
        <v>0</v>
      </c>
      <c r="L134" s="85">
        <f t="shared" si="47"/>
        <v>0</v>
      </c>
      <c r="M134" s="83">
        <f t="shared" si="47"/>
        <v>562159.86</v>
      </c>
      <c r="N134" s="88">
        <f t="shared" si="47"/>
        <v>63155.486666666664</v>
      </c>
      <c r="O134" s="88">
        <f t="shared" ref="O134:P134" si="48">SUM(O135:O139)</f>
        <v>63155.49</v>
      </c>
      <c r="P134" s="88">
        <f t="shared" si="48"/>
        <v>-3.3333333340124227E-3</v>
      </c>
      <c r="Q134" s="88">
        <f t="shared" si="47"/>
        <v>192228</v>
      </c>
      <c r="R134" s="88">
        <f>SUM(R135:R139)</f>
        <v>306776.37333333329</v>
      </c>
      <c r="S134" s="88">
        <f t="shared" ref="S134:T134" si="49">SUM(S135:S139)</f>
        <v>0</v>
      </c>
      <c r="T134" s="88">
        <f t="shared" si="49"/>
        <v>562159.86</v>
      </c>
      <c r="U134" s="88">
        <f t="shared" si="47"/>
        <v>0</v>
      </c>
      <c r="V134" s="148"/>
      <c r="W134" s="149"/>
      <c r="Y134" s="149"/>
      <c r="AI134" s="92"/>
      <c r="AJ134" s="92"/>
      <c r="AK134" s="92"/>
    </row>
    <row r="135" spans="1:37" ht="30" customHeight="1">
      <c r="A135" s="142"/>
      <c r="B135" s="143">
        <v>750105</v>
      </c>
      <c r="C135" s="125" t="s">
        <v>210</v>
      </c>
      <c r="D135" s="144"/>
      <c r="E135" s="145"/>
      <c r="F135" s="150"/>
      <c r="G135" s="146"/>
      <c r="H135" s="62"/>
      <c r="I135" s="147">
        <f>264746.18+25000+138221.07</f>
        <v>427967.25</v>
      </c>
      <c r="J135" s="146"/>
      <c r="K135" s="146"/>
      <c r="L135" s="146"/>
      <c r="M135" s="59">
        <f>SUM(I135:L135)</f>
        <v>427967.25</v>
      </c>
      <c r="N135" s="64">
        <v>50332.82</v>
      </c>
      <c r="O135" s="64">
        <v>50332.82</v>
      </c>
      <c r="P135" s="64">
        <f>+N135-O135</f>
        <v>0</v>
      </c>
      <c r="Q135" s="64">
        <v>163228</v>
      </c>
      <c r="R135" s="64">
        <f>+M135-N135-Q135</f>
        <v>214406.43</v>
      </c>
      <c r="S135" s="64"/>
      <c r="T135" s="64">
        <f>+Q135+N135+R135</f>
        <v>427967.25</v>
      </c>
      <c r="U135" s="64"/>
      <c r="V135" s="65"/>
      <c r="W135" s="66"/>
      <c r="Y135" s="66"/>
      <c r="AI135" s="92"/>
      <c r="AJ135" s="92"/>
      <c r="AK135" s="92"/>
    </row>
    <row r="136" spans="1:37" ht="30.75" customHeight="1">
      <c r="A136" s="142"/>
      <c r="B136" s="143">
        <v>750105</v>
      </c>
      <c r="C136" s="125" t="s">
        <v>211</v>
      </c>
      <c r="D136" s="144">
        <f>15411.48*1.5</f>
        <v>23117.22</v>
      </c>
      <c r="E136" s="145"/>
      <c r="F136" s="146">
        <v>22500</v>
      </c>
      <c r="G136" s="146">
        <f>15000+411.48</f>
        <v>15411.48</v>
      </c>
      <c r="H136" s="62"/>
      <c r="I136" s="147">
        <f>31765.61+29000</f>
        <v>60765.61</v>
      </c>
      <c r="J136" s="146"/>
      <c r="K136" s="146"/>
      <c r="L136" s="146"/>
      <c r="M136" s="59">
        <f>SUM(I136:L136)</f>
        <v>60765.61</v>
      </c>
      <c r="Q136" s="64">
        <v>29000</v>
      </c>
      <c r="R136" s="64">
        <v>31765.61</v>
      </c>
      <c r="S136" s="64"/>
      <c r="T136" s="64">
        <f>+Q136+R136</f>
        <v>60765.61</v>
      </c>
      <c r="U136" s="64"/>
      <c r="V136" s="65"/>
      <c r="W136" s="66"/>
      <c r="Y136" s="66"/>
      <c r="AI136" s="92"/>
      <c r="AJ136" s="92"/>
      <c r="AK136" s="92"/>
    </row>
    <row r="137" spans="1:37" ht="30" customHeight="1">
      <c r="A137" s="142"/>
      <c r="B137" s="143">
        <v>750105</v>
      </c>
      <c r="C137" s="125" t="s">
        <v>212</v>
      </c>
      <c r="D137" s="144">
        <f>30000*1.5</f>
        <v>45000</v>
      </c>
      <c r="E137" s="145"/>
      <c r="F137" s="146">
        <v>35000</v>
      </c>
      <c r="G137" s="146">
        <v>30000</v>
      </c>
      <c r="H137" s="62"/>
      <c r="I137" s="147">
        <v>40367</v>
      </c>
      <c r="J137" s="146"/>
      <c r="K137" s="146"/>
      <c r="L137" s="146"/>
      <c r="M137" s="59">
        <f>SUM(I137:L137)</f>
        <v>40367</v>
      </c>
      <c r="N137" s="64">
        <f>+M137/3-633</f>
        <v>12822.666666666666</v>
      </c>
      <c r="O137" s="64">
        <v>12822.67</v>
      </c>
      <c r="P137" s="64">
        <f>+N137-O137</f>
        <v>-3.3333333340124227E-3</v>
      </c>
      <c r="Q137" s="64"/>
      <c r="R137" s="64">
        <f>+M137-N137-Q137</f>
        <v>27544.333333333336</v>
      </c>
      <c r="S137" s="64"/>
      <c r="T137" s="64">
        <f>+R137+N137</f>
        <v>40367</v>
      </c>
      <c r="U137" s="64"/>
      <c r="V137" s="65"/>
      <c r="W137" s="66"/>
      <c r="Y137" s="66"/>
      <c r="AI137" s="92"/>
      <c r="AJ137" s="92"/>
      <c r="AK137" s="92"/>
    </row>
    <row r="138" spans="1:37" ht="35.25" customHeight="1">
      <c r="A138" s="142"/>
      <c r="B138" s="143">
        <v>7501050102</v>
      </c>
      <c r="C138" s="125" t="s">
        <v>213</v>
      </c>
      <c r="D138" s="144"/>
      <c r="E138" s="145"/>
      <c r="F138" s="146"/>
      <c r="G138" s="61"/>
      <c r="H138" s="62"/>
      <c r="I138" s="63"/>
      <c r="J138" s="61"/>
      <c r="K138" s="61"/>
      <c r="L138" s="61"/>
      <c r="M138" s="59">
        <f>SUM(I138:L138)</f>
        <v>0</v>
      </c>
      <c r="N138" s="64"/>
      <c r="O138" s="64"/>
      <c r="P138" s="64"/>
      <c r="Q138" s="64"/>
      <c r="R138" s="64"/>
      <c r="S138" s="64"/>
      <c r="T138" s="64"/>
      <c r="U138" s="64"/>
      <c r="V138" s="65"/>
      <c r="W138" s="66"/>
      <c r="Y138" s="66"/>
      <c r="AI138" s="92"/>
      <c r="AJ138" s="92"/>
      <c r="AK138" s="92"/>
    </row>
    <row r="139" spans="1:37" ht="36.75" customHeight="1">
      <c r="A139" s="142"/>
      <c r="B139" s="143">
        <v>7501050102</v>
      </c>
      <c r="C139" s="125" t="s">
        <v>214</v>
      </c>
      <c r="D139" s="144">
        <f>2015.27*1.5</f>
        <v>3022.9049999999997</v>
      </c>
      <c r="E139" s="145"/>
      <c r="F139" s="150"/>
      <c r="G139" s="146"/>
      <c r="H139" s="62"/>
      <c r="I139" s="147">
        <v>33060</v>
      </c>
      <c r="J139" s="146"/>
      <c r="K139" s="146"/>
      <c r="L139" s="146"/>
      <c r="M139" s="59">
        <f>SUM(I139:L139)</f>
        <v>33060</v>
      </c>
      <c r="Q139" s="64"/>
      <c r="R139" s="64">
        <f>+M139</f>
        <v>33060</v>
      </c>
      <c r="S139" s="64"/>
      <c r="T139" s="64">
        <f>+Q139+R139</f>
        <v>33060</v>
      </c>
      <c r="U139" s="64"/>
      <c r="V139" s="65"/>
      <c r="W139" s="66"/>
      <c r="Y139" s="66"/>
      <c r="AI139" s="92"/>
      <c r="AJ139" s="92"/>
      <c r="AK139" s="92"/>
    </row>
    <row r="140" spans="1:37" ht="20.25">
      <c r="A140" s="130" t="s">
        <v>215</v>
      </c>
      <c r="B140" s="131"/>
      <c r="C140" s="131"/>
      <c r="D140" s="132">
        <f>D134</f>
        <v>71140.125</v>
      </c>
      <c r="E140" s="133">
        <f>E134</f>
        <v>0</v>
      </c>
      <c r="F140" s="134">
        <f>+F134</f>
        <v>57500</v>
      </c>
      <c r="G140" s="134">
        <f t="shared" ref="G140:U140" si="50">G134</f>
        <v>45411.479999999996</v>
      </c>
      <c r="H140" s="135">
        <f t="shared" si="50"/>
        <v>0</v>
      </c>
      <c r="I140" s="136">
        <f t="shared" si="50"/>
        <v>562159.86</v>
      </c>
      <c r="J140" s="134">
        <f t="shared" si="50"/>
        <v>0</v>
      </c>
      <c r="K140" s="134">
        <f t="shared" si="50"/>
        <v>0</v>
      </c>
      <c r="L140" s="134">
        <f t="shared" si="50"/>
        <v>0</v>
      </c>
      <c r="M140" s="132">
        <f t="shared" si="50"/>
        <v>562159.86</v>
      </c>
      <c r="N140" s="137">
        <f t="shared" si="50"/>
        <v>63155.486666666664</v>
      </c>
      <c r="O140" s="137">
        <f t="shared" si="50"/>
        <v>63155.49</v>
      </c>
      <c r="P140" s="137">
        <f t="shared" si="50"/>
        <v>-3.3333333340124227E-3</v>
      </c>
      <c r="Q140" s="137">
        <f t="shared" si="50"/>
        <v>192228</v>
      </c>
      <c r="R140" s="137">
        <f t="shared" si="50"/>
        <v>306776.37333333329</v>
      </c>
      <c r="S140" s="137">
        <f t="shared" si="50"/>
        <v>0</v>
      </c>
      <c r="T140" s="137">
        <f t="shared" si="50"/>
        <v>562159.86</v>
      </c>
      <c r="U140" s="137">
        <f t="shared" si="50"/>
        <v>0</v>
      </c>
      <c r="V140" s="138"/>
      <c r="W140" s="139"/>
      <c r="Y140" s="139"/>
      <c r="AI140" s="92"/>
      <c r="AJ140" s="92"/>
      <c r="AK140" s="92"/>
    </row>
    <row r="141" spans="1:37" ht="18.75">
      <c r="A141" s="140"/>
      <c r="B141" s="141" t="s">
        <v>216</v>
      </c>
      <c r="C141" s="91" t="s">
        <v>217</v>
      </c>
      <c r="D141" s="83">
        <f t="shared" ref="D141:U141" si="51">SUM(D142:D146)</f>
        <v>317386.69500000001</v>
      </c>
      <c r="E141" s="84">
        <f>SUM(E142:E142)</f>
        <v>0</v>
      </c>
      <c r="F141" s="85">
        <f t="shared" si="51"/>
        <v>57500</v>
      </c>
      <c r="G141" s="85">
        <f t="shared" si="51"/>
        <v>45000</v>
      </c>
      <c r="H141" s="86">
        <f t="shared" si="51"/>
        <v>0</v>
      </c>
      <c r="I141" s="87">
        <f t="shared" si="51"/>
        <v>378476.72</v>
      </c>
      <c r="J141" s="85">
        <f t="shared" si="51"/>
        <v>0</v>
      </c>
      <c r="K141" s="85">
        <f t="shared" si="51"/>
        <v>0</v>
      </c>
      <c r="L141" s="85">
        <f t="shared" si="51"/>
        <v>0</v>
      </c>
      <c r="M141" s="83">
        <f t="shared" si="51"/>
        <v>378476.72</v>
      </c>
      <c r="N141" s="88">
        <f t="shared" si="51"/>
        <v>109662.53666666667</v>
      </c>
      <c r="O141" s="88">
        <f t="shared" si="51"/>
        <v>109662.54</v>
      </c>
      <c r="P141" s="88">
        <f t="shared" si="51"/>
        <v>-3.3333333340124227E-3</v>
      </c>
      <c r="Q141" s="88">
        <f t="shared" si="51"/>
        <v>50000</v>
      </c>
      <c r="R141" s="88">
        <f>SUM(R142:R146)</f>
        <v>218814.18333333335</v>
      </c>
      <c r="S141" s="88">
        <f t="shared" ref="S141:T141" si="52">SUM(S142:S146)</f>
        <v>0</v>
      </c>
      <c r="T141" s="88">
        <f t="shared" si="52"/>
        <v>378476.72</v>
      </c>
      <c r="U141" s="88">
        <f t="shared" si="51"/>
        <v>0</v>
      </c>
      <c r="V141" s="148"/>
      <c r="W141" s="149"/>
      <c r="Y141" s="149"/>
      <c r="AI141" s="92"/>
      <c r="AJ141" s="92"/>
      <c r="AK141" s="92"/>
    </row>
    <row r="142" spans="1:37" ht="32.25" customHeight="1">
      <c r="A142" s="142"/>
      <c r="B142" s="143">
        <v>750105</v>
      </c>
      <c r="C142" s="125" t="s">
        <v>210</v>
      </c>
      <c r="D142" s="144"/>
      <c r="E142" s="145"/>
      <c r="F142" s="146"/>
      <c r="G142" s="146"/>
      <c r="H142" s="151"/>
      <c r="I142" s="147">
        <f>188105.43+20000+18000</f>
        <v>226105.43</v>
      </c>
      <c r="J142" s="146"/>
      <c r="K142" s="146"/>
      <c r="L142" s="146"/>
      <c r="M142" s="59">
        <f>SUM(I142:L142)</f>
        <v>226105.43</v>
      </c>
      <c r="N142" s="64">
        <v>97206.87</v>
      </c>
      <c r="O142" s="64">
        <v>97206.87</v>
      </c>
      <c r="P142" s="64">
        <f>+N142-O142</f>
        <v>0</v>
      </c>
      <c r="Q142" s="64">
        <v>38000</v>
      </c>
      <c r="R142" s="64">
        <f>+M142-N142-Q142</f>
        <v>90898.559999999998</v>
      </c>
      <c r="S142" s="64"/>
      <c r="T142" s="64">
        <f>+M142</f>
        <v>226105.43</v>
      </c>
      <c r="U142" s="64"/>
      <c r="V142" s="152"/>
      <c r="W142" s="153"/>
      <c r="Y142" s="153"/>
      <c r="AI142" s="92"/>
      <c r="AJ142" s="92"/>
      <c r="AK142" s="92"/>
    </row>
    <row r="143" spans="1:37" ht="33" customHeight="1">
      <c r="A143" s="142"/>
      <c r="B143" s="143">
        <v>750105</v>
      </c>
      <c r="C143" s="125" t="s">
        <v>211</v>
      </c>
      <c r="D143" s="144">
        <f>15000*1.5</f>
        <v>22500</v>
      </c>
      <c r="E143" s="145"/>
      <c r="F143" s="146">
        <v>22500</v>
      </c>
      <c r="G143" s="146">
        <v>15000</v>
      </c>
      <c r="H143" s="62"/>
      <c r="I143" s="147">
        <f>62744.29+12000</f>
        <v>74744.290000000008</v>
      </c>
      <c r="J143" s="146"/>
      <c r="K143" s="146"/>
      <c r="L143" s="146"/>
      <c r="M143" s="59">
        <f>SUM(I143:L143)</f>
        <v>74744.290000000008</v>
      </c>
      <c r="Q143" s="64">
        <v>12000</v>
      </c>
      <c r="R143" s="64">
        <f>+M143-12000</f>
        <v>62744.290000000008</v>
      </c>
      <c r="S143" s="64"/>
      <c r="T143" s="64">
        <f>+M143</f>
        <v>74744.290000000008</v>
      </c>
      <c r="U143" s="64"/>
      <c r="V143" s="65"/>
      <c r="W143" s="66"/>
      <c r="Y143" s="66"/>
      <c r="AI143" s="92"/>
      <c r="AJ143" s="92"/>
      <c r="AK143" s="92"/>
    </row>
    <row r="144" spans="1:37" ht="29.25" customHeight="1">
      <c r="A144" s="142"/>
      <c r="B144" s="143">
        <v>750105</v>
      </c>
      <c r="C144" s="125" t="s">
        <v>212</v>
      </c>
      <c r="D144" s="144"/>
      <c r="E144" s="145"/>
      <c r="F144" s="146">
        <v>35000</v>
      </c>
      <c r="G144" s="146">
        <v>30000</v>
      </c>
      <c r="H144" s="62"/>
      <c r="I144" s="147">
        <v>40367</v>
      </c>
      <c r="J144" s="146"/>
      <c r="K144" s="146"/>
      <c r="L144" s="146"/>
      <c r="M144" s="59">
        <f>SUM(I144:L144)</f>
        <v>40367</v>
      </c>
      <c r="N144" s="64">
        <f>+M144/3-1000</f>
        <v>12455.666666666666</v>
      </c>
      <c r="O144" s="64">
        <v>12455.67</v>
      </c>
      <c r="P144" s="64">
        <f>+N144-O144</f>
        <v>-3.3333333340124227E-3</v>
      </c>
      <c r="Q144" s="64"/>
      <c r="R144" s="64">
        <f>+M144-N144-Q144</f>
        <v>27911.333333333336</v>
      </c>
      <c r="S144" s="64"/>
      <c r="T144" s="64">
        <f>+R144+N144</f>
        <v>40367</v>
      </c>
      <c r="U144" s="64"/>
      <c r="V144" s="65"/>
      <c r="W144" s="66"/>
      <c r="Y144" s="66"/>
      <c r="AI144" s="92"/>
      <c r="AJ144" s="92"/>
      <c r="AK144" s="92"/>
    </row>
    <row r="145" spans="1:37" ht="37.5" customHeight="1">
      <c r="A145" s="142"/>
      <c r="B145" s="143">
        <v>7501050102</v>
      </c>
      <c r="C145" s="125" t="s">
        <v>218</v>
      </c>
      <c r="D145" s="144"/>
      <c r="E145" s="145"/>
      <c r="F145" s="146"/>
      <c r="G145" s="146"/>
      <c r="H145" s="62"/>
      <c r="I145" s="147"/>
      <c r="J145" s="146"/>
      <c r="K145" s="146"/>
      <c r="L145" s="146"/>
      <c r="M145" s="59">
        <f>SUM(I145:L145)</f>
        <v>0</v>
      </c>
      <c r="N145" s="64"/>
      <c r="O145" s="64"/>
      <c r="P145" s="64"/>
      <c r="Q145" s="64"/>
      <c r="R145" s="64"/>
      <c r="S145" s="64"/>
      <c r="T145" s="64"/>
      <c r="U145" s="64"/>
      <c r="V145" s="65"/>
      <c r="W145" s="66"/>
      <c r="Y145" s="66"/>
      <c r="AI145" s="92"/>
      <c r="AJ145" s="92"/>
      <c r="AK145" s="92"/>
    </row>
    <row r="146" spans="1:37" ht="35.25" customHeight="1">
      <c r="A146" s="142"/>
      <c r="B146" s="143">
        <v>7501050103</v>
      </c>
      <c r="C146" s="125" t="s">
        <v>214</v>
      </c>
      <c r="D146" s="144">
        <f>196591.13*1.5</f>
        <v>294886.69500000001</v>
      </c>
      <c r="E146" s="145"/>
      <c r="F146" s="150"/>
      <c r="G146" s="146"/>
      <c r="H146" s="151"/>
      <c r="I146" s="147">
        <v>37260</v>
      </c>
      <c r="J146" s="146"/>
      <c r="K146" s="146"/>
      <c r="L146" s="146"/>
      <c r="M146" s="59">
        <f>SUM(I146:L146)</f>
        <v>37260</v>
      </c>
      <c r="Q146" s="64"/>
      <c r="R146" s="64">
        <f>+M146</f>
        <v>37260</v>
      </c>
      <c r="S146" s="64"/>
      <c r="T146" s="64">
        <f>+Q146+R146</f>
        <v>37260</v>
      </c>
      <c r="U146" s="64"/>
      <c r="V146" s="152"/>
      <c r="W146" s="153"/>
      <c r="Y146" s="153"/>
      <c r="AI146" s="92"/>
      <c r="AJ146" s="92"/>
      <c r="AK146" s="92"/>
    </row>
    <row r="147" spans="1:37" ht="20.25">
      <c r="A147" s="130" t="s">
        <v>219</v>
      </c>
      <c r="B147" s="131"/>
      <c r="C147" s="131"/>
      <c r="D147" s="132">
        <f t="shared" ref="D147:U147" si="53">D141</f>
        <v>317386.69500000001</v>
      </c>
      <c r="E147" s="133">
        <f t="shared" si="53"/>
        <v>0</v>
      </c>
      <c r="F147" s="134">
        <f t="shared" si="53"/>
        <v>57500</v>
      </c>
      <c r="G147" s="134">
        <f t="shared" si="53"/>
        <v>45000</v>
      </c>
      <c r="H147" s="135">
        <f t="shared" si="53"/>
        <v>0</v>
      </c>
      <c r="I147" s="136">
        <f t="shared" si="53"/>
        <v>378476.72</v>
      </c>
      <c r="J147" s="134">
        <f t="shared" si="53"/>
        <v>0</v>
      </c>
      <c r="K147" s="134">
        <f t="shared" si="53"/>
        <v>0</v>
      </c>
      <c r="L147" s="134">
        <f t="shared" si="53"/>
        <v>0</v>
      </c>
      <c r="M147" s="132">
        <f t="shared" si="53"/>
        <v>378476.72</v>
      </c>
      <c r="N147" s="137">
        <f t="shared" si="53"/>
        <v>109662.53666666667</v>
      </c>
      <c r="O147" s="137">
        <f t="shared" si="53"/>
        <v>109662.54</v>
      </c>
      <c r="P147" s="137">
        <f t="shared" si="53"/>
        <v>-3.3333333340124227E-3</v>
      </c>
      <c r="Q147" s="137">
        <f t="shared" si="53"/>
        <v>50000</v>
      </c>
      <c r="R147" s="137">
        <f t="shared" si="53"/>
        <v>218814.18333333335</v>
      </c>
      <c r="S147" s="137">
        <f t="shared" si="53"/>
        <v>0</v>
      </c>
      <c r="T147" s="137">
        <f t="shared" si="53"/>
        <v>378476.72</v>
      </c>
      <c r="U147" s="137">
        <f t="shared" si="53"/>
        <v>0</v>
      </c>
      <c r="V147" s="138"/>
      <c r="W147" s="139"/>
      <c r="Y147" s="139"/>
      <c r="AI147" s="92"/>
      <c r="AJ147" s="92"/>
      <c r="AK147" s="92"/>
    </row>
    <row r="148" spans="1:37" ht="18.75">
      <c r="A148" s="140"/>
      <c r="B148" s="141" t="s">
        <v>220</v>
      </c>
      <c r="C148" s="91" t="s">
        <v>221</v>
      </c>
      <c r="D148" s="83">
        <f t="shared" ref="D148:U148" si="54">SUM(D149:D153)</f>
        <v>72615.78</v>
      </c>
      <c r="E148" s="84">
        <f t="shared" si="54"/>
        <v>0</v>
      </c>
      <c r="F148" s="85">
        <f t="shared" si="54"/>
        <v>57500</v>
      </c>
      <c r="G148" s="85">
        <f t="shared" si="54"/>
        <v>45000</v>
      </c>
      <c r="H148" s="86">
        <f t="shared" si="54"/>
        <v>0</v>
      </c>
      <c r="I148" s="87">
        <f t="shared" si="54"/>
        <v>169939.75</v>
      </c>
      <c r="J148" s="85">
        <f t="shared" si="54"/>
        <v>0</v>
      </c>
      <c r="K148" s="85">
        <f t="shared" si="54"/>
        <v>0</v>
      </c>
      <c r="L148" s="85">
        <f t="shared" si="54"/>
        <v>0</v>
      </c>
      <c r="M148" s="83">
        <f t="shared" si="54"/>
        <v>169939.75</v>
      </c>
      <c r="N148" s="88">
        <f>SUM(N149:N153)</f>
        <v>12455.656666666666</v>
      </c>
      <c r="O148" s="88">
        <f>SUM(O149:O153)</f>
        <v>12455.66</v>
      </c>
      <c r="P148" s="88">
        <f>SUM(P149:P153)</f>
        <v>0</v>
      </c>
      <c r="Q148" s="88"/>
      <c r="R148" s="88">
        <f>SUM(R149:R153)</f>
        <v>157484.09333333332</v>
      </c>
      <c r="S148" s="88">
        <f t="shared" ref="S148:T148" si="55">SUM(S149:S153)</f>
        <v>0</v>
      </c>
      <c r="T148" s="88">
        <f t="shared" si="55"/>
        <v>169939.75</v>
      </c>
      <c r="U148" s="88">
        <f t="shared" si="54"/>
        <v>0</v>
      </c>
      <c r="V148" s="148"/>
      <c r="W148" s="149"/>
      <c r="Y148" s="149"/>
      <c r="AI148" s="92"/>
      <c r="AJ148" s="92"/>
      <c r="AK148" s="92"/>
    </row>
    <row r="149" spans="1:37" ht="29.25" customHeight="1">
      <c r="A149" s="142"/>
      <c r="B149" s="143">
        <v>7501050102</v>
      </c>
      <c r="C149" s="125" t="s">
        <v>222</v>
      </c>
      <c r="D149" s="144">
        <f>15000*1.5</f>
        <v>22500</v>
      </c>
      <c r="E149" s="145"/>
      <c r="F149" s="150"/>
      <c r="G149" s="146"/>
      <c r="H149" s="62"/>
      <c r="I149" s="147">
        <f>+GETPIVOTDATA("Suma de PRESUPUESTO GPL",'[1]aportes  GADS'!$A$5,"ZONA",3)</f>
        <v>89236.75</v>
      </c>
      <c r="J149" s="146"/>
      <c r="K149" s="146"/>
      <c r="L149" s="146"/>
      <c r="M149" s="59">
        <f>+I149</f>
        <v>89236.75</v>
      </c>
      <c r="Q149" s="64"/>
      <c r="R149" s="64">
        <f>+I149</f>
        <v>89236.75</v>
      </c>
      <c r="S149" s="64"/>
      <c r="T149" s="64">
        <f>+M149</f>
        <v>89236.75</v>
      </c>
      <c r="U149" s="64"/>
      <c r="V149" s="65"/>
      <c r="W149" s="66"/>
      <c r="Y149" s="66"/>
      <c r="AI149" s="92"/>
      <c r="AJ149" s="92"/>
      <c r="AK149" s="92"/>
    </row>
    <row r="150" spans="1:37" ht="36.75" customHeight="1">
      <c r="A150" s="142"/>
      <c r="B150" s="143">
        <v>750105</v>
      </c>
      <c r="C150" s="125" t="s">
        <v>211</v>
      </c>
      <c r="D150" s="144"/>
      <c r="E150" s="145"/>
      <c r="F150" s="146">
        <v>22500</v>
      </c>
      <c r="G150" s="146">
        <v>15000</v>
      </c>
      <c r="H150" s="62"/>
      <c r="I150" s="147">
        <v>16156</v>
      </c>
      <c r="J150" s="146"/>
      <c r="K150" s="146"/>
      <c r="L150" s="146"/>
      <c r="M150" s="59">
        <f>SUM(I150:L150)</f>
        <v>16156</v>
      </c>
      <c r="Q150" s="64"/>
      <c r="R150" s="64">
        <f>+M150</f>
        <v>16156</v>
      </c>
      <c r="S150" s="64"/>
      <c r="T150" s="64">
        <f>+M150</f>
        <v>16156</v>
      </c>
      <c r="U150" s="64"/>
      <c r="V150" s="65"/>
      <c r="W150" s="66"/>
      <c r="Y150" s="66"/>
      <c r="AI150" s="92"/>
      <c r="AJ150" s="92"/>
      <c r="AK150" s="92"/>
    </row>
    <row r="151" spans="1:37" ht="37.5" customHeight="1">
      <c r="A151" s="142"/>
      <c r="B151" s="143">
        <v>750105</v>
      </c>
      <c r="C151" s="125" t="s">
        <v>212</v>
      </c>
      <c r="D151" s="144">
        <f>30000*1.5</f>
        <v>45000</v>
      </c>
      <c r="E151" s="145"/>
      <c r="F151" s="146">
        <v>35000</v>
      </c>
      <c r="G151" s="146">
        <v>30000</v>
      </c>
      <c r="H151" s="62"/>
      <c r="I151" s="147">
        <v>40367</v>
      </c>
      <c r="J151" s="146"/>
      <c r="K151" s="146"/>
      <c r="L151" s="146"/>
      <c r="M151" s="59">
        <f>SUM(I151:L151)</f>
        <v>40367</v>
      </c>
      <c r="N151" s="64">
        <f>+M151/3-0.01-1000</f>
        <v>12455.656666666666</v>
      </c>
      <c r="O151" s="64">
        <v>12455.66</v>
      </c>
      <c r="P151" s="64"/>
      <c r="Q151" s="64"/>
      <c r="R151" s="64">
        <f>+M151-N151-Q151</f>
        <v>27911.343333333334</v>
      </c>
      <c r="S151" s="64"/>
      <c r="T151" s="64">
        <f>+N151+R151</f>
        <v>40367</v>
      </c>
      <c r="U151" s="64"/>
      <c r="V151" s="65"/>
      <c r="W151" s="66"/>
      <c r="Y151" s="66"/>
      <c r="AI151" s="92"/>
      <c r="AJ151" s="92"/>
      <c r="AK151" s="92"/>
    </row>
    <row r="152" spans="1:37" ht="30.75" customHeight="1">
      <c r="A152" s="142"/>
      <c r="B152" s="143">
        <v>7501050102</v>
      </c>
      <c r="C152" s="125" t="s">
        <v>218</v>
      </c>
      <c r="D152" s="144"/>
      <c r="E152" s="145"/>
      <c r="F152" s="146"/>
      <c r="G152" s="61"/>
      <c r="H152" s="62"/>
      <c r="I152" s="63"/>
      <c r="J152" s="61"/>
      <c r="K152" s="61"/>
      <c r="L152" s="61"/>
      <c r="M152" s="59">
        <f>SUM(I152:L152)</f>
        <v>0</v>
      </c>
      <c r="N152" s="64"/>
      <c r="O152" s="64"/>
      <c r="P152" s="64"/>
      <c r="Q152" s="64"/>
      <c r="R152" s="64"/>
      <c r="S152" s="64"/>
      <c r="T152" s="64"/>
      <c r="U152" s="64"/>
      <c r="V152" s="65"/>
      <c r="W152" s="66"/>
      <c r="Y152" s="66"/>
      <c r="AI152" s="92"/>
      <c r="AJ152" s="92"/>
      <c r="AK152" s="92"/>
    </row>
    <row r="153" spans="1:37" ht="38.25" customHeight="1">
      <c r="A153" s="142"/>
      <c r="B153" s="143">
        <v>7501050104</v>
      </c>
      <c r="C153" s="125" t="s">
        <v>214</v>
      </c>
      <c r="D153" s="144">
        <f>3410.52*1.5</f>
        <v>5115.78</v>
      </c>
      <c r="E153" s="145"/>
      <c r="F153" s="150"/>
      <c r="G153" s="146"/>
      <c r="H153" s="62"/>
      <c r="I153" s="147">
        <v>24180</v>
      </c>
      <c r="J153" s="146"/>
      <c r="K153" s="146"/>
      <c r="L153" s="146"/>
      <c r="M153" s="59">
        <f>SUM(I153:L153)</f>
        <v>24180</v>
      </c>
      <c r="Q153" s="64"/>
      <c r="R153" s="64">
        <f>+M153</f>
        <v>24180</v>
      </c>
      <c r="S153" s="64"/>
      <c r="T153" s="64">
        <f>+Q153+R153</f>
        <v>24180</v>
      </c>
      <c r="U153" s="64"/>
      <c r="V153" s="65"/>
      <c r="W153" s="66"/>
      <c r="Y153" s="66"/>
      <c r="AI153" s="92"/>
      <c r="AJ153" s="92"/>
      <c r="AK153" s="92"/>
    </row>
    <row r="154" spans="1:37" ht="20.25">
      <c r="A154" s="130" t="s">
        <v>223</v>
      </c>
      <c r="B154" s="131"/>
      <c r="C154" s="131"/>
      <c r="D154" s="132">
        <f t="shared" ref="D154:U154" si="56">D148</f>
        <v>72615.78</v>
      </c>
      <c r="E154" s="133">
        <f t="shared" si="56"/>
        <v>0</v>
      </c>
      <c r="F154" s="134">
        <f t="shared" si="56"/>
        <v>57500</v>
      </c>
      <c r="G154" s="134">
        <f t="shared" si="56"/>
        <v>45000</v>
      </c>
      <c r="H154" s="135">
        <f t="shared" si="56"/>
        <v>0</v>
      </c>
      <c r="I154" s="136">
        <f t="shared" si="56"/>
        <v>169939.75</v>
      </c>
      <c r="J154" s="134">
        <f t="shared" si="56"/>
        <v>0</v>
      </c>
      <c r="K154" s="134">
        <f t="shared" si="56"/>
        <v>0</v>
      </c>
      <c r="L154" s="134">
        <f t="shared" si="56"/>
        <v>0</v>
      </c>
      <c r="M154" s="132">
        <f t="shared" si="56"/>
        <v>169939.75</v>
      </c>
      <c r="N154" s="137">
        <f t="shared" si="56"/>
        <v>12455.656666666666</v>
      </c>
      <c r="O154" s="137">
        <f t="shared" si="56"/>
        <v>12455.66</v>
      </c>
      <c r="P154" s="137">
        <f t="shared" si="56"/>
        <v>0</v>
      </c>
      <c r="Q154" s="137">
        <f t="shared" si="56"/>
        <v>0</v>
      </c>
      <c r="R154" s="137">
        <f t="shared" si="56"/>
        <v>157484.09333333332</v>
      </c>
      <c r="S154" s="137">
        <f t="shared" si="56"/>
        <v>0</v>
      </c>
      <c r="T154" s="137">
        <f t="shared" si="56"/>
        <v>169939.75</v>
      </c>
      <c r="U154" s="137">
        <f t="shared" si="56"/>
        <v>0</v>
      </c>
      <c r="V154" s="138"/>
      <c r="W154" s="139"/>
      <c r="Y154" s="139"/>
      <c r="AI154" s="92"/>
      <c r="AJ154" s="92"/>
      <c r="AK154" s="92"/>
    </row>
    <row r="155" spans="1:37" ht="18.75">
      <c r="A155" s="140"/>
      <c r="B155" s="141" t="s">
        <v>224</v>
      </c>
      <c r="C155" s="91" t="s">
        <v>225</v>
      </c>
      <c r="D155" s="83">
        <f>SUM(D156:H160)</f>
        <v>461046.66500000004</v>
      </c>
      <c r="E155" s="84">
        <f t="shared" ref="E155:U155" si="57">SUM(E156:E160)</f>
        <v>0</v>
      </c>
      <c r="F155" s="85">
        <f t="shared" si="57"/>
        <v>62500</v>
      </c>
      <c r="G155" s="85">
        <f t="shared" si="57"/>
        <v>62500</v>
      </c>
      <c r="H155" s="86">
        <f t="shared" si="57"/>
        <v>0</v>
      </c>
      <c r="I155" s="87">
        <f t="shared" si="57"/>
        <v>174580.94</v>
      </c>
      <c r="J155" s="85">
        <f t="shared" si="57"/>
        <v>0</v>
      </c>
      <c r="K155" s="85">
        <f t="shared" si="57"/>
        <v>0</v>
      </c>
      <c r="L155" s="85">
        <f t="shared" si="57"/>
        <v>0</v>
      </c>
      <c r="M155" s="83">
        <f t="shared" si="57"/>
        <v>174580.94</v>
      </c>
      <c r="N155" s="88">
        <f t="shared" si="57"/>
        <v>43000</v>
      </c>
      <c r="O155" s="88">
        <f t="shared" si="57"/>
        <v>43000</v>
      </c>
      <c r="P155" s="88">
        <f t="shared" si="57"/>
        <v>0</v>
      </c>
      <c r="Q155" s="88">
        <f t="shared" si="57"/>
        <v>38003.4</v>
      </c>
      <c r="R155" s="88">
        <f>SUM(R156:R160)</f>
        <v>93577.54</v>
      </c>
      <c r="S155" s="88">
        <f t="shared" ref="S155:T155" si="58">SUM(S156:S160)</f>
        <v>0</v>
      </c>
      <c r="T155" s="88">
        <f t="shared" si="58"/>
        <v>174580.94</v>
      </c>
      <c r="U155" s="88">
        <f t="shared" si="57"/>
        <v>0</v>
      </c>
      <c r="V155" s="65"/>
      <c r="W155" s="66"/>
      <c r="Y155" s="66"/>
      <c r="AI155" s="92"/>
      <c r="AJ155" s="92"/>
      <c r="AK155" s="92"/>
    </row>
    <row r="156" spans="1:37" ht="37.5" customHeight="1">
      <c r="A156" s="142"/>
      <c r="B156" s="143">
        <v>7501050102</v>
      </c>
      <c r="C156" s="125" t="s">
        <v>210</v>
      </c>
      <c r="D156" s="144"/>
      <c r="E156" s="145"/>
      <c r="F156" s="150"/>
      <c r="G156" s="146"/>
      <c r="H156" s="62"/>
      <c r="I156" s="147">
        <f>26376.48+704.46</f>
        <v>27080.94</v>
      </c>
      <c r="J156" s="146"/>
      <c r="K156" s="146"/>
      <c r="L156" s="146"/>
      <c r="M156" s="59">
        <f>SUM(I156:L156)</f>
        <v>27080.94</v>
      </c>
      <c r="Q156" s="64">
        <v>704.46</v>
      </c>
      <c r="R156" s="64">
        <f>+M156-Q156</f>
        <v>26376.48</v>
      </c>
      <c r="S156" s="64"/>
      <c r="T156" s="64">
        <f>+Q156+R156</f>
        <v>27080.94</v>
      </c>
      <c r="U156" s="64"/>
      <c r="V156" s="65"/>
      <c r="W156" s="66"/>
      <c r="Y156" s="66"/>
      <c r="AI156" s="92"/>
      <c r="AJ156" s="92"/>
      <c r="AK156" s="92"/>
    </row>
    <row r="157" spans="1:37" ht="32.25" customHeight="1">
      <c r="A157" s="142"/>
      <c r="B157" s="143">
        <v>750105</v>
      </c>
      <c r="C157" s="125" t="s">
        <v>211</v>
      </c>
      <c r="D157" s="144">
        <f>22600*1.5</f>
        <v>33900</v>
      </c>
      <c r="E157" s="145"/>
      <c r="F157" s="146">
        <v>22500</v>
      </c>
      <c r="G157" s="146">
        <f>15000+7500</f>
        <v>22500</v>
      </c>
      <c r="H157" s="62"/>
      <c r="I157" s="147">
        <f>41701.06+15000+22298.94</f>
        <v>79000</v>
      </c>
      <c r="J157" s="146"/>
      <c r="K157" s="146"/>
      <c r="L157" s="146"/>
      <c r="M157" s="59">
        <f>SUM(I157:L157)</f>
        <v>79000</v>
      </c>
      <c r="Q157" s="64">
        <v>37298.94</v>
      </c>
      <c r="R157" s="64">
        <v>41701.06</v>
      </c>
      <c r="S157" s="64"/>
      <c r="T157" s="64">
        <f>+Q157+R157</f>
        <v>79000</v>
      </c>
      <c r="U157" s="64"/>
      <c r="V157" s="65"/>
      <c r="W157" s="66"/>
      <c r="Y157" s="66"/>
      <c r="AI157" s="92"/>
      <c r="AJ157" s="92"/>
      <c r="AK157" s="92"/>
    </row>
    <row r="158" spans="1:37" ht="42" customHeight="1">
      <c r="A158" s="142"/>
      <c r="B158" s="143">
        <v>750105</v>
      </c>
      <c r="C158" s="125" t="s">
        <v>212</v>
      </c>
      <c r="D158" s="144">
        <f>42171.2*1.5</f>
        <v>63256.799999999996</v>
      </c>
      <c r="E158" s="145"/>
      <c r="F158" s="146">
        <v>40000</v>
      </c>
      <c r="G158" s="146">
        <f>+F158</f>
        <v>40000</v>
      </c>
      <c r="H158" s="62"/>
      <c r="I158" s="147">
        <v>43000</v>
      </c>
      <c r="J158" s="146"/>
      <c r="K158" s="146"/>
      <c r="L158" s="146"/>
      <c r="M158" s="59">
        <f>SUM(I158:L158)</f>
        <v>43000</v>
      </c>
      <c r="N158" s="102">
        <f>+M158</f>
        <v>43000</v>
      </c>
      <c r="O158" s="102">
        <v>43000</v>
      </c>
      <c r="P158" s="102"/>
      <c r="Q158" s="64"/>
      <c r="R158" s="64"/>
      <c r="S158" s="64"/>
      <c r="T158" s="64">
        <f>+N158</f>
        <v>43000</v>
      </c>
      <c r="U158" s="64"/>
      <c r="V158" s="65"/>
      <c r="W158" s="66"/>
      <c r="Y158" s="66"/>
      <c r="AI158" s="92"/>
      <c r="AJ158" s="92"/>
      <c r="AK158" s="92"/>
    </row>
    <row r="159" spans="1:37" ht="33.75" customHeight="1">
      <c r="A159" s="142"/>
      <c r="B159" s="143">
        <v>7501050102</v>
      </c>
      <c r="C159" s="125" t="s">
        <v>218</v>
      </c>
      <c r="D159" s="144"/>
      <c r="E159" s="145"/>
      <c r="F159" s="146"/>
      <c r="G159" s="61"/>
      <c r="H159" s="62"/>
      <c r="I159" s="63"/>
      <c r="J159" s="61"/>
      <c r="K159" s="61"/>
      <c r="L159" s="61"/>
      <c r="M159" s="59">
        <f>SUM(I159:L159)</f>
        <v>0</v>
      </c>
      <c r="N159" s="64"/>
      <c r="O159" s="64"/>
      <c r="P159" s="64"/>
      <c r="Q159" s="64"/>
      <c r="R159" s="64"/>
      <c r="S159" s="64"/>
      <c r="T159" s="64"/>
      <c r="U159" s="64"/>
      <c r="V159" s="65"/>
      <c r="W159" s="66"/>
      <c r="Y159" s="66"/>
      <c r="AI159" s="92"/>
      <c r="AJ159" s="92"/>
      <c r="AK159" s="92"/>
    </row>
    <row r="160" spans="1:37" ht="30.75" customHeight="1">
      <c r="A160" s="142"/>
      <c r="B160" s="143">
        <v>7501050105</v>
      </c>
      <c r="C160" s="125" t="s">
        <v>226</v>
      </c>
      <c r="D160" s="144">
        <f>24526.96*1.5+134732.95*12/8</f>
        <v>238889.86500000002</v>
      </c>
      <c r="E160" s="145"/>
      <c r="F160" s="150"/>
      <c r="G160" s="146"/>
      <c r="H160" s="62"/>
      <c r="I160" s="147">
        <f>120000*'[1]POA 2014'!B23</f>
        <v>25500</v>
      </c>
      <c r="J160" s="146"/>
      <c r="K160" s="146"/>
      <c r="L160" s="146"/>
      <c r="M160" s="59">
        <f>SUM(I160:L160)</f>
        <v>25500</v>
      </c>
      <c r="Q160" s="64"/>
      <c r="R160" s="64">
        <f>+M160</f>
        <v>25500</v>
      </c>
      <c r="S160" s="64"/>
      <c r="T160" s="64">
        <f>+Q160+R160</f>
        <v>25500</v>
      </c>
      <c r="U160" s="64"/>
      <c r="V160" s="65"/>
      <c r="W160" s="66"/>
      <c r="Y160" s="66"/>
      <c r="AI160" s="92"/>
      <c r="AJ160" s="92"/>
      <c r="AK160" s="92"/>
    </row>
    <row r="161" spans="1:38" ht="15" customHeight="1">
      <c r="A161" s="142"/>
      <c r="B161" s="143"/>
      <c r="C161" s="125"/>
      <c r="D161" s="144"/>
      <c r="E161" s="145"/>
      <c r="F161" s="154"/>
      <c r="G161" s="154"/>
      <c r="H161" s="155"/>
      <c r="I161" s="156"/>
      <c r="J161" s="154"/>
      <c r="K161" s="154"/>
      <c r="L161" s="154"/>
      <c r="M161" s="59">
        <f>SUBTOTAL(9,I161:L161)</f>
        <v>0</v>
      </c>
      <c r="N161" s="64"/>
      <c r="O161" s="64"/>
      <c r="P161" s="64"/>
      <c r="Q161" s="64"/>
      <c r="R161" s="64"/>
      <c r="S161" s="64"/>
      <c r="T161" s="64"/>
      <c r="U161" s="64"/>
      <c r="V161" s="157"/>
      <c r="W161" s="158"/>
      <c r="Y161" s="158"/>
      <c r="AI161" s="92"/>
      <c r="AJ161" s="92"/>
      <c r="AK161" s="92"/>
    </row>
    <row r="162" spans="1:38" ht="20.25">
      <c r="A162" s="130" t="s">
        <v>227</v>
      </c>
      <c r="B162" s="131"/>
      <c r="C162" s="131"/>
      <c r="D162" s="132">
        <f t="shared" ref="D162:U162" si="59">D155</f>
        <v>461046.66500000004</v>
      </c>
      <c r="E162" s="133">
        <f t="shared" si="59"/>
        <v>0</v>
      </c>
      <c r="F162" s="134">
        <f t="shared" si="59"/>
        <v>62500</v>
      </c>
      <c r="G162" s="134">
        <f t="shared" si="59"/>
        <v>62500</v>
      </c>
      <c r="H162" s="135">
        <f t="shared" si="59"/>
        <v>0</v>
      </c>
      <c r="I162" s="136">
        <f t="shared" si="59"/>
        <v>174580.94</v>
      </c>
      <c r="J162" s="134">
        <f t="shared" si="59"/>
        <v>0</v>
      </c>
      <c r="K162" s="134">
        <f t="shared" si="59"/>
        <v>0</v>
      </c>
      <c r="L162" s="134">
        <f t="shared" si="59"/>
        <v>0</v>
      </c>
      <c r="M162" s="132">
        <f t="shared" si="59"/>
        <v>174580.94</v>
      </c>
      <c r="N162" s="137">
        <f t="shared" si="59"/>
        <v>43000</v>
      </c>
      <c r="O162" s="137">
        <f t="shared" si="59"/>
        <v>43000</v>
      </c>
      <c r="P162" s="137">
        <f t="shared" si="59"/>
        <v>0</v>
      </c>
      <c r="Q162" s="137">
        <f t="shared" si="59"/>
        <v>38003.4</v>
      </c>
      <c r="R162" s="137">
        <f t="shared" si="59"/>
        <v>93577.54</v>
      </c>
      <c r="S162" s="137">
        <f t="shared" si="59"/>
        <v>0</v>
      </c>
      <c r="T162" s="137">
        <f t="shared" si="59"/>
        <v>174580.94</v>
      </c>
      <c r="U162" s="137">
        <f t="shared" si="59"/>
        <v>0</v>
      </c>
      <c r="V162" s="138"/>
      <c r="W162" s="139"/>
      <c r="Y162" s="139"/>
      <c r="AI162" s="92"/>
      <c r="AJ162" s="92"/>
      <c r="AK162" s="92"/>
    </row>
    <row r="163" spans="1:38" ht="20.25" customHeight="1">
      <c r="A163" s="130" t="s">
        <v>228</v>
      </c>
      <c r="B163" s="131"/>
      <c r="C163" s="131"/>
      <c r="D163" s="132">
        <f>D126+D133+D140+D147+D154+D162</f>
        <v>9968046.3986666687</v>
      </c>
      <c r="E163" s="133"/>
      <c r="F163" s="154"/>
      <c r="G163" s="154"/>
      <c r="H163" s="155"/>
      <c r="I163" s="156"/>
      <c r="J163" s="154"/>
      <c r="K163" s="154"/>
      <c r="L163" s="154"/>
      <c r="M163" s="159"/>
      <c r="N163" s="160"/>
      <c r="O163" s="160"/>
      <c r="P163" s="160"/>
      <c r="Q163" s="160"/>
      <c r="R163" s="160"/>
      <c r="S163" s="160"/>
      <c r="T163" s="160"/>
      <c r="U163" s="160"/>
      <c r="V163" s="157"/>
      <c r="W163" s="158"/>
      <c r="Y163" s="158"/>
      <c r="AI163" s="92"/>
      <c r="AJ163" s="92"/>
      <c r="AK163" s="92"/>
    </row>
    <row r="164" spans="1:38" ht="42" thickBot="1">
      <c r="A164" s="161"/>
      <c r="B164" s="162"/>
      <c r="C164" s="163" t="s">
        <v>229</v>
      </c>
      <c r="D164" s="164">
        <f>D163</f>
        <v>9968046.3986666687</v>
      </c>
      <c r="E164" s="165">
        <f t="shared" ref="E164:U164" si="60">E126+E133+E140+E147+E154+E162</f>
        <v>198931.48666666669</v>
      </c>
      <c r="F164" s="166" t="e">
        <f t="shared" si="60"/>
        <v>#REF!</v>
      </c>
      <c r="G164" s="166" t="e">
        <f t="shared" si="60"/>
        <v>#REF!</v>
      </c>
      <c r="H164" s="167" t="e">
        <f t="shared" si="60"/>
        <v>#REF!</v>
      </c>
      <c r="I164" s="168">
        <f t="shared" si="60"/>
        <v>1934741.5599999998</v>
      </c>
      <c r="J164" s="166">
        <f t="shared" si="60"/>
        <v>2306112.2249999996</v>
      </c>
      <c r="K164" s="166">
        <f t="shared" si="60"/>
        <v>650755.16499999992</v>
      </c>
      <c r="L164" s="166">
        <f t="shared" si="60"/>
        <v>6104027.2400000002</v>
      </c>
      <c r="M164" s="164">
        <f t="shared" si="60"/>
        <v>10865636.189999999</v>
      </c>
      <c r="N164" s="169">
        <f>N126+N133+N140+N147+N154+N162</f>
        <v>5999999.9824999999</v>
      </c>
      <c r="O164" s="169">
        <f>O126+O133+O140+O147+O154+O162</f>
        <v>1428719.25</v>
      </c>
      <c r="P164" s="169">
        <f>P126+P133+P140+P147+P154+P162</f>
        <v>2061.7283333333344</v>
      </c>
      <c r="Q164" s="169">
        <f>Q126+Q133+Q140+Q147+Q154+Q162</f>
        <v>638232.11</v>
      </c>
      <c r="R164" s="169">
        <f>R126+R133+R140+R147+R154+R162</f>
        <v>4232204.0974999992</v>
      </c>
      <c r="S164" s="169">
        <f t="shared" ref="S164:T164" si="61">S126+S133+S140+S147+S154+S162</f>
        <v>329086.71000000002</v>
      </c>
      <c r="T164" s="169">
        <f t="shared" si="61"/>
        <v>8718719.2750000004</v>
      </c>
      <c r="U164" s="169">
        <f t="shared" si="60"/>
        <v>1810170.2050000003</v>
      </c>
      <c r="V164" s="170">
        <f>+L164+K164+J164+I164</f>
        <v>10995636.189999999</v>
      </c>
      <c r="W164" s="171" t="s">
        <v>230</v>
      </c>
      <c r="X164" s="134"/>
      <c r="Y164" s="171" t="e">
        <f>+F164-V164-6000000</f>
        <v>#REF!</v>
      </c>
      <c r="Z164" s="172"/>
      <c r="AI164" s="92"/>
      <c r="AJ164" s="92"/>
      <c r="AK164" s="92"/>
      <c r="AL164" s="102"/>
    </row>
    <row r="165" spans="1:38" ht="17.25" hidden="1" thickTop="1"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5"/>
      <c r="W165" s="175"/>
      <c r="Y165" s="175"/>
    </row>
    <row r="166" spans="1:38" ht="17.25" hidden="1" thickTop="1"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5"/>
      <c r="W166" s="175"/>
      <c r="Y166" s="175"/>
    </row>
    <row r="167" spans="1:38" ht="17.25" hidden="1" thickTop="1"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5"/>
      <c r="W167" s="175"/>
      <c r="Y167" s="175"/>
    </row>
    <row r="168" spans="1:38" ht="31.5" hidden="1" customHeight="1">
      <c r="C168" s="176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5"/>
      <c r="W168" s="175"/>
      <c r="Y168" s="175"/>
    </row>
    <row r="169" spans="1:38" ht="17.25" hidden="1" thickTop="1">
      <c r="D169" s="177">
        <f>SUM(D165:D168)</f>
        <v>0</v>
      </c>
      <c r="E169" s="177">
        <f>SUM(E165:E168)</f>
        <v>0</v>
      </c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8"/>
      <c r="W169" s="178"/>
      <c r="Y169" s="178"/>
    </row>
    <row r="170" spans="1:38" ht="17.25" hidden="1" thickTop="1"/>
    <row r="171" spans="1:38" ht="17.25" hidden="1" thickTop="1">
      <c r="C171" s="173" t="s">
        <v>231</v>
      </c>
      <c r="F171" s="5">
        <v>70</v>
      </c>
      <c r="G171" s="5">
        <f>+F171/4</f>
        <v>17.5</v>
      </c>
      <c r="I171" s="5">
        <f>+F171*1500</f>
        <v>105000</v>
      </c>
      <c r="V171" s="173" t="e">
        <f>+V164-F164</f>
        <v>#REF!</v>
      </c>
    </row>
    <row r="172" spans="1:38" ht="17.25" hidden="1" thickTop="1">
      <c r="C172" s="173" t="s">
        <v>232</v>
      </c>
      <c r="F172" s="5">
        <v>3</v>
      </c>
      <c r="AB172" s="5">
        <f>80/6</f>
        <v>13.333333333333334</v>
      </c>
    </row>
    <row r="173" spans="1:38" ht="21" hidden="1" thickTop="1">
      <c r="G173" s="5">
        <v>0.55000000000000004</v>
      </c>
      <c r="I173" s="134"/>
      <c r="J173" s="172"/>
    </row>
    <row r="174" spans="1:38" ht="17.25" hidden="1" thickTop="1">
      <c r="G174" s="5">
        <v>597.29</v>
      </c>
      <c r="I174" s="102"/>
      <c r="J174" s="102"/>
    </row>
    <row r="175" spans="1:38" ht="17.25" hidden="1" thickTop="1"/>
    <row r="176" spans="1:38" ht="17.25" hidden="1" thickTop="1"/>
    <row r="177" spans="2:17" ht="17.25" hidden="1" thickTop="1"/>
    <row r="178" spans="2:17" ht="17.25" hidden="1" thickTop="1">
      <c r="G178" s="102"/>
      <c r="I178" s="102"/>
      <c r="J178" s="102"/>
    </row>
    <row r="179" spans="2:17" ht="17.25" thickTop="1">
      <c r="F179" s="102"/>
      <c r="G179" s="102"/>
      <c r="H179" s="102"/>
      <c r="N179" s="102"/>
      <c r="O179" s="102"/>
      <c r="P179" s="102"/>
      <c r="Q179" s="102"/>
    </row>
    <row r="180" spans="2:17">
      <c r="B180" s="179" t="s">
        <v>233</v>
      </c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80">
        <v>289377.45</v>
      </c>
      <c r="P180" s="102"/>
      <c r="Q180" s="102"/>
    </row>
    <row r="181" spans="2:17">
      <c r="B181" s="181"/>
      <c r="C181" s="182"/>
      <c r="D181" s="181"/>
      <c r="E181" s="181"/>
      <c r="F181" s="177"/>
      <c r="G181" s="177"/>
      <c r="H181" s="177"/>
      <c r="I181" s="181"/>
      <c r="J181" s="181"/>
      <c r="K181" s="181"/>
      <c r="L181" s="181"/>
      <c r="M181" s="181"/>
      <c r="N181" s="183" t="s">
        <v>234</v>
      </c>
      <c r="O181" s="180">
        <f>O164+O180</f>
        <v>1718096.7</v>
      </c>
      <c r="P181" s="102"/>
      <c r="Q181" s="102"/>
    </row>
    <row r="182" spans="2:17">
      <c r="F182" s="102"/>
      <c r="G182" s="102"/>
      <c r="H182" s="102"/>
      <c r="N182" s="102"/>
      <c r="O182" s="102"/>
      <c r="P182" s="102"/>
      <c r="Q182" s="102"/>
    </row>
    <row r="183" spans="2:17">
      <c r="M183" s="102"/>
      <c r="N183" s="102"/>
      <c r="O183" s="102"/>
      <c r="P183" s="102"/>
    </row>
    <row r="187" spans="2:17">
      <c r="C187" s="184" t="s">
        <v>235</v>
      </c>
      <c r="D187" s="185"/>
      <c r="L187" s="5" t="s">
        <v>236</v>
      </c>
      <c r="M187" s="5" t="s">
        <v>237</v>
      </c>
    </row>
    <row r="188" spans="2:17">
      <c r="C188" s="186" t="s">
        <v>238</v>
      </c>
      <c r="D188" s="185"/>
      <c r="L188" s="187" t="s">
        <v>239</v>
      </c>
    </row>
  </sheetData>
  <autoFilter ref="A6:U164"/>
  <mergeCells count="10">
    <mergeCell ref="A154:C154"/>
    <mergeCell ref="A162:C162"/>
    <mergeCell ref="A163:C163"/>
    <mergeCell ref="B180:N180"/>
    <mergeCell ref="A2:G2"/>
    <mergeCell ref="A3:G3"/>
    <mergeCell ref="A126:C126"/>
    <mergeCell ref="A133:C133"/>
    <mergeCell ref="A140:C140"/>
    <mergeCell ref="A147:C147"/>
  </mergeCells>
  <printOptions horizontalCentered="1"/>
  <pageMargins left="0.23622047244094491" right="0.23622047244094491" top="0.35433070866141736" bottom="0.74803149606299213" header="0.19685039370078741" footer="0.31496062992125984"/>
  <pageSetup paperSize="9" scale="67" fitToHeight="0" orientation="portrait" horizontalDpi="300" verticalDpi="300" r:id="rId1"/>
  <headerFooter alignWithMargins="0">
    <oddFooter>&amp;L&amp;P de &amp;P&amp;C&amp;D&amp;R&amp;F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2014</vt:lpstr>
      <vt:lpstr>'Presupuesto 2014'!Área_de_impresión</vt:lpstr>
      <vt:lpstr>'Presupuesto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M. Ordóñez Orellana</dc:creator>
  <cp:lastModifiedBy>Ing. Jorge M. Ordóñez Orellana</cp:lastModifiedBy>
  <dcterms:created xsi:type="dcterms:W3CDTF">2014-01-17T21:00:35Z</dcterms:created>
  <dcterms:modified xsi:type="dcterms:W3CDTF">2014-01-17T21:00:54Z</dcterms:modified>
</cp:coreProperties>
</file>