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pivotTables/pivotTable2.xml" ContentType="application/vnd.openxmlformats-officedocument.spreadsheetml.pivotTab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pivotTables/pivotTable3.xml" ContentType="application/vnd.openxmlformats-officedocument.spreadsheetml.pivotTab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pivotTables/pivotTable4.xml" ContentType="application/vnd.openxmlformats-officedocument.spreadsheetml.pivotTab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pivotTables/pivotTable5.xml" ContentType="application/vnd.openxmlformats-officedocument.spreadsheetml.pivotTabl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pivotTables/pivotTable8.xml" ContentType="application/vnd.openxmlformats-officedocument.spreadsheetml.pivotTable+xml"/>
  <Override PartName="/xl/drawings/drawing17.xml" ContentType="application/vnd.openxmlformats-officedocument.drawing+xml"/>
  <Override PartName="/xl/pivotTables/pivotTable9.xml" ContentType="application/vnd.openxmlformats-officedocument.spreadsheetml.pivotTable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405" windowWidth="8190" windowHeight="5520" tabRatio="920" firstSheet="6" activeTab="13"/>
  </bookViews>
  <sheets>
    <sheet name="Pob. Ext, Parroquial" sheetId="5" r:id="rId1"/>
    <sheet name="macara y pindal" sheetId="18" r:id="rId2"/>
    <sheet name="PLANILLA ABRIL" sheetId="10" state="hidden" r:id="rId3"/>
    <sheet name="S-T" sheetId="1" state="hidden" r:id="rId4"/>
    <sheet name="VIALSUR" sheetId="2" state="hidden" r:id="rId5"/>
    <sheet name="saraguro septiembre" sheetId="19" state="hidden" r:id="rId6"/>
    <sheet name="SARAGURO TENTA" sheetId="16" r:id="rId7"/>
    <sheet name="EMBLEMATICOS" sheetId="20" r:id="rId8"/>
    <sheet name="PROGRAMAS KM" sheetId="25" r:id="rId9"/>
    <sheet name="programa inversion" sheetId="23" r:id="rId10"/>
    <sheet name="PROGRAMAS POR ZONA" sheetId="22" r:id="rId11"/>
    <sheet name="CEDULA DE GASTOS" sheetId="24" state="hidden" r:id="rId12"/>
    <sheet name="inversion por cantones" sheetId="28" r:id="rId13"/>
    <sheet name="diciembre" sheetId="4" r:id="rId14"/>
    <sheet name="Hoja1 (2)" sheetId="11" state="hidden" r:id="rId15"/>
    <sheet name="INVERSION POR PROGRAMA" sheetId="9" r:id="rId16"/>
    <sheet name="resumen inversion" sheetId="6" state="hidden" r:id="rId17"/>
    <sheet name="PUENTES Y PASARELAS" sheetId="14" r:id="rId18"/>
    <sheet name="Hoja1" sheetId="15" r:id="rId19"/>
    <sheet name="CONSOLIDADO" sheetId="12" r:id="rId20"/>
    <sheet name="proyectos ejecutados y enejecui" sheetId="7" r:id="rId21"/>
    <sheet name="PROYECTOS POR EJECUTAR" sheetId="8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_xlnm.Print_Area_1" localSheetId="13">diciembre!$C$2:$U$11</definedName>
    <definedName name="__xlnm.Print_Area_1" localSheetId="2">'PLANILLA ABRIL'!$C$2:$V$10</definedName>
    <definedName name="__xlnm.Print_Area_1" localSheetId="5">'saraguro septiembre'!$C$2:$V$10</definedName>
    <definedName name="_xlnm._FilterDatabase" localSheetId="11" hidden="1">'CEDULA DE GASTOS'!$A$15:$W$769</definedName>
    <definedName name="_xlnm._FilterDatabase" localSheetId="19" hidden="1">CONSOLIDADO!$B$9:$N$111</definedName>
    <definedName name="_xlnm._FilterDatabase" localSheetId="13" hidden="1">diciembre!$A$11:$AC$685</definedName>
    <definedName name="_xlnm._FilterDatabase" localSheetId="2" hidden="1">'PLANILLA ABRIL'!$A$10:$Y$290</definedName>
    <definedName name="_xlnm._FilterDatabase" localSheetId="0" hidden="1">'Pob. Ext, Parroquial'!$A$8:$M$117</definedName>
    <definedName name="_xlnm._FilterDatabase" localSheetId="5" hidden="1">'saraguro septiembre'!$A$10:$AA$478</definedName>
    <definedName name="_xlnm.Print_Area" localSheetId="19">CONSOLIDADO!$A$1:$N$121</definedName>
    <definedName name="_xlnm.Print_Area" localSheetId="13">diciembre!$A$1:$X$679</definedName>
    <definedName name="_xlnm.Print_Area" localSheetId="15">'INVERSION POR PROGRAMA'!$A$2:$H$66</definedName>
    <definedName name="_xlnm.Print_Area" localSheetId="1">'macara y pindal'!$A$2:$D$304</definedName>
    <definedName name="_xlnm.Print_Area" localSheetId="2">'PLANILLA ABRIL'!$A$1:$AD$297</definedName>
    <definedName name="_xlnm.Print_Area" localSheetId="10">'PROGRAMAS POR ZONA'!$A$2:$K$65</definedName>
    <definedName name="_xlnm.Print_Area" localSheetId="20">'proyectos ejecutados y enejecui'!$A$1:$D$43</definedName>
    <definedName name="_xlnm.Print_Area" localSheetId="17">'PUENTES Y PASARELAS'!$B$1:$H$19</definedName>
    <definedName name="_xlnm.Print_Area" localSheetId="5">'saraguro septiembre'!$A$1:$AA$480</definedName>
    <definedName name="_xlnm.Print_Area" localSheetId="6">'SARAGURO TENTA'!$A$1:$T$31</definedName>
    <definedName name="poa" localSheetId="19">#REF!</definedName>
    <definedName name="poa" localSheetId="13">#REF!</definedName>
    <definedName name="poa" localSheetId="15">#REF!</definedName>
    <definedName name="poa" localSheetId="1">#REF!</definedName>
    <definedName name="poa" localSheetId="2">#REF!</definedName>
    <definedName name="poa" localSheetId="0">#REF!</definedName>
    <definedName name="poa" localSheetId="9">#REF!</definedName>
    <definedName name="poa" localSheetId="8">#REF!</definedName>
    <definedName name="poa" localSheetId="20">#REF!</definedName>
    <definedName name="poa" localSheetId="21">#REF!</definedName>
    <definedName name="poa" localSheetId="17">#REF!</definedName>
    <definedName name="poa" localSheetId="16">#REF!</definedName>
    <definedName name="poa" localSheetId="5">#REF!</definedName>
    <definedName name="poa">#REF!</definedName>
    <definedName name="poa_1" localSheetId="19">#REF!</definedName>
    <definedName name="poa_1" localSheetId="13">#REF!</definedName>
    <definedName name="poa_1" localSheetId="15">#REF!</definedName>
    <definedName name="poa_1" localSheetId="1">#REF!</definedName>
    <definedName name="poa_1" localSheetId="2">#REF!</definedName>
    <definedName name="poa_1" localSheetId="0">#REF!</definedName>
    <definedName name="poa_1" localSheetId="9">#REF!</definedName>
    <definedName name="poa_1" localSheetId="8">#REF!</definedName>
    <definedName name="poa_1" localSheetId="20">#REF!</definedName>
    <definedName name="poa_1" localSheetId="21">#REF!</definedName>
    <definedName name="poa_1" localSheetId="17">#REF!</definedName>
    <definedName name="poa_1" localSheetId="16">#REF!</definedName>
    <definedName name="poa_1" localSheetId="5">#REF!</definedName>
    <definedName name="poa_1">#REF!</definedName>
    <definedName name="POA_CONSO" localSheetId="13">#REF!</definedName>
    <definedName name="POA_CONSO" localSheetId="15">#REF!</definedName>
    <definedName name="POA_CONSO" localSheetId="1">#REF!</definedName>
    <definedName name="POA_CONSO" localSheetId="2">#REF!</definedName>
    <definedName name="POA_CONSO" localSheetId="0">#REF!</definedName>
    <definedName name="POA_CONSO" localSheetId="9">#REF!</definedName>
    <definedName name="POA_CONSO" localSheetId="8">#REF!</definedName>
    <definedName name="POA_CONSO" localSheetId="20">#REF!</definedName>
    <definedName name="POA_CONSO" localSheetId="21">#REF!</definedName>
    <definedName name="POA_CONSO" localSheetId="16">#REF!</definedName>
    <definedName name="POA_CONSO" localSheetId="5">#REF!</definedName>
    <definedName name="POA_CONSO">#REF!</definedName>
    <definedName name="POA_TRIM1" localSheetId="13">#REF!</definedName>
    <definedName name="POA_TRIM1" localSheetId="15">#REF!</definedName>
    <definedName name="POA_TRIM1" localSheetId="1">#REF!</definedName>
    <definedName name="POA_TRIM1" localSheetId="2">#REF!</definedName>
    <definedName name="POA_TRIM1" localSheetId="0">#REF!</definedName>
    <definedName name="POA_TRIM1" localSheetId="9">#REF!</definedName>
    <definedName name="POA_TRIM1" localSheetId="8">#REF!</definedName>
    <definedName name="POA_TRIM1" localSheetId="20">#REF!</definedName>
    <definedName name="POA_TRIM1" localSheetId="21">#REF!</definedName>
    <definedName name="POA_TRIM1" localSheetId="16">#REF!</definedName>
    <definedName name="POA_TRIM1" localSheetId="5">#REF!</definedName>
    <definedName name="POA_TRIM1">#REF!</definedName>
    <definedName name="PPOA" localSheetId="13">#REF!</definedName>
    <definedName name="PPOA" localSheetId="15">#REF!</definedName>
    <definedName name="PPOA" localSheetId="1">#REF!</definedName>
    <definedName name="PPOA" localSheetId="2">#REF!</definedName>
    <definedName name="PPOA" localSheetId="0">#REF!</definedName>
    <definedName name="PPOA" localSheetId="9">#REF!</definedName>
    <definedName name="PPOA" localSheetId="8">#REF!</definedName>
    <definedName name="PPOA" localSheetId="20">#REF!</definedName>
    <definedName name="PPOA" localSheetId="21">#REF!</definedName>
    <definedName name="PPOA" localSheetId="16">#REF!</definedName>
    <definedName name="PPOA" localSheetId="5">#REF!</definedName>
    <definedName name="PPOA">#REF!</definedName>
    <definedName name="REFORMA" localSheetId="13">#REF!</definedName>
    <definedName name="REFORMA" localSheetId="15">#REF!</definedName>
    <definedName name="REFORMA" localSheetId="1">#REF!</definedName>
    <definedName name="REFORMA" localSheetId="2">#REF!</definedName>
    <definedName name="REFORMA" localSheetId="0">#REF!</definedName>
    <definedName name="REFORMA" localSheetId="9">#REF!</definedName>
    <definedName name="REFORMA" localSheetId="8">#REF!</definedName>
    <definedName name="REFORMA" localSheetId="20">#REF!</definedName>
    <definedName name="REFORMA" localSheetId="21">#REF!</definedName>
    <definedName name="REFORMA" localSheetId="16">#REF!</definedName>
    <definedName name="REFORMA" localSheetId="5">#REF!</definedName>
    <definedName name="REFORMA">#REF!</definedName>
    <definedName name="RUBROS" localSheetId="19">[1]RUBROS!$A$6:$HB$1118</definedName>
    <definedName name="RUBROS" localSheetId="17">[1]RUBROS!$A$6:$HB$1118</definedName>
    <definedName name="RUBROS">[2]RUBROS!$A$6:$FF$2381</definedName>
    <definedName name="_xlnm.Print_Titles" localSheetId="19">CONSOLIDADO!$1:$9</definedName>
    <definedName name="_xlnm.Print_Titles" localSheetId="13">diciembre!$1:$11</definedName>
    <definedName name="_xlnm.Print_Titles" localSheetId="15">'INVERSION POR PROGRAMA'!$4:$10</definedName>
    <definedName name="_xlnm.Print_Titles" localSheetId="1">'macara y pindal'!$4:$8</definedName>
    <definedName name="_xlnm.Print_Titles" localSheetId="2">'PLANILLA ABRIL'!$1:$10</definedName>
    <definedName name="_xlnm.Print_Titles" localSheetId="20">'proyectos ejecutados y enejecui'!$4:$8</definedName>
    <definedName name="_xlnm.Print_Titles" localSheetId="5">'saraguro septiembre'!$1:$10</definedName>
    <definedName name="ZONAS" localSheetId="13">#REF!</definedName>
    <definedName name="ZONAS" localSheetId="15">#REF!</definedName>
    <definedName name="ZONAS" localSheetId="1">#REF!</definedName>
    <definedName name="ZONAS" localSheetId="2">#REF!</definedName>
    <definedName name="ZONAS" localSheetId="0">#REF!</definedName>
    <definedName name="ZONAS" localSheetId="9">#REF!</definedName>
    <definedName name="ZONAS" localSheetId="8">#REF!</definedName>
    <definedName name="ZONAS" localSheetId="20">#REF!</definedName>
    <definedName name="ZONAS" localSheetId="21">#REF!</definedName>
    <definedName name="ZONAS" localSheetId="16">#REF!</definedName>
    <definedName name="ZONAS" localSheetId="5">#REF!</definedName>
    <definedName name="ZONAS">#REF!</definedName>
    <definedName name="ZONASTOTA" localSheetId="13">#REF!</definedName>
    <definedName name="ZONASTOTA" localSheetId="15">#REF!</definedName>
    <definedName name="ZONASTOTA" localSheetId="1">#REF!</definedName>
    <definedName name="ZONASTOTA" localSheetId="2">#REF!</definedName>
    <definedName name="ZONASTOTA" localSheetId="0">#REF!</definedName>
    <definedName name="ZONASTOTA" localSheetId="9">#REF!</definedName>
    <definedName name="ZONASTOTA" localSheetId="8">#REF!</definedName>
    <definedName name="ZONASTOTA" localSheetId="20">#REF!</definedName>
    <definedName name="ZONASTOTA" localSheetId="21">#REF!</definedName>
    <definedName name="ZONASTOTA" localSheetId="16">#REF!</definedName>
    <definedName name="ZONASTOTA" localSheetId="5">#REF!</definedName>
    <definedName name="ZONASTOTA">#REF!</definedName>
  </definedNames>
  <calcPr calcId="145621"/>
  <pivotCaches>
    <pivotCache cacheId="5" r:id="rId30"/>
    <pivotCache cacheId="6" r:id="rId31"/>
    <pivotCache cacheId="7" r:id="rId32"/>
    <pivotCache cacheId="8" r:id="rId33"/>
    <pivotCache cacheId="9" r:id="rId34"/>
  </pivotCaches>
  <fileRecoveryPr autoRecover="0"/>
</workbook>
</file>

<file path=xl/calcChain.xml><?xml version="1.0" encoding="utf-8"?>
<calcChain xmlns="http://schemas.openxmlformats.org/spreadsheetml/2006/main">
  <c r="G518" i="4" l="1"/>
  <c r="H21" i="23" l="1"/>
  <c r="U287" i="4"/>
  <c r="T287" i="4"/>
  <c r="M287" i="4"/>
  <c r="L287" i="4"/>
  <c r="G287" i="4"/>
  <c r="U286" i="4"/>
  <c r="T286" i="4"/>
  <c r="M286" i="4"/>
  <c r="L286" i="4"/>
  <c r="G286" i="4"/>
  <c r="U285" i="4"/>
  <c r="T285" i="4"/>
  <c r="M285" i="4"/>
  <c r="L285" i="4"/>
  <c r="G285" i="4"/>
  <c r="U284" i="4"/>
  <c r="T284" i="4"/>
  <c r="M284" i="4"/>
  <c r="G284" i="4"/>
  <c r="U283" i="4"/>
  <c r="T283" i="4"/>
  <c r="M283" i="4"/>
  <c r="G283" i="4"/>
  <c r="U282" i="4"/>
  <c r="T282" i="4"/>
  <c r="M282" i="4"/>
  <c r="G282" i="4"/>
  <c r="U281" i="4"/>
  <c r="T281" i="4"/>
  <c r="M281" i="4"/>
  <c r="G281" i="4"/>
  <c r="U280" i="4"/>
  <c r="T280" i="4"/>
  <c r="M280" i="4"/>
  <c r="G280" i="4"/>
  <c r="U279" i="4"/>
  <c r="T279" i="4"/>
  <c r="M279" i="4"/>
  <c r="G279" i="4"/>
  <c r="E279" i="4"/>
  <c r="E280" i="4" s="1"/>
  <c r="E281" i="4" s="1"/>
  <c r="E282" i="4" s="1"/>
  <c r="E283" i="4" s="1"/>
  <c r="E284" i="4" s="1"/>
  <c r="E285" i="4" s="1"/>
  <c r="E286" i="4" s="1"/>
  <c r="E287" i="4" s="1"/>
  <c r="G176" i="4"/>
  <c r="X279" i="4" l="1"/>
  <c r="U641" i="4"/>
  <c r="X641" i="4" s="1"/>
  <c r="T641" i="4"/>
  <c r="M641" i="4"/>
  <c r="G641" i="4"/>
  <c r="E641" i="4"/>
  <c r="U640" i="4"/>
  <c r="X640" i="4" s="1"/>
  <c r="T640" i="4"/>
  <c r="M640" i="4"/>
  <c r="G640" i="4"/>
  <c r="E640" i="4"/>
  <c r="U639" i="4"/>
  <c r="X639" i="4" s="1"/>
  <c r="T639" i="4"/>
  <c r="M639" i="4"/>
  <c r="G639" i="4"/>
  <c r="E639" i="4"/>
  <c r="U638" i="4"/>
  <c r="X638" i="4" s="1"/>
  <c r="T638" i="4"/>
  <c r="M638" i="4"/>
  <c r="G638" i="4"/>
  <c r="E638" i="4"/>
  <c r="E637" i="4"/>
  <c r="U637" i="4"/>
  <c r="X637" i="4" s="1"/>
  <c r="T637" i="4"/>
  <c r="M637" i="4"/>
  <c r="G637" i="4"/>
  <c r="E594" i="4"/>
  <c r="U594" i="4"/>
  <c r="X594" i="4" s="1"/>
  <c r="T594" i="4"/>
  <c r="M594" i="4"/>
  <c r="G594" i="4"/>
  <c r="U591" i="4"/>
  <c r="X591" i="4" s="1"/>
  <c r="T591" i="4"/>
  <c r="M591" i="4"/>
  <c r="G591" i="4"/>
  <c r="E591" i="4"/>
  <c r="U164" i="4" l="1"/>
  <c r="X164" i="4" s="1"/>
  <c r="T164" i="4"/>
  <c r="G164" i="4"/>
  <c r="E164" i="4"/>
  <c r="U163" i="4"/>
  <c r="X163" i="4" s="1"/>
  <c r="T163" i="4"/>
  <c r="G163" i="4"/>
  <c r="E163" i="4"/>
  <c r="U162" i="4"/>
  <c r="X162" i="4" s="1"/>
  <c r="T162" i="4"/>
  <c r="G162" i="4"/>
  <c r="E162" i="4"/>
  <c r="U161" i="4"/>
  <c r="X161" i="4" s="1"/>
  <c r="T161" i="4"/>
  <c r="G161" i="4"/>
  <c r="E161" i="4"/>
  <c r="U160" i="4"/>
  <c r="X160" i="4" s="1"/>
  <c r="T160" i="4"/>
  <c r="G160" i="4"/>
  <c r="E160" i="4"/>
  <c r="U159" i="4"/>
  <c r="X159" i="4" s="1"/>
  <c r="T159" i="4"/>
  <c r="L159" i="4"/>
  <c r="G159" i="4"/>
  <c r="E159" i="4"/>
  <c r="U158" i="4"/>
  <c r="X158" i="4" s="1"/>
  <c r="T158" i="4"/>
  <c r="G158" i="4"/>
  <c r="E158" i="4"/>
  <c r="U157" i="4"/>
  <c r="X157" i="4" s="1"/>
  <c r="T157" i="4"/>
  <c r="G157" i="4"/>
  <c r="E157" i="4"/>
  <c r="U156" i="4"/>
  <c r="X156" i="4" s="1"/>
  <c r="T156" i="4"/>
  <c r="L156" i="4"/>
  <c r="G156" i="4"/>
  <c r="E156" i="4"/>
  <c r="U155" i="4"/>
  <c r="X155" i="4" s="1"/>
  <c r="T155" i="4"/>
  <c r="L155" i="4"/>
  <c r="G155" i="4"/>
  <c r="E155" i="4"/>
  <c r="U154" i="4"/>
  <c r="X154" i="4" s="1"/>
  <c r="T154" i="4"/>
  <c r="G154" i="4"/>
  <c r="E154" i="4"/>
  <c r="U153" i="4"/>
  <c r="X153" i="4" s="1"/>
  <c r="T153" i="4"/>
  <c r="L153" i="4"/>
  <c r="G153" i="4"/>
  <c r="E153" i="4"/>
  <c r="U152" i="4"/>
  <c r="X152" i="4" s="1"/>
  <c r="T152" i="4"/>
  <c r="L152" i="4"/>
  <c r="G152" i="4"/>
  <c r="E152" i="4"/>
  <c r="G151" i="4"/>
  <c r="G150" i="4"/>
  <c r="U151" i="4"/>
  <c r="X151" i="4" s="1"/>
  <c r="T151" i="4"/>
  <c r="E151" i="4"/>
  <c r="U150" i="4"/>
  <c r="X150" i="4" s="1"/>
  <c r="T150" i="4"/>
  <c r="L150" i="4"/>
  <c r="E150" i="4"/>
  <c r="U149" i="4"/>
  <c r="X149" i="4" s="1"/>
  <c r="T149" i="4"/>
  <c r="L149" i="4"/>
  <c r="G149" i="4"/>
  <c r="E149" i="4"/>
  <c r="U148" i="4"/>
  <c r="X148" i="4" s="1"/>
  <c r="T148" i="4"/>
  <c r="G148" i="4"/>
  <c r="E148" i="4"/>
  <c r="U147" i="4"/>
  <c r="X147" i="4" s="1"/>
  <c r="T147" i="4"/>
  <c r="L147" i="4"/>
  <c r="G147" i="4"/>
  <c r="E147" i="4"/>
  <c r="U146" i="4"/>
  <c r="X146" i="4" s="1"/>
  <c r="T146" i="4"/>
  <c r="L146" i="4"/>
  <c r="G146" i="4"/>
  <c r="E146" i="4"/>
  <c r="U145" i="4"/>
  <c r="X145" i="4" s="1"/>
  <c r="T145" i="4"/>
  <c r="G145" i="4"/>
  <c r="E145" i="4"/>
  <c r="U144" i="4"/>
  <c r="X144" i="4" s="1"/>
  <c r="T144" i="4"/>
  <c r="L144" i="4"/>
  <c r="G144" i="4"/>
  <c r="E144" i="4"/>
  <c r="U143" i="4"/>
  <c r="X143" i="4" s="1"/>
  <c r="T143" i="4"/>
  <c r="L143" i="4"/>
  <c r="G143" i="4"/>
  <c r="E143" i="4"/>
  <c r="L141" i="4"/>
  <c r="L138" i="4"/>
  <c r="L140" i="4"/>
  <c r="L137" i="4"/>
  <c r="U142" i="4"/>
  <c r="X142" i="4" s="1"/>
  <c r="T142" i="4"/>
  <c r="G142" i="4"/>
  <c r="E142" i="4"/>
  <c r="U141" i="4"/>
  <c r="X141" i="4" s="1"/>
  <c r="T141" i="4"/>
  <c r="G141" i="4"/>
  <c r="E141" i="4"/>
  <c r="G140" i="4"/>
  <c r="E140" i="4"/>
  <c r="U140" i="4"/>
  <c r="X140" i="4" s="1"/>
  <c r="T140" i="4"/>
  <c r="T137" i="4"/>
  <c r="T138" i="4"/>
  <c r="T139" i="4"/>
  <c r="U139" i="4"/>
  <c r="X139" i="4" s="1"/>
  <c r="G139" i="4"/>
  <c r="U138" i="4"/>
  <c r="X138" i="4" s="1"/>
  <c r="G138" i="4"/>
  <c r="G137" i="4"/>
  <c r="U137" i="4"/>
  <c r="X137" i="4" s="1"/>
  <c r="L158" i="4" l="1"/>
  <c r="U529" i="4" l="1"/>
  <c r="X529" i="4" s="1"/>
  <c r="T529" i="4"/>
  <c r="M529" i="4"/>
  <c r="L529" i="4"/>
  <c r="G529" i="4"/>
  <c r="E529" i="4"/>
  <c r="U528" i="4"/>
  <c r="X528" i="4" s="1"/>
  <c r="T528" i="4"/>
  <c r="M528" i="4"/>
  <c r="L528" i="4"/>
  <c r="G528" i="4"/>
  <c r="E528" i="4"/>
  <c r="U518" i="4"/>
  <c r="T518" i="4"/>
  <c r="U517" i="4"/>
  <c r="T517" i="4"/>
  <c r="D502" i="4"/>
  <c r="E503" i="4"/>
  <c r="E504" i="4" s="1"/>
  <c r="E505" i="4" s="1"/>
  <c r="E506" i="4" s="1"/>
  <c r="E507" i="4" s="1"/>
  <c r="U507" i="4"/>
  <c r="T507" i="4"/>
  <c r="M507" i="4"/>
  <c r="G507" i="4"/>
  <c r="U506" i="4"/>
  <c r="T506" i="4"/>
  <c r="M506" i="4"/>
  <c r="G506" i="4"/>
  <c r="U505" i="4"/>
  <c r="T505" i="4"/>
  <c r="M505" i="4"/>
  <c r="G505" i="4"/>
  <c r="U504" i="4"/>
  <c r="T504" i="4"/>
  <c r="M504" i="4"/>
  <c r="G504" i="4"/>
  <c r="U503" i="4"/>
  <c r="T503" i="4"/>
  <c r="M503" i="4"/>
  <c r="G503" i="4"/>
  <c r="U502" i="4"/>
  <c r="T502" i="4"/>
  <c r="M502" i="4"/>
  <c r="G502" i="4"/>
  <c r="U368" i="4" l="1"/>
  <c r="T368" i="4"/>
  <c r="M368" i="4"/>
  <c r="G368" i="4"/>
  <c r="U364" i="4"/>
  <c r="T364" i="4"/>
  <c r="M364" i="4"/>
  <c r="G364" i="4"/>
  <c r="U344" i="4"/>
  <c r="T344" i="4"/>
  <c r="G344" i="4"/>
  <c r="U343" i="4"/>
  <c r="T343" i="4"/>
  <c r="G343" i="4"/>
  <c r="T297" i="4" l="1"/>
  <c r="T298" i="4"/>
  <c r="U299" i="4"/>
  <c r="T299" i="4"/>
  <c r="M299" i="4"/>
  <c r="G299" i="4"/>
  <c r="U292" i="4"/>
  <c r="T292" i="4"/>
  <c r="M292" i="4"/>
  <c r="G292" i="4"/>
  <c r="E696" i="4" l="1"/>
  <c r="U685" i="4"/>
  <c r="T685" i="4"/>
  <c r="M685" i="4"/>
  <c r="G685" i="4"/>
  <c r="U684" i="4"/>
  <c r="T684" i="4"/>
  <c r="M684" i="4"/>
  <c r="G684" i="4"/>
  <c r="U683" i="4"/>
  <c r="T683" i="4"/>
  <c r="M683" i="4"/>
  <c r="G683" i="4"/>
  <c r="U682" i="4"/>
  <c r="T682" i="4"/>
  <c r="M682" i="4"/>
  <c r="G682" i="4"/>
  <c r="U681" i="4"/>
  <c r="T681" i="4"/>
  <c r="M681" i="4"/>
  <c r="G681" i="4"/>
  <c r="U680" i="4"/>
  <c r="T680" i="4"/>
  <c r="M680" i="4"/>
  <c r="G680" i="4"/>
  <c r="U679" i="4"/>
  <c r="T679" i="4"/>
  <c r="M679" i="4"/>
  <c r="G679" i="4"/>
  <c r="U678" i="4"/>
  <c r="T678" i="4"/>
  <c r="M678" i="4"/>
  <c r="G678" i="4"/>
  <c r="U677" i="4"/>
  <c r="T677" i="4"/>
  <c r="M677" i="4"/>
  <c r="G677" i="4"/>
  <c r="U676" i="4"/>
  <c r="T676" i="4"/>
  <c r="M676" i="4"/>
  <c r="G676" i="4"/>
  <c r="U675" i="4"/>
  <c r="T675" i="4"/>
  <c r="M675" i="4"/>
  <c r="G675" i="4"/>
  <c r="U674" i="4"/>
  <c r="T674" i="4"/>
  <c r="M674" i="4"/>
  <c r="G674" i="4"/>
  <c r="U673" i="4"/>
  <c r="T673" i="4"/>
  <c r="M673" i="4"/>
  <c r="G673" i="4"/>
  <c r="U672" i="4"/>
  <c r="T672" i="4"/>
  <c r="M672" i="4"/>
  <c r="G672" i="4"/>
  <c r="U671" i="4"/>
  <c r="T671" i="4"/>
  <c r="M671" i="4"/>
  <c r="G671" i="4"/>
  <c r="U670" i="4"/>
  <c r="T670" i="4"/>
  <c r="M670" i="4"/>
  <c r="G670" i="4"/>
  <c r="U669" i="4"/>
  <c r="T669" i="4"/>
  <c r="M669" i="4"/>
  <c r="G669" i="4"/>
  <c r="U668" i="4"/>
  <c r="T668" i="4"/>
  <c r="M668" i="4"/>
  <c r="G668" i="4"/>
  <c r="U667" i="4"/>
  <c r="T667" i="4"/>
  <c r="M667" i="4"/>
  <c r="G667" i="4"/>
  <c r="U666" i="4"/>
  <c r="T666" i="4"/>
  <c r="M666" i="4"/>
  <c r="G666" i="4"/>
  <c r="U665" i="4"/>
  <c r="T665" i="4"/>
  <c r="M665" i="4"/>
  <c r="G665" i="4"/>
  <c r="U664" i="4"/>
  <c r="T664" i="4"/>
  <c r="M664" i="4"/>
  <c r="G664" i="4"/>
  <c r="U663" i="4"/>
  <c r="T663" i="4"/>
  <c r="M663" i="4"/>
  <c r="G663" i="4"/>
  <c r="U662" i="4"/>
  <c r="T662" i="4"/>
  <c r="M662" i="4"/>
  <c r="G662" i="4"/>
  <c r="U661" i="4"/>
  <c r="T661" i="4"/>
  <c r="M661" i="4"/>
  <c r="G661" i="4"/>
  <c r="U660" i="4"/>
  <c r="T660" i="4"/>
  <c r="M660" i="4"/>
  <c r="G660" i="4"/>
  <c r="U659" i="4"/>
  <c r="T659" i="4"/>
  <c r="M659" i="4"/>
  <c r="G659" i="4"/>
  <c r="U658" i="4"/>
  <c r="T658" i="4"/>
  <c r="M658" i="4"/>
  <c r="G658" i="4"/>
  <c r="U657" i="4"/>
  <c r="T657" i="4"/>
  <c r="M657" i="4"/>
  <c r="G657" i="4"/>
  <c r="U656" i="4"/>
  <c r="T656" i="4"/>
  <c r="M656" i="4"/>
  <c r="G656" i="4"/>
  <c r="U655" i="4"/>
  <c r="T655" i="4"/>
  <c r="M655" i="4"/>
  <c r="G655" i="4"/>
  <c r="U654" i="4"/>
  <c r="T654" i="4"/>
  <c r="M654" i="4"/>
  <c r="G654" i="4"/>
  <c r="U653" i="4"/>
  <c r="T653" i="4"/>
  <c r="M653" i="4"/>
  <c r="G653" i="4"/>
  <c r="E653" i="4"/>
  <c r="E654" i="4" s="1"/>
  <c r="E655" i="4" s="1"/>
  <c r="E656" i="4" s="1"/>
  <c r="E657" i="4" s="1"/>
  <c r="E658" i="4" s="1"/>
  <c r="E659" i="4" s="1"/>
  <c r="E660" i="4" s="1"/>
  <c r="E661" i="4" s="1"/>
  <c r="E662" i="4" s="1"/>
  <c r="U652" i="4"/>
  <c r="X652" i="4" s="1"/>
  <c r="T652" i="4"/>
  <c r="M652" i="4"/>
  <c r="G652" i="4"/>
  <c r="E652" i="4"/>
  <c r="U651" i="4"/>
  <c r="X651" i="4" s="1"/>
  <c r="T651" i="4"/>
  <c r="M651" i="4"/>
  <c r="G651" i="4"/>
  <c r="E651" i="4"/>
  <c r="U650" i="4"/>
  <c r="X650" i="4" s="1"/>
  <c r="T650" i="4"/>
  <c r="M650" i="4"/>
  <c r="G650" i="4"/>
  <c r="E650" i="4"/>
  <c r="U649" i="4"/>
  <c r="X649" i="4" s="1"/>
  <c r="T649" i="4"/>
  <c r="M649" i="4"/>
  <c r="G649" i="4"/>
  <c r="E649" i="4"/>
  <c r="U648" i="4"/>
  <c r="X648" i="4" s="1"/>
  <c r="T648" i="4"/>
  <c r="M648" i="4"/>
  <c r="G648" i="4"/>
  <c r="E648" i="4"/>
  <c r="U647" i="4"/>
  <c r="X647" i="4" s="1"/>
  <c r="T647" i="4"/>
  <c r="M647" i="4"/>
  <c r="G647" i="4"/>
  <c r="E647" i="4"/>
  <c r="U646" i="4"/>
  <c r="X646" i="4" s="1"/>
  <c r="T646" i="4"/>
  <c r="M646" i="4"/>
  <c r="G646" i="4"/>
  <c r="E646" i="4"/>
  <c r="T645" i="4"/>
  <c r="Q645" i="4"/>
  <c r="U645" i="4" s="1"/>
  <c r="X645" i="4" s="1"/>
  <c r="M645" i="4"/>
  <c r="G645" i="4"/>
  <c r="E645" i="4"/>
  <c r="T644" i="4"/>
  <c r="Q644" i="4"/>
  <c r="U644" i="4" s="1"/>
  <c r="X644" i="4" s="1"/>
  <c r="M644" i="4"/>
  <c r="G644" i="4"/>
  <c r="E644" i="4"/>
  <c r="T643" i="4"/>
  <c r="Q643" i="4"/>
  <c r="U643" i="4" s="1"/>
  <c r="X643" i="4" s="1"/>
  <c r="M643" i="4"/>
  <c r="G643" i="4"/>
  <c r="E643" i="4"/>
  <c r="U642" i="4"/>
  <c r="X642" i="4" s="1"/>
  <c r="T642" i="4"/>
  <c r="M642" i="4"/>
  <c r="G642" i="4"/>
  <c r="E642" i="4"/>
  <c r="U636" i="4"/>
  <c r="T636" i="4"/>
  <c r="M636" i="4"/>
  <c r="G636" i="4"/>
  <c r="U635" i="4"/>
  <c r="T635" i="4"/>
  <c r="M635" i="4"/>
  <c r="L635" i="4"/>
  <c r="G635" i="4"/>
  <c r="U634" i="4"/>
  <c r="T634" i="4"/>
  <c r="M634" i="4"/>
  <c r="G634" i="4"/>
  <c r="U633" i="4"/>
  <c r="T633" i="4"/>
  <c r="B633" i="4" s="1"/>
  <c r="M633" i="4"/>
  <c r="L633" i="4"/>
  <c r="G633" i="4"/>
  <c r="E633" i="4"/>
  <c r="E634" i="4" s="1"/>
  <c r="E635" i="4" s="1"/>
  <c r="E636" i="4" s="1"/>
  <c r="U632" i="4"/>
  <c r="X632" i="4" s="1"/>
  <c r="T632" i="4"/>
  <c r="M632" i="4"/>
  <c r="L632" i="4"/>
  <c r="G632" i="4"/>
  <c r="E632" i="4"/>
  <c r="U631" i="4"/>
  <c r="X631" i="4" s="1"/>
  <c r="T631" i="4"/>
  <c r="M631" i="4"/>
  <c r="L631" i="4"/>
  <c r="G631" i="4"/>
  <c r="U630" i="4"/>
  <c r="X630" i="4" s="1"/>
  <c r="T630" i="4"/>
  <c r="M630" i="4"/>
  <c r="L630" i="4"/>
  <c r="G630" i="4"/>
  <c r="U629" i="4"/>
  <c r="T629" i="4"/>
  <c r="M629" i="4"/>
  <c r="G629" i="4"/>
  <c r="U628" i="4"/>
  <c r="T628" i="4"/>
  <c r="M628" i="4"/>
  <c r="L628" i="4"/>
  <c r="G628" i="4"/>
  <c r="E628" i="4"/>
  <c r="E629" i="4" s="1"/>
  <c r="U627" i="4"/>
  <c r="T627" i="4"/>
  <c r="M627" i="4"/>
  <c r="G627" i="4"/>
  <c r="U626" i="4"/>
  <c r="T626" i="4"/>
  <c r="M626" i="4"/>
  <c r="G626" i="4"/>
  <c r="T625" i="4"/>
  <c r="B625" i="4" s="1"/>
  <c r="M625" i="4"/>
  <c r="L625" i="4"/>
  <c r="G625" i="4"/>
  <c r="E625" i="4"/>
  <c r="E626" i="4" s="1"/>
  <c r="E627" i="4" s="1"/>
  <c r="T624" i="4"/>
  <c r="P624" i="4"/>
  <c r="U624" i="4" s="1"/>
  <c r="X624" i="4" s="1"/>
  <c r="M624" i="4"/>
  <c r="L624" i="4"/>
  <c r="G624" i="4"/>
  <c r="E624" i="4"/>
  <c r="U623" i="4"/>
  <c r="T623" i="4"/>
  <c r="M623" i="4"/>
  <c r="L623" i="4"/>
  <c r="G623" i="4"/>
  <c r="U622" i="4"/>
  <c r="T622" i="4"/>
  <c r="M622" i="4"/>
  <c r="L622" i="4"/>
  <c r="G622" i="4"/>
  <c r="U621" i="4"/>
  <c r="T621" i="4"/>
  <c r="M621" i="4"/>
  <c r="G621" i="4"/>
  <c r="U620" i="4"/>
  <c r="T620" i="4"/>
  <c r="M620" i="4"/>
  <c r="L620" i="4"/>
  <c r="G620" i="4"/>
  <c r="U619" i="4"/>
  <c r="T619" i="4"/>
  <c r="M619" i="4"/>
  <c r="G619" i="4"/>
  <c r="U618" i="4"/>
  <c r="T618" i="4"/>
  <c r="B618" i="4" s="1"/>
  <c r="M618" i="4"/>
  <c r="L618" i="4"/>
  <c r="G618" i="4"/>
  <c r="E618" i="4"/>
  <c r="E619" i="4" s="1"/>
  <c r="E620" i="4" s="1"/>
  <c r="E621" i="4" s="1"/>
  <c r="U617" i="4"/>
  <c r="X617" i="4" s="1"/>
  <c r="T617" i="4"/>
  <c r="M617" i="4"/>
  <c r="G617" i="4"/>
  <c r="U616" i="4"/>
  <c r="X616" i="4" s="1"/>
  <c r="T616" i="4"/>
  <c r="M616" i="4"/>
  <c r="L616" i="4"/>
  <c r="G616" i="4"/>
  <c r="U615" i="4"/>
  <c r="X615" i="4" s="1"/>
  <c r="T615" i="4"/>
  <c r="M615" i="4"/>
  <c r="G615" i="4"/>
  <c r="U614" i="4"/>
  <c r="X614" i="4" s="1"/>
  <c r="T614" i="4"/>
  <c r="B614" i="4" s="1"/>
  <c r="M614" i="4"/>
  <c r="L614" i="4"/>
  <c r="G614" i="4"/>
  <c r="E614" i="4"/>
  <c r="E615" i="4" s="1"/>
  <c r="E616" i="4" s="1"/>
  <c r="E617" i="4" s="1"/>
  <c r="U613" i="4"/>
  <c r="X613" i="4" s="1"/>
  <c r="T613" i="4"/>
  <c r="M613" i="4"/>
  <c r="G613" i="4"/>
  <c r="E613" i="4"/>
  <c r="U612" i="4"/>
  <c r="T612" i="4"/>
  <c r="M612" i="4"/>
  <c r="G612" i="4"/>
  <c r="U611" i="4"/>
  <c r="T611" i="4"/>
  <c r="M611" i="4"/>
  <c r="G611" i="4"/>
  <c r="U610" i="4"/>
  <c r="T610" i="4"/>
  <c r="M610" i="4"/>
  <c r="L610" i="4"/>
  <c r="G610" i="4"/>
  <c r="E610" i="4"/>
  <c r="E611" i="4" s="1"/>
  <c r="E612" i="4" s="1"/>
  <c r="U609" i="4"/>
  <c r="X609" i="4" s="1"/>
  <c r="T609" i="4"/>
  <c r="M609" i="4"/>
  <c r="G609" i="4"/>
  <c r="E609" i="4"/>
  <c r="U608" i="4"/>
  <c r="X608" i="4" s="1"/>
  <c r="T608" i="4"/>
  <c r="M608" i="4"/>
  <c r="L608" i="4"/>
  <c r="G608" i="4"/>
  <c r="U607" i="4"/>
  <c r="X607" i="4" s="1"/>
  <c r="T607" i="4"/>
  <c r="M607" i="4"/>
  <c r="L607" i="4"/>
  <c r="G607" i="4"/>
  <c r="E607" i="4"/>
  <c r="E608" i="4" s="1"/>
  <c r="U606" i="4"/>
  <c r="T606" i="4"/>
  <c r="M606" i="4"/>
  <c r="G606" i="4"/>
  <c r="U605" i="4"/>
  <c r="T605" i="4"/>
  <c r="M605" i="4"/>
  <c r="G605" i="4"/>
  <c r="U604" i="4"/>
  <c r="T604" i="4"/>
  <c r="M604" i="4"/>
  <c r="G604" i="4"/>
  <c r="E604" i="4"/>
  <c r="E605" i="4" s="1"/>
  <c r="E606" i="4" s="1"/>
  <c r="U603" i="4"/>
  <c r="T603" i="4"/>
  <c r="G603" i="4"/>
  <c r="U602" i="4"/>
  <c r="T602" i="4"/>
  <c r="G602" i="4"/>
  <c r="U601" i="4"/>
  <c r="T601" i="4"/>
  <c r="M601" i="4"/>
  <c r="G601" i="4"/>
  <c r="U600" i="4"/>
  <c r="T600" i="4"/>
  <c r="M600" i="4"/>
  <c r="L600" i="4"/>
  <c r="G600" i="4"/>
  <c r="U599" i="4"/>
  <c r="T599" i="4"/>
  <c r="M599" i="4"/>
  <c r="L599" i="4"/>
  <c r="G599" i="4"/>
  <c r="E599" i="4"/>
  <c r="E600" i="4" s="1"/>
  <c r="E601" i="4" s="1"/>
  <c r="E602" i="4" s="1"/>
  <c r="E603" i="4" s="1"/>
  <c r="U598" i="4"/>
  <c r="T598" i="4"/>
  <c r="M598" i="4"/>
  <c r="G598" i="4"/>
  <c r="U597" i="4"/>
  <c r="T597" i="4"/>
  <c r="M597" i="4"/>
  <c r="G597" i="4"/>
  <c r="U596" i="4"/>
  <c r="T596" i="4"/>
  <c r="M596" i="4"/>
  <c r="L596" i="4"/>
  <c r="G596" i="4"/>
  <c r="U595" i="4"/>
  <c r="T595" i="4"/>
  <c r="M595" i="4"/>
  <c r="L595" i="4"/>
  <c r="G595" i="4"/>
  <c r="E595" i="4"/>
  <c r="E596" i="4" s="1"/>
  <c r="E597" i="4" s="1"/>
  <c r="E598" i="4" s="1"/>
  <c r="U593" i="4"/>
  <c r="T593" i="4"/>
  <c r="M593" i="4"/>
  <c r="G593" i="4"/>
  <c r="U592" i="4"/>
  <c r="T592" i="4"/>
  <c r="M592" i="4"/>
  <c r="G592" i="4"/>
  <c r="E592" i="4"/>
  <c r="E593" i="4" s="1"/>
  <c r="E622" i="4" s="1"/>
  <c r="E623" i="4" s="1"/>
  <c r="U590" i="4"/>
  <c r="X590" i="4" s="1"/>
  <c r="T590" i="4"/>
  <c r="M590" i="4"/>
  <c r="G590" i="4"/>
  <c r="E590" i="4"/>
  <c r="U589" i="4"/>
  <c r="T589" i="4"/>
  <c r="M589" i="4"/>
  <c r="G589" i="4"/>
  <c r="U588" i="4"/>
  <c r="T588" i="4"/>
  <c r="M588" i="4"/>
  <c r="G588" i="4"/>
  <c r="E588" i="4"/>
  <c r="E589" i="4" s="1"/>
  <c r="U587" i="4"/>
  <c r="T587" i="4"/>
  <c r="M587" i="4"/>
  <c r="G587" i="4"/>
  <c r="U586" i="4"/>
  <c r="T586" i="4"/>
  <c r="M586" i="4"/>
  <c r="G586" i="4"/>
  <c r="U585" i="4"/>
  <c r="T585" i="4"/>
  <c r="M585" i="4"/>
  <c r="G585" i="4"/>
  <c r="U584" i="4"/>
  <c r="T584" i="4"/>
  <c r="M584" i="4"/>
  <c r="G584" i="4"/>
  <c r="U583" i="4"/>
  <c r="T583" i="4"/>
  <c r="M583" i="4"/>
  <c r="G583" i="4"/>
  <c r="U582" i="4"/>
  <c r="T582" i="4"/>
  <c r="M582" i="4"/>
  <c r="G582" i="4"/>
  <c r="U581" i="4"/>
  <c r="T581" i="4"/>
  <c r="M581" i="4"/>
  <c r="G581" i="4"/>
  <c r="U580" i="4"/>
  <c r="T580" i="4"/>
  <c r="M580" i="4"/>
  <c r="G580" i="4"/>
  <c r="U579" i="4"/>
  <c r="T579" i="4"/>
  <c r="M579" i="4"/>
  <c r="G579" i="4"/>
  <c r="U578" i="4"/>
  <c r="T578" i="4"/>
  <c r="M578" i="4"/>
  <c r="G578" i="4"/>
  <c r="U577" i="4"/>
  <c r="T577" i="4"/>
  <c r="M577" i="4"/>
  <c r="G577" i="4"/>
  <c r="U576" i="4"/>
  <c r="T576" i="4"/>
  <c r="M576" i="4"/>
  <c r="G576" i="4"/>
  <c r="U575" i="4"/>
  <c r="T575" i="4"/>
  <c r="M575" i="4"/>
  <c r="G575" i="4"/>
  <c r="U574" i="4"/>
  <c r="T574" i="4"/>
  <c r="M574" i="4"/>
  <c r="G574" i="4"/>
  <c r="U573" i="4"/>
  <c r="T573" i="4"/>
  <c r="M573" i="4"/>
  <c r="G573" i="4"/>
  <c r="U572" i="4"/>
  <c r="T572" i="4"/>
  <c r="M572" i="4"/>
  <c r="G572" i="4"/>
  <c r="U571" i="4"/>
  <c r="T571" i="4"/>
  <c r="M571" i="4"/>
  <c r="G571" i="4"/>
  <c r="U570" i="4"/>
  <c r="T570" i="4"/>
  <c r="M570" i="4"/>
  <c r="G570" i="4"/>
  <c r="U569" i="4"/>
  <c r="T569" i="4"/>
  <c r="M569" i="4"/>
  <c r="G569" i="4"/>
  <c r="U568" i="4"/>
  <c r="T568" i="4"/>
  <c r="M568" i="4"/>
  <c r="G568" i="4"/>
  <c r="U567" i="4"/>
  <c r="T567" i="4"/>
  <c r="B566" i="4" s="1"/>
  <c r="M567" i="4"/>
  <c r="G567" i="4"/>
  <c r="U566" i="4"/>
  <c r="T566" i="4"/>
  <c r="M566" i="4"/>
  <c r="G566" i="4"/>
  <c r="E566" i="4"/>
  <c r="E567" i="4" s="1"/>
  <c r="E568" i="4" s="1"/>
  <c r="E569" i="4" s="1"/>
  <c r="E570" i="4" s="1"/>
  <c r="E571" i="4" s="1"/>
  <c r="U565" i="4"/>
  <c r="X565" i="4" s="1"/>
  <c r="T565" i="4"/>
  <c r="M565" i="4"/>
  <c r="L565" i="4"/>
  <c r="G565" i="4"/>
  <c r="E565" i="4"/>
  <c r="T564" i="4"/>
  <c r="Q564" i="4"/>
  <c r="L564" i="4" s="1"/>
  <c r="M564" i="4"/>
  <c r="G564" i="4"/>
  <c r="T563" i="4"/>
  <c r="G563" i="4"/>
  <c r="U562" i="4"/>
  <c r="T562" i="4"/>
  <c r="G562" i="4"/>
  <c r="U561" i="4"/>
  <c r="T561" i="4"/>
  <c r="G561" i="4"/>
  <c r="U560" i="4"/>
  <c r="T560" i="4"/>
  <c r="B558" i="4" s="1"/>
  <c r="G560" i="4"/>
  <c r="U559" i="4"/>
  <c r="T559" i="4"/>
  <c r="M559" i="4"/>
  <c r="G559" i="4"/>
  <c r="T558" i="4"/>
  <c r="Q558" i="4"/>
  <c r="U558" i="4" s="1"/>
  <c r="M558" i="4"/>
  <c r="G558" i="4"/>
  <c r="E558" i="4"/>
  <c r="U557" i="4"/>
  <c r="X557" i="4" s="1"/>
  <c r="T557" i="4"/>
  <c r="M557" i="4"/>
  <c r="G557" i="4"/>
  <c r="E557" i="4"/>
  <c r="U556" i="4"/>
  <c r="X556" i="4" s="1"/>
  <c r="T556" i="4"/>
  <c r="M556" i="4"/>
  <c r="G556" i="4"/>
  <c r="U555" i="4"/>
  <c r="X555" i="4" s="1"/>
  <c r="T555" i="4"/>
  <c r="M555" i="4"/>
  <c r="L555" i="4"/>
  <c r="G555" i="4"/>
  <c r="U554" i="4"/>
  <c r="X554" i="4" s="1"/>
  <c r="T554" i="4"/>
  <c r="M554" i="4"/>
  <c r="G554" i="4"/>
  <c r="U553" i="4"/>
  <c r="T553" i="4"/>
  <c r="M553" i="4"/>
  <c r="G553" i="4"/>
  <c r="U552" i="4"/>
  <c r="T552" i="4"/>
  <c r="M552" i="4"/>
  <c r="G552" i="4"/>
  <c r="E552" i="4"/>
  <c r="E553" i="4" s="1"/>
  <c r="E554" i="4" s="1"/>
  <c r="E555" i="4" s="1"/>
  <c r="E556" i="4" s="1"/>
  <c r="U551" i="4"/>
  <c r="T551" i="4"/>
  <c r="M551" i="4"/>
  <c r="G551" i="4"/>
  <c r="T550" i="4"/>
  <c r="Q550" i="4"/>
  <c r="U550" i="4" s="1"/>
  <c r="M550" i="4"/>
  <c r="G550" i="4"/>
  <c r="T549" i="4"/>
  <c r="Q549" i="4"/>
  <c r="U549" i="4" s="1"/>
  <c r="M549" i="4"/>
  <c r="G549" i="4"/>
  <c r="U548" i="4"/>
  <c r="T548" i="4"/>
  <c r="M548" i="4"/>
  <c r="L548" i="4"/>
  <c r="G548" i="4"/>
  <c r="E548" i="4"/>
  <c r="E549" i="4" s="1"/>
  <c r="E550" i="4" s="1"/>
  <c r="E551" i="4" s="1"/>
  <c r="U547" i="4"/>
  <c r="T547" i="4"/>
  <c r="M547" i="4"/>
  <c r="G547" i="4"/>
  <c r="U546" i="4"/>
  <c r="T546" i="4"/>
  <c r="M546" i="4"/>
  <c r="L546" i="4"/>
  <c r="G546" i="4"/>
  <c r="E546" i="4"/>
  <c r="E547" i="4" s="1"/>
  <c r="U545" i="4"/>
  <c r="T545" i="4"/>
  <c r="M545" i="4"/>
  <c r="G545" i="4"/>
  <c r="U544" i="4"/>
  <c r="T544" i="4"/>
  <c r="M544" i="4"/>
  <c r="L544" i="4"/>
  <c r="G544" i="4"/>
  <c r="U543" i="4"/>
  <c r="T543" i="4"/>
  <c r="M543" i="4"/>
  <c r="L543" i="4"/>
  <c r="G543" i="4"/>
  <c r="E543" i="4"/>
  <c r="E544" i="4" s="1"/>
  <c r="E545" i="4" s="1"/>
  <c r="U542" i="4"/>
  <c r="T542" i="4"/>
  <c r="M542" i="4"/>
  <c r="G542" i="4"/>
  <c r="U541" i="4"/>
  <c r="T541" i="4"/>
  <c r="M541" i="4"/>
  <c r="L541" i="4"/>
  <c r="G541" i="4"/>
  <c r="E541" i="4"/>
  <c r="E542" i="4" s="1"/>
  <c r="U540" i="4"/>
  <c r="T540" i="4"/>
  <c r="M540" i="4"/>
  <c r="G540" i="4"/>
  <c r="U539" i="4"/>
  <c r="T539" i="4"/>
  <c r="M539" i="4"/>
  <c r="G539" i="4"/>
  <c r="U538" i="4"/>
  <c r="T538" i="4"/>
  <c r="M538" i="4"/>
  <c r="L538" i="4"/>
  <c r="G538" i="4"/>
  <c r="U537" i="4"/>
  <c r="T537" i="4"/>
  <c r="M537" i="4"/>
  <c r="L537" i="4"/>
  <c r="G537" i="4"/>
  <c r="E537" i="4"/>
  <c r="E538" i="4" s="1"/>
  <c r="E539" i="4" s="1"/>
  <c r="E540" i="4" s="1"/>
  <c r="U536" i="4"/>
  <c r="T536" i="4"/>
  <c r="M536" i="4"/>
  <c r="G536" i="4"/>
  <c r="E536" i="4"/>
  <c r="U535" i="4"/>
  <c r="T535" i="4"/>
  <c r="M535" i="4"/>
  <c r="L535" i="4"/>
  <c r="G535" i="4"/>
  <c r="E535" i="4"/>
  <c r="U534" i="4"/>
  <c r="X534" i="4" s="1"/>
  <c r="T534" i="4"/>
  <c r="G534" i="4"/>
  <c r="E534" i="4"/>
  <c r="U533" i="4"/>
  <c r="X533" i="4" s="1"/>
  <c r="T533" i="4"/>
  <c r="G533" i="4"/>
  <c r="E533" i="4"/>
  <c r="U532" i="4"/>
  <c r="X532" i="4" s="1"/>
  <c r="T532" i="4"/>
  <c r="L532" i="4"/>
  <c r="G532" i="4"/>
  <c r="E532" i="4"/>
  <c r="U531" i="4"/>
  <c r="T531" i="4"/>
  <c r="M531" i="4"/>
  <c r="L531" i="4"/>
  <c r="G531" i="4"/>
  <c r="E531" i="4"/>
  <c r="U530" i="4"/>
  <c r="T530" i="4"/>
  <c r="M530" i="4"/>
  <c r="G530" i="4"/>
  <c r="E530" i="4"/>
  <c r="U527" i="4"/>
  <c r="X527" i="4" s="1"/>
  <c r="T527" i="4"/>
  <c r="M527" i="4"/>
  <c r="L527" i="4"/>
  <c r="G527" i="4"/>
  <c r="E527" i="4"/>
  <c r="U526" i="4"/>
  <c r="T526" i="4"/>
  <c r="M526" i="4"/>
  <c r="G526" i="4"/>
  <c r="U525" i="4"/>
  <c r="T525" i="4"/>
  <c r="M525" i="4"/>
  <c r="G525" i="4"/>
  <c r="U524" i="4"/>
  <c r="T524" i="4"/>
  <c r="M524" i="4"/>
  <c r="L524" i="4"/>
  <c r="G524" i="4"/>
  <c r="U523" i="4"/>
  <c r="T523" i="4"/>
  <c r="M523" i="4"/>
  <c r="L523" i="4"/>
  <c r="G523" i="4"/>
  <c r="U522" i="4"/>
  <c r="T522" i="4"/>
  <c r="M522" i="4"/>
  <c r="L522" i="4"/>
  <c r="G522" i="4"/>
  <c r="U521" i="4"/>
  <c r="T521" i="4"/>
  <c r="M521" i="4"/>
  <c r="G521" i="4"/>
  <c r="U520" i="4"/>
  <c r="T520" i="4"/>
  <c r="M520" i="4"/>
  <c r="G520" i="4"/>
  <c r="U519" i="4"/>
  <c r="T519" i="4"/>
  <c r="M519" i="4"/>
  <c r="G519" i="4"/>
  <c r="E519" i="4"/>
  <c r="E522" i="4" s="1"/>
  <c r="E523" i="4" s="1"/>
  <c r="E525" i="4" s="1"/>
  <c r="U516" i="4"/>
  <c r="T516" i="4"/>
  <c r="U515" i="4"/>
  <c r="T515" i="4"/>
  <c r="E515" i="4"/>
  <c r="E516" i="4" s="1"/>
  <c r="U514" i="4"/>
  <c r="X514" i="4" s="1"/>
  <c r="T514" i="4"/>
  <c r="M514" i="4"/>
  <c r="L514" i="4"/>
  <c r="G514" i="4"/>
  <c r="E514" i="4"/>
  <c r="U513" i="4"/>
  <c r="T513" i="4"/>
  <c r="M513" i="4"/>
  <c r="G513" i="4"/>
  <c r="U512" i="4"/>
  <c r="T512" i="4"/>
  <c r="M512" i="4"/>
  <c r="L512" i="4"/>
  <c r="G512" i="4"/>
  <c r="U511" i="4"/>
  <c r="T511" i="4"/>
  <c r="M511" i="4"/>
  <c r="L511" i="4"/>
  <c r="G511" i="4"/>
  <c r="U510" i="4"/>
  <c r="T510" i="4"/>
  <c r="M510" i="4"/>
  <c r="L510" i="4"/>
  <c r="G510" i="4"/>
  <c r="U509" i="4"/>
  <c r="T509" i="4"/>
  <c r="M509" i="4"/>
  <c r="G509" i="4"/>
  <c r="U508" i="4"/>
  <c r="T508" i="4"/>
  <c r="M508" i="4"/>
  <c r="G508" i="4"/>
  <c r="E510" i="4"/>
  <c r="U501" i="4"/>
  <c r="T501" i="4"/>
  <c r="M501" i="4"/>
  <c r="G501" i="4"/>
  <c r="U500" i="4"/>
  <c r="T500" i="4"/>
  <c r="M500" i="4"/>
  <c r="L500" i="4"/>
  <c r="G500" i="4"/>
  <c r="U499" i="4"/>
  <c r="T499" i="4"/>
  <c r="M499" i="4"/>
  <c r="L499" i="4"/>
  <c r="G499" i="4"/>
  <c r="U498" i="4"/>
  <c r="T498" i="4"/>
  <c r="M498" i="4"/>
  <c r="L498" i="4"/>
  <c r="G498" i="4"/>
  <c r="U497" i="4"/>
  <c r="T497" i="4"/>
  <c r="M497" i="4"/>
  <c r="G497" i="4"/>
  <c r="U496" i="4"/>
  <c r="T496" i="4"/>
  <c r="M496" i="4"/>
  <c r="G496" i="4"/>
  <c r="E496" i="4"/>
  <c r="E498" i="4" s="1"/>
  <c r="U495" i="4"/>
  <c r="T495" i="4"/>
  <c r="M495" i="4"/>
  <c r="G495" i="4"/>
  <c r="U494" i="4"/>
  <c r="T494" i="4"/>
  <c r="M494" i="4"/>
  <c r="G494" i="4"/>
  <c r="U493" i="4"/>
  <c r="T493" i="4"/>
  <c r="M493" i="4"/>
  <c r="L493" i="4"/>
  <c r="G493" i="4"/>
  <c r="U492" i="4"/>
  <c r="T492" i="4"/>
  <c r="M492" i="4"/>
  <c r="L492" i="4"/>
  <c r="G492" i="4"/>
  <c r="U491" i="4"/>
  <c r="T491" i="4"/>
  <c r="M491" i="4"/>
  <c r="L491" i="4"/>
  <c r="G491" i="4"/>
  <c r="U490" i="4"/>
  <c r="T490" i="4"/>
  <c r="M490" i="4"/>
  <c r="G490" i="4"/>
  <c r="E490" i="4"/>
  <c r="E491" i="4" s="1"/>
  <c r="E492" i="4" s="1"/>
  <c r="U489" i="4"/>
  <c r="T489" i="4"/>
  <c r="M489" i="4"/>
  <c r="G489" i="4"/>
  <c r="U488" i="4"/>
  <c r="T488" i="4"/>
  <c r="M488" i="4"/>
  <c r="G488" i="4"/>
  <c r="U487" i="4"/>
  <c r="T487" i="4"/>
  <c r="M487" i="4"/>
  <c r="L487" i="4"/>
  <c r="G487" i="4"/>
  <c r="U486" i="4"/>
  <c r="T486" i="4"/>
  <c r="M486" i="4"/>
  <c r="L486" i="4"/>
  <c r="G486" i="4"/>
  <c r="U485" i="4"/>
  <c r="T485" i="4"/>
  <c r="M485" i="4"/>
  <c r="L485" i="4"/>
  <c r="G485" i="4"/>
  <c r="U484" i="4"/>
  <c r="T484" i="4"/>
  <c r="M484" i="4"/>
  <c r="G484" i="4"/>
  <c r="U483" i="4"/>
  <c r="T483" i="4"/>
  <c r="M483" i="4"/>
  <c r="G483" i="4"/>
  <c r="E483" i="4"/>
  <c r="E484" i="4" s="1"/>
  <c r="E485" i="4" s="1"/>
  <c r="U482" i="4"/>
  <c r="T482" i="4"/>
  <c r="M482" i="4"/>
  <c r="G482" i="4"/>
  <c r="U481" i="4"/>
  <c r="T481" i="4"/>
  <c r="M481" i="4"/>
  <c r="G481" i="4"/>
  <c r="U480" i="4"/>
  <c r="T480" i="4"/>
  <c r="M480" i="4"/>
  <c r="L480" i="4"/>
  <c r="G480" i="4"/>
  <c r="U479" i="4"/>
  <c r="T479" i="4"/>
  <c r="M479" i="4"/>
  <c r="L479" i="4"/>
  <c r="G479" i="4"/>
  <c r="U478" i="4"/>
  <c r="T478" i="4"/>
  <c r="M478" i="4"/>
  <c r="G478" i="4"/>
  <c r="U477" i="4"/>
  <c r="T477" i="4"/>
  <c r="M477" i="4"/>
  <c r="G477" i="4"/>
  <c r="E477" i="4"/>
  <c r="E478" i="4" s="1"/>
  <c r="E479" i="4" s="1"/>
  <c r="E480" i="4" s="1"/>
  <c r="U476" i="4"/>
  <c r="T476" i="4"/>
  <c r="M476" i="4"/>
  <c r="G476" i="4"/>
  <c r="U475" i="4"/>
  <c r="T475" i="4"/>
  <c r="M475" i="4"/>
  <c r="G475" i="4"/>
  <c r="U474" i="4"/>
  <c r="T474" i="4"/>
  <c r="M474" i="4"/>
  <c r="G474" i="4"/>
  <c r="U473" i="4"/>
  <c r="T473" i="4"/>
  <c r="M473" i="4"/>
  <c r="L473" i="4"/>
  <c r="G473" i="4"/>
  <c r="U472" i="4"/>
  <c r="T472" i="4"/>
  <c r="M472" i="4"/>
  <c r="L472" i="4"/>
  <c r="G472" i="4"/>
  <c r="U471" i="4"/>
  <c r="T471" i="4"/>
  <c r="M471" i="4"/>
  <c r="G471" i="4"/>
  <c r="U470" i="4"/>
  <c r="T470" i="4"/>
  <c r="M470" i="4"/>
  <c r="G470" i="4"/>
  <c r="U469" i="4"/>
  <c r="T469" i="4"/>
  <c r="M469" i="4"/>
  <c r="G469" i="4"/>
  <c r="E469" i="4"/>
  <c r="E470" i="4" s="1"/>
  <c r="E471" i="4" s="1"/>
  <c r="E472" i="4" s="1"/>
  <c r="E473" i="4" s="1"/>
  <c r="U468" i="4"/>
  <c r="X468" i="4" s="1"/>
  <c r="G468" i="4"/>
  <c r="E468" i="4"/>
  <c r="U467" i="4"/>
  <c r="G467" i="4"/>
  <c r="U466" i="4"/>
  <c r="G466" i="4"/>
  <c r="U465" i="4"/>
  <c r="L465" i="4"/>
  <c r="G465" i="4"/>
  <c r="U464" i="4"/>
  <c r="L464" i="4"/>
  <c r="G464" i="4"/>
  <c r="U463" i="4"/>
  <c r="L463" i="4"/>
  <c r="G463" i="4"/>
  <c r="U462" i="4"/>
  <c r="G462" i="4"/>
  <c r="U461" i="4"/>
  <c r="G461" i="4"/>
  <c r="E461" i="4"/>
  <c r="E462" i="4" s="1"/>
  <c r="E464" i="4" s="1"/>
  <c r="E465" i="4" s="1"/>
  <c r="E466" i="4" s="1"/>
  <c r="E467" i="4" s="1"/>
  <c r="U460" i="4"/>
  <c r="G460" i="4"/>
  <c r="U459" i="4"/>
  <c r="G459" i="4"/>
  <c r="U458" i="4"/>
  <c r="L458" i="4"/>
  <c r="G458" i="4"/>
  <c r="U457" i="4"/>
  <c r="L457" i="4"/>
  <c r="G457" i="4"/>
  <c r="U456" i="4"/>
  <c r="L456" i="4"/>
  <c r="G456" i="4"/>
  <c r="U455" i="4"/>
  <c r="G455" i="4"/>
  <c r="U454" i="4"/>
  <c r="G454" i="4"/>
  <c r="E454" i="4"/>
  <c r="E455" i="4" s="1"/>
  <c r="E456" i="4" s="1"/>
  <c r="E457" i="4" s="1"/>
  <c r="E458" i="4" s="1"/>
  <c r="E459" i="4" s="1"/>
  <c r="E460" i="4" s="1"/>
  <c r="U453" i="4"/>
  <c r="G453" i="4"/>
  <c r="U452" i="4"/>
  <c r="G452" i="4"/>
  <c r="U451" i="4"/>
  <c r="L451" i="4"/>
  <c r="G451" i="4"/>
  <c r="U450" i="4"/>
  <c r="L450" i="4"/>
  <c r="G450" i="4"/>
  <c r="U449" i="4"/>
  <c r="G449" i="4"/>
  <c r="E449" i="4"/>
  <c r="E450" i="4" s="1"/>
  <c r="E451" i="4" s="1"/>
  <c r="E452" i="4" s="1"/>
  <c r="E453" i="4" s="1"/>
  <c r="U448" i="4"/>
  <c r="X448" i="4" s="1"/>
  <c r="G448" i="4"/>
  <c r="E448" i="4"/>
  <c r="U447" i="4"/>
  <c r="X447" i="4" s="1"/>
  <c r="T447" i="4"/>
  <c r="M447" i="4"/>
  <c r="L447" i="4"/>
  <c r="G447" i="4"/>
  <c r="E447" i="4"/>
  <c r="U446" i="4"/>
  <c r="X446" i="4" s="1"/>
  <c r="T446" i="4"/>
  <c r="M446" i="4"/>
  <c r="L446" i="4"/>
  <c r="G446" i="4"/>
  <c r="E446" i="4"/>
  <c r="U445" i="4"/>
  <c r="T445" i="4"/>
  <c r="G445" i="4"/>
  <c r="U444" i="4"/>
  <c r="T444" i="4"/>
  <c r="L444" i="4"/>
  <c r="G444" i="4"/>
  <c r="U443" i="4"/>
  <c r="T443" i="4"/>
  <c r="L443" i="4"/>
  <c r="G443" i="4"/>
  <c r="U442" i="4"/>
  <c r="T442" i="4"/>
  <c r="G442" i="4"/>
  <c r="U441" i="4"/>
  <c r="T441" i="4"/>
  <c r="G441" i="4"/>
  <c r="U440" i="4"/>
  <c r="T440" i="4"/>
  <c r="G440" i="4"/>
  <c r="E440" i="4"/>
  <c r="E441" i="4" s="1"/>
  <c r="E442" i="4" s="1"/>
  <c r="E443" i="4" s="1"/>
  <c r="E444" i="4" s="1"/>
  <c r="E445" i="4" s="1"/>
  <c r="U439" i="4"/>
  <c r="T439" i="4"/>
  <c r="G439" i="4"/>
  <c r="U438" i="4"/>
  <c r="T438" i="4"/>
  <c r="L438" i="4"/>
  <c r="G438" i="4"/>
  <c r="U437" i="4"/>
  <c r="T437" i="4"/>
  <c r="L437" i="4"/>
  <c r="G437" i="4"/>
  <c r="U436" i="4"/>
  <c r="T436" i="4"/>
  <c r="G436" i="4"/>
  <c r="U435" i="4"/>
  <c r="T435" i="4"/>
  <c r="M435" i="4"/>
  <c r="G435" i="4"/>
  <c r="E435" i="4"/>
  <c r="E436" i="4" s="1"/>
  <c r="E437" i="4" s="1"/>
  <c r="E438" i="4" s="1"/>
  <c r="E439" i="4" s="1"/>
  <c r="U434" i="4"/>
  <c r="T434" i="4"/>
  <c r="M434" i="4"/>
  <c r="G434" i="4"/>
  <c r="U433" i="4"/>
  <c r="T433" i="4"/>
  <c r="M433" i="4"/>
  <c r="L433" i="4"/>
  <c r="G433" i="4"/>
  <c r="U432" i="4"/>
  <c r="T432" i="4"/>
  <c r="M432" i="4"/>
  <c r="G432" i="4"/>
  <c r="E432" i="4"/>
  <c r="E433" i="4" s="1"/>
  <c r="E434" i="4" s="1"/>
  <c r="U431" i="4"/>
  <c r="X431" i="4" s="1"/>
  <c r="T431" i="4"/>
  <c r="M431" i="4"/>
  <c r="L431" i="4"/>
  <c r="G431" i="4"/>
  <c r="E431" i="4"/>
  <c r="U430" i="4"/>
  <c r="T430" i="4"/>
  <c r="M430" i="4"/>
  <c r="G430" i="4"/>
  <c r="U429" i="4"/>
  <c r="T429" i="4"/>
  <c r="M429" i="4"/>
  <c r="G429" i="4"/>
  <c r="E429" i="4"/>
  <c r="E430" i="4" s="1"/>
  <c r="U428" i="4"/>
  <c r="X428" i="4" s="1"/>
  <c r="T428" i="4"/>
  <c r="M428" i="4"/>
  <c r="G428" i="4"/>
  <c r="E428" i="4"/>
  <c r="U427" i="4"/>
  <c r="X427" i="4" s="1"/>
  <c r="T427" i="4"/>
  <c r="M427" i="4"/>
  <c r="G427" i="4"/>
  <c r="E427" i="4"/>
  <c r="U426" i="4"/>
  <c r="X426" i="4" s="1"/>
  <c r="T426" i="4"/>
  <c r="M426" i="4"/>
  <c r="G426" i="4"/>
  <c r="E426" i="4"/>
  <c r="U425" i="4"/>
  <c r="T425" i="4"/>
  <c r="M425" i="4"/>
  <c r="G425" i="4"/>
  <c r="E425" i="4"/>
  <c r="U424" i="4"/>
  <c r="T424" i="4"/>
  <c r="B424" i="4" s="1"/>
  <c r="M424" i="4"/>
  <c r="G424" i="4"/>
  <c r="E424" i="4"/>
  <c r="U423" i="4"/>
  <c r="T423" i="4"/>
  <c r="M423" i="4"/>
  <c r="L423" i="4"/>
  <c r="G423" i="4"/>
  <c r="U422" i="4"/>
  <c r="T422" i="4"/>
  <c r="M422" i="4"/>
  <c r="L422" i="4"/>
  <c r="G422" i="4"/>
  <c r="U421" i="4"/>
  <c r="T421" i="4"/>
  <c r="M421" i="4"/>
  <c r="L421" i="4"/>
  <c r="G421" i="4"/>
  <c r="U420" i="4"/>
  <c r="T420" i="4"/>
  <c r="M420" i="4"/>
  <c r="L420" i="4"/>
  <c r="G420" i="4"/>
  <c r="U419" i="4"/>
  <c r="T419" i="4"/>
  <c r="M419" i="4"/>
  <c r="L419" i="4"/>
  <c r="G419" i="4"/>
  <c r="U418" i="4"/>
  <c r="T418" i="4"/>
  <c r="M418" i="4"/>
  <c r="G418" i="4"/>
  <c r="U417" i="4"/>
  <c r="T417" i="4"/>
  <c r="B417" i="4" s="1"/>
  <c r="M417" i="4"/>
  <c r="G417" i="4"/>
  <c r="E417" i="4"/>
  <c r="E418" i="4" s="1"/>
  <c r="E419" i="4" s="1"/>
  <c r="U416" i="4"/>
  <c r="T416" i="4"/>
  <c r="B414" i="4" s="1"/>
  <c r="M416" i="4"/>
  <c r="G416" i="4"/>
  <c r="U415" i="4"/>
  <c r="T415" i="4"/>
  <c r="M415" i="4"/>
  <c r="G415" i="4"/>
  <c r="U414" i="4"/>
  <c r="T414" i="4"/>
  <c r="M414" i="4"/>
  <c r="G414" i="4"/>
  <c r="E414" i="4"/>
  <c r="E415" i="4" s="1"/>
  <c r="E416" i="4" s="1"/>
  <c r="U413" i="4"/>
  <c r="T413" i="4"/>
  <c r="M413" i="4"/>
  <c r="G413" i="4"/>
  <c r="U412" i="4"/>
  <c r="T412" i="4"/>
  <c r="M412" i="4"/>
  <c r="L412" i="4"/>
  <c r="G412" i="4"/>
  <c r="U411" i="4"/>
  <c r="T411" i="4"/>
  <c r="M411" i="4"/>
  <c r="L411" i="4"/>
  <c r="G411" i="4"/>
  <c r="U410" i="4"/>
  <c r="T410" i="4"/>
  <c r="M410" i="4"/>
  <c r="G410" i="4"/>
  <c r="U409" i="4"/>
  <c r="T409" i="4"/>
  <c r="M409" i="4"/>
  <c r="G409" i="4"/>
  <c r="U408" i="4"/>
  <c r="T408" i="4"/>
  <c r="M408" i="4"/>
  <c r="G408" i="4"/>
  <c r="E408" i="4"/>
  <c r="E409" i="4" s="1"/>
  <c r="E410" i="4" s="1"/>
  <c r="E411" i="4" s="1"/>
  <c r="E412" i="4" s="1"/>
  <c r="E413" i="4" s="1"/>
  <c r="U407" i="4"/>
  <c r="L407" i="4"/>
  <c r="G407" i="4"/>
  <c r="U406" i="4"/>
  <c r="L406" i="4"/>
  <c r="G406" i="4"/>
  <c r="U405" i="4"/>
  <c r="G405" i="4"/>
  <c r="E405" i="4"/>
  <c r="E406" i="4" s="1"/>
  <c r="E407" i="4" s="1"/>
  <c r="U404" i="4"/>
  <c r="G404" i="4"/>
  <c r="U403" i="4"/>
  <c r="L403" i="4"/>
  <c r="G403" i="4"/>
  <c r="U402" i="4"/>
  <c r="G402" i="4"/>
  <c r="U401" i="4"/>
  <c r="G401" i="4"/>
  <c r="U400" i="4"/>
  <c r="G400" i="4"/>
  <c r="E400" i="4"/>
  <c r="E401" i="4" s="1"/>
  <c r="E402" i="4" s="1"/>
  <c r="E403" i="4" s="1"/>
  <c r="E404" i="4" s="1"/>
  <c r="U399" i="4"/>
  <c r="G399" i="4"/>
  <c r="U398" i="4"/>
  <c r="L398" i="4"/>
  <c r="G398" i="4"/>
  <c r="U397" i="4"/>
  <c r="G397" i="4"/>
  <c r="U396" i="4"/>
  <c r="G396" i="4"/>
  <c r="U395" i="4"/>
  <c r="G395" i="4"/>
  <c r="U394" i="4"/>
  <c r="L394" i="4"/>
  <c r="G394" i="4"/>
  <c r="U393" i="4"/>
  <c r="G393" i="4"/>
  <c r="U392" i="4"/>
  <c r="L392" i="4"/>
  <c r="G392" i="4"/>
  <c r="E392" i="4"/>
  <c r="E393" i="4" s="1"/>
  <c r="E394" i="4" s="1"/>
  <c r="E395" i="4" s="1"/>
  <c r="E396" i="4" s="1"/>
  <c r="E397" i="4" s="1"/>
  <c r="E398" i="4" s="1"/>
  <c r="E399" i="4" s="1"/>
  <c r="U391" i="4"/>
  <c r="X391" i="4" s="1"/>
  <c r="G391" i="4"/>
  <c r="E391" i="4"/>
  <c r="U390" i="4"/>
  <c r="G390" i="4"/>
  <c r="U389" i="4"/>
  <c r="G389" i="4"/>
  <c r="U388" i="4"/>
  <c r="L388" i="4"/>
  <c r="G388" i="4"/>
  <c r="U387" i="4"/>
  <c r="L387" i="4"/>
  <c r="G387" i="4"/>
  <c r="U386" i="4"/>
  <c r="G386" i="4"/>
  <c r="U385" i="4"/>
  <c r="G385" i="4"/>
  <c r="U384" i="4"/>
  <c r="G384" i="4"/>
  <c r="U383" i="4"/>
  <c r="G383" i="4"/>
  <c r="U382" i="4"/>
  <c r="G382" i="4"/>
  <c r="E382" i="4"/>
  <c r="E383" i="4" s="1"/>
  <c r="E384" i="4" s="1"/>
  <c r="E385" i="4" s="1"/>
  <c r="E386" i="4" s="1"/>
  <c r="E387" i="4" s="1"/>
  <c r="E388" i="4" s="1"/>
  <c r="E389" i="4" s="1"/>
  <c r="E390" i="4" s="1"/>
  <c r="U381" i="4"/>
  <c r="X381" i="4" s="1"/>
  <c r="T381" i="4"/>
  <c r="B381" i="4" s="1"/>
  <c r="M381" i="4"/>
  <c r="G381" i="4"/>
  <c r="E381" i="4"/>
  <c r="U380" i="4"/>
  <c r="T380" i="4"/>
  <c r="M380" i="4"/>
  <c r="G380" i="4"/>
  <c r="U379" i="4"/>
  <c r="T379" i="4"/>
  <c r="M379" i="4"/>
  <c r="L379" i="4"/>
  <c r="G379" i="4"/>
  <c r="U378" i="4"/>
  <c r="T378" i="4"/>
  <c r="M378" i="4"/>
  <c r="L378" i="4"/>
  <c r="G378" i="4"/>
  <c r="U377" i="4"/>
  <c r="T377" i="4"/>
  <c r="M377" i="4"/>
  <c r="G377" i="4"/>
  <c r="E377" i="4"/>
  <c r="E378" i="4" s="1"/>
  <c r="E379" i="4" s="1"/>
  <c r="E380" i="4" s="1"/>
  <c r="U376" i="4"/>
  <c r="T376" i="4"/>
  <c r="M376" i="4"/>
  <c r="G376" i="4"/>
  <c r="U375" i="4"/>
  <c r="T375" i="4"/>
  <c r="M375" i="4"/>
  <c r="L375" i="4"/>
  <c r="G375" i="4"/>
  <c r="E375" i="4"/>
  <c r="E376" i="4" s="1"/>
  <c r="U374" i="4"/>
  <c r="T374" i="4"/>
  <c r="M374" i="4"/>
  <c r="G374" i="4"/>
  <c r="U373" i="4"/>
  <c r="T373" i="4"/>
  <c r="M373" i="4"/>
  <c r="L373" i="4"/>
  <c r="G373" i="4"/>
  <c r="U372" i="4"/>
  <c r="T372" i="4"/>
  <c r="M372" i="4"/>
  <c r="L372" i="4"/>
  <c r="G372" i="4"/>
  <c r="U371" i="4"/>
  <c r="T371" i="4"/>
  <c r="M371" i="4"/>
  <c r="G371" i="4"/>
  <c r="U370" i="4"/>
  <c r="T370" i="4"/>
  <c r="M370" i="4"/>
  <c r="G370" i="4"/>
  <c r="U369" i="4"/>
  <c r="T369" i="4"/>
  <c r="M369" i="4"/>
  <c r="G369" i="4"/>
  <c r="E369" i="4"/>
  <c r="E370" i="4" s="1"/>
  <c r="E371" i="4" s="1"/>
  <c r="E372" i="4" s="1"/>
  <c r="E373" i="4" s="1"/>
  <c r="E374" i="4" s="1"/>
  <c r="U367" i="4"/>
  <c r="T367" i="4"/>
  <c r="M367" i="4"/>
  <c r="G367" i="4"/>
  <c r="U366" i="4"/>
  <c r="T366" i="4"/>
  <c r="M366" i="4"/>
  <c r="L366" i="4"/>
  <c r="G366" i="4"/>
  <c r="U365" i="4"/>
  <c r="T365" i="4"/>
  <c r="M365" i="4"/>
  <c r="L365" i="4"/>
  <c r="G365" i="4"/>
  <c r="U363" i="4"/>
  <c r="T363" i="4"/>
  <c r="M363" i="4"/>
  <c r="G363" i="4"/>
  <c r="U362" i="4"/>
  <c r="T362" i="4"/>
  <c r="M362" i="4"/>
  <c r="G362" i="4"/>
  <c r="U361" i="4"/>
  <c r="T361" i="4"/>
  <c r="M361" i="4"/>
  <c r="G361" i="4"/>
  <c r="E361" i="4"/>
  <c r="E362" i="4" s="1"/>
  <c r="E363" i="4" s="1"/>
  <c r="U360" i="4"/>
  <c r="T360" i="4"/>
  <c r="M360" i="4"/>
  <c r="G360" i="4"/>
  <c r="U359" i="4"/>
  <c r="T359" i="4"/>
  <c r="M359" i="4"/>
  <c r="L359" i="4"/>
  <c r="G359" i="4"/>
  <c r="U358" i="4"/>
  <c r="T358" i="4"/>
  <c r="M358" i="4"/>
  <c r="G358" i="4"/>
  <c r="U357" i="4"/>
  <c r="T357" i="4"/>
  <c r="M357" i="4"/>
  <c r="G357" i="4"/>
  <c r="E357" i="4"/>
  <c r="E358" i="4" s="1"/>
  <c r="E359" i="4" s="1"/>
  <c r="E360" i="4" s="1"/>
  <c r="U356" i="4"/>
  <c r="X356" i="4" s="1"/>
  <c r="S356" i="4"/>
  <c r="T356" i="4" s="1"/>
  <c r="B356" i="4" s="1"/>
  <c r="M356" i="4"/>
  <c r="L356" i="4"/>
  <c r="G356" i="4"/>
  <c r="E356" i="4"/>
  <c r="U355" i="4"/>
  <c r="T355" i="4"/>
  <c r="M355" i="4"/>
  <c r="G355" i="4"/>
  <c r="U354" i="4"/>
  <c r="T354" i="4"/>
  <c r="M354" i="4"/>
  <c r="L354" i="4"/>
  <c r="G354" i="4"/>
  <c r="U353" i="4"/>
  <c r="T353" i="4"/>
  <c r="M353" i="4"/>
  <c r="L353" i="4"/>
  <c r="G353" i="4"/>
  <c r="U352" i="4"/>
  <c r="T352" i="4"/>
  <c r="M352" i="4"/>
  <c r="G352" i="4"/>
  <c r="U351" i="4"/>
  <c r="T351" i="4"/>
  <c r="M351" i="4"/>
  <c r="G351" i="4"/>
  <c r="U350" i="4"/>
  <c r="T350" i="4"/>
  <c r="M350" i="4"/>
  <c r="G350" i="4"/>
  <c r="E350" i="4"/>
  <c r="E351" i="4" s="1"/>
  <c r="E352" i="4" s="1"/>
  <c r="E353" i="4" s="1"/>
  <c r="E354" i="4" s="1"/>
  <c r="E355" i="4" s="1"/>
  <c r="U349" i="4"/>
  <c r="X349" i="4" s="1"/>
  <c r="T349" i="4"/>
  <c r="B349" i="4" s="1"/>
  <c r="M349" i="4"/>
  <c r="L349" i="4"/>
  <c r="G349" i="4"/>
  <c r="E349" i="4"/>
  <c r="U348" i="4"/>
  <c r="T348" i="4"/>
  <c r="G348" i="4"/>
  <c r="U347" i="4"/>
  <c r="T347" i="4"/>
  <c r="G347" i="4"/>
  <c r="U346" i="4"/>
  <c r="T346" i="4"/>
  <c r="L346" i="4"/>
  <c r="G346" i="4"/>
  <c r="U345" i="4"/>
  <c r="T345" i="4"/>
  <c r="L345" i="4"/>
  <c r="G345" i="4"/>
  <c r="U342" i="4"/>
  <c r="T342" i="4"/>
  <c r="G342" i="4"/>
  <c r="U341" i="4"/>
  <c r="T341" i="4"/>
  <c r="G341" i="4"/>
  <c r="U340" i="4"/>
  <c r="T340" i="4"/>
  <c r="G340" i="4"/>
  <c r="U339" i="4"/>
  <c r="T339" i="4"/>
  <c r="B339" i="4" s="1"/>
  <c r="M339" i="4"/>
  <c r="G339" i="4"/>
  <c r="E339" i="4"/>
  <c r="E340" i="4" s="1"/>
  <c r="E341" i="4" s="1"/>
  <c r="E342" i="4" s="1"/>
  <c r="U338" i="4"/>
  <c r="T338" i="4"/>
  <c r="M338" i="4"/>
  <c r="L338" i="4"/>
  <c r="G338" i="4"/>
  <c r="U337" i="4"/>
  <c r="T337" i="4"/>
  <c r="M337" i="4"/>
  <c r="G337" i="4"/>
  <c r="U336" i="4"/>
  <c r="T336" i="4"/>
  <c r="M336" i="4"/>
  <c r="G336" i="4"/>
  <c r="E336" i="4"/>
  <c r="E337" i="4" s="1"/>
  <c r="E338" i="4" s="1"/>
  <c r="U335" i="4"/>
  <c r="T335" i="4"/>
  <c r="M335" i="4"/>
  <c r="L335" i="4"/>
  <c r="G335" i="4"/>
  <c r="U334" i="4"/>
  <c r="T334" i="4"/>
  <c r="M334" i="4"/>
  <c r="G334" i="4"/>
  <c r="E334" i="4"/>
  <c r="E335" i="4" s="1"/>
  <c r="U333" i="4"/>
  <c r="T333" i="4"/>
  <c r="M333" i="4"/>
  <c r="L333" i="4"/>
  <c r="G333" i="4"/>
  <c r="U332" i="4"/>
  <c r="T332" i="4"/>
  <c r="M332" i="4"/>
  <c r="G332" i="4"/>
  <c r="U331" i="4"/>
  <c r="T331" i="4"/>
  <c r="M331" i="4"/>
  <c r="G331" i="4"/>
  <c r="U330" i="4"/>
  <c r="T330" i="4"/>
  <c r="M330" i="4"/>
  <c r="G330" i="4"/>
  <c r="E330" i="4"/>
  <c r="E331" i="4" s="1"/>
  <c r="E332" i="4" s="1"/>
  <c r="E333" i="4" s="1"/>
  <c r="U329" i="4"/>
  <c r="T329" i="4"/>
  <c r="M329" i="4"/>
  <c r="L329" i="4"/>
  <c r="G329" i="4"/>
  <c r="U328" i="4"/>
  <c r="T328" i="4"/>
  <c r="M328" i="4"/>
  <c r="G328" i="4"/>
  <c r="E328" i="4"/>
  <c r="E329" i="4" s="1"/>
  <c r="U327" i="4"/>
  <c r="X327" i="4" s="1"/>
  <c r="T327" i="4"/>
  <c r="M327" i="4"/>
  <c r="G327" i="4"/>
  <c r="E327" i="4"/>
  <c r="U326" i="4"/>
  <c r="T326" i="4"/>
  <c r="M326" i="4"/>
  <c r="L326" i="4"/>
  <c r="G326" i="4"/>
  <c r="U325" i="4"/>
  <c r="T325" i="4"/>
  <c r="M325" i="4"/>
  <c r="G325" i="4"/>
  <c r="U324" i="4"/>
  <c r="T324" i="4"/>
  <c r="M324" i="4"/>
  <c r="G324" i="4"/>
  <c r="U323" i="4"/>
  <c r="T323" i="4"/>
  <c r="M323" i="4"/>
  <c r="G323" i="4"/>
  <c r="U322" i="4"/>
  <c r="T322" i="4"/>
  <c r="M322" i="4"/>
  <c r="G322" i="4"/>
  <c r="U321" i="4"/>
  <c r="T321" i="4"/>
  <c r="M321" i="4"/>
  <c r="G321" i="4"/>
  <c r="U320" i="4"/>
  <c r="T320" i="4"/>
  <c r="M320" i="4"/>
  <c r="G320" i="4"/>
  <c r="U319" i="4"/>
  <c r="T319" i="4"/>
  <c r="M319" i="4"/>
  <c r="G319" i="4"/>
  <c r="U318" i="4"/>
  <c r="T318" i="4"/>
  <c r="M318" i="4"/>
  <c r="G318" i="4"/>
  <c r="U317" i="4"/>
  <c r="T317" i="4"/>
  <c r="M317" i="4"/>
  <c r="G317" i="4"/>
  <c r="U316" i="4"/>
  <c r="T316" i="4"/>
  <c r="M316" i="4"/>
  <c r="G316" i="4"/>
  <c r="E316" i="4"/>
  <c r="E317" i="4" s="1"/>
  <c r="E318" i="4" s="1"/>
  <c r="E319" i="4" s="1"/>
  <c r="E320" i="4" s="1"/>
  <c r="E321" i="4" s="1"/>
  <c r="E322" i="4" s="1"/>
  <c r="E323" i="4" s="1"/>
  <c r="E324" i="4" s="1"/>
  <c r="E325" i="4" s="1"/>
  <c r="E326" i="4" s="1"/>
  <c r="U315" i="4"/>
  <c r="T315" i="4"/>
  <c r="M315" i="4"/>
  <c r="L315" i="4"/>
  <c r="G315" i="4"/>
  <c r="U314" i="4"/>
  <c r="T314" i="4"/>
  <c r="M314" i="4"/>
  <c r="G314" i="4"/>
  <c r="U313" i="4"/>
  <c r="T313" i="4"/>
  <c r="M313" i="4"/>
  <c r="G313" i="4"/>
  <c r="U312" i="4"/>
  <c r="T312" i="4"/>
  <c r="M312" i="4"/>
  <c r="L312" i="4"/>
  <c r="G312" i="4"/>
  <c r="U311" i="4"/>
  <c r="T311" i="4"/>
  <c r="M311" i="4"/>
  <c r="G311" i="4"/>
  <c r="U310" i="4"/>
  <c r="T310" i="4"/>
  <c r="M310" i="4"/>
  <c r="G310" i="4"/>
  <c r="U309" i="4"/>
  <c r="T309" i="4"/>
  <c r="M309" i="4"/>
  <c r="G309" i="4"/>
  <c r="U308" i="4"/>
  <c r="T308" i="4"/>
  <c r="M308" i="4"/>
  <c r="G308" i="4"/>
  <c r="E308" i="4"/>
  <c r="E309" i="4" s="1"/>
  <c r="E310" i="4" s="1"/>
  <c r="E311" i="4" s="1"/>
  <c r="E312" i="4" s="1"/>
  <c r="E313" i="4" s="1"/>
  <c r="E314" i="4" s="1"/>
  <c r="E315" i="4" s="1"/>
  <c r="U307" i="4"/>
  <c r="T307" i="4"/>
  <c r="M307" i="4"/>
  <c r="L307" i="4"/>
  <c r="G307" i="4"/>
  <c r="U306" i="4"/>
  <c r="T306" i="4"/>
  <c r="M306" i="4"/>
  <c r="L306" i="4"/>
  <c r="G306" i="4"/>
  <c r="U305" i="4"/>
  <c r="T305" i="4"/>
  <c r="M305" i="4"/>
  <c r="G305" i="4"/>
  <c r="E305" i="4"/>
  <c r="E306" i="4" s="1"/>
  <c r="E307" i="4" s="1"/>
  <c r="U304" i="4"/>
  <c r="T304" i="4"/>
  <c r="L304" i="4"/>
  <c r="G304" i="4"/>
  <c r="U303" i="4"/>
  <c r="T303" i="4"/>
  <c r="M303" i="4"/>
  <c r="G303" i="4"/>
  <c r="E303" i="4"/>
  <c r="E304" i="4" s="1"/>
  <c r="U302" i="4"/>
  <c r="X302" i="4" s="1"/>
  <c r="T302" i="4"/>
  <c r="M302" i="4"/>
  <c r="L302" i="4"/>
  <c r="G302" i="4"/>
  <c r="E302" i="4"/>
  <c r="U301" i="4"/>
  <c r="T301" i="4"/>
  <c r="L301" i="4"/>
  <c r="G301" i="4"/>
  <c r="U300" i="4"/>
  <c r="T300" i="4"/>
  <c r="M300" i="4"/>
  <c r="G300" i="4"/>
  <c r="E300" i="4"/>
  <c r="E301" i="4" s="1"/>
  <c r="U298" i="4"/>
  <c r="M298" i="4"/>
  <c r="G298" i="4"/>
  <c r="U297" i="4"/>
  <c r="M297" i="4"/>
  <c r="L297" i="4"/>
  <c r="G297" i="4"/>
  <c r="U296" i="4"/>
  <c r="T296" i="4"/>
  <c r="M296" i="4"/>
  <c r="L296" i="4"/>
  <c r="G296" i="4"/>
  <c r="U295" i="4"/>
  <c r="T295" i="4"/>
  <c r="B290" i="4" s="1"/>
  <c r="M295" i="4"/>
  <c r="G295" i="4"/>
  <c r="U294" i="4"/>
  <c r="T294" i="4"/>
  <c r="M294" i="4"/>
  <c r="G294" i="4"/>
  <c r="U293" i="4"/>
  <c r="T293" i="4"/>
  <c r="M293" i="4"/>
  <c r="G293" i="4"/>
  <c r="U291" i="4"/>
  <c r="T291" i="4"/>
  <c r="M291" i="4"/>
  <c r="G291" i="4"/>
  <c r="U290" i="4"/>
  <c r="T290" i="4"/>
  <c r="M290" i="4"/>
  <c r="G290" i="4"/>
  <c r="E290" i="4"/>
  <c r="E291" i="4" s="1"/>
  <c r="X289" i="4"/>
  <c r="T289" i="4"/>
  <c r="M289" i="4"/>
  <c r="L289" i="4"/>
  <c r="G289" i="4"/>
  <c r="E289" i="4"/>
  <c r="U288" i="4"/>
  <c r="X288" i="4" s="1"/>
  <c r="T288" i="4"/>
  <c r="M288" i="4"/>
  <c r="L288" i="4"/>
  <c r="G288" i="4"/>
  <c r="E288" i="4"/>
  <c r="U278" i="4"/>
  <c r="T278" i="4"/>
  <c r="M278" i="4"/>
  <c r="L278" i="4"/>
  <c r="G278" i="4"/>
  <c r="U277" i="4"/>
  <c r="T277" i="4"/>
  <c r="M277" i="4"/>
  <c r="L277" i="4"/>
  <c r="G277" i="4"/>
  <c r="U276" i="4"/>
  <c r="T276" i="4"/>
  <c r="M276" i="4"/>
  <c r="L276" i="4"/>
  <c r="G276" i="4"/>
  <c r="U275" i="4"/>
  <c r="T275" i="4"/>
  <c r="M275" i="4"/>
  <c r="G275" i="4"/>
  <c r="U274" i="4"/>
  <c r="T274" i="4"/>
  <c r="M274" i="4"/>
  <c r="G274" i="4"/>
  <c r="U273" i="4"/>
  <c r="T273" i="4"/>
  <c r="M273" i="4"/>
  <c r="G273" i="4"/>
  <c r="U272" i="4"/>
  <c r="T272" i="4"/>
  <c r="M272" i="4"/>
  <c r="G272" i="4"/>
  <c r="U271" i="4"/>
  <c r="T271" i="4"/>
  <c r="M271" i="4"/>
  <c r="G271" i="4"/>
  <c r="U270" i="4"/>
  <c r="T270" i="4"/>
  <c r="M270" i="4"/>
  <c r="G270" i="4"/>
  <c r="E270" i="4"/>
  <c r="E271" i="4" s="1"/>
  <c r="E272" i="4" s="1"/>
  <c r="E273" i="4" s="1"/>
  <c r="E274" i="4" s="1"/>
  <c r="E275" i="4" s="1"/>
  <c r="E276" i="4" s="1"/>
  <c r="E277" i="4" s="1"/>
  <c r="E278" i="4" s="1"/>
  <c r="U269" i="4"/>
  <c r="T269" i="4"/>
  <c r="M269" i="4"/>
  <c r="L269" i="4"/>
  <c r="G269" i="4"/>
  <c r="U268" i="4"/>
  <c r="T268" i="4"/>
  <c r="M268" i="4"/>
  <c r="L268" i="4"/>
  <c r="G268" i="4"/>
  <c r="U267" i="4"/>
  <c r="T267" i="4"/>
  <c r="M267" i="4"/>
  <c r="L267" i="4"/>
  <c r="G267" i="4"/>
  <c r="U266" i="4"/>
  <c r="T266" i="4"/>
  <c r="M266" i="4"/>
  <c r="G266" i="4"/>
  <c r="U265" i="4"/>
  <c r="T265" i="4"/>
  <c r="M265" i="4"/>
  <c r="G265" i="4"/>
  <c r="U264" i="4"/>
  <c r="T264" i="4"/>
  <c r="M264" i="4"/>
  <c r="G264" i="4"/>
  <c r="U263" i="4"/>
  <c r="T263" i="4"/>
  <c r="M263" i="4"/>
  <c r="G263" i="4"/>
  <c r="U262" i="4"/>
  <c r="T262" i="4"/>
  <c r="M262" i="4"/>
  <c r="G262" i="4"/>
  <c r="U261" i="4"/>
  <c r="T261" i="4"/>
  <c r="M261" i="4"/>
  <c r="G261" i="4"/>
  <c r="E261" i="4"/>
  <c r="E262" i="4" s="1"/>
  <c r="E263" i="4" s="1"/>
  <c r="E264" i="4" s="1"/>
  <c r="E265" i="4" s="1"/>
  <c r="E266" i="4" s="1"/>
  <c r="E267" i="4" s="1"/>
  <c r="E268" i="4" s="1"/>
  <c r="E269" i="4" s="1"/>
  <c r="U260" i="4"/>
  <c r="T260" i="4"/>
  <c r="M260" i="4"/>
  <c r="L260" i="4"/>
  <c r="G260" i="4"/>
  <c r="U259" i="4"/>
  <c r="T259" i="4"/>
  <c r="M259" i="4"/>
  <c r="L259" i="4"/>
  <c r="G259" i="4"/>
  <c r="U258" i="4"/>
  <c r="T258" i="4"/>
  <c r="M258" i="4"/>
  <c r="L258" i="4"/>
  <c r="G258" i="4"/>
  <c r="U257" i="4"/>
  <c r="T257" i="4"/>
  <c r="M257" i="4"/>
  <c r="G257" i="4"/>
  <c r="U256" i="4"/>
  <c r="T256" i="4"/>
  <c r="M256" i="4"/>
  <c r="G256" i="4"/>
  <c r="U255" i="4"/>
  <c r="T255" i="4"/>
  <c r="M255" i="4"/>
  <c r="G255" i="4"/>
  <c r="U254" i="4"/>
  <c r="T254" i="4"/>
  <c r="M254" i="4"/>
  <c r="G254" i="4"/>
  <c r="U253" i="4"/>
  <c r="T253" i="4"/>
  <c r="M253" i="4"/>
  <c r="G253" i="4"/>
  <c r="U252" i="4"/>
  <c r="T252" i="4"/>
  <c r="M252" i="4"/>
  <c r="G252" i="4"/>
  <c r="E252" i="4"/>
  <c r="E253" i="4" s="1"/>
  <c r="E254" i="4" s="1"/>
  <c r="E255" i="4" s="1"/>
  <c r="E256" i="4" s="1"/>
  <c r="E257" i="4" s="1"/>
  <c r="E258" i="4" s="1"/>
  <c r="E259" i="4" s="1"/>
  <c r="E260" i="4" s="1"/>
  <c r="U251" i="4"/>
  <c r="T251" i="4"/>
  <c r="M251" i="4"/>
  <c r="L251" i="4"/>
  <c r="G251" i="4"/>
  <c r="U250" i="4"/>
  <c r="T250" i="4"/>
  <c r="M250" i="4"/>
  <c r="L250" i="4"/>
  <c r="G250" i="4"/>
  <c r="U249" i="4"/>
  <c r="T249" i="4"/>
  <c r="M249" i="4"/>
  <c r="L249" i="4"/>
  <c r="G249" i="4"/>
  <c r="U248" i="4"/>
  <c r="T248" i="4"/>
  <c r="M248" i="4"/>
  <c r="G248" i="4"/>
  <c r="U247" i="4"/>
  <c r="T247" i="4"/>
  <c r="M247" i="4"/>
  <c r="G247" i="4"/>
  <c r="U246" i="4"/>
  <c r="T246" i="4"/>
  <c r="M246" i="4"/>
  <c r="G246" i="4"/>
  <c r="U245" i="4"/>
  <c r="T245" i="4"/>
  <c r="M245" i="4"/>
  <c r="G245" i="4"/>
  <c r="U244" i="4"/>
  <c r="T244" i="4"/>
  <c r="M244" i="4"/>
  <c r="G244" i="4"/>
  <c r="U243" i="4"/>
  <c r="T243" i="4"/>
  <c r="M243" i="4"/>
  <c r="G243" i="4"/>
  <c r="E243" i="4"/>
  <c r="E244" i="4" s="1"/>
  <c r="E245" i="4" s="1"/>
  <c r="E246" i="4" s="1"/>
  <c r="E247" i="4" s="1"/>
  <c r="E248" i="4" s="1"/>
  <c r="E249" i="4" s="1"/>
  <c r="E250" i="4" s="1"/>
  <c r="E251" i="4" s="1"/>
  <c r="U242" i="4"/>
  <c r="T242" i="4"/>
  <c r="M242" i="4"/>
  <c r="L242" i="4"/>
  <c r="G242" i="4"/>
  <c r="U241" i="4"/>
  <c r="T241" i="4"/>
  <c r="B241" i="4" s="1"/>
  <c r="M241" i="4"/>
  <c r="G241" i="4"/>
  <c r="E241" i="4"/>
  <c r="E242" i="4" s="1"/>
  <c r="U240" i="4"/>
  <c r="T240" i="4"/>
  <c r="M240" i="4"/>
  <c r="L240" i="4"/>
  <c r="G240" i="4"/>
  <c r="U239" i="4"/>
  <c r="T239" i="4"/>
  <c r="B239" i="4" s="1"/>
  <c r="M239" i="4"/>
  <c r="G239" i="4"/>
  <c r="E239" i="4"/>
  <c r="E240" i="4" s="1"/>
  <c r="U238" i="4"/>
  <c r="X238" i="4" s="1"/>
  <c r="T238" i="4"/>
  <c r="M238" i="4"/>
  <c r="L238" i="4"/>
  <c r="G238" i="4"/>
  <c r="U237" i="4"/>
  <c r="X237" i="4" s="1"/>
  <c r="T237" i="4"/>
  <c r="M237" i="4"/>
  <c r="L237" i="4"/>
  <c r="G237" i="4"/>
  <c r="U236" i="4"/>
  <c r="X236" i="4" s="1"/>
  <c r="T236" i="4"/>
  <c r="M236" i="4"/>
  <c r="L236" i="4"/>
  <c r="G236" i="4"/>
  <c r="U235" i="4"/>
  <c r="X235" i="4" s="1"/>
  <c r="T235" i="4"/>
  <c r="M235" i="4"/>
  <c r="L235" i="4"/>
  <c r="G235" i="4"/>
  <c r="U234" i="4"/>
  <c r="X234" i="4" s="1"/>
  <c r="T234" i="4"/>
  <c r="M234" i="4"/>
  <c r="L234" i="4"/>
  <c r="G234" i="4"/>
  <c r="U233" i="4"/>
  <c r="X233" i="4" s="1"/>
  <c r="T233" i="4"/>
  <c r="M233" i="4"/>
  <c r="L233" i="4"/>
  <c r="G233" i="4"/>
  <c r="E233" i="4"/>
  <c r="E234" i="4" s="1"/>
  <c r="E235" i="4" s="1"/>
  <c r="E236" i="4" s="1"/>
  <c r="E237" i="4" s="1"/>
  <c r="E238" i="4" s="1"/>
  <c r="U232" i="4"/>
  <c r="T232" i="4"/>
  <c r="M232" i="4"/>
  <c r="G232" i="4"/>
  <c r="U231" i="4"/>
  <c r="T231" i="4"/>
  <c r="M231" i="4"/>
  <c r="L231" i="4"/>
  <c r="G231" i="4"/>
  <c r="U230" i="4"/>
  <c r="T230" i="4"/>
  <c r="M230" i="4"/>
  <c r="G230" i="4"/>
  <c r="U229" i="4"/>
  <c r="T229" i="4"/>
  <c r="M229" i="4"/>
  <c r="G229" i="4"/>
  <c r="U228" i="4"/>
  <c r="T228" i="4"/>
  <c r="M228" i="4"/>
  <c r="G228" i="4"/>
  <c r="U227" i="4"/>
  <c r="T227" i="4"/>
  <c r="B227" i="4" s="1"/>
  <c r="M227" i="4"/>
  <c r="L227" i="4"/>
  <c r="G227" i="4"/>
  <c r="E227" i="4"/>
  <c r="E228" i="4" s="1"/>
  <c r="E229" i="4" s="1"/>
  <c r="E230" i="4" s="1"/>
  <c r="E231" i="4" s="1"/>
  <c r="E232" i="4" s="1"/>
  <c r="U226" i="4"/>
  <c r="T226" i="4"/>
  <c r="M226" i="4"/>
  <c r="G226" i="4"/>
  <c r="U225" i="4"/>
  <c r="T225" i="4"/>
  <c r="M225" i="4"/>
  <c r="L225" i="4"/>
  <c r="G225" i="4"/>
  <c r="U224" i="4"/>
  <c r="T224" i="4"/>
  <c r="M224" i="4"/>
  <c r="G224" i="4"/>
  <c r="U223" i="4"/>
  <c r="T223" i="4"/>
  <c r="M223" i="4"/>
  <c r="G223" i="4"/>
  <c r="U222" i="4"/>
  <c r="T222" i="4"/>
  <c r="M222" i="4"/>
  <c r="G222" i="4"/>
  <c r="U221" i="4"/>
  <c r="T221" i="4"/>
  <c r="M221" i="4"/>
  <c r="L221" i="4"/>
  <c r="G221" i="4"/>
  <c r="E221" i="4"/>
  <c r="E222" i="4" s="1"/>
  <c r="E223" i="4" s="1"/>
  <c r="E224" i="4" s="1"/>
  <c r="E225" i="4" s="1"/>
  <c r="E226" i="4" s="1"/>
  <c r="U220" i="4"/>
  <c r="T220" i="4"/>
  <c r="L220" i="4"/>
  <c r="G220" i="4"/>
  <c r="U219" i="4"/>
  <c r="T219" i="4"/>
  <c r="L219" i="4"/>
  <c r="G219" i="4"/>
  <c r="U218" i="4"/>
  <c r="T218" i="4"/>
  <c r="L218" i="4"/>
  <c r="G218" i="4"/>
  <c r="U217" i="4"/>
  <c r="T217" i="4"/>
  <c r="G217" i="4"/>
  <c r="U216" i="4"/>
  <c r="T216" i="4"/>
  <c r="G216" i="4"/>
  <c r="U215" i="4"/>
  <c r="T215" i="4"/>
  <c r="G215" i="4"/>
  <c r="U214" i="4"/>
  <c r="T214" i="4"/>
  <c r="G214" i="4"/>
  <c r="U213" i="4"/>
  <c r="T213" i="4"/>
  <c r="B212" i="4" s="1"/>
  <c r="G213" i="4"/>
  <c r="U212" i="4"/>
  <c r="T212" i="4"/>
  <c r="M212" i="4"/>
  <c r="G212" i="4"/>
  <c r="E212" i="4"/>
  <c r="E213" i="4" s="1"/>
  <c r="E214" i="4" s="1"/>
  <c r="E215" i="4" s="1"/>
  <c r="E216" i="4" s="1"/>
  <c r="E217" i="4" s="1"/>
  <c r="E218" i="4" s="1"/>
  <c r="E219" i="4" s="1"/>
  <c r="E220" i="4" s="1"/>
  <c r="U211" i="4"/>
  <c r="T211" i="4"/>
  <c r="M211" i="4"/>
  <c r="L211" i="4"/>
  <c r="G211" i="4"/>
  <c r="U210" i="4"/>
  <c r="T210" i="4"/>
  <c r="M210" i="4"/>
  <c r="L210" i="4"/>
  <c r="G210" i="4"/>
  <c r="U209" i="4"/>
  <c r="T209" i="4"/>
  <c r="M209" i="4"/>
  <c r="L209" i="4"/>
  <c r="G209" i="4"/>
  <c r="U208" i="4"/>
  <c r="T208" i="4"/>
  <c r="M208" i="4"/>
  <c r="G208" i="4"/>
  <c r="U207" i="4"/>
  <c r="T207" i="4"/>
  <c r="M207" i="4"/>
  <c r="G207" i="4"/>
  <c r="U206" i="4"/>
  <c r="T206" i="4"/>
  <c r="M206" i="4"/>
  <c r="G206" i="4"/>
  <c r="U205" i="4"/>
  <c r="T205" i="4"/>
  <c r="M205" i="4"/>
  <c r="G205" i="4"/>
  <c r="U204" i="4"/>
  <c r="T204" i="4"/>
  <c r="M204" i="4"/>
  <c r="G204" i="4"/>
  <c r="U203" i="4"/>
  <c r="T203" i="4"/>
  <c r="M203" i="4"/>
  <c r="G203" i="4"/>
  <c r="E203" i="4"/>
  <c r="E204" i="4" s="1"/>
  <c r="E205" i="4" s="1"/>
  <c r="E206" i="4" s="1"/>
  <c r="E207" i="4" s="1"/>
  <c r="E208" i="4" s="1"/>
  <c r="E209" i="4" s="1"/>
  <c r="E210" i="4" s="1"/>
  <c r="E211" i="4" s="1"/>
  <c r="U202" i="4"/>
  <c r="T202" i="4"/>
  <c r="M202" i="4"/>
  <c r="L202" i="4"/>
  <c r="G202" i="4"/>
  <c r="U201" i="4"/>
  <c r="T201" i="4"/>
  <c r="M201" i="4"/>
  <c r="L201" i="4"/>
  <c r="G201" i="4"/>
  <c r="U200" i="4"/>
  <c r="T200" i="4"/>
  <c r="M200" i="4"/>
  <c r="L200" i="4"/>
  <c r="G200" i="4"/>
  <c r="U199" i="4"/>
  <c r="T199" i="4"/>
  <c r="M199" i="4"/>
  <c r="G199" i="4"/>
  <c r="U198" i="4"/>
  <c r="T198" i="4"/>
  <c r="M198" i="4"/>
  <c r="G198" i="4"/>
  <c r="U197" i="4"/>
  <c r="T197" i="4"/>
  <c r="M197" i="4"/>
  <c r="G197" i="4"/>
  <c r="U196" i="4"/>
  <c r="T196" i="4"/>
  <c r="M196" i="4"/>
  <c r="G196" i="4"/>
  <c r="U195" i="4"/>
  <c r="T195" i="4"/>
  <c r="M195" i="4"/>
  <c r="G195" i="4"/>
  <c r="U194" i="4"/>
  <c r="T194" i="4"/>
  <c r="M194" i="4"/>
  <c r="G194" i="4"/>
  <c r="E194" i="4"/>
  <c r="E195" i="4" s="1"/>
  <c r="E196" i="4" s="1"/>
  <c r="E197" i="4" s="1"/>
  <c r="E198" i="4" s="1"/>
  <c r="E199" i="4" s="1"/>
  <c r="E200" i="4" s="1"/>
  <c r="E201" i="4" s="1"/>
  <c r="E202" i="4" s="1"/>
  <c r="U193" i="4"/>
  <c r="T193" i="4"/>
  <c r="M193" i="4"/>
  <c r="L193" i="4"/>
  <c r="G193" i="4"/>
  <c r="U192" i="4"/>
  <c r="T192" i="4"/>
  <c r="M192" i="4"/>
  <c r="L192" i="4"/>
  <c r="G192" i="4"/>
  <c r="U191" i="4"/>
  <c r="T191" i="4"/>
  <c r="M191" i="4"/>
  <c r="L191" i="4"/>
  <c r="G191" i="4"/>
  <c r="U190" i="4"/>
  <c r="T190" i="4"/>
  <c r="M190" i="4"/>
  <c r="G190" i="4"/>
  <c r="U189" i="4"/>
  <c r="T189" i="4"/>
  <c r="M189" i="4"/>
  <c r="G189" i="4"/>
  <c r="U188" i="4"/>
  <c r="T188" i="4"/>
  <c r="M188" i="4"/>
  <c r="G188" i="4"/>
  <c r="U187" i="4"/>
  <c r="T187" i="4"/>
  <c r="M187" i="4"/>
  <c r="G187" i="4"/>
  <c r="U186" i="4"/>
  <c r="T186" i="4"/>
  <c r="M186" i="4"/>
  <c r="G186" i="4"/>
  <c r="U185" i="4"/>
  <c r="T185" i="4"/>
  <c r="M185" i="4"/>
  <c r="G185" i="4"/>
  <c r="E185" i="4"/>
  <c r="E186" i="4" s="1"/>
  <c r="E187" i="4" s="1"/>
  <c r="E188" i="4" s="1"/>
  <c r="E189" i="4" s="1"/>
  <c r="E190" i="4" s="1"/>
  <c r="E191" i="4" s="1"/>
  <c r="E192" i="4" s="1"/>
  <c r="E193" i="4" s="1"/>
  <c r="U184" i="4"/>
  <c r="T184" i="4"/>
  <c r="M184" i="4"/>
  <c r="L184" i="4"/>
  <c r="G184" i="4"/>
  <c r="U183" i="4"/>
  <c r="T183" i="4"/>
  <c r="M183" i="4"/>
  <c r="L183" i="4"/>
  <c r="G183" i="4"/>
  <c r="U182" i="4"/>
  <c r="T182" i="4"/>
  <c r="M182" i="4"/>
  <c r="L182" i="4"/>
  <c r="G182" i="4"/>
  <c r="U181" i="4"/>
  <c r="T181" i="4"/>
  <c r="M181" i="4"/>
  <c r="G181" i="4"/>
  <c r="U180" i="4"/>
  <c r="T180" i="4"/>
  <c r="M180" i="4"/>
  <c r="G180" i="4"/>
  <c r="U179" i="4"/>
  <c r="T179" i="4"/>
  <c r="M179" i="4"/>
  <c r="G179" i="4"/>
  <c r="U178" i="4"/>
  <c r="T178" i="4"/>
  <c r="M178" i="4"/>
  <c r="G178" i="4"/>
  <c r="U177" i="4"/>
  <c r="T177" i="4"/>
  <c r="M177" i="4"/>
  <c r="G177" i="4"/>
  <c r="U176" i="4"/>
  <c r="T176" i="4"/>
  <c r="M176" i="4"/>
  <c r="E176" i="4"/>
  <c r="E177" i="4" s="1"/>
  <c r="E178" i="4" s="1"/>
  <c r="E179" i="4" s="1"/>
  <c r="E180" i="4" s="1"/>
  <c r="E181" i="4" s="1"/>
  <c r="E182" i="4" s="1"/>
  <c r="E183" i="4" s="1"/>
  <c r="E184" i="4" s="1"/>
  <c r="U175" i="4"/>
  <c r="T175" i="4"/>
  <c r="M175" i="4"/>
  <c r="L175" i="4"/>
  <c r="G175" i="4"/>
  <c r="U174" i="4"/>
  <c r="T174" i="4"/>
  <c r="M174" i="4"/>
  <c r="L174" i="4"/>
  <c r="G174" i="4"/>
  <c r="U173" i="4"/>
  <c r="T173" i="4"/>
  <c r="M173" i="4"/>
  <c r="L173" i="4"/>
  <c r="G173" i="4"/>
  <c r="U172" i="4"/>
  <c r="T172" i="4"/>
  <c r="M172" i="4"/>
  <c r="G172" i="4"/>
  <c r="U171" i="4"/>
  <c r="T171" i="4"/>
  <c r="M171" i="4"/>
  <c r="G171" i="4"/>
  <c r="U170" i="4"/>
  <c r="T170" i="4"/>
  <c r="M170" i="4"/>
  <c r="G170" i="4"/>
  <c r="U169" i="4"/>
  <c r="T169" i="4"/>
  <c r="M169" i="4"/>
  <c r="G169" i="4"/>
  <c r="U168" i="4"/>
  <c r="T168" i="4"/>
  <c r="M168" i="4"/>
  <c r="G168" i="4"/>
  <c r="U167" i="4"/>
  <c r="T167" i="4"/>
  <c r="M167" i="4"/>
  <c r="G167" i="4"/>
  <c r="E167" i="4"/>
  <c r="E168" i="4" s="1"/>
  <c r="E169" i="4" s="1"/>
  <c r="E170" i="4" s="1"/>
  <c r="E171" i="4" s="1"/>
  <c r="E172" i="4" s="1"/>
  <c r="E173" i="4" s="1"/>
  <c r="E174" i="4" s="1"/>
  <c r="E175" i="4" s="1"/>
  <c r="T166" i="4"/>
  <c r="Q166" i="4"/>
  <c r="L166" i="4" s="1"/>
  <c r="G166" i="4"/>
  <c r="E166" i="4"/>
  <c r="U165" i="4"/>
  <c r="X165" i="4" s="1"/>
  <c r="T165" i="4"/>
  <c r="G165" i="4"/>
  <c r="E165" i="4"/>
  <c r="U136" i="4"/>
  <c r="X136" i="4" s="1"/>
  <c r="T136" i="4"/>
  <c r="G136" i="4"/>
  <c r="E136" i="4"/>
  <c r="T135" i="4"/>
  <c r="Q135" i="4"/>
  <c r="L135" i="4" s="1"/>
  <c r="K135" i="4"/>
  <c r="G135" i="4"/>
  <c r="E135" i="4"/>
  <c r="T134" i="4"/>
  <c r="Q134" i="4"/>
  <c r="U134" i="4" s="1"/>
  <c r="X134" i="4" s="1"/>
  <c r="K134" i="4"/>
  <c r="G134" i="4"/>
  <c r="E134" i="4"/>
  <c r="T133" i="4"/>
  <c r="Q133" i="4"/>
  <c r="L133" i="4" s="1"/>
  <c r="K133" i="4"/>
  <c r="G133" i="4"/>
  <c r="E133" i="4"/>
  <c r="T132" i="4"/>
  <c r="Q132" i="4"/>
  <c r="L132" i="4" s="1"/>
  <c r="K132" i="4"/>
  <c r="G132" i="4"/>
  <c r="E132" i="4"/>
  <c r="T131" i="4"/>
  <c r="Q131" i="4"/>
  <c r="L131" i="4" s="1"/>
  <c r="K131" i="4"/>
  <c r="G131" i="4"/>
  <c r="E131" i="4"/>
  <c r="U130" i="4"/>
  <c r="T130" i="4"/>
  <c r="M130" i="4"/>
  <c r="L130" i="4"/>
  <c r="G130" i="4"/>
  <c r="U129" i="4"/>
  <c r="T129" i="4"/>
  <c r="M129" i="4"/>
  <c r="L129" i="4"/>
  <c r="G129" i="4"/>
  <c r="U128" i="4"/>
  <c r="T128" i="4"/>
  <c r="M128" i="4"/>
  <c r="G128" i="4"/>
  <c r="U127" i="4"/>
  <c r="T127" i="4"/>
  <c r="M127" i="4"/>
  <c r="G127" i="4"/>
  <c r="E127" i="4"/>
  <c r="E128" i="4" s="1"/>
  <c r="E129" i="4" s="1"/>
  <c r="E130" i="4" s="1"/>
  <c r="U126" i="4"/>
  <c r="X126" i="4" s="1"/>
  <c r="T126" i="4"/>
  <c r="G126" i="4"/>
  <c r="E126" i="4"/>
  <c r="U125" i="4"/>
  <c r="T125" i="4"/>
  <c r="M125" i="4"/>
  <c r="L125" i="4"/>
  <c r="G125" i="4"/>
  <c r="U124" i="4"/>
  <c r="T124" i="4"/>
  <c r="M124" i="4"/>
  <c r="L124" i="4"/>
  <c r="G124" i="4"/>
  <c r="U123" i="4"/>
  <c r="T123" i="4"/>
  <c r="M123" i="4"/>
  <c r="G123" i="4"/>
  <c r="U122" i="4"/>
  <c r="T122" i="4"/>
  <c r="M122" i="4"/>
  <c r="G122" i="4"/>
  <c r="E122" i="4"/>
  <c r="E123" i="4" s="1"/>
  <c r="E124" i="4" s="1"/>
  <c r="E125" i="4" s="1"/>
  <c r="U121" i="4"/>
  <c r="T121" i="4"/>
  <c r="M121" i="4"/>
  <c r="G121" i="4"/>
  <c r="U120" i="4"/>
  <c r="T120" i="4"/>
  <c r="M120" i="4"/>
  <c r="G120" i="4"/>
  <c r="U119" i="4"/>
  <c r="T119" i="4"/>
  <c r="M119" i="4"/>
  <c r="L119" i="4"/>
  <c r="G119" i="4"/>
  <c r="U118" i="4"/>
  <c r="T118" i="4"/>
  <c r="M118" i="4"/>
  <c r="L118" i="4"/>
  <c r="G118" i="4"/>
  <c r="U117" i="4"/>
  <c r="T117" i="4"/>
  <c r="M117" i="4"/>
  <c r="L117" i="4"/>
  <c r="G117" i="4"/>
  <c r="U116" i="4"/>
  <c r="T116" i="4"/>
  <c r="M116" i="4"/>
  <c r="G116" i="4"/>
  <c r="U115" i="4"/>
  <c r="T115" i="4"/>
  <c r="M115" i="4"/>
  <c r="G115" i="4"/>
  <c r="U114" i="4"/>
  <c r="T114" i="4"/>
  <c r="M114" i="4"/>
  <c r="G114" i="4"/>
  <c r="U113" i="4"/>
  <c r="T113" i="4"/>
  <c r="M113" i="4"/>
  <c r="G113" i="4"/>
  <c r="E113" i="4"/>
  <c r="E114" i="4" s="1"/>
  <c r="E115" i="4" s="1"/>
  <c r="E116" i="4" s="1"/>
  <c r="E117" i="4" s="1"/>
  <c r="E118" i="4" s="1"/>
  <c r="E119" i="4" s="1"/>
  <c r="E120" i="4" s="1"/>
  <c r="E121" i="4" s="1"/>
  <c r="U112" i="4"/>
  <c r="T112" i="4"/>
  <c r="M112" i="4"/>
  <c r="L112" i="4"/>
  <c r="G112" i="4"/>
  <c r="U111" i="4"/>
  <c r="T111" i="4"/>
  <c r="M111" i="4"/>
  <c r="L111" i="4"/>
  <c r="G111" i="4"/>
  <c r="U110" i="4"/>
  <c r="T110" i="4"/>
  <c r="M110" i="4"/>
  <c r="G110" i="4"/>
  <c r="U109" i="4"/>
  <c r="T109" i="4"/>
  <c r="M109" i="4"/>
  <c r="G109" i="4"/>
  <c r="E109" i="4"/>
  <c r="E110" i="4" s="1"/>
  <c r="E111" i="4" s="1"/>
  <c r="E112" i="4" s="1"/>
  <c r="U108" i="4"/>
  <c r="T108" i="4"/>
  <c r="M108" i="4"/>
  <c r="L108" i="4"/>
  <c r="G108" i="4"/>
  <c r="U107" i="4"/>
  <c r="T107" i="4"/>
  <c r="M107" i="4"/>
  <c r="L107" i="4"/>
  <c r="G107" i="4"/>
  <c r="U106" i="4"/>
  <c r="T106" i="4"/>
  <c r="M106" i="4"/>
  <c r="G106" i="4"/>
  <c r="U105" i="4"/>
  <c r="T105" i="4"/>
  <c r="B105" i="4" s="1"/>
  <c r="M105" i="4"/>
  <c r="G105" i="4"/>
  <c r="E105" i="4"/>
  <c r="E106" i="4" s="1"/>
  <c r="E107" i="4" s="1"/>
  <c r="E108" i="4" s="1"/>
  <c r="U104" i="4"/>
  <c r="T104" i="4"/>
  <c r="M104" i="4"/>
  <c r="L104" i="4"/>
  <c r="G104" i="4"/>
  <c r="U103" i="4"/>
  <c r="T103" i="4"/>
  <c r="M103" i="4"/>
  <c r="L103" i="4"/>
  <c r="G103" i="4"/>
  <c r="U102" i="4"/>
  <c r="T102" i="4"/>
  <c r="M102" i="4"/>
  <c r="G102" i="4"/>
  <c r="U101" i="4"/>
  <c r="T101" i="4"/>
  <c r="B101" i="4" s="1"/>
  <c r="M101" i="4"/>
  <c r="G101" i="4"/>
  <c r="E101" i="4"/>
  <c r="E102" i="4" s="1"/>
  <c r="E103" i="4" s="1"/>
  <c r="E104" i="4" s="1"/>
  <c r="U100" i="4"/>
  <c r="X100" i="4" s="1"/>
  <c r="T100" i="4"/>
  <c r="B100" i="4" s="1"/>
  <c r="M100" i="4"/>
  <c r="G100" i="4"/>
  <c r="E100" i="4"/>
  <c r="U99" i="4"/>
  <c r="T99" i="4"/>
  <c r="M99" i="4"/>
  <c r="L99" i="4"/>
  <c r="G99" i="4"/>
  <c r="U98" i="4"/>
  <c r="T98" i="4"/>
  <c r="M98" i="4"/>
  <c r="L98" i="4"/>
  <c r="G98" i="4"/>
  <c r="U97" i="4"/>
  <c r="T97" i="4"/>
  <c r="M97" i="4"/>
  <c r="G97" i="4"/>
  <c r="U96" i="4"/>
  <c r="T96" i="4"/>
  <c r="B96" i="4" s="1"/>
  <c r="M96" i="4"/>
  <c r="G96" i="4"/>
  <c r="E96" i="4"/>
  <c r="E97" i="4" s="1"/>
  <c r="E98" i="4" s="1"/>
  <c r="E99" i="4" s="1"/>
  <c r="U95" i="4"/>
  <c r="T95" i="4"/>
  <c r="M95" i="4"/>
  <c r="L95" i="4"/>
  <c r="G95" i="4"/>
  <c r="U94" i="4"/>
  <c r="T94" i="4"/>
  <c r="M94" i="4"/>
  <c r="G94" i="4"/>
  <c r="U93" i="4"/>
  <c r="T93" i="4"/>
  <c r="M93" i="4"/>
  <c r="G93" i="4"/>
  <c r="U92" i="4"/>
  <c r="T92" i="4"/>
  <c r="M92" i="4"/>
  <c r="L92" i="4"/>
  <c r="G92" i="4"/>
  <c r="U91" i="4"/>
  <c r="T91" i="4"/>
  <c r="M91" i="4"/>
  <c r="L91" i="4"/>
  <c r="G91" i="4"/>
  <c r="U90" i="4"/>
  <c r="T90" i="4"/>
  <c r="M90" i="4"/>
  <c r="G90" i="4"/>
  <c r="U89" i="4"/>
  <c r="T89" i="4"/>
  <c r="M89" i="4"/>
  <c r="G89" i="4"/>
  <c r="U88" i="4"/>
  <c r="X88" i="4" s="1"/>
  <c r="T88" i="4"/>
  <c r="M88" i="4"/>
  <c r="G88" i="4"/>
  <c r="U87" i="4"/>
  <c r="T87" i="4"/>
  <c r="M87" i="4"/>
  <c r="G87" i="4"/>
  <c r="U86" i="4"/>
  <c r="T86" i="4"/>
  <c r="M86" i="4"/>
  <c r="G86" i="4"/>
  <c r="U85" i="4"/>
  <c r="T85" i="4"/>
  <c r="M85" i="4"/>
  <c r="G85" i="4"/>
  <c r="U84" i="4"/>
  <c r="T84" i="4"/>
  <c r="M84" i="4"/>
  <c r="G84" i="4"/>
  <c r="U83" i="4"/>
  <c r="T83" i="4"/>
  <c r="M83" i="4"/>
  <c r="L83" i="4"/>
  <c r="G83" i="4"/>
  <c r="U82" i="4"/>
  <c r="T82" i="4"/>
  <c r="M82" i="4"/>
  <c r="L82" i="4"/>
  <c r="G82" i="4"/>
  <c r="U81" i="4"/>
  <c r="T81" i="4"/>
  <c r="M81" i="4"/>
  <c r="G81" i="4"/>
  <c r="U80" i="4"/>
  <c r="T80" i="4"/>
  <c r="M80" i="4"/>
  <c r="G80" i="4"/>
  <c r="U79" i="4"/>
  <c r="T79" i="4"/>
  <c r="M79" i="4"/>
  <c r="L79" i="4"/>
  <c r="G79" i="4"/>
  <c r="U78" i="4"/>
  <c r="T78" i="4"/>
  <c r="M78" i="4"/>
  <c r="G78" i="4"/>
  <c r="U77" i="4"/>
  <c r="T77" i="4"/>
  <c r="M77" i="4"/>
  <c r="G77" i="4"/>
  <c r="U76" i="4"/>
  <c r="T76" i="4"/>
  <c r="M76" i="4"/>
  <c r="L76" i="4"/>
  <c r="G76" i="4"/>
  <c r="U75" i="4"/>
  <c r="T75" i="4"/>
  <c r="M75" i="4"/>
  <c r="G75" i="4"/>
  <c r="U74" i="4"/>
  <c r="T74" i="4"/>
  <c r="M74" i="4"/>
  <c r="G74" i="4"/>
  <c r="E74" i="4"/>
  <c r="E75" i="4" s="1"/>
  <c r="E76" i="4" s="1"/>
  <c r="U73" i="4"/>
  <c r="T73" i="4"/>
  <c r="M73" i="4"/>
  <c r="L73" i="4"/>
  <c r="G73" i="4"/>
  <c r="U72" i="4"/>
  <c r="T72" i="4"/>
  <c r="M72" i="4"/>
  <c r="G72" i="4"/>
  <c r="U71" i="4"/>
  <c r="T71" i="4"/>
  <c r="M71" i="4"/>
  <c r="G71" i="4"/>
  <c r="E71" i="4"/>
  <c r="E72" i="4" s="1"/>
  <c r="E73" i="4" s="1"/>
  <c r="U70" i="4"/>
  <c r="T70" i="4"/>
  <c r="M70" i="4"/>
  <c r="L70" i="4"/>
  <c r="G70" i="4"/>
  <c r="U69" i="4"/>
  <c r="T69" i="4"/>
  <c r="M69" i="4"/>
  <c r="G69" i="4"/>
  <c r="U68" i="4"/>
  <c r="T68" i="4"/>
  <c r="M68" i="4"/>
  <c r="G68" i="4"/>
  <c r="E68" i="4"/>
  <c r="E69" i="4" s="1"/>
  <c r="E70" i="4" s="1"/>
  <c r="U67" i="4"/>
  <c r="T67" i="4"/>
  <c r="M67" i="4"/>
  <c r="L67" i="4"/>
  <c r="G67" i="4"/>
  <c r="U66" i="4"/>
  <c r="T66" i="4"/>
  <c r="M66" i="4"/>
  <c r="G66" i="4"/>
  <c r="U65" i="4"/>
  <c r="T65" i="4"/>
  <c r="M65" i="4"/>
  <c r="G65" i="4"/>
  <c r="E65" i="4"/>
  <c r="E66" i="4" s="1"/>
  <c r="E67" i="4" s="1"/>
  <c r="U64" i="4"/>
  <c r="X64" i="4" s="1"/>
  <c r="T64" i="4"/>
  <c r="B64" i="4" s="1"/>
  <c r="M64" i="4"/>
  <c r="G64" i="4"/>
  <c r="U63" i="4"/>
  <c r="X63" i="4" s="1"/>
  <c r="T63" i="4"/>
  <c r="B63" i="4" s="1"/>
  <c r="M63" i="4"/>
  <c r="G63" i="4"/>
  <c r="E63" i="4"/>
  <c r="U62" i="4"/>
  <c r="X62" i="4" s="1"/>
  <c r="T62" i="4"/>
  <c r="M62" i="4"/>
  <c r="G62" i="4"/>
  <c r="E62" i="4"/>
  <c r="U61" i="4"/>
  <c r="T61" i="4"/>
  <c r="M61" i="4"/>
  <c r="L61" i="4"/>
  <c r="G61" i="4"/>
  <c r="U60" i="4"/>
  <c r="T60" i="4"/>
  <c r="M60" i="4"/>
  <c r="G60" i="4"/>
  <c r="U59" i="4"/>
  <c r="T59" i="4"/>
  <c r="M59" i="4"/>
  <c r="G59" i="4"/>
  <c r="E59" i="4"/>
  <c r="E60" i="4" s="1"/>
  <c r="E61" i="4" s="1"/>
  <c r="U58" i="4"/>
  <c r="T58" i="4"/>
  <c r="M58" i="4"/>
  <c r="L58" i="4"/>
  <c r="G58" i="4"/>
  <c r="U57" i="4"/>
  <c r="T57" i="4"/>
  <c r="M57" i="4"/>
  <c r="G57" i="4"/>
  <c r="U56" i="4"/>
  <c r="T56" i="4"/>
  <c r="M56" i="4"/>
  <c r="G56" i="4"/>
  <c r="E56" i="4"/>
  <c r="E57" i="4" s="1"/>
  <c r="E58" i="4" s="1"/>
  <c r="U55" i="4"/>
  <c r="X55" i="4" s="1"/>
  <c r="T55" i="4"/>
  <c r="M55" i="4"/>
  <c r="G55" i="4"/>
  <c r="E55" i="4"/>
  <c r="U54" i="4"/>
  <c r="X54" i="4" s="1"/>
  <c r="T54" i="4"/>
  <c r="M54" i="4"/>
  <c r="L54" i="4"/>
  <c r="G54" i="4"/>
  <c r="E54" i="4"/>
  <c r="U53" i="4"/>
  <c r="X53" i="4" s="1"/>
  <c r="T53" i="4"/>
  <c r="M53" i="4"/>
  <c r="G53" i="4"/>
  <c r="U52" i="4"/>
  <c r="X52" i="4" s="1"/>
  <c r="T52" i="4"/>
  <c r="M52" i="4"/>
  <c r="G52" i="4"/>
  <c r="E52" i="4"/>
  <c r="E53" i="4" s="1"/>
  <c r="U51" i="4"/>
  <c r="X51" i="4" s="1"/>
  <c r="T51" i="4"/>
  <c r="M51" i="4"/>
  <c r="G51" i="4"/>
  <c r="U50" i="4"/>
  <c r="X50" i="4" s="1"/>
  <c r="T50" i="4"/>
  <c r="M50" i="4"/>
  <c r="G50" i="4"/>
  <c r="E50" i="4"/>
  <c r="E51" i="4" s="1"/>
  <c r="U49" i="4"/>
  <c r="X49" i="4" s="1"/>
  <c r="T49" i="4"/>
  <c r="M49" i="4"/>
  <c r="G49" i="4"/>
  <c r="U48" i="4"/>
  <c r="X48" i="4" s="1"/>
  <c r="T48" i="4"/>
  <c r="M48" i="4"/>
  <c r="G48" i="4"/>
  <c r="E48" i="4"/>
  <c r="E49" i="4" s="1"/>
  <c r="U47" i="4"/>
  <c r="X47" i="4" s="1"/>
  <c r="T47" i="4"/>
  <c r="M47" i="4"/>
  <c r="G47" i="4"/>
  <c r="U46" i="4"/>
  <c r="X46" i="4" s="1"/>
  <c r="T46" i="4"/>
  <c r="M46" i="4"/>
  <c r="G46" i="4"/>
  <c r="E46" i="4"/>
  <c r="E47" i="4" s="1"/>
  <c r="U45" i="4"/>
  <c r="X45" i="4" s="1"/>
  <c r="T45" i="4"/>
  <c r="M45" i="4"/>
  <c r="G45" i="4"/>
  <c r="U44" i="4"/>
  <c r="X44" i="4" s="1"/>
  <c r="T44" i="4"/>
  <c r="M44" i="4"/>
  <c r="G44" i="4"/>
  <c r="E44" i="4"/>
  <c r="E45" i="4" s="1"/>
  <c r="U43" i="4"/>
  <c r="X43" i="4" s="1"/>
  <c r="T43" i="4"/>
  <c r="M43" i="4"/>
  <c r="G43" i="4"/>
  <c r="U42" i="4"/>
  <c r="X42" i="4" s="1"/>
  <c r="T42" i="4"/>
  <c r="M42" i="4"/>
  <c r="L42" i="4"/>
  <c r="G42" i="4"/>
  <c r="E42" i="4"/>
  <c r="E43" i="4" s="1"/>
  <c r="U41" i="4"/>
  <c r="X41" i="4" s="1"/>
  <c r="T41" i="4"/>
  <c r="M41" i="4"/>
  <c r="L41" i="4"/>
  <c r="G41" i="4"/>
  <c r="E41" i="4"/>
  <c r="U40" i="4"/>
  <c r="X40" i="4" s="1"/>
  <c r="T40" i="4"/>
  <c r="M40" i="4"/>
  <c r="L40" i="4"/>
  <c r="G40" i="4"/>
  <c r="E40" i="4"/>
  <c r="U39" i="4"/>
  <c r="X39" i="4" s="1"/>
  <c r="T39" i="4"/>
  <c r="M39" i="4"/>
  <c r="L39" i="4"/>
  <c r="G39" i="4"/>
  <c r="E39" i="4"/>
  <c r="U38" i="4"/>
  <c r="X38" i="4" s="1"/>
  <c r="T38" i="4"/>
  <c r="M38" i="4"/>
  <c r="L38" i="4"/>
  <c r="G38" i="4"/>
  <c r="E38" i="4"/>
  <c r="U37" i="4"/>
  <c r="X37" i="4" s="1"/>
  <c r="T37" i="4"/>
  <c r="M37" i="4"/>
  <c r="G37" i="4"/>
  <c r="U36" i="4"/>
  <c r="X36" i="4" s="1"/>
  <c r="T36" i="4"/>
  <c r="M36" i="4"/>
  <c r="G36" i="4"/>
  <c r="E36" i="4"/>
  <c r="E37" i="4" s="1"/>
  <c r="U35" i="4"/>
  <c r="X35" i="4" s="1"/>
  <c r="T35" i="4"/>
  <c r="M35" i="4"/>
  <c r="G35" i="4"/>
  <c r="E35" i="4"/>
  <c r="U34" i="4"/>
  <c r="X34" i="4" s="1"/>
  <c r="T34" i="4"/>
  <c r="M34" i="4"/>
  <c r="G34" i="4"/>
  <c r="U33" i="4"/>
  <c r="X33" i="4" s="1"/>
  <c r="T33" i="4"/>
  <c r="M33" i="4"/>
  <c r="L33" i="4"/>
  <c r="G33" i="4"/>
  <c r="U32" i="4"/>
  <c r="X32" i="4" s="1"/>
  <c r="T32" i="4"/>
  <c r="M32" i="4"/>
  <c r="L32" i="4"/>
  <c r="G32" i="4"/>
  <c r="U31" i="4"/>
  <c r="X31" i="4" s="1"/>
  <c r="T31" i="4"/>
  <c r="M31" i="4"/>
  <c r="L31" i="4"/>
  <c r="G31" i="4"/>
  <c r="U30" i="4"/>
  <c r="X30" i="4" s="1"/>
  <c r="T30" i="4"/>
  <c r="M30" i="4"/>
  <c r="L30" i="4"/>
  <c r="G30" i="4"/>
  <c r="U29" i="4"/>
  <c r="X29" i="4" s="1"/>
  <c r="T29" i="4"/>
  <c r="M29" i="4"/>
  <c r="L29" i="4"/>
  <c r="G29" i="4"/>
  <c r="U28" i="4"/>
  <c r="X28" i="4" s="1"/>
  <c r="T28" i="4"/>
  <c r="M28" i="4"/>
  <c r="G28" i="4"/>
  <c r="E28" i="4"/>
  <c r="U27" i="4"/>
  <c r="X27" i="4" s="1"/>
  <c r="T27" i="4"/>
  <c r="M27" i="4"/>
  <c r="G27" i="4"/>
  <c r="E27" i="4"/>
  <c r="U26" i="4"/>
  <c r="X26" i="4" s="1"/>
  <c r="T26" i="4"/>
  <c r="M26" i="4"/>
  <c r="G26" i="4"/>
  <c r="E26" i="4"/>
  <c r="U25" i="4"/>
  <c r="X25" i="4" s="1"/>
  <c r="T25" i="4"/>
  <c r="M25" i="4"/>
  <c r="G25" i="4"/>
  <c r="E25" i="4"/>
  <c r="U24" i="4"/>
  <c r="X24" i="4" s="1"/>
  <c r="T24" i="4"/>
  <c r="M24" i="4"/>
  <c r="G24" i="4"/>
  <c r="E24" i="4"/>
  <c r="U23" i="4"/>
  <c r="T23" i="4"/>
  <c r="M23" i="4"/>
  <c r="G23" i="4"/>
  <c r="U22" i="4"/>
  <c r="T22" i="4"/>
  <c r="M22" i="4"/>
  <c r="G22" i="4"/>
  <c r="U21" i="4"/>
  <c r="T21" i="4"/>
  <c r="M21" i="4"/>
  <c r="G21" i="4"/>
  <c r="U20" i="4"/>
  <c r="T20" i="4"/>
  <c r="M20" i="4"/>
  <c r="G20" i="4"/>
  <c r="U19" i="4"/>
  <c r="T19" i="4"/>
  <c r="M19" i="4"/>
  <c r="G19" i="4"/>
  <c r="E19" i="4"/>
  <c r="E20" i="4" s="1"/>
  <c r="E21" i="4" s="1"/>
  <c r="E22" i="4" s="1"/>
  <c r="E23" i="4" s="1"/>
  <c r="U18" i="4"/>
  <c r="T18" i="4"/>
  <c r="M18" i="4"/>
  <c r="L18" i="4"/>
  <c r="G18" i="4"/>
  <c r="U17" i="4"/>
  <c r="T17" i="4"/>
  <c r="M17" i="4"/>
  <c r="G17" i="4"/>
  <c r="U16" i="4"/>
  <c r="T16" i="4"/>
  <c r="M16" i="4"/>
  <c r="G16" i="4"/>
  <c r="E16" i="4"/>
  <c r="E17" i="4" s="1"/>
  <c r="E18" i="4" s="1"/>
  <c r="U15" i="4"/>
  <c r="T15" i="4"/>
  <c r="M15" i="4"/>
  <c r="L15" i="4"/>
  <c r="G15" i="4"/>
  <c r="U14" i="4"/>
  <c r="T14" i="4"/>
  <c r="M14" i="4"/>
  <c r="L14" i="4"/>
  <c r="G14" i="4"/>
  <c r="U13" i="4"/>
  <c r="T13" i="4"/>
  <c r="M13" i="4"/>
  <c r="G13" i="4"/>
  <c r="U12" i="4"/>
  <c r="T12" i="4"/>
  <c r="M12" i="4"/>
  <c r="G12" i="4"/>
  <c r="E12" i="4"/>
  <c r="E13" i="4" s="1"/>
  <c r="E14" i="4" s="1"/>
  <c r="E15" i="4" s="1"/>
  <c r="D9" i="4"/>
  <c r="E559" i="4" l="1"/>
  <c r="E560" i="4" s="1"/>
  <c r="E561" i="4" s="1"/>
  <c r="L549" i="4"/>
  <c r="E521" i="4"/>
  <c r="E517" i="4"/>
  <c r="E365" i="4"/>
  <c r="E366" i="4" s="1"/>
  <c r="E367" i="4" s="1"/>
  <c r="E368" i="4" s="1"/>
  <c r="E364" i="4"/>
  <c r="E345" i="4"/>
  <c r="E346" i="4" s="1"/>
  <c r="E347" i="4" s="1"/>
  <c r="E348" i="4" s="1"/>
  <c r="E343" i="4"/>
  <c r="E344" i="4" s="1"/>
  <c r="U131" i="4"/>
  <c r="X131" i="4" s="1"/>
  <c r="U132" i="4"/>
  <c r="X132" i="4" s="1"/>
  <c r="U166" i="4"/>
  <c r="X166" i="4" s="1"/>
  <c r="L134" i="4"/>
  <c r="L687" i="4" s="1"/>
  <c r="G10" i="4" s="1"/>
  <c r="E293" i="4"/>
  <c r="E294" i="4" s="1"/>
  <c r="E295" i="4" s="1"/>
  <c r="E296" i="4" s="1"/>
  <c r="E297" i="4" s="1"/>
  <c r="E298" i="4" s="1"/>
  <c r="E292" i="4"/>
  <c r="X535" i="4"/>
  <c r="X303" i="4"/>
  <c r="X86" i="4"/>
  <c r="X369" i="4"/>
  <c r="X546" i="4"/>
  <c r="X622" i="4"/>
  <c r="X393" i="4"/>
  <c r="X541" i="4"/>
  <c r="X588" i="4"/>
  <c r="X610" i="4"/>
  <c r="X628" i="4"/>
  <c r="X68" i="4"/>
  <c r="X127" i="4"/>
  <c r="X305" i="4"/>
  <c r="X221" i="4"/>
  <c r="X543" i="4"/>
  <c r="X334" i="4"/>
  <c r="X530" i="4"/>
  <c r="X59" i="4"/>
  <c r="X101" i="4"/>
  <c r="X203" i="4"/>
  <c r="X408" i="4"/>
  <c r="X122" i="4"/>
  <c r="X377" i="4"/>
  <c r="M687" i="4"/>
  <c r="N10" i="4" s="1"/>
  <c r="X429" i="4"/>
  <c r="X515" i="4"/>
  <c r="X65" i="4"/>
  <c r="X71" i="4"/>
  <c r="P625" i="4"/>
  <c r="U625" i="4" s="1"/>
  <c r="X625" i="4" s="1"/>
  <c r="X241" i="4"/>
  <c r="X300" i="4"/>
  <c r="X424" i="4"/>
  <c r="X461" i="4"/>
  <c r="X469" i="4"/>
  <c r="X490" i="4"/>
  <c r="X167" i="4"/>
  <c r="X328" i="4"/>
  <c r="X548" i="4"/>
  <c r="X77" i="4"/>
  <c r="X105" i="4"/>
  <c r="X176" i="4"/>
  <c r="X454" i="4"/>
  <c r="X483" i="4"/>
  <c r="X508" i="4"/>
  <c r="X519" i="4"/>
  <c r="X599" i="4"/>
  <c r="X653" i="4"/>
  <c r="AD197" i="4" s="1"/>
  <c r="X537" i="4"/>
  <c r="X552" i="4"/>
  <c r="X113" i="4"/>
  <c r="X185" i="4"/>
  <c r="X618" i="4"/>
  <c r="X392" i="4"/>
  <c r="X400" i="4"/>
  <c r="X417" i="4"/>
  <c r="X477" i="4"/>
  <c r="X566" i="4"/>
  <c r="X595" i="4"/>
  <c r="X633" i="4"/>
  <c r="X16" i="4"/>
  <c r="X19" i="4"/>
  <c r="X227" i="4"/>
  <c r="X375" i="4"/>
  <c r="X382" i="4"/>
  <c r="X414" i="4"/>
  <c r="X432" i="4"/>
  <c r="X449" i="4"/>
  <c r="X496" i="4"/>
  <c r="X194" i="4"/>
  <c r="X212" i="4"/>
  <c r="X96" i="4"/>
  <c r="X109" i="4"/>
  <c r="X56" i="4"/>
  <c r="X80" i="4"/>
  <c r="X89" i="4"/>
  <c r="X330" i="4"/>
  <c r="X339" i="4"/>
  <c r="X350" i="4"/>
  <c r="X357" i="4"/>
  <c r="X405" i="4"/>
  <c r="X435" i="4"/>
  <c r="X440" i="4"/>
  <c r="X592" i="4"/>
  <c r="X604" i="4"/>
  <c r="D7" i="4"/>
  <c r="D8" i="4" s="1"/>
  <c r="X74" i="4"/>
  <c r="U135" i="4"/>
  <c r="X135" i="4" s="1"/>
  <c r="X308" i="4"/>
  <c r="X316" i="4"/>
  <c r="E572" i="4"/>
  <c r="E573" i="4" s="1"/>
  <c r="E576" i="4"/>
  <c r="X252" i="4"/>
  <c r="X361" i="4"/>
  <c r="E420" i="4"/>
  <c r="E421" i="4"/>
  <c r="E422" i="4" s="1"/>
  <c r="E423" i="4" s="1"/>
  <c r="E481" i="4"/>
  <c r="E482" i="4"/>
  <c r="E500" i="4"/>
  <c r="E499" i="4"/>
  <c r="E511" i="4"/>
  <c r="E512" i="4"/>
  <c r="X261" i="4"/>
  <c r="X336" i="4"/>
  <c r="X270" i="4"/>
  <c r="X290" i="4"/>
  <c r="E476" i="4"/>
  <c r="E474" i="4"/>
  <c r="E475" i="4" s="1"/>
  <c r="E486" i="4"/>
  <c r="E487" i="4"/>
  <c r="E663" i="4"/>
  <c r="E664" i="4"/>
  <c r="E665" i="4" s="1"/>
  <c r="E666" i="4" s="1"/>
  <c r="E667" i="4" s="1"/>
  <c r="X12" i="4"/>
  <c r="U133" i="4"/>
  <c r="X133" i="4" s="1"/>
  <c r="X84" i="4"/>
  <c r="X239" i="4"/>
  <c r="X243" i="4"/>
  <c r="U564" i="4"/>
  <c r="X558" i="4" s="1"/>
  <c r="E463" i="4"/>
  <c r="E581" i="4"/>
  <c r="E582" i="4" s="1"/>
  <c r="E583" i="4" s="1"/>
  <c r="E584" i="4" s="1"/>
  <c r="E585" i="4" s="1"/>
  <c r="E586" i="4" s="1"/>
  <c r="E587" i="4" s="1"/>
  <c r="E493" i="4"/>
  <c r="E524" i="4"/>
  <c r="L28" i="23"/>
  <c r="N28" i="23" s="1"/>
  <c r="N30" i="23"/>
  <c r="N32" i="23"/>
  <c r="N29" i="23"/>
  <c r="L35" i="23"/>
  <c r="L34" i="23"/>
  <c r="N34" i="23" s="1"/>
  <c r="L33" i="23"/>
  <c r="N33" i="23" s="1"/>
  <c r="L32" i="23"/>
  <c r="L31" i="23"/>
  <c r="N31" i="23" s="1"/>
  <c r="L27" i="23"/>
  <c r="N27" i="23" s="1"/>
  <c r="L26" i="23"/>
  <c r="N26" i="23" s="1"/>
  <c r="L25" i="23"/>
  <c r="N25" i="23" s="1"/>
  <c r="E562" i="4" l="1"/>
  <c r="E564" i="4" s="1"/>
  <c r="E563" i="4"/>
  <c r="E299" i="4"/>
  <c r="AD680" i="4"/>
  <c r="U687" i="4"/>
  <c r="D10" i="4" s="1"/>
  <c r="E495" i="4"/>
  <c r="E494" i="4"/>
  <c r="E513" i="4"/>
  <c r="E509" i="4"/>
  <c r="E673" i="4"/>
  <c r="E674" i="4" s="1"/>
  <c r="E675" i="4" s="1"/>
  <c r="E676" i="4" s="1"/>
  <c r="E677" i="4" s="1"/>
  <c r="E678" i="4" s="1"/>
  <c r="E679" i="4" s="1"/>
  <c r="E680" i="4" s="1"/>
  <c r="E681" i="4" s="1"/>
  <c r="E682" i="4" s="1"/>
  <c r="E683" i="4" s="1"/>
  <c r="E684" i="4" s="1"/>
  <c r="E685" i="4" s="1"/>
  <c r="E668" i="4"/>
  <c r="E669" i="4" s="1"/>
  <c r="E670" i="4" s="1"/>
  <c r="E671" i="4" s="1"/>
  <c r="E672" i="4" s="1"/>
  <c r="E526" i="4"/>
  <c r="E520" i="4"/>
  <c r="X687" i="4"/>
  <c r="AD118" i="4"/>
  <c r="E501" i="4"/>
  <c r="E497" i="4"/>
  <c r="E488" i="4"/>
  <c r="E489" i="4"/>
  <c r="E575" i="4"/>
  <c r="E574" i="4" s="1"/>
  <c r="E577" i="4"/>
  <c r="E578" i="4"/>
  <c r="E579" i="4" s="1"/>
  <c r="E580" i="4" s="1"/>
  <c r="N35" i="23"/>
  <c r="C27" i="7" l="1"/>
  <c r="A25" i="7"/>
  <c r="E25" i="18" l="1"/>
  <c r="D17" i="16"/>
  <c r="W480" i="19"/>
  <c r="K480" i="19"/>
  <c r="X478" i="19"/>
  <c r="V478" i="19"/>
  <c r="U478" i="19"/>
  <c r="M478" i="19"/>
  <c r="G478" i="19"/>
  <c r="V477" i="19"/>
  <c r="X477" i="19" s="1"/>
  <c r="U477" i="19"/>
  <c r="M477" i="19"/>
  <c r="G477" i="19"/>
  <c r="V476" i="19"/>
  <c r="X476" i="19" s="1"/>
  <c r="U476" i="19"/>
  <c r="M476" i="19"/>
  <c r="G476" i="19"/>
  <c r="X475" i="19"/>
  <c r="V475" i="19"/>
  <c r="U475" i="19"/>
  <c r="M475" i="19"/>
  <c r="G475" i="19"/>
  <c r="V474" i="19"/>
  <c r="X474" i="19" s="1"/>
  <c r="U474" i="19"/>
  <c r="M474" i="19"/>
  <c r="G474" i="19"/>
  <c r="X473" i="19"/>
  <c r="V473" i="19"/>
  <c r="U473" i="19"/>
  <c r="M473" i="19"/>
  <c r="G473" i="19"/>
  <c r="V472" i="19"/>
  <c r="X472" i="19" s="1"/>
  <c r="U472" i="19"/>
  <c r="M472" i="19"/>
  <c r="G472" i="19"/>
  <c r="V471" i="19"/>
  <c r="X471" i="19" s="1"/>
  <c r="U471" i="19"/>
  <c r="M471" i="19"/>
  <c r="G471" i="19"/>
  <c r="X470" i="19"/>
  <c r="V470" i="19"/>
  <c r="U470" i="19"/>
  <c r="M470" i="19"/>
  <c r="G470" i="19"/>
  <c r="V469" i="19"/>
  <c r="X469" i="19" s="1"/>
  <c r="U469" i="19"/>
  <c r="M469" i="19"/>
  <c r="G469" i="19"/>
  <c r="X468" i="19"/>
  <c r="V468" i="19"/>
  <c r="U468" i="19"/>
  <c r="M468" i="19"/>
  <c r="G468" i="19"/>
  <c r="V467" i="19"/>
  <c r="X467" i="19" s="1"/>
  <c r="U467" i="19"/>
  <c r="M467" i="19"/>
  <c r="G467" i="19"/>
  <c r="X466" i="19"/>
  <c r="V466" i="19"/>
  <c r="U466" i="19"/>
  <c r="M466" i="19"/>
  <c r="G466" i="19"/>
  <c r="U465" i="19"/>
  <c r="Q465" i="19"/>
  <c r="V465" i="19" s="1"/>
  <c r="M465" i="19"/>
  <c r="G465" i="19"/>
  <c r="V464" i="19"/>
  <c r="X464" i="19" s="1"/>
  <c r="U464" i="19"/>
  <c r="M464" i="19"/>
  <c r="G464" i="19"/>
  <c r="U463" i="19"/>
  <c r="Q463" i="19"/>
  <c r="V463" i="19" s="1"/>
  <c r="X463" i="19" s="1"/>
  <c r="M463" i="19"/>
  <c r="L463" i="19"/>
  <c r="G463" i="19"/>
  <c r="U462" i="19"/>
  <c r="Q462" i="19"/>
  <c r="V462" i="19" s="1"/>
  <c r="X462" i="19" s="1"/>
  <c r="M462" i="19"/>
  <c r="G462" i="19"/>
  <c r="V461" i="19"/>
  <c r="X461" i="19" s="1"/>
  <c r="U461" i="19"/>
  <c r="M461" i="19"/>
  <c r="G461" i="19"/>
  <c r="X460" i="19"/>
  <c r="V460" i="19"/>
  <c r="U460" i="19"/>
  <c r="M460" i="19"/>
  <c r="G460" i="19"/>
  <c r="X459" i="19"/>
  <c r="V459" i="19"/>
  <c r="U459" i="19"/>
  <c r="M459" i="19"/>
  <c r="G459" i="19"/>
  <c r="X458" i="19"/>
  <c r="V458" i="19"/>
  <c r="U458" i="19"/>
  <c r="M458" i="19"/>
  <c r="L458" i="19"/>
  <c r="G458" i="19"/>
  <c r="X457" i="19"/>
  <c r="V457" i="19"/>
  <c r="U457" i="19"/>
  <c r="M457" i="19"/>
  <c r="G457" i="19"/>
  <c r="V456" i="19"/>
  <c r="X456" i="19" s="1"/>
  <c r="U456" i="19"/>
  <c r="M456" i="19"/>
  <c r="G456" i="19"/>
  <c r="X455" i="19"/>
  <c r="V455" i="19"/>
  <c r="U455" i="19"/>
  <c r="M455" i="19"/>
  <c r="G455" i="19"/>
  <c r="V454" i="19"/>
  <c r="X454" i="19" s="1"/>
  <c r="U454" i="19"/>
  <c r="M454" i="19"/>
  <c r="G454" i="19"/>
  <c r="V453" i="19"/>
  <c r="X453" i="19" s="1"/>
  <c r="U453" i="19"/>
  <c r="M453" i="19"/>
  <c r="G453" i="19"/>
  <c r="V452" i="19"/>
  <c r="AG480" i="19" s="1"/>
  <c r="U452" i="19"/>
  <c r="M452" i="19"/>
  <c r="G452" i="19"/>
  <c r="E452" i="19"/>
  <c r="E453" i="19" s="1"/>
  <c r="E454" i="19" s="1"/>
  <c r="E455" i="19" s="1"/>
  <c r="E456" i="19" s="1"/>
  <c r="E457" i="19" s="1"/>
  <c r="E458" i="19" s="1"/>
  <c r="E459" i="19" s="1"/>
  <c r="E460" i="19" s="1"/>
  <c r="E461" i="19" s="1"/>
  <c r="E462" i="19" s="1"/>
  <c r="E463" i="19" s="1"/>
  <c r="E464" i="19" s="1"/>
  <c r="E465" i="19" s="1"/>
  <c r="E466" i="19" s="1"/>
  <c r="E467" i="19" s="1"/>
  <c r="E468" i="19" s="1"/>
  <c r="E469" i="19" s="1"/>
  <c r="E470" i="19" s="1"/>
  <c r="E471" i="19" s="1"/>
  <c r="E472" i="19" s="1"/>
  <c r="E473" i="19" s="1"/>
  <c r="E474" i="19" s="1"/>
  <c r="E475" i="19" s="1"/>
  <c r="E476" i="19" s="1"/>
  <c r="E477" i="19" s="1"/>
  <c r="E478" i="19" s="1"/>
  <c r="V451" i="19"/>
  <c r="X451" i="19" s="1"/>
  <c r="U451" i="19"/>
  <c r="M451" i="19"/>
  <c r="G451" i="19"/>
  <c r="V450" i="19"/>
  <c r="X450" i="19" s="1"/>
  <c r="U450" i="19"/>
  <c r="M450" i="19"/>
  <c r="G450" i="19"/>
  <c r="E450" i="19"/>
  <c r="E451" i="19" s="1"/>
  <c r="V449" i="19"/>
  <c r="X449" i="19" s="1"/>
  <c r="U449" i="19"/>
  <c r="M449" i="19"/>
  <c r="G449" i="19"/>
  <c r="V448" i="19"/>
  <c r="X448" i="19" s="1"/>
  <c r="U448" i="19"/>
  <c r="M448" i="19"/>
  <c r="G448" i="19"/>
  <c r="V447" i="19"/>
  <c r="X447" i="19" s="1"/>
  <c r="U447" i="19"/>
  <c r="B447" i="19" s="1"/>
  <c r="M447" i="19"/>
  <c r="G447" i="19"/>
  <c r="E447" i="19"/>
  <c r="E448" i="19" s="1"/>
  <c r="E449" i="19" s="1"/>
  <c r="V446" i="19"/>
  <c r="AA446" i="19" s="1"/>
  <c r="U446" i="19"/>
  <c r="M446" i="19"/>
  <c r="G446" i="19"/>
  <c r="E446" i="19"/>
  <c r="V445" i="19"/>
  <c r="X445" i="19" s="1"/>
  <c r="U445" i="19"/>
  <c r="M445" i="19"/>
  <c r="G445" i="19"/>
  <c r="X444" i="19"/>
  <c r="V444" i="19"/>
  <c r="U444" i="19"/>
  <c r="M444" i="19"/>
  <c r="G444" i="19"/>
  <c r="AA443" i="19"/>
  <c r="X443" i="19"/>
  <c r="V443" i="19"/>
  <c r="U443" i="19"/>
  <c r="M443" i="19"/>
  <c r="G443" i="19"/>
  <c r="AA442" i="19"/>
  <c r="X442" i="19"/>
  <c r="V442" i="19"/>
  <c r="U442" i="19"/>
  <c r="M442" i="19"/>
  <c r="G442" i="19"/>
  <c r="AA441" i="19"/>
  <c r="X441" i="19"/>
  <c r="V441" i="19"/>
  <c r="U441" i="19"/>
  <c r="M441" i="19"/>
  <c r="G441" i="19"/>
  <c r="AA440" i="19"/>
  <c r="X440" i="19"/>
  <c r="V440" i="19"/>
  <c r="U440" i="19"/>
  <c r="M440" i="19"/>
  <c r="G440" i="19"/>
  <c r="E440" i="19"/>
  <c r="E441" i="19" s="1"/>
  <c r="E442" i="19" s="1"/>
  <c r="E443" i="19" s="1"/>
  <c r="B440" i="19"/>
  <c r="V439" i="19"/>
  <c r="X439" i="19" s="1"/>
  <c r="U439" i="19"/>
  <c r="M439" i="19"/>
  <c r="G439" i="19"/>
  <c r="V438" i="19"/>
  <c r="X438" i="19" s="1"/>
  <c r="U438" i="19"/>
  <c r="M438" i="19"/>
  <c r="G438" i="19"/>
  <c r="V437" i="19"/>
  <c r="X437" i="19" s="1"/>
  <c r="U437" i="19"/>
  <c r="M437" i="19"/>
  <c r="G437" i="19"/>
  <c r="V436" i="19"/>
  <c r="X436" i="19" s="1"/>
  <c r="U436" i="19"/>
  <c r="B436" i="19" s="1"/>
  <c r="M436" i="19"/>
  <c r="G436" i="19"/>
  <c r="E436" i="19"/>
  <c r="E437" i="19" s="1"/>
  <c r="E438" i="19" s="1"/>
  <c r="E439" i="19" s="1"/>
  <c r="V435" i="19"/>
  <c r="AA435" i="19" s="1"/>
  <c r="U435" i="19"/>
  <c r="M435" i="19"/>
  <c r="G435" i="19"/>
  <c r="E435" i="19"/>
  <c r="V434" i="19"/>
  <c r="X434" i="19" s="1"/>
  <c r="U434" i="19"/>
  <c r="M434" i="19"/>
  <c r="G434" i="19"/>
  <c r="X433" i="19"/>
  <c r="V433" i="19"/>
  <c r="U433" i="19"/>
  <c r="M433" i="19"/>
  <c r="G433" i="19"/>
  <c r="AA432" i="19"/>
  <c r="X432" i="19"/>
  <c r="V432" i="19"/>
  <c r="U432" i="19"/>
  <c r="M432" i="19"/>
  <c r="L432" i="19"/>
  <c r="G432" i="19"/>
  <c r="E432" i="19"/>
  <c r="E433" i="19" s="1"/>
  <c r="E434" i="19" s="1"/>
  <c r="V431" i="19"/>
  <c r="X431" i="19" s="1"/>
  <c r="U431" i="19"/>
  <c r="M431" i="19"/>
  <c r="G431" i="19"/>
  <c r="E431" i="19"/>
  <c r="V430" i="19"/>
  <c r="X430" i="19" s="1"/>
  <c r="U430" i="19"/>
  <c r="M430" i="19"/>
  <c r="L430" i="19"/>
  <c r="G430" i="19"/>
  <c r="V429" i="19"/>
  <c r="AA429" i="19" s="1"/>
  <c r="U429" i="19"/>
  <c r="M429" i="19"/>
  <c r="G429" i="19"/>
  <c r="E429" i="19"/>
  <c r="E430" i="19" s="1"/>
  <c r="V428" i="19"/>
  <c r="X428" i="19" s="1"/>
  <c r="U428" i="19"/>
  <c r="M428" i="19"/>
  <c r="G428" i="19"/>
  <c r="X427" i="19"/>
  <c r="V427" i="19"/>
  <c r="U427" i="19"/>
  <c r="M427" i="19"/>
  <c r="G427" i="19"/>
  <c r="AA426" i="19"/>
  <c r="X426" i="19"/>
  <c r="V426" i="19"/>
  <c r="U426" i="19"/>
  <c r="M426" i="19"/>
  <c r="G426" i="19"/>
  <c r="E426" i="19"/>
  <c r="E427" i="19" s="1"/>
  <c r="E428" i="19" s="1"/>
  <c r="X425" i="19"/>
  <c r="V425" i="19"/>
  <c r="U425" i="19"/>
  <c r="G425" i="19"/>
  <c r="X424" i="19"/>
  <c r="V424" i="19"/>
  <c r="U424" i="19"/>
  <c r="G424" i="19"/>
  <c r="V423" i="19"/>
  <c r="X423" i="19" s="1"/>
  <c r="U423" i="19"/>
  <c r="M423" i="19"/>
  <c r="G423" i="19"/>
  <c r="V422" i="19"/>
  <c r="X422" i="19" s="1"/>
  <c r="U422" i="19"/>
  <c r="M422" i="19"/>
  <c r="L422" i="19"/>
  <c r="G422" i="19"/>
  <c r="E422" i="19"/>
  <c r="E423" i="19" s="1"/>
  <c r="E424" i="19" s="1"/>
  <c r="E425" i="19" s="1"/>
  <c r="V421" i="19"/>
  <c r="U421" i="19"/>
  <c r="M421" i="19"/>
  <c r="L421" i="19"/>
  <c r="G421" i="19"/>
  <c r="E421" i="19"/>
  <c r="V420" i="19"/>
  <c r="U420" i="19"/>
  <c r="M420" i="19"/>
  <c r="G420" i="19"/>
  <c r="V419" i="19"/>
  <c r="X419" i="19" s="1"/>
  <c r="U419" i="19"/>
  <c r="M419" i="19"/>
  <c r="G419" i="19"/>
  <c r="X418" i="19"/>
  <c r="V418" i="19"/>
  <c r="U418" i="19"/>
  <c r="M418" i="19"/>
  <c r="L418" i="19"/>
  <c r="G418" i="19"/>
  <c r="E418" i="19"/>
  <c r="E419" i="19" s="1"/>
  <c r="E420" i="19" s="1"/>
  <c r="V417" i="19"/>
  <c r="X417" i="19" s="1"/>
  <c r="U417" i="19"/>
  <c r="M417" i="19"/>
  <c r="L417" i="19"/>
  <c r="G417" i="19"/>
  <c r="E417" i="19"/>
  <c r="V416" i="19"/>
  <c r="X416" i="19" s="1"/>
  <c r="U416" i="19"/>
  <c r="M416" i="19"/>
  <c r="G416" i="19"/>
  <c r="AA415" i="19"/>
  <c r="V415" i="19"/>
  <c r="X415" i="19" s="1"/>
  <c r="U415" i="19"/>
  <c r="M415" i="19"/>
  <c r="G415" i="19"/>
  <c r="E415" i="19"/>
  <c r="E416" i="19" s="1"/>
  <c r="E444" i="19" s="1"/>
  <c r="E445" i="19" s="1"/>
  <c r="AA414" i="19"/>
  <c r="V414" i="19"/>
  <c r="X414" i="19" s="1"/>
  <c r="U414" i="19"/>
  <c r="M414" i="19"/>
  <c r="G414" i="19"/>
  <c r="E414" i="19"/>
  <c r="X413" i="19"/>
  <c r="V413" i="19"/>
  <c r="U413" i="19"/>
  <c r="M413" i="19"/>
  <c r="G413" i="19"/>
  <c r="AA412" i="19"/>
  <c r="X412" i="19"/>
  <c r="V412" i="19"/>
  <c r="U412" i="19"/>
  <c r="M412" i="19"/>
  <c r="G412" i="19"/>
  <c r="E412" i="19"/>
  <c r="E413" i="19" s="1"/>
  <c r="V411" i="19"/>
  <c r="U411" i="19"/>
  <c r="M411" i="19"/>
  <c r="G411" i="19"/>
  <c r="V410" i="19"/>
  <c r="U410" i="19"/>
  <c r="M410" i="19"/>
  <c r="G410" i="19"/>
  <c r="V409" i="19"/>
  <c r="U409" i="19"/>
  <c r="M409" i="19"/>
  <c r="G409" i="19"/>
  <c r="X408" i="19"/>
  <c r="V408" i="19"/>
  <c r="U408" i="19"/>
  <c r="M408" i="19"/>
  <c r="G408" i="19"/>
  <c r="X407" i="19"/>
  <c r="V407" i="19"/>
  <c r="U407" i="19"/>
  <c r="M407" i="19"/>
  <c r="G407" i="19"/>
  <c r="X406" i="19"/>
  <c r="V406" i="19"/>
  <c r="U406" i="19"/>
  <c r="M406" i="19"/>
  <c r="G406" i="19"/>
  <c r="V405" i="19"/>
  <c r="X405" i="19" s="1"/>
  <c r="U405" i="19"/>
  <c r="M405" i="19"/>
  <c r="G405" i="19"/>
  <c r="V404" i="19"/>
  <c r="X404" i="19" s="1"/>
  <c r="U404" i="19"/>
  <c r="M404" i="19"/>
  <c r="G404" i="19"/>
  <c r="V403" i="19"/>
  <c r="X403" i="19" s="1"/>
  <c r="U403" i="19"/>
  <c r="M403" i="19"/>
  <c r="G403" i="19"/>
  <c r="V402" i="19"/>
  <c r="X402" i="19" s="1"/>
  <c r="U402" i="19"/>
  <c r="M402" i="19"/>
  <c r="G402" i="19"/>
  <c r="X401" i="19"/>
  <c r="V401" i="19"/>
  <c r="U401" i="19"/>
  <c r="M401" i="19"/>
  <c r="G401" i="19"/>
  <c r="V400" i="19"/>
  <c r="X400" i="19" s="1"/>
  <c r="U400" i="19"/>
  <c r="M400" i="19"/>
  <c r="G400" i="19"/>
  <c r="V399" i="19"/>
  <c r="W399" i="19" s="1"/>
  <c r="X399" i="19" s="1"/>
  <c r="U399" i="19"/>
  <c r="M399" i="19"/>
  <c r="G399" i="19"/>
  <c r="X398" i="19"/>
  <c r="V398" i="19"/>
  <c r="U398" i="19"/>
  <c r="M398" i="19"/>
  <c r="G398" i="19"/>
  <c r="V397" i="19"/>
  <c r="X397" i="19" s="1"/>
  <c r="U397" i="19"/>
  <c r="M397" i="19"/>
  <c r="G397" i="19"/>
  <c r="V396" i="19"/>
  <c r="X396" i="19" s="1"/>
  <c r="U396" i="19"/>
  <c r="M396" i="19"/>
  <c r="G396" i="19"/>
  <c r="V395" i="19"/>
  <c r="X395" i="19" s="1"/>
  <c r="U395" i="19"/>
  <c r="M395" i="19"/>
  <c r="G395" i="19"/>
  <c r="V394" i="19"/>
  <c r="X394" i="19" s="1"/>
  <c r="U394" i="19"/>
  <c r="M394" i="19"/>
  <c r="G394" i="19"/>
  <c r="X393" i="19"/>
  <c r="V393" i="19"/>
  <c r="U393" i="19"/>
  <c r="M393" i="19"/>
  <c r="G393" i="19"/>
  <c r="V392" i="19"/>
  <c r="X392" i="19" s="1"/>
  <c r="U392" i="19"/>
  <c r="M392" i="19"/>
  <c r="G392" i="19"/>
  <c r="V391" i="19"/>
  <c r="X391" i="19" s="1"/>
  <c r="U391" i="19"/>
  <c r="M391" i="19"/>
  <c r="G391" i="19"/>
  <c r="AA390" i="19"/>
  <c r="V390" i="19"/>
  <c r="X390" i="19" s="1"/>
  <c r="U390" i="19"/>
  <c r="M390" i="19"/>
  <c r="G390" i="19"/>
  <c r="E390" i="19"/>
  <c r="E391" i="19" s="1"/>
  <c r="B390" i="19"/>
  <c r="V389" i="19"/>
  <c r="AA389" i="19" s="1"/>
  <c r="U389" i="19"/>
  <c r="M389" i="19"/>
  <c r="L389" i="19"/>
  <c r="G389" i="19"/>
  <c r="E389" i="19"/>
  <c r="V388" i="19"/>
  <c r="X388" i="19" s="1"/>
  <c r="U388" i="19"/>
  <c r="Q388" i="19"/>
  <c r="M388" i="19"/>
  <c r="L388" i="19"/>
  <c r="G388" i="19"/>
  <c r="X387" i="19"/>
  <c r="V387" i="19"/>
  <c r="U387" i="19"/>
  <c r="X386" i="19"/>
  <c r="V386" i="19"/>
  <c r="U386" i="19"/>
  <c r="V385" i="19"/>
  <c r="X385" i="19" s="1"/>
  <c r="U385" i="19"/>
  <c r="B383" i="19" s="1"/>
  <c r="L385" i="19"/>
  <c r="E385" i="19"/>
  <c r="E386" i="19" s="1"/>
  <c r="E387" i="19" s="1"/>
  <c r="E388" i="19" s="1"/>
  <c r="V384" i="19"/>
  <c r="X384" i="19" s="1"/>
  <c r="U384" i="19"/>
  <c r="M384" i="19"/>
  <c r="G384" i="19"/>
  <c r="E384" i="19"/>
  <c r="AA383" i="19"/>
  <c r="V383" i="19"/>
  <c r="X383" i="19" s="1"/>
  <c r="U383" i="19"/>
  <c r="Q383" i="19"/>
  <c r="M383" i="19"/>
  <c r="L383" i="19"/>
  <c r="G383" i="19"/>
  <c r="E383" i="19"/>
  <c r="X382" i="19"/>
  <c r="V382" i="19"/>
  <c r="AA382" i="19" s="1"/>
  <c r="U382" i="19"/>
  <c r="M382" i="19"/>
  <c r="G382" i="19"/>
  <c r="E382" i="19"/>
  <c r="V381" i="19"/>
  <c r="AA381" i="19" s="1"/>
  <c r="U381" i="19"/>
  <c r="M381" i="19"/>
  <c r="G381" i="19"/>
  <c r="V380" i="19"/>
  <c r="AA380" i="19" s="1"/>
  <c r="U380" i="19"/>
  <c r="M380" i="19"/>
  <c r="L380" i="19"/>
  <c r="G380" i="19"/>
  <c r="AA379" i="19"/>
  <c r="V379" i="19"/>
  <c r="X379" i="19" s="1"/>
  <c r="U379" i="19"/>
  <c r="M379" i="19"/>
  <c r="G379" i="19"/>
  <c r="V378" i="19"/>
  <c r="X378" i="19" s="1"/>
  <c r="U378" i="19"/>
  <c r="M378" i="19"/>
  <c r="G378" i="19"/>
  <c r="X377" i="19"/>
  <c r="V377" i="19"/>
  <c r="U377" i="19"/>
  <c r="M377" i="19"/>
  <c r="G377" i="19"/>
  <c r="E377" i="19"/>
  <c r="E378" i="19" s="1"/>
  <c r="E379" i="19" s="1"/>
  <c r="E380" i="19" s="1"/>
  <c r="E381" i="19" s="1"/>
  <c r="V376" i="19"/>
  <c r="X376" i="19" s="1"/>
  <c r="U376" i="19"/>
  <c r="M376" i="19"/>
  <c r="G376" i="19"/>
  <c r="X375" i="19"/>
  <c r="U375" i="19"/>
  <c r="Q375" i="19"/>
  <c r="V375" i="19" s="1"/>
  <c r="M375" i="19"/>
  <c r="G375" i="19"/>
  <c r="U374" i="19"/>
  <c r="Q374" i="19"/>
  <c r="V374" i="19" s="1"/>
  <c r="X374" i="19" s="1"/>
  <c r="M374" i="19"/>
  <c r="L374" i="19"/>
  <c r="G374" i="19"/>
  <c r="E374" i="19"/>
  <c r="E375" i="19" s="1"/>
  <c r="E376" i="19" s="1"/>
  <c r="V373" i="19"/>
  <c r="U373" i="19"/>
  <c r="M373" i="19"/>
  <c r="L373" i="19"/>
  <c r="G373" i="19"/>
  <c r="E373" i="19"/>
  <c r="V372" i="19"/>
  <c r="X372" i="19" s="1"/>
  <c r="U372" i="19"/>
  <c r="M372" i="19"/>
  <c r="G372" i="19"/>
  <c r="E372" i="19"/>
  <c r="X371" i="19"/>
  <c r="V371" i="19"/>
  <c r="U371" i="19"/>
  <c r="M371" i="19"/>
  <c r="L371" i="19"/>
  <c r="G371" i="19"/>
  <c r="E371" i="19"/>
  <c r="X370" i="19"/>
  <c r="V370" i="19"/>
  <c r="U370" i="19"/>
  <c r="M370" i="19"/>
  <c r="G370" i="19"/>
  <c r="E370" i="19"/>
  <c r="V369" i="19"/>
  <c r="X369" i="19" s="1"/>
  <c r="U369" i="19"/>
  <c r="M369" i="19"/>
  <c r="L369" i="19"/>
  <c r="G369" i="19"/>
  <c r="E369" i="19"/>
  <c r="V368" i="19"/>
  <c r="AA368" i="19" s="1"/>
  <c r="U368" i="19"/>
  <c r="M368" i="19"/>
  <c r="L368" i="19"/>
  <c r="G368" i="19"/>
  <c r="E368" i="19"/>
  <c r="V367" i="19"/>
  <c r="X367" i="19" s="1"/>
  <c r="U367" i="19"/>
  <c r="M367" i="19"/>
  <c r="G367" i="19"/>
  <c r="E367" i="19"/>
  <c r="V366" i="19"/>
  <c r="U366" i="19"/>
  <c r="M366" i="19"/>
  <c r="L366" i="19"/>
  <c r="G366" i="19"/>
  <c r="E366" i="19"/>
  <c r="V365" i="19"/>
  <c r="X365" i="19" s="1"/>
  <c r="U365" i="19"/>
  <c r="M365" i="19"/>
  <c r="G365" i="19"/>
  <c r="V364" i="19"/>
  <c r="X364" i="19" s="1"/>
  <c r="U364" i="19"/>
  <c r="M364" i="19"/>
  <c r="G364" i="19"/>
  <c r="X363" i="19"/>
  <c r="V363" i="19"/>
  <c r="U363" i="19"/>
  <c r="M363" i="19"/>
  <c r="L363" i="19"/>
  <c r="G363" i="19"/>
  <c r="E363" i="19"/>
  <c r="E364" i="19" s="1"/>
  <c r="E365" i="19" s="1"/>
  <c r="X362" i="19"/>
  <c r="V362" i="19"/>
  <c r="U362" i="19"/>
  <c r="M362" i="19"/>
  <c r="L362" i="19"/>
  <c r="G362" i="19"/>
  <c r="E362" i="19"/>
  <c r="V361" i="19"/>
  <c r="AA361" i="19" s="1"/>
  <c r="U361" i="19"/>
  <c r="M361" i="19"/>
  <c r="L361" i="19"/>
  <c r="G361" i="19"/>
  <c r="E361" i="19"/>
  <c r="V360" i="19"/>
  <c r="G360" i="19"/>
  <c r="E360" i="19"/>
  <c r="AA359" i="19"/>
  <c r="V359" i="19"/>
  <c r="X359" i="19" s="1"/>
  <c r="U359" i="19"/>
  <c r="M359" i="19"/>
  <c r="G359" i="19"/>
  <c r="E359" i="19"/>
  <c r="V358" i="19"/>
  <c r="X358" i="19" s="1"/>
  <c r="U358" i="19"/>
  <c r="M358" i="19"/>
  <c r="G358" i="19"/>
  <c r="E358" i="19"/>
  <c r="V357" i="19"/>
  <c r="AA357" i="19" s="1"/>
  <c r="U357" i="19"/>
  <c r="M357" i="19"/>
  <c r="L357" i="19"/>
  <c r="G357" i="19"/>
  <c r="E357" i="19"/>
  <c r="V356" i="19"/>
  <c r="X356" i="19" s="1"/>
  <c r="U356" i="19"/>
  <c r="G356" i="19"/>
  <c r="V355" i="19"/>
  <c r="W355" i="19" s="1"/>
  <c r="U355" i="19"/>
  <c r="L355" i="19"/>
  <c r="G355" i="19"/>
  <c r="X354" i="19"/>
  <c r="V354" i="19"/>
  <c r="W354" i="19" s="1"/>
  <c r="U354" i="19"/>
  <c r="L354" i="19"/>
  <c r="G354" i="19"/>
  <c r="X353" i="19"/>
  <c r="V353" i="19"/>
  <c r="U353" i="19"/>
  <c r="G353" i="19"/>
  <c r="E353" i="19"/>
  <c r="E354" i="19" s="1"/>
  <c r="E355" i="19" s="1"/>
  <c r="E356" i="19" s="1"/>
  <c r="X352" i="19"/>
  <c r="V352" i="19"/>
  <c r="U352" i="19"/>
  <c r="G352" i="19"/>
  <c r="E352" i="19"/>
  <c r="V351" i="19"/>
  <c r="AA351" i="19" s="1"/>
  <c r="U351" i="19"/>
  <c r="G351" i="19"/>
  <c r="E351" i="19"/>
  <c r="V350" i="19"/>
  <c r="X350" i="19" s="1"/>
  <c r="U350" i="19"/>
  <c r="G350" i="19"/>
  <c r="X349" i="19"/>
  <c r="V349" i="19"/>
  <c r="W349" i="19" s="1"/>
  <c r="U349" i="19"/>
  <c r="L349" i="19"/>
  <c r="G349" i="19"/>
  <c r="V348" i="19"/>
  <c r="W348" i="19" s="1"/>
  <c r="U348" i="19"/>
  <c r="L348" i="19"/>
  <c r="G348" i="19"/>
  <c r="X347" i="19"/>
  <c r="V347" i="19"/>
  <c r="U347" i="19"/>
  <c r="G347" i="19"/>
  <c r="V346" i="19"/>
  <c r="AA346" i="19" s="1"/>
  <c r="U346" i="19"/>
  <c r="M346" i="19"/>
  <c r="G346" i="19"/>
  <c r="E346" i="19"/>
  <c r="E347" i="19" s="1"/>
  <c r="E348" i="19" s="1"/>
  <c r="E349" i="19" s="1"/>
  <c r="E350" i="19" s="1"/>
  <c r="V345" i="19"/>
  <c r="X345" i="19" s="1"/>
  <c r="U345" i="19"/>
  <c r="M345" i="19"/>
  <c r="G345" i="19"/>
  <c r="V344" i="19"/>
  <c r="X344" i="19" s="1"/>
  <c r="U344" i="19"/>
  <c r="M344" i="19"/>
  <c r="L344" i="19"/>
  <c r="G344" i="19"/>
  <c r="V343" i="19"/>
  <c r="AA343" i="19" s="1"/>
  <c r="U343" i="19"/>
  <c r="M343" i="19"/>
  <c r="G343" i="19"/>
  <c r="E343" i="19"/>
  <c r="E344" i="19" s="1"/>
  <c r="E345" i="19" s="1"/>
  <c r="V342" i="19"/>
  <c r="AA342" i="19" s="1"/>
  <c r="U342" i="19"/>
  <c r="M342" i="19"/>
  <c r="L342" i="19"/>
  <c r="G342" i="19"/>
  <c r="E342" i="19"/>
  <c r="W341" i="19"/>
  <c r="X341" i="19" s="1"/>
  <c r="V341" i="19"/>
  <c r="U341" i="19"/>
  <c r="M341" i="19"/>
  <c r="G341" i="19"/>
  <c r="AA340" i="19"/>
  <c r="X340" i="19"/>
  <c r="V340" i="19"/>
  <c r="W340" i="19" s="1"/>
  <c r="U340" i="19"/>
  <c r="M340" i="19"/>
  <c r="G340" i="19"/>
  <c r="E340" i="19"/>
  <c r="E341" i="19" s="1"/>
  <c r="AA339" i="19"/>
  <c r="W339" i="19"/>
  <c r="V339" i="19"/>
  <c r="U339" i="19"/>
  <c r="M339" i="19"/>
  <c r="G339" i="19"/>
  <c r="E339" i="19"/>
  <c r="W338" i="19"/>
  <c r="X338" i="19" s="1"/>
  <c r="V338" i="19"/>
  <c r="AA338" i="19" s="1"/>
  <c r="U338" i="19"/>
  <c r="M338" i="19"/>
  <c r="G338" i="19"/>
  <c r="E338" i="19"/>
  <c r="V337" i="19"/>
  <c r="X337" i="19" s="1"/>
  <c r="U337" i="19"/>
  <c r="M337" i="19"/>
  <c r="G337" i="19"/>
  <c r="E337" i="19"/>
  <c r="AA336" i="19"/>
  <c r="V336" i="19"/>
  <c r="X336" i="19" s="1"/>
  <c r="U336" i="19"/>
  <c r="B336" i="19" s="1"/>
  <c r="M336" i="19"/>
  <c r="G336" i="19"/>
  <c r="E336" i="19"/>
  <c r="V335" i="19"/>
  <c r="X335" i="19" s="1"/>
  <c r="U335" i="19"/>
  <c r="M335" i="19"/>
  <c r="L335" i="19"/>
  <c r="G335" i="19"/>
  <c r="V334" i="19"/>
  <c r="X334" i="19" s="1"/>
  <c r="U334" i="19"/>
  <c r="M334" i="19"/>
  <c r="L334" i="19"/>
  <c r="G334" i="19"/>
  <c r="X333" i="19"/>
  <c r="V333" i="19"/>
  <c r="U333" i="19"/>
  <c r="M333" i="19"/>
  <c r="L333" i="19"/>
  <c r="G333" i="19"/>
  <c r="V332" i="19"/>
  <c r="U332" i="19"/>
  <c r="M332" i="19"/>
  <c r="G332" i="19"/>
  <c r="X331" i="19"/>
  <c r="V331" i="19"/>
  <c r="U331" i="19"/>
  <c r="M331" i="19"/>
  <c r="L331" i="19"/>
  <c r="G331" i="19"/>
  <c r="X330" i="19"/>
  <c r="V330" i="19"/>
  <c r="U330" i="19"/>
  <c r="M330" i="19"/>
  <c r="G330" i="19"/>
  <c r="AA329" i="19"/>
  <c r="X329" i="19"/>
  <c r="V329" i="19"/>
  <c r="U329" i="19"/>
  <c r="B329" i="19" s="1"/>
  <c r="M329" i="19"/>
  <c r="G329" i="19"/>
  <c r="E329" i="19"/>
  <c r="E330" i="19" s="1"/>
  <c r="E331" i="19" s="1"/>
  <c r="X328" i="19"/>
  <c r="V328" i="19"/>
  <c r="U328" i="19"/>
  <c r="B326" i="19" s="1"/>
  <c r="M328" i="19"/>
  <c r="G328" i="19"/>
  <c r="V327" i="19"/>
  <c r="X327" i="19" s="1"/>
  <c r="U327" i="19"/>
  <c r="M327" i="19"/>
  <c r="G327" i="19"/>
  <c r="AA326" i="19"/>
  <c r="V326" i="19"/>
  <c r="X326" i="19" s="1"/>
  <c r="U326" i="19"/>
  <c r="M326" i="19"/>
  <c r="G326" i="19"/>
  <c r="E326" i="19"/>
  <c r="E327" i="19" s="1"/>
  <c r="E328" i="19" s="1"/>
  <c r="V325" i="19"/>
  <c r="X325" i="19" s="1"/>
  <c r="U325" i="19"/>
  <c r="M325" i="19"/>
  <c r="G325" i="19"/>
  <c r="X324" i="19"/>
  <c r="V324" i="19"/>
  <c r="U324" i="19"/>
  <c r="M324" i="19"/>
  <c r="L324" i="19"/>
  <c r="G324" i="19"/>
  <c r="V323" i="19"/>
  <c r="U323" i="19"/>
  <c r="M323" i="19"/>
  <c r="L323" i="19"/>
  <c r="G323" i="19"/>
  <c r="V322" i="19"/>
  <c r="X322" i="19" s="1"/>
  <c r="U322" i="19"/>
  <c r="M322" i="19"/>
  <c r="G322" i="19"/>
  <c r="X321" i="19"/>
  <c r="V321" i="19"/>
  <c r="U321" i="19"/>
  <c r="M321" i="19"/>
  <c r="G321" i="19"/>
  <c r="X320" i="19"/>
  <c r="V320" i="19"/>
  <c r="AA320" i="19" s="1"/>
  <c r="U320" i="19"/>
  <c r="M320" i="19"/>
  <c r="G320" i="19"/>
  <c r="E320" i="19"/>
  <c r="E321" i="19" s="1"/>
  <c r="E322" i="19" s="1"/>
  <c r="E323" i="19" s="1"/>
  <c r="E324" i="19" s="1"/>
  <c r="E325" i="19" s="1"/>
  <c r="V319" i="19"/>
  <c r="V318" i="19"/>
  <c r="V317" i="19"/>
  <c r="V316" i="19"/>
  <c r="V315" i="19"/>
  <c r="E315" i="19"/>
  <c r="E316" i="19" s="1"/>
  <c r="E317" i="19" s="1"/>
  <c r="E318" i="19" s="1"/>
  <c r="E319" i="19" s="1"/>
  <c r="V314" i="19"/>
  <c r="E314" i="19"/>
  <c r="V313" i="19"/>
  <c r="E313" i="19"/>
  <c r="V312" i="19"/>
  <c r="V311" i="19"/>
  <c r="V310" i="19"/>
  <c r="E310" i="19"/>
  <c r="E311" i="19" s="1"/>
  <c r="E312" i="19" s="1"/>
  <c r="V309" i="19"/>
  <c r="E309" i="19"/>
  <c r="V308" i="19"/>
  <c r="V307" i="19"/>
  <c r="V306" i="19"/>
  <c r="E306" i="19"/>
  <c r="E307" i="19" s="1"/>
  <c r="E308" i="19" s="1"/>
  <c r="V305" i="19"/>
  <c r="V304" i="19"/>
  <c r="E304" i="19"/>
  <c r="E305" i="19" s="1"/>
  <c r="V303" i="19"/>
  <c r="V302" i="19"/>
  <c r="E302" i="19"/>
  <c r="E303" i="19" s="1"/>
  <c r="Q301" i="19"/>
  <c r="V301" i="19" s="1"/>
  <c r="V300" i="19"/>
  <c r="V299" i="19"/>
  <c r="E299" i="19"/>
  <c r="E300" i="19" s="1"/>
  <c r="E301" i="19" s="1"/>
  <c r="V298" i="19"/>
  <c r="E298" i="19"/>
  <c r="V297" i="19"/>
  <c r="V296" i="19"/>
  <c r="Q295" i="19"/>
  <c r="V295" i="19" s="1"/>
  <c r="V294" i="19"/>
  <c r="V293" i="19"/>
  <c r="V292" i="19"/>
  <c r="V291" i="19"/>
  <c r="V290" i="19"/>
  <c r="V289" i="19"/>
  <c r="G289" i="19"/>
  <c r="E289" i="19"/>
  <c r="E290" i="19" s="1"/>
  <c r="E291" i="19" s="1"/>
  <c r="E292" i="19" s="1"/>
  <c r="E293" i="19" s="1"/>
  <c r="E294" i="19" s="1"/>
  <c r="E295" i="19" s="1"/>
  <c r="E296" i="19" s="1"/>
  <c r="E297" i="19" s="1"/>
  <c r="V288" i="19"/>
  <c r="G288" i="19"/>
  <c r="E288" i="19"/>
  <c r="V287" i="19"/>
  <c r="G287" i="19"/>
  <c r="V286" i="19"/>
  <c r="G286" i="19"/>
  <c r="V285" i="19"/>
  <c r="G285" i="19"/>
  <c r="V284" i="19"/>
  <c r="G284" i="19"/>
  <c r="V283" i="19"/>
  <c r="G283" i="19"/>
  <c r="V282" i="19"/>
  <c r="G282" i="19"/>
  <c r="V281" i="19"/>
  <c r="G281" i="19"/>
  <c r="V280" i="19"/>
  <c r="G280" i="19"/>
  <c r="V279" i="19"/>
  <c r="G279" i="19"/>
  <c r="AA278" i="19"/>
  <c r="X278" i="19"/>
  <c r="V278" i="19"/>
  <c r="U278" i="19"/>
  <c r="M278" i="19"/>
  <c r="G278" i="19"/>
  <c r="E278" i="19"/>
  <c r="B278" i="19"/>
  <c r="X277" i="19"/>
  <c r="V277" i="19"/>
  <c r="U277" i="19"/>
  <c r="M277" i="19"/>
  <c r="G277" i="19"/>
  <c r="X276" i="19"/>
  <c r="V276" i="19"/>
  <c r="U276" i="19"/>
  <c r="M276" i="19"/>
  <c r="L276" i="19"/>
  <c r="G276" i="19"/>
  <c r="E276" i="19"/>
  <c r="E277" i="19" s="1"/>
  <c r="X275" i="19"/>
  <c r="W275" i="19"/>
  <c r="V275" i="19"/>
  <c r="U275" i="19"/>
  <c r="M275" i="19"/>
  <c r="L275" i="19"/>
  <c r="G275" i="19"/>
  <c r="E275" i="19"/>
  <c r="V274" i="19"/>
  <c r="X274" i="19" s="1"/>
  <c r="U274" i="19"/>
  <c r="M274" i="19"/>
  <c r="G274" i="19"/>
  <c r="E274" i="19"/>
  <c r="X273" i="19"/>
  <c r="V273" i="19"/>
  <c r="W273" i="19" s="1"/>
  <c r="U273" i="19"/>
  <c r="M273" i="19"/>
  <c r="G273" i="19"/>
  <c r="E273" i="19"/>
  <c r="AA272" i="19"/>
  <c r="W272" i="19"/>
  <c r="V272" i="19"/>
  <c r="U272" i="19"/>
  <c r="M272" i="19"/>
  <c r="L272" i="19"/>
  <c r="G272" i="19"/>
  <c r="E272" i="19"/>
  <c r="X271" i="19"/>
  <c r="V271" i="19"/>
  <c r="U271" i="19"/>
  <c r="M271" i="19"/>
  <c r="G271" i="19"/>
  <c r="V270" i="19"/>
  <c r="X270" i="19" s="1"/>
  <c r="U270" i="19"/>
  <c r="M270" i="19"/>
  <c r="L270" i="19"/>
  <c r="G270" i="19"/>
  <c r="V269" i="19"/>
  <c r="U269" i="19"/>
  <c r="M269" i="19"/>
  <c r="L269" i="19"/>
  <c r="G269" i="19"/>
  <c r="V268" i="19"/>
  <c r="U268" i="19"/>
  <c r="M268" i="19"/>
  <c r="G268" i="19"/>
  <c r="V267" i="19"/>
  <c r="X267" i="19" s="1"/>
  <c r="U267" i="19"/>
  <c r="M267" i="19"/>
  <c r="G267" i="19"/>
  <c r="X266" i="19"/>
  <c r="V266" i="19"/>
  <c r="U266" i="19"/>
  <c r="M266" i="19"/>
  <c r="G266" i="19"/>
  <c r="E266" i="19"/>
  <c r="E267" i="19" s="1"/>
  <c r="E268" i="19" s="1"/>
  <c r="E269" i="19" s="1"/>
  <c r="E270" i="19" s="1"/>
  <c r="E271" i="19" s="1"/>
  <c r="V265" i="19"/>
  <c r="X265" i="19" s="1"/>
  <c r="U265" i="19"/>
  <c r="M265" i="19"/>
  <c r="G265" i="19"/>
  <c r="X264" i="19"/>
  <c r="V264" i="19"/>
  <c r="U264" i="19"/>
  <c r="M264" i="19"/>
  <c r="L264" i="19"/>
  <c r="G264" i="19"/>
  <c r="V263" i="19"/>
  <c r="W263" i="19" s="1"/>
  <c r="U263" i="19"/>
  <c r="M263" i="19"/>
  <c r="L263" i="19"/>
  <c r="G263" i="19"/>
  <c r="X262" i="19"/>
  <c r="W262" i="19"/>
  <c r="V262" i="19"/>
  <c r="U262" i="19"/>
  <c r="M262" i="19"/>
  <c r="G262" i="19"/>
  <c r="V261" i="19"/>
  <c r="X261" i="19" s="1"/>
  <c r="U261" i="19"/>
  <c r="M261" i="19"/>
  <c r="G261" i="19"/>
  <c r="X260" i="19"/>
  <c r="V260" i="19"/>
  <c r="AA260" i="19" s="1"/>
  <c r="U260" i="19"/>
  <c r="M260" i="19"/>
  <c r="G260" i="19"/>
  <c r="E260" i="19"/>
  <c r="E261" i="19" s="1"/>
  <c r="E262" i="19" s="1"/>
  <c r="E263" i="19" s="1"/>
  <c r="E264" i="19" s="1"/>
  <c r="E265" i="19" s="1"/>
  <c r="V259" i="19"/>
  <c r="AA259" i="19" s="1"/>
  <c r="U259" i="19"/>
  <c r="B259" i="19" s="1"/>
  <c r="M259" i="19"/>
  <c r="G259" i="19"/>
  <c r="E259" i="19"/>
  <c r="V258" i="19"/>
  <c r="X258" i="19" s="1"/>
  <c r="U258" i="19"/>
  <c r="G258" i="19"/>
  <c r="X257" i="19"/>
  <c r="V257" i="19"/>
  <c r="U257" i="19"/>
  <c r="G257" i="19"/>
  <c r="X256" i="19"/>
  <c r="V256" i="19"/>
  <c r="U256" i="19"/>
  <c r="L256" i="19"/>
  <c r="G256" i="19"/>
  <c r="V255" i="19"/>
  <c r="X255" i="19" s="1"/>
  <c r="U255" i="19"/>
  <c r="L255" i="19"/>
  <c r="G255" i="19"/>
  <c r="X254" i="19"/>
  <c r="V254" i="19"/>
  <c r="U254" i="19"/>
  <c r="G254" i="19"/>
  <c r="V253" i="19"/>
  <c r="X253" i="19" s="1"/>
  <c r="U253" i="19"/>
  <c r="G253" i="19"/>
  <c r="V252" i="19"/>
  <c r="X252" i="19" s="1"/>
  <c r="U252" i="19"/>
  <c r="G252" i="19"/>
  <c r="AA251" i="19"/>
  <c r="X251" i="19"/>
  <c r="V251" i="19"/>
  <c r="U251" i="19"/>
  <c r="B251" i="19" s="1"/>
  <c r="M251" i="19"/>
  <c r="G251" i="19"/>
  <c r="E251" i="19"/>
  <c r="E252" i="19" s="1"/>
  <c r="E253" i="19" s="1"/>
  <c r="E254" i="19" s="1"/>
  <c r="E255" i="19" s="1"/>
  <c r="E256" i="19" s="1"/>
  <c r="E257" i="19" s="1"/>
  <c r="E258" i="19" s="1"/>
  <c r="X250" i="19"/>
  <c r="V250" i="19"/>
  <c r="U250" i="19"/>
  <c r="M250" i="19"/>
  <c r="L250" i="19"/>
  <c r="G250" i="19"/>
  <c r="X249" i="19"/>
  <c r="V249" i="19"/>
  <c r="U249" i="19"/>
  <c r="M249" i="19"/>
  <c r="G249" i="19"/>
  <c r="X248" i="19"/>
  <c r="V248" i="19"/>
  <c r="AA248" i="19" s="1"/>
  <c r="U248" i="19"/>
  <c r="M248" i="19"/>
  <c r="G248" i="19"/>
  <c r="E248" i="19"/>
  <c r="E249" i="19" s="1"/>
  <c r="E250" i="19" s="1"/>
  <c r="V247" i="19"/>
  <c r="X247" i="19" s="1"/>
  <c r="U247" i="19"/>
  <c r="M247" i="19"/>
  <c r="L247" i="19"/>
  <c r="G247" i="19"/>
  <c r="AA246" i="19"/>
  <c r="X246" i="19"/>
  <c r="V246" i="19"/>
  <c r="U246" i="19"/>
  <c r="M246" i="19"/>
  <c r="G246" i="19"/>
  <c r="E246" i="19"/>
  <c r="E247" i="19" s="1"/>
  <c r="V245" i="19"/>
  <c r="X245" i="19" s="1"/>
  <c r="U245" i="19"/>
  <c r="M245" i="19"/>
  <c r="L245" i="19"/>
  <c r="G245" i="19"/>
  <c r="E245" i="19"/>
  <c r="V244" i="19"/>
  <c r="X244" i="19" s="1"/>
  <c r="U244" i="19"/>
  <c r="M244" i="19"/>
  <c r="G244" i="19"/>
  <c r="E244" i="19"/>
  <c r="X243" i="19"/>
  <c r="V243" i="19"/>
  <c r="U243" i="19"/>
  <c r="M243" i="19"/>
  <c r="G243" i="19"/>
  <c r="AA242" i="19"/>
  <c r="X242" i="19"/>
  <c r="V242" i="19"/>
  <c r="U242" i="19"/>
  <c r="M242" i="19"/>
  <c r="G242" i="19"/>
  <c r="E242" i="19"/>
  <c r="E243" i="19" s="1"/>
  <c r="X241" i="19"/>
  <c r="V241" i="19"/>
  <c r="U241" i="19"/>
  <c r="M241" i="19"/>
  <c r="L241" i="19"/>
  <c r="G241" i="19"/>
  <c r="AA240" i="19"/>
  <c r="X240" i="19"/>
  <c r="V240" i="19"/>
  <c r="U240" i="19"/>
  <c r="M240" i="19"/>
  <c r="G240" i="19"/>
  <c r="E240" i="19"/>
  <c r="E241" i="19" s="1"/>
  <c r="AA239" i="19"/>
  <c r="X239" i="19"/>
  <c r="V239" i="19"/>
  <c r="U239" i="19"/>
  <c r="M239" i="19"/>
  <c r="G239" i="19"/>
  <c r="E239" i="19"/>
  <c r="V238" i="19"/>
  <c r="X238" i="19" s="1"/>
  <c r="U238" i="19"/>
  <c r="M238" i="19"/>
  <c r="L238" i="19"/>
  <c r="G238" i="19"/>
  <c r="X237" i="19"/>
  <c r="V237" i="19"/>
  <c r="U237" i="19"/>
  <c r="M237" i="19"/>
  <c r="G237" i="19"/>
  <c r="V236" i="19"/>
  <c r="X236" i="19" s="1"/>
  <c r="U236" i="19"/>
  <c r="M236" i="19"/>
  <c r="G236" i="19"/>
  <c r="X235" i="19"/>
  <c r="V235" i="19"/>
  <c r="U235" i="19"/>
  <c r="M235" i="19"/>
  <c r="G235" i="19"/>
  <c r="V234" i="19"/>
  <c r="X234" i="19" s="1"/>
  <c r="U234" i="19"/>
  <c r="M234" i="19"/>
  <c r="G234" i="19"/>
  <c r="V233" i="19"/>
  <c r="X233" i="19" s="1"/>
  <c r="U233" i="19"/>
  <c r="M233" i="19"/>
  <c r="G233" i="19"/>
  <c r="V232" i="19"/>
  <c r="X232" i="19" s="1"/>
  <c r="U232" i="19"/>
  <c r="M232" i="19"/>
  <c r="G232" i="19"/>
  <c r="X231" i="19"/>
  <c r="V231" i="19"/>
  <c r="U231" i="19"/>
  <c r="M231" i="19"/>
  <c r="G231" i="19"/>
  <c r="X230" i="19"/>
  <c r="V230" i="19"/>
  <c r="U230" i="19"/>
  <c r="M230" i="19"/>
  <c r="G230" i="19"/>
  <c r="V229" i="19"/>
  <c r="X229" i="19" s="1"/>
  <c r="U229" i="19"/>
  <c r="M229" i="19"/>
  <c r="G229" i="19"/>
  <c r="V228" i="19"/>
  <c r="U228" i="19"/>
  <c r="M228" i="19"/>
  <c r="G228" i="19"/>
  <c r="E228" i="19"/>
  <c r="E229" i="19" s="1"/>
  <c r="E230" i="19" s="1"/>
  <c r="E231" i="19" s="1"/>
  <c r="E232" i="19" s="1"/>
  <c r="E233" i="19" s="1"/>
  <c r="E234" i="19" s="1"/>
  <c r="E235" i="19" s="1"/>
  <c r="E236" i="19" s="1"/>
  <c r="E237" i="19" s="1"/>
  <c r="E238" i="19" s="1"/>
  <c r="X227" i="19"/>
  <c r="V227" i="19"/>
  <c r="U227" i="19"/>
  <c r="M227" i="19"/>
  <c r="L227" i="19"/>
  <c r="G227" i="19"/>
  <c r="X226" i="19"/>
  <c r="V226" i="19"/>
  <c r="U226" i="19"/>
  <c r="M226" i="19"/>
  <c r="G226" i="19"/>
  <c r="V225" i="19"/>
  <c r="X225" i="19" s="1"/>
  <c r="U225" i="19"/>
  <c r="M225" i="19"/>
  <c r="G225" i="19"/>
  <c r="V224" i="19"/>
  <c r="U224" i="19"/>
  <c r="M224" i="19"/>
  <c r="L224" i="19"/>
  <c r="G224" i="19"/>
  <c r="W223" i="19"/>
  <c r="X223" i="19" s="1"/>
  <c r="V223" i="19"/>
  <c r="U223" i="19"/>
  <c r="M223" i="19"/>
  <c r="G223" i="19"/>
  <c r="V222" i="19"/>
  <c r="X222" i="19" s="1"/>
  <c r="U222" i="19"/>
  <c r="M222" i="19"/>
  <c r="G222" i="19"/>
  <c r="X221" i="19"/>
  <c r="V221" i="19"/>
  <c r="U221" i="19"/>
  <c r="M221" i="19"/>
  <c r="G221" i="19"/>
  <c r="E221" i="19"/>
  <c r="E222" i="19" s="1"/>
  <c r="E223" i="19" s="1"/>
  <c r="E224" i="19" s="1"/>
  <c r="E225" i="19" s="1"/>
  <c r="E226" i="19" s="1"/>
  <c r="E227" i="19" s="1"/>
  <c r="X220" i="19"/>
  <c r="V220" i="19"/>
  <c r="AA220" i="19" s="1"/>
  <c r="U220" i="19"/>
  <c r="M220" i="19"/>
  <c r="G220" i="19"/>
  <c r="E220" i="19"/>
  <c r="V219" i="19"/>
  <c r="X219" i="19" s="1"/>
  <c r="U219" i="19"/>
  <c r="M219" i="19"/>
  <c r="L219" i="19"/>
  <c r="G219" i="19"/>
  <c r="E219" i="19"/>
  <c r="W218" i="19"/>
  <c r="V218" i="19"/>
  <c r="X218" i="19" s="1"/>
  <c r="U218" i="19"/>
  <c r="M218" i="19"/>
  <c r="L218" i="19"/>
  <c r="G218" i="19"/>
  <c r="V217" i="19"/>
  <c r="AA217" i="19" s="1"/>
  <c r="U217" i="19"/>
  <c r="M217" i="19"/>
  <c r="G217" i="19"/>
  <c r="E217" i="19"/>
  <c r="E218" i="19" s="1"/>
  <c r="X216" i="19"/>
  <c r="V216" i="19"/>
  <c r="U216" i="19"/>
  <c r="L216" i="19"/>
  <c r="G216" i="19"/>
  <c r="AA215" i="19"/>
  <c r="X215" i="19"/>
  <c r="V215" i="19"/>
  <c r="U215" i="19"/>
  <c r="M215" i="19"/>
  <c r="G215" i="19"/>
  <c r="E215" i="19"/>
  <c r="E216" i="19" s="1"/>
  <c r="X214" i="19"/>
  <c r="V214" i="19"/>
  <c r="AA214" i="19" s="1"/>
  <c r="U214" i="19"/>
  <c r="M214" i="19"/>
  <c r="L214" i="19"/>
  <c r="G214" i="19"/>
  <c r="E214" i="19"/>
  <c r="X213" i="19"/>
  <c r="V213" i="19"/>
  <c r="U213" i="19"/>
  <c r="L213" i="19"/>
  <c r="G213" i="19"/>
  <c r="AA212" i="19"/>
  <c r="X212" i="19"/>
  <c r="V212" i="19"/>
  <c r="U212" i="19"/>
  <c r="M212" i="19"/>
  <c r="G212" i="19"/>
  <c r="E212" i="19"/>
  <c r="E213" i="19" s="1"/>
  <c r="V211" i="19"/>
  <c r="X211" i="19" s="1"/>
  <c r="U211" i="19"/>
  <c r="M211" i="19"/>
  <c r="L211" i="19"/>
  <c r="G211" i="19"/>
  <c r="V210" i="19"/>
  <c r="X210" i="19" s="1"/>
  <c r="U210" i="19"/>
  <c r="M210" i="19"/>
  <c r="G210" i="19"/>
  <c r="X209" i="19"/>
  <c r="V209" i="19"/>
  <c r="U209" i="19"/>
  <c r="M209" i="19"/>
  <c r="L209" i="19"/>
  <c r="G209" i="19"/>
  <c r="X208" i="19"/>
  <c r="V208" i="19"/>
  <c r="W208" i="19" s="1"/>
  <c r="U208" i="19"/>
  <c r="M208" i="19"/>
  <c r="L208" i="19"/>
  <c r="G208" i="19"/>
  <c r="V207" i="19"/>
  <c r="X207" i="19" s="1"/>
  <c r="U207" i="19"/>
  <c r="M207" i="19"/>
  <c r="G207" i="19"/>
  <c r="X206" i="19"/>
  <c r="V206" i="19"/>
  <c r="U206" i="19"/>
  <c r="M206" i="19"/>
  <c r="G206" i="19"/>
  <c r="X205" i="19"/>
  <c r="V205" i="19"/>
  <c r="U205" i="19"/>
  <c r="M205" i="19"/>
  <c r="G205" i="19"/>
  <c r="V204" i="19"/>
  <c r="X204" i="19" s="1"/>
  <c r="U204" i="19"/>
  <c r="M204" i="19"/>
  <c r="G204" i="19"/>
  <c r="V203" i="19"/>
  <c r="U203" i="19"/>
  <c r="M203" i="19"/>
  <c r="G203" i="19"/>
  <c r="E203" i="19"/>
  <c r="E204" i="19" s="1"/>
  <c r="E205" i="19" s="1"/>
  <c r="E206" i="19" s="1"/>
  <c r="E207" i="19" s="1"/>
  <c r="E208" i="19" s="1"/>
  <c r="E209" i="19" s="1"/>
  <c r="E210" i="19" s="1"/>
  <c r="E211" i="19" s="1"/>
  <c r="B203" i="19"/>
  <c r="AA202" i="19"/>
  <c r="X202" i="19"/>
  <c r="U202" i="19"/>
  <c r="M202" i="19"/>
  <c r="L202" i="19"/>
  <c r="G202" i="19"/>
  <c r="E202" i="19"/>
  <c r="V201" i="19"/>
  <c r="AA201" i="19" s="1"/>
  <c r="U201" i="19"/>
  <c r="M201" i="19"/>
  <c r="L201" i="19"/>
  <c r="G201" i="19"/>
  <c r="E201" i="19"/>
  <c r="V200" i="19"/>
  <c r="X200" i="19" s="1"/>
  <c r="U200" i="19"/>
  <c r="M200" i="19"/>
  <c r="L200" i="19"/>
  <c r="E200" i="19"/>
  <c r="AA199" i="19"/>
  <c r="V199" i="19"/>
  <c r="X199" i="19" s="1"/>
  <c r="U199" i="19"/>
  <c r="M199" i="19"/>
  <c r="E199" i="19"/>
  <c r="B199" i="19"/>
  <c r="X198" i="19"/>
  <c r="V198" i="19"/>
  <c r="AA198" i="19" s="1"/>
  <c r="U198" i="19"/>
  <c r="M198" i="19"/>
  <c r="L198" i="19"/>
  <c r="G198" i="19"/>
  <c r="AA197" i="19"/>
  <c r="X197" i="19"/>
  <c r="V197" i="19"/>
  <c r="U197" i="19"/>
  <c r="M197" i="19"/>
  <c r="L197" i="19"/>
  <c r="G197" i="19"/>
  <c r="AA196" i="19"/>
  <c r="V196" i="19"/>
  <c r="X196" i="19" s="1"/>
  <c r="U196" i="19"/>
  <c r="M196" i="19"/>
  <c r="L196" i="19"/>
  <c r="G196" i="19"/>
  <c r="E196" i="19"/>
  <c r="E197" i="19" s="1"/>
  <c r="E198" i="19" s="1"/>
  <c r="V195" i="19"/>
  <c r="AA195" i="19" s="1"/>
  <c r="U195" i="19"/>
  <c r="M195" i="19"/>
  <c r="L195" i="19"/>
  <c r="G195" i="19"/>
  <c r="V194" i="19"/>
  <c r="U194" i="19"/>
  <c r="M194" i="19"/>
  <c r="L194" i="19"/>
  <c r="G194" i="19"/>
  <c r="AA193" i="19"/>
  <c r="X193" i="19"/>
  <c r="V193" i="19"/>
  <c r="U193" i="19"/>
  <c r="M193" i="19"/>
  <c r="L193" i="19"/>
  <c r="G193" i="19"/>
  <c r="E193" i="19"/>
  <c r="E194" i="19" s="1"/>
  <c r="E195" i="19" s="1"/>
  <c r="X192" i="19"/>
  <c r="V192" i="19"/>
  <c r="U192" i="19"/>
  <c r="M192" i="19"/>
  <c r="L192" i="19"/>
  <c r="G192" i="19"/>
  <c r="X191" i="19"/>
  <c r="V191" i="19"/>
  <c r="U191" i="19"/>
  <c r="M191" i="19"/>
  <c r="L191" i="19"/>
  <c r="G191" i="19"/>
  <c r="X190" i="19"/>
  <c r="V190" i="19"/>
  <c r="U190" i="19"/>
  <c r="M190" i="19"/>
  <c r="G190" i="19"/>
  <c r="V189" i="19"/>
  <c r="X189" i="19" s="1"/>
  <c r="U189" i="19"/>
  <c r="M189" i="19"/>
  <c r="L189" i="19"/>
  <c r="G189" i="19"/>
  <c r="V188" i="19"/>
  <c r="U188" i="19"/>
  <c r="M188" i="19"/>
  <c r="L188" i="19"/>
  <c r="G188" i="19"/>
  <c r="E188" i="19"/>
  <c r="E189" i="19" s="1"/>
  <c r="E190" i="19" s="1"/>
  <c r="E191" i="19" s="1"/>
  <c r="E192" i="19" s="1"/>
  <c r="X187" i="19"/>
  <c r="V187" i="19"/>
  <c r="U187" i="19"/>
  <c r="M187" i="19"/>
  <c r="L187" i="19"/>
  <c r="G187" i="19"/>
  <c r="E187" i="19"/>
  <c r="B187" i="19"/>
  <c r="V186" i="19"/>
  <c r="X186" i="19" s="1"/>
  <c r="U186" i="19"/>
  <c r="M186" i="19"/>
  <c r="G186" i="19"/>
  <c r="X185" i="19"/>
  <c r="V185" i="19"/>
  <c r="U185" i="19"/>
  <c r="M185" i="19"/>
  <c r="L185" i="19"/>
  <c r="G185" i="19"/>
  <c r="X184" i="19"/>
  <c r="V184" i="19"/>
  <c r="U184" i="19"/>
  <c r="M184" i="19"/>
  <c r="L184" i="19"/>
  <c r="G184" i="19"/>
  <c r="X183" i="19"/>
  <c r="V183" i="19"/>
  <c r="U183" i="19"/>
  <c r="M183" i="19"/>
  <c r="L183" i="19"/>
  <c r="G183" i="19"/>
  <c r="X182" i="19"/>
  <c r="V182" i="19"/>
  <c r="U182" i="19"/>
  <c r="M182" i="19"/>
  <c r="L182" i="19"/>
  <c r="G182" i="19"/>
  <c r="V181" i="19"/>
  <c r="X181" i="19" s="1"/>
  <c r="U181" i="19"/>
  <c r="M181" i="19"/>
  <c r="L181" i="19"/>
  <c r="G181" i="19"/>
  <c r="E181" i="19"/>
  <c r="E182" i="19" s="1"/>
  <c r="E183" i="19" s="1"/>
  <c r="E184" i="19" s="1"/>
  <c r="E185" i="19" s="1"/>
  <c r="E186" i="19" s="1"/>
  <c r="V180" i="19"/>
  <c r="X180" i="19" s="1"/>
  <c r="U180" i="19"/>
  <c r="L180" i="19"/>
  <c r="G180" i="19"/>
  <c r="X179" i="19"/>
  <c r="V179" i="19"/>
  <c r="U179" i="19"/>
  <c r="L179" i="19"/>
  <c r="G179" i="19"/>
  <c r="V178" i="19"/>
  <c r="X178" i="19" s="1"/>
  <c r="U178" i="19"/>
  <c r="L178" i="19"/>
  <c r="G178" i="19"/>
  <c r="X177" i="19"/>
  <c r="V177" i="19"/>
  <c r="U177" i="19"/>
  <c r="G177" i="19"/>
  <c r="X176" i="19"/>
  <c r="V176" i="19"/>
  <c r="U176" i="19"/>
  <c r="G176" i="19"/>
  <c r="V175" i="19"/>
  <c r="X175" i="19" s="1"/>
  <c r="U175" i="19"/>
  <c r="G175" i="19"/>
  <c r="V174" i="19"/>
  <c r="X174" i="19" s="1"/>
  <c r="U174" i="19"/>
  <c r="G174" i="19"/>
  <c r="V173" i="19"/>
  <c r="AA172" i="19" s="1"/>
  <c r="U173" i="19"/>
  <c r="G173" i="19"/>
  <c r="X172" i="19"/>
  <c r="V172" i="19"/>
  <c r="U172" i="19"/>
  <c r="M172" i="19"/>
  <c r="G172" i="19"/>
  <c r="E172" i="19"/>
  <c r="E173" i="19" s="1"/>
  <c r="E174" i="19" s="1"/>
  <c r="E175" i="19" s="1"/>
  <c r="E176" i="19" s="1"/>
  <c r="E177" i="19" s="1"/>
  <c r="E178" i="19" s="1"/>
  <c r="E179" i="19" s="1"/>
  <c r="E180" i="19" s="1"/>
  <c r="B172" i="19"/>
  <c r="X171" i="19"/>
  <c r="V171" i="19"/>
  <c r="U171" i="19"/>
  <c r="M171" i="19"/>
  <c r="L171" i="19"/>
  <c r="G171" i="19"/>
  <c r="X170" i="19"/>
  <c r="V170" i="19"/>
  <c r="U170" i="19"/>
  <c r="M170" i="19"/>
  <c r="L170" i="19"/>
  <c r="G170" i="19"/>
  <c r="X169" i="19"/>
  <c r="V169" i="19"/>
  <c r="U169" i="19"/>
  <c r="M169" i="19"/>
  <c r="L169" i="19"/>
  <c r="G169" i="19"/>
  <c r="X168" i="19"/>
  <c r="V168" i="19"/>
  <c r="U168" i="19"/>
  <c r="M168" i="19"/>
  <c r="G168" i="19"/>
  <c r="X167" i="19"/>
  <c r="V167" i="19"/>
  <c r="U167" i="19"/>
  <c r="M167" i="19"/>
  <c r="G167" i="19"/>
  <c r="V166" i="19"/>
  <c r="X166" i="19" s="1"/>
  <c r="U166" i="19"/>
  <c r="M166" i="19"/>
  <c r="G166" i="19"/>
  <c r="X165" i="19"/>
  <c r="V165" i="19"/>
  <c r="U165" i="19"/>
  <c r="M165" i="19"/>
  <c r="G165" i="19"/>
  <c r="V164" i="19"/>
  <c r="X164" i="19" s="1"/>
  <c r="U164" i="19"/>
  <c r="M164" i="19"/>
  <c r="G164" i="19"/>
  <c r="V163" i="19"/>
  <c r="X163" i="19" s="1"/>
  <c r="U163" i="19"/>
  <c r="M163" i="19"/>
  <c r="G163" i="19"/>
  <c r="E163" i="19"/>
  <c r="E164" i="19" s="1"/>
  <c r="E165" i="19" s="1"/>
  <c r="E166" i="19" s="1"/>
  <c r="E167" i="19" s="1"/>
  <c r="E168" i="19" s="1"/>
  <c r="E169" i="19" s="1"/>
  <c r="E170" i="19" s="1"/>
  <c r="E171" i="19" s="1"/>
  <c r="X162" i="19"/>
  <c r="V162" i="19"/>
  <c r="U162" i="19"/>
  <c r="M162" i="19"/>
  <c r="L162" i="19"/>
  <c r="G162" i="19"/>
  <c r="X161" i="19"/>
  <c r="V161" i="19"/>
  <c r="U161" i="19"/>
  <c r="M161" i="19"/>
  <c r="L161" i="19"/>
  <c r="G161" i="19"/>
  <c r="X160" i="19"/>
  <c r="V160" i="19"/>
  <c r="U160" i="19"/>
  <c r="M160" i="19"/>
  <c r="L160" i="19"/>
  <c r="G160" i="19"/>
  <c r="X159" i="19"/>
  <c r="V159" i="19"/>
  <c r="U159" i="19"/>
  <c r="M159" i="19"/>
  <c r="G159" i="19"/>
  <c r="V158" i="19"/>
  <c r="X158" i="19" s="1"/>
  <c r="U158" i="19"/>
  <c r="M158" i="19"/>
  <c r="G158" i="19"/>
  <c r="V157" i="19"/>
  <c r="X157" i="19" s="1"/>
  <c r="U157" i="19"/>
  <c r="M157" i="19"/>
  <c r="G157" i="19"/>
  <c r="X156" i="19"/>
  <c r="V156" i="19"/>
  <c r="U156" i="19"/>
  <c r="M156" i="19"/>
  <c r="G156" i="19"/>
  <c r="V155" i="19"/>
  <c r="X155" i="19" s="1"/>
  <c r="U155" i="19"/>
  <c r="M155" i="19"/>
  <c r="G155" i="19"/>
  <c r="V154" i="19"/>
  <c r="AA154" i="19" s="1"/>
  <c r="U154" i="19"/>
  <c r="M154" i="19"/>
  <c r="G154" i="19"/>
  <c r="E154" i="19"/>
  <c r="E155" i="19" s="1"/>
  <c r="E156" i="19" s="1"/>
  <c r="E157" i="19" s="1"/>
  <c r="E158" i="19" s="1"/>
  <c r="E159" i="19" s="1"/>
  <c r="E160" i="19" s="1"/>
  <c r="E161" i="19" s="1"/>
  <c r="E162" i="19" s="1"/>
  <c r="V153" i="19"/>
  <c r="X153" i="19" s="1"/>
  <c r="U153" i="19"/>
  <c r="M153" i="19"/>
  <c r="L153" i="19"/>
  <c r="G153" i="19"/>
  <c r="V152" i="19"/>
  <c r="X152" i="19" s="1"/>
  <c r="U152" i="19"/>
  <c r="M152" i="19"/>
  <c r="L152" i="19"/>
  <c r="G152" i="19"/>
  <c r="V151" i="19"/>
  <c r="X151" i="19" s="1"/>
  <c r="U151" i="19"/>
  <c r="M151" i="19"/>
  <c r="L151" i="19"/>
  <c r="G151" i="19"/>
  <c r="V150" i="19"/>
  <c r="X150" i="19" s="1"/>
  <c r="U150" i="19"/>
  <c r="M150" i="19"/>
  <c r="G150" i="19"/>
  <c r="X149" i="19"/>
  <c r="V149" i="19"/>
  <c r="U149" i="19"/>
  <c r="M149" i="19"/>
  <c r="G149" i="19"/>
  <c r="V148" i="19"/>
  <c r="AA145" i="19" s="1"/>
  <c r="U148" i="19"/>
  <c r="M148" i="19"/>
  <c r="G148" i="19"/>
  <c r="V147" i="19"/>
  <c r="X147" i="19" s="1"/>
  <c r="U147" i="19"/>
  <c r="M147" i="19"/>
  <c r="G147" i="19"/>
  <c r="V146" i="19"/>
  <c r="X146" i="19" s="1"/>
  <c r="U146" i="19"/>
  <c r="M146" i="19"/>
  <c r="G146" i="19"/>
  <c r="V145" i="19"/>
  <c r="X145" i="19" s="1"/>
  <c r="U145" i="19"/>
  <c r="M145" i="19"/>
  <c r="G145" i="19"/>
  <c r="E145" i="19"/>
  <c r="E146" i="19" s="1"/>
  <c r="E147" i="19" s="1"/>
  <c r="E148" i="19" s="1"/>
  <c r="E149" i="19" s="1"/>
  <c r="E150" i="19" s="1"/>
  <c r="E151" i="19" s="1"/>
  <c r="E152" i="19" s="1"/>
  <c r="E153" i="19" s="1"/>
  <c r="X144" i="19"/>
  <c r="V144" i="19"/>
  <c r="U144" i="19"/>
  <c r="M144" i="19"/>
  <c r="L144" i="19"/>
  <c r="G144" i="19"/>
  <c r="X143" i="19"/>
  <c r="V143" i="19"/>
  <c r="U143" i="19"/>
  <c r="M143" i="19"/>
  <c r="L143" i="19"/>
  <c r="G143" i="19"/>
  <c r="X142" i="19"/>
  <c r="V142" i="19"/>
  <c r="U142" i="19"/>
  <c r="M142" i="19"/>
  <c r="L142" i="19"/>
  <c r="G142" i="19"/>
  <c r="X141" i="19"/>
  <c r="V141" i="19"/>
  <c r="U141" i="19"/>
  <c r="M141" i="19"/>
  <c r="G141" i="19"/>
  <c r="V140" i="19"/>
  <c r="X140" i="19" s="1"/>
  <c r="U140" i="19"/>
  <c r="M140" i="19"/>
  <c r="G140" i="19"/>
  <c r="V139" i="19"/>
  <c r="X139" i="19" s="1"/>
  <c r="U139" i="19"/>
  <c r="M139" i="19"/>
  <c r="G139" i="19"/>
  <c r="V138" i="19"/>
  <c r="X138" i="19" s="1"/>
  <c r="U138" i="19"/>
  <c r="M138" i="19"/>
  <c r="G138" i="19"/>
  <c r="X137" i="19"/>
  <c r="V137" i="19"/>
  <c r="U137" i="19"/>
  <c r="M137" i="19"/>
  <c r="G137" i="19"/>
  <c r="X136" i="19"/>
  <c r="V136" i="19"/>
  <c r="U136" i="19"/>
  <c r="M136" i="19"/>
  <c r="G136" i="19"/>
  <c r="E136" i="19"/>
  <c r="E137" i="19" s="1"/>
  <c r="E138" i="19" s="1"/>
  <c r="E139" i="19" s="1"/>
  <c r="E140" i="19" s="1"/>
  <c r="E141" i="19" s="1"/>
  <c r="E142" i="19" s="1"/>
  <c r="E143" i="19" s="1"/>
  <c r="E144" i="19" s="1"/>
  <c r="X135" i="19"/>
  <c r="V135" i="19"/>
  <c r="U135" i="19"/>
  <c r="M135" i="19"/>
  <c r="L135" i="19"/>
  <c r="G135" i="19"/>
  <c r="X134" i="19"/>
  <c r="V134" i="19"/>
  <c r="U134" i="19"/>
  <c r="M134" i="19"/>
  <c r="L134" i="19"/>
  <c r="G134" i="19"/>
  <c r="X133" i="19"/>
  <c r="V133" i="19"/>
  <c r="U133" i="19"/>
  <c r="M133" i="19"/>
  <c r="L133" i="19"/>
  <c r="G133" i="19"/>
  <c r="X132" i="19"/>
  <c r="V132" i="19"/>
  <c r="U132" i="19"/>
  <c r="M132" i="19"/>
  <c r="G132" i="19"/>
  <c r="E132" i="19"/>
  <c r="E133" i="19" s="1"/>
  <c r="E134" i="19" s="1"/>
  <c r="E135" i="19" s="1"/>
  <c r="V131" i="19"/>
  <c r="X131" i="19" s="1"/>
  <c r="U131" i="19"/>
  <c r="M131" i="19"/>
  <c r="G131" i="19"/>
  <c r="E131" i="19"/>
  <c r="X130" i="19"/>
  <c r="V130" i="19"/>
  <c r="U130" i="19"/>
  <c r="M130" i="19"/>
  <c r="G130" i="19"/>
  <c r="E130" i="19"/>
  <c r="V129" i="19"/>
  <c r="X129" i="19" s="1"/>
  <c r="U129" i="19"/>
  <c r="M129" i="19"/>
  <c r="G129" i="19"/>
  <c r="V128" i="19"/>
  <c r="X128" i="19" s="1"/>
  <c r="U128" i="19"/>
  <c r="M128" i="19"/>
  <c r="G128" i="19"/>
  <c r="E128" i="19"/>
  <c r="E129" i="19" s="1"/>
  <c r="X127" i="19"/>
  <c r="V127" i="19"/>
  <c r="U127" i="19"/>
  <c r="M127" i="19"/>
  <c r="G127" i="19"/>
  <c r="E127" i="19"/>
  <c r="U126" i="19"/>
  <c r="Q126" i="19"/>
  <c r="V126" i="19" s="1"/>
  <c r="L126" i="19"/>
  <c r="K126" i="19"/>
  <c r="E126" i="19"/>
  <c r="U125" i="19"/>
  <c r="Q125" i="19"/>
  <c r="V125" i="19" s="1"/>
  <c r="L125" i="19"/>
  <c r="K125" i="19"/>
  <c r="E125" i="19"/>
  <c r="U124" i="19"/>
  <c r="Q124" i="19"/>
  <c r="L124" i="19" s="1"/>
  <c r="K124" i="19"/>
  <c r="E124" i="19"/>
  <c r="V123" i="19"/>
  <c r="AA123" i="19" s="1"/>
  <c r="U123" i="19"/>
  <c r="Q123" i="19"/>
  <c r="L123" i="19"/>
  <c r="K123" i="19"/>
  <c r="E123" i="19"/>
  <c r="V122" i="19"/>
  <c r="AA122" i="19" s="1"/>
  <c r="U122" i="19"/>
  <c r="Q122" i="19"/>
  <c r="L122" i="19"/>
  <c r="K122" i="19"/>
  <c r="E122" i="19"/>
  <c r="AA121" i="19"/>
  <c r="X121" i="19"/>
  <c r="U121" i="19"/>
  <c r="Q121" i="19"/>
  <c r="V121" i="19" s="1"/>
  <c r="L121" i="19"/>
  <c r="K121" i="19"/>
  <c r="E121" i="19"/>
  <c r="X120" i="19"/>
  <c r="V120" i="19"/>
  <c r="U120" i="19"/>
  <c r="M120" i="19"/>
  <c r="G120" i="19"/>
  <c r="V119" i="19"/>
  <c r="X119" i="19" s="1"/>
  <c r="U119" i="19"/>
  <c r="M119" i="19"/>
  <c r="G119" i="19"/>
  <c r="X118" i="19"/>
  <c r="V118" i="19"/>
  <c r="U118" i="19"/>
  <c r="M118" i="19"/>
  <c r="L118" i="19"/>
  <c r="G118" i="19"/>
  <c r="W117" i="19"/>
  <c r="X117" i="19" s="1"/>
  <c r="V117" i="19"/>
  <c r="U117" i="19"/>
  <c r="M117" i="19"/>
  <c r="L117" i="19"/>
  <c r="G117" i="19"/>
  <c r="V116" i="19"/>
  <c r="W116" i="19" s="1"/>
  <c r="U116" i="19"/>
  <c r="M116" i="19"/>
  <c r="L116" i="19"/>
  <c r="G116" i="19"/>
  <c r="V115" i="19"/>
  <c r="X115" i="19" s="1"/>
  <c r="U115" i="19"/>
  <c r="M115" i="19"/>
  <c r="G115" i="19"/>
  <c r="X114" i="19"/>
  <c r="V114" i="19"/>
  <c r="U114" i="19"/>
  <c r="M114" i="19"/>
  <c r="G114" i="19"/>
  <c r="X113" i="19"/>
  <c r="V113" i="19"/>
  <c r="U113" i="19"/>
  <c r="M113" i="19"/>
  <c r="G113" i="19"/>
  <c r="X112" i="19"/>
  <c r="V112" i="19"/>
  <c r="U112" i="19"/>
  <c r="M112" i="19"/>
  <c r="G112" i="19"/>
  <c r="E112" i="19"/>
  <c r="E113" i="19" s="1"/>
  <c r="E114" i="19" s="1"/>
  <c r="E115" i="19" s="1"/>
  <c r="E116" i="19" s="1"/>
  <c r="E117" i="19" s="1"/>
  <c r="E118" i="19" s="1"/>
  <c r="E119" i="19" s="1"/>
  <c r="E120" i="19" s="1"/>
  <c r="V111" i="19"/>
  <c r="X111" i="19" s="1"/>
  <c r="U111" i="19"/>
  <c r="M111" i="19"/>
  <c r="L111" i="19"/>
  <c r="G111" i="19"/>
  <c r="V110" i="19"/>
  <c r="X110" i="19" s="1"/>
  <c r="U110" i="19"/>
  <c r="M110" i="19"/>
  <c r="L110" i="19"/>
  <c r="G110" i="19"/>
  <c r="V109" i="19"/>
  <c r="X109" i="19" s="1"/>
  <c r="U109" i="19"/>
  <c r="M109" i="19"/>
  <c r="G109" i="19"/>
  <c r="AA108" i="19"/>
  <c r="V108" i="19"/>
  <c r="X108" i="19" s="1"/>
  <c r="U108" i="19"/>
  <c r="M108" i="19"/>
  <c r="G108" i="19"/>
  <c r="E108" i="19"/>
  <c r="E109" i="19" s="1"/>
  <c r="E110" i="19" s="1"/>
  <c r="E111" i="19" s="1"/>
  <c r="X107" i="19"/>
  <c r="V107" i="19"/>
  <c r="U107" i="19"/>
  <c r="M107" i="19"/>
  <c r="L107" i="19"/>
  <c r="G107" i="19"/>
  <c r="X106" i="19"/>
  <c r="V106" i="19"/>
  <c r="U106" i="19"/>
  <c r="M106" i="19"/>
  <c r="L106" i="19"/>
  <c r="G106" i="19"/>
  <c r="X105" i="19"/>
  <c r="V105" i="19"/>
  <c r="U105" i="19"/>
  <c r="M105" i="19"/>
  <c r="G105" i="19"/>
  <c r="AA104" i="19"/>
  <c r="X104" i="19"/>
  <c r="V104" i="19"/>
  <c r="U104" i="19"/>
  <c r="M104" i="19"/>
  <c r="G104" i="19"/>
  <c r="E104" i="19"/>
  <c r="E105" i="19" s="1"/>
  <c r="E106" i="19" s="1"/>
  <c r="E107" i="19" s="1"/>
  <c r="B104" i="19"/>
  <c r="X103" i="19"/>
  <c r="V103" i="19"/>
  <c r="U103" i="19"/>
  <c r="M103" i="19"/>
  <c r="L103" i="19"/>
  <c r="G103" i="19"/>
  <c r="X102" i="19"/>
  <c r="V102" i="19"/>
  <c r="U102" i="19"/>
  <c r="M102" i="19"/>
  <c r="L102" i="19"/>
  <c r="G102" i="19"/>
  <c r="X101" i="19"/>
  <c r="V101" i="19"/>
  <c r="U101" i="19"/>
  <c r="M101" i="19"/>
  <c r="G101" i="19"/>
  <c r="AA100" i="19"/>
  <c r="X100" i="19"/>
  <c r="V100" i="19"/>
  <c r="U100" i="19"/>
  <c r="M100" i="19"/>
  <c r="G100" i="19"/>
  <c r="E100" i="19"/>
  <c r="E101" i="19" s="1"/>
  <c r="E102" i="19" s="1"/>
  <c r="E103" i="19" s="1"/>
  <c r="B100" i="19"/>
  <c r="AA99" i="19"/>
  <c r="V99" i="19"/>
  <c r="X99" i="19" s="1"/>
  <c r="U99" i="19"/>
  <c r="M99" i="19"/>
  <c r="E99" i="19"/>
  <c r="B99" i="19"/>
  <c r="X98" i="19"/>
  <c r="V98" i="19"/>
  <c r="U98" i="19"/>
  <c r="M98" i="19"/>
  <c r="L98" i="19"/>
  <c r="G98" i="19"/>
  <c r="X97" i="19"/>
  <c r="V97" i="19"/>
  <c r="U97" i="19"/>
  <c r="M97" i="19"/>
  <c r="L97" i="19"/>
  <c r="G97" i="19"/>
  <c r="X96" i="19"/>
  <c r="V96" i="19"/>
  <c r="U96" i="19"/>
  <c r="M96" i="19"/>
  <c r="G96" i="19"/>
  <c r="AA95" i="19"/>
  <c r="X95" i="19"/>
  <c r="V95" i="19"/>
  <c r="U95" i="19"/>
  <c r="M95" i="19"/>
  <c r="G95" i="19"/>
  <c r="E95" i="19"/>
  <c r="E96" i="19" s="1"/>
  <c r="E97" i="19" s="1"/>
  <c r="E98" i="19" s="1"/>
  <c r="B95" i="19"/>
  <c r="X94" i="19"/>
  <c r="V94" i="19"/>
  <c r="U94" i="19"/>
  <c r="M94" i="19"/>
  <c r="G94" i="19"/>
  <c r="V93" i="19"/>
  <c r="X93" i="19" s="1"/>
  <c r="U93" i="19"/>
  <c r="M93" i="19"/>
  <c r="G93" i="19"/>
  <c r="X92" i="19"/>
  <c r="V92" i="19"/>
  <c r="U92" i="19"/>
  <c r="M92" i="19"/>
  <c r="G92" i="19"/>
  <c r="V91" i="19"/>
  <c r="X91" i="19" s="1"/>
  <c r="U91" i="19"/>
  <c r="M91" i="19"/>
  <c r="L91" i="19"/>
  <c r="G91" i="19"/>
  <c r="X90" i="19"/>
  <c r="V90" i="19"/>
  <c r="U90" i="19"/>
  <c r="M90" i="19"/>
  <c r="L90" i="19"/>
  <c r="G90" i="19"/>
  <c r="V89" i="19"/>
  <c r="X89" i="19" s="1"/>
  <c r="U89" i="19"/>
  <c r="M89" i="19"/>
  <c r="G89" i="19"/>
  <c r="V88" i="19"/>
  <c r="U88" i="19"/>
  <c r="M88" i="19"/>
  <c r="G88" i="19"/>
  <c r="AA87" i="19"/>
  <c r="V87" i="19"/>
  <c r="X87" i="19" s="1"/>
  <c r="U87" i="19"/>
  <c r="M87" i="19"/>
  <c r="G87" i="19"/>
  <c r="X86" i="19"/>
  <c r="V86" i="19"/>
  <c r="U86" i="19"/>
  <c r="M86" i="19"/>
  <c r="G86" i="19"/>
  <c r="V85" i="19"/>
  <c r="X85" i="19" s="1"/>
  <c r="U85" i="19"/>
  <c r="M85" i="19"/>
  <c r="G85" i="19"/>
  <c r="V84" i="19"/>
  <c r="X84" i="19" s="1"/>
  <c r="U84" i="19"/>
  <c r="M84" i="19"/>
  <c r="G84" i="19"/>
  <c r="X83" i="19"/>
  <c r="V83" i="19"/>
  <c r="U83" i="19"/>
  <c r="M83" i="19"/>
  <c r="G83" i="19"/>
  <c r="X82" i="19"/>
  <c r="V82" i="19"/>
  <c r="U82" i="19"/>
  <c r="M82" i="19"/>
  <c r="L82" i="19"/>
  <c r="G82" i="19"/>
  <c r="W81" i="19"/>
  <c r="X81" i="19" s="1"/>
  <c r="V81" i="19"/>
  <c r="U81" i="19"/>
  <c r="M81" i="19"/>
  <c r="L81" i="19"/>
  <c r="G81" i="19"/>
  <c r="V80" i="19"/>
  <c r="X80" i="19" s="1"/>
  <c r="U80" i="19"/>
  <c r="M80" i="19"/>
  <c r="G80" i="19"/>
  <c r="V79" i="19"/>
  <c r="AA79" i="19" s="1"/>
  <c r="U79" i="19"/>
  <c r="M79" i="19"/>
  <c r="G79" i="19"/>
  <c r="X78" i="19"/>
  <c r="V78" i="19"/>
  <c r="U78" i="19"/>
  <c r="M78" i="19"/>
  <c r="L78" i="19"/>
  <c r="G78" i="19"/>
  <c r="X77" i="19"/>
  <c r="V77" i="19"/>
  <c r="U77" i="19"/>
  <c r="M77" i="19"/>
  <c r="G77" i="19"/>
  <c r="AA76" i="19"/>
  <c r="V76" i="19"/>
  <c r="X76" i="19" s="1"/>
  <c r="U76" i="19"/>
  <c r="M76" i="19"/>
  <c r="G76" i="19"/>
  <c r="V75" i="19"/>
  <c r="AA73" i="19" s="1"/>
  <c r="U75" i="19"/>
  <c r="M75" i="19"/>
  <c r="G75" i="19"/>
  <c r="V74" i="19"/>
  <c r="U74" i="19"/>
  <c r="M74" i="19"/>
  <c r="G74" i="19"/>
  <c r="X73" i="19"/>
  <c r="V73" i="19"/>
  <c r="U73" i="19"/>
  <c r="M73" i="19"/>
  <c r="G73" i="19"/>
  <c r="E73" i="19"/>
  <c r="E74" i="19" s="1"/>
  <c r="E75" i="19" s="1"/>
  <c r="V72" i="19"/>
  <c r="X72" i="19" s="1"/>
  <c r="U72" i="19"/>
  <c r="M72" i="19"/>
  <c r="G72" i="19"/>
  <c r="V71" i="19"/>
  <c r="U71" i="19"/>
  <c r="M71" i="19"/>
  <c r="G71" i="19"/>
  <c r="V70" i="19"/>
  <c r="X70" i="19" s="1"/>
  <c r="U70" i="19"/>
  <c r="M70" i="19"/>
  <c r="G70" i="19"/>
  <c r="E70" i="19"/>
  <c r="E71" i="19" s="1"/>
  <c r="E72" i="19" s="1"/>
  <c r="X69" i="19"/>
  <c r="V69" i="19"/>
  <c r="U69" i="19"/>
  <c r="M69" i="19"/>
  <c r="G69" i="19"/>
  <c r="V68" i="19"/>
  <c r="U68" i="19"/>
  <c r="M68" i="19"/>
  <c r="G68" i="19"/>
  <c r="V67" i="19"/>
  <c r="AA67" i="19" s="1"/>
  <c r="U67" i="19"/>
  <c r="M67" i="19"/>
  <c r="G67" i="19"/>
  <c r="E67" i="19"/>
  <c r="E68" i="19" s="1"/>
  <c r="E69" i="19" s="1"/>
  <c r="V66" i="19"/>
  <c r="X66" i="19" s="1"/>
  <c r="U66" i="19"/>
  <c r="M66" i="19"/>
  <c r="G66" i="19"/>
  <c r="E66" i="19"/>
  <c r="X65" i="19"/>
  <c r="V65" i="19"/>
  <c r="U65" i="19"/>
  <c r="M65" i="19"/>
  <c r="G65" i="19"/>
  <c r="V64" i="19"/>
  <c r="AA64" i="19" s="1"/>
  <c r="U64" i="19"/>
  <c r="M64" i="19"/>
  <c r="G64" i="19"/>
  <c r="E64" i="19"/>
  <c r="E65" i="19" s="1"/>
  <c r="V63" i="19"/>
  <c r="AA63" i="19" s="1"/>
  <c r="U63" i="19"/>
  <c r="M63" i="19"/>
  <c r="B63" i="19"/>
  <c r="V62" i="19"/>
  <c r="AA62" i="19" s="1"/>
  <c r="U62" i="19"/>
  <c r="B62" i="19" s="1"/>
  <c r="M62" i="19"/>
  <c r="E62" i="19"/>
  <c r="X61" i="19"/>
  <c r="V61" i="19"/>
  <c r="AA61" i="19" s="1"/>
  <c r="U61" i="19"/>
  <c r="M61" i="19"/>
  <c r="E61" i="19"/>
  <c r="X60" i="19"/>
  <c r="V60" i="19"/>
  <c r="U60" i="19"/>
  <c r="M60" i="19"/>
  <c r="L60" i="19"/>
  <c r="G60" i="19"/>
  <c r="X59" i="19"/>
  <c r="V59" i="19"/>
  <c r="U59" i="19"/>
  <c r="M59" i="19"/>
  <c r="G59" i="19"/>
  <c r="AA58" i="19"/>
  <c r="X58" i="19"/>
  <c r="V58" i="19"/>
  <c r="U58" i="19"/>
  <c r="M58" i="19"/>
  <c r="G58" i="19"/>
  <c r="E58" i="19"/>
  <c r="E59" i="19" s="1"/>
  <c r="E60" i="19" s="1"/>
  <c r="X57" i="19"/>
  <c r="V57" i="19"/>
  <c r="U57" i="19"/>
  <c r="M57" i="19"/>
  <c r="L57" i="19"/>
  <c r="G57" i="19"/>
  <c r="X56" i="19"/>
  <c r="V56" i="19"/>
  <c r="U56" i="19"/>
  <c r="M56" i="19"/>
  <c r="G56" i="19"/>
  <c r="AA55" i="19"/>
  <c r="X55" i="19"/>
  <c r="V55" i="19"/>
  <c r="U55" i="19"/>
  <c r="M55" i="19"/>
  <c r="G55" i="19"/>
  <c r="E55" i="19"/>
  <c r="E56" i="19" s="1"/>
  <c r="E57" i="19" s="1"/>
  <c r="AA54" i="19"/>
  <c r="X54" i="19"/>
  <c r="V54" i="19"/>
  <c r="U54" i="19"/>
  <c r="M54" i="19"/>
  <c r="G54" i="19"/>
  <c r="E54" i="19"/>
  <c r="AA53" i="19"/>
  <c r="X53" i="19"/>
  <c r="V53" i="19"/>
  <c r="U53" i="19"/>
  <c r="M53" i="19"/>
  <c r="L53" i="19"/>
  <c r="G53" i="19"/>
  <c r="E53" i="19"/>
  <c r="AA52" i="19"/>
  <c r="X52" i="19"/>
  <c r="V52" i="19"/>
  <c r="U52" i="19"/>
  <c r="M52" i="19"/>
  <c r="G52" i="19"/>
  <c r="AA51" i="19"/>
  <c r="X51" i="19"/>
  <c r="V51" i="19"/>
  <c r="U51" i="19"/>
  <c r="M51" i="19"/>
  <c r="G51" i="19"/>
  <c r="E51" i="19"/>
  <c r="E52" i="19" s="1"/>
  <c r="AA50" i="19"/>
  <c r="X50" i="19"/>
  <c r="V50" i="19"/>
  <c r="U50" i="19"/>
  <c r="M50" i="19"/>
  <c r="G50" i="19"/>
  <c r="AA49" i="19"/>
  <c r="X49" i="19"/>
  <c r="V49" i="19"/>
  <c r="U49" i="19"/>
  <c r="M49" i="19"/>
  <c r="G49" i="19"/>
  <c r="E49" i="19"/>
  <c r="E50" i="19" s="1"/>
  <c r="AA48" i="19"/>
  <c r="X48" i="19"/>
  <c r="V48" i="19"/>
  <c r="U48" i="19"/>
  <c r="M48" i="19"/>
  <c r="G48" i="19"/>
  <c r="AA47" i="19"/>
  <c r="X47" i="19"/>
  <c r="V47" i="19"/>
  <c r="U47" i="19"/>
  <c r="M47" i="19"/>
  <c r="G47" i="19"/>
  <c r="E47" i="19"/>
  <c r="E48" i="19" s="1"/>
  <c r="AA46" i="19"/>
  <c r="X46" i="19"/>
  <c r="V46" i="19"/>
  <c r="U46" i="19"/>
  <c r="M46" i="19"/>
  <c r="G46" i="19"/>
  <c r="AA45" i="19"/>
  <c r="X45" i="19"/>
  <c r="V45" i="19"/>
  <c r="U45" i="19"/>
  <c r="M45" i="19"/>
  <c r="G45" i="19"/>
  <c r="E45" i="19"/>
  <c r="E46" i="19" s="1"/>
  <c r="AA44" i="19"/>
  <c r="X44" i="19"/>
  <c r="V44" i="19"/>
  <c r="U44" i="19"/>
  <c r="M44" i="19"/>
  <c r="G44" i="19"/>
  <c r="AA43" i="19"/>
  <c r="X43" i="19"/>
  <c r="V43" i="19"/>
  <c r="U43" i="19"/>
  <c r="M43" i="19"/>
  <c r="G43" i="19"/>
  <c r="E43" i="19"/>
  <c r="E44" i="19" s="1"/>
  <c r="AA42" i="19"/>
  <c r="X42" i="19"/>
  <c r="V42" i="19"/>
  <c r="U42" i="19"/>
  <c r="M42" i="19"/>
  <c r="G42" i="19"/>
  <c r="AA41" i="19"/>
  <c r="X41" i="19"/>
  <c r="V41" i="19"/>
  <c r="U41" i="19"/>
  <c r="M41" i="19"/>
  <c r="L41" i="19"/>
  <c r="G41" i="19"/>
  <c r="E41" i="19"/>
  <c r="E42" i="19" s="1"/>
  <c r="V40" i="19"/>
  <c r="X40" i="19" s="1"/>
  <c r="U40" i="19"/>
  <c r="M40" i="19"/>
  <c r="L40" i="19"/>
  <c r="G40" i="19"/>
  <c r="E40" i="19"/>
  <c r="V39" i="19"/>
  <c r="AA39" i="19" s="1"/>
  <c r="U39" i="19"/>
  <c r="M39" i="19"/>
  <c r="L39" i="19"/>
  <c r="G39" i="19"/>
  <c r="E39" i="19"/>
  <c r="V38" i="19"/>
  <c r="AA38" i="19" s="1"/>
  <c r="U38" i="19"/>
  <c r="M38" i="19"/>
  <c r="L38" i="19"/>
  <c r="G38" i="19"/>
  <c r="E38" i="19"/>
  <c r="AA37" i="19"/>
  <c r="X37" i="19"/>
  <c r="V37" i="19"/>
  <c r="U37" i="19"/>
  <c r="M37" i="19"/>
  <c r="L37" i="19"/>
  <c r="G37" i="19"/>
  <c r="E37" i="19"/>
  <c r="V36" i="19"/>
  <c r="AA36" i="19" s="1"/>
  <c r="U36" i="19"/>
  <c r="M36" i="19"/>
  <c r="G36" i="19"/>
  <c r="V35" i="19"/>
  <c r="AA35" i="19" s="1"/>
  <c r="U35" i="19"/>
  <c r="M35" i="19"/>
  <c r="G35" i="19"/>
  <c r="E35" i="19"/>
  <c r="E36" i="19" s="1"/>
  <c r="V34" i="19"/>
  <c r="AA34" i="19" s="1"/>
  <c r="U34" i="19"/>
  <c r="M34" i="19"/>
  <c r="G34" i="19"/>
  <c r="E34" i="19"/>
  <c r="V33" i="19"/>
  <c r="AA33" i="19" s="1"/>
  <c r="U33" i="19"/>
  <c r="M33" i="19"/>
  <c r="G33" i="19"/>
  <c r="AA32" i="19"/>
  <c r="X32" i="19"/>
  <c r="V32" i="19"/>
  <c r="U32" i="19"/>
  <c r="M32" i="19"/>
  <c r="L32" i="19"/>
  <c r="G32" i="19"/>
  <c r="AA31" i="19"/>
  <c r="X31" i="19"/>
  <c r="V31" i="19"/>
  <c r="U31" i="19"/>
  <c r="M31" i="19"/>
  <c r="L31" i="19"/>
  <c r="G31" i="19"/>
  <c r="AA30" i="19"/>
  <c r="X30" i="19"/>
  <c r="V30" i="19"/>
  <c r="U30" i="19"/>
  <c r="M30" i="19"/>
  <c r="L30" i="19"/>
  <c r="G30" i="19"/>
  <c r="AA29" i="19"/>
  <c r="X29" i="19"/>
  <c r="V29" i="19"/>
  <c r="U29" i="19"/>
  <c r="M29" i="19"/>
  <c r="L29" i="19"/>
  <c r="G29" i="19"/>
  <c r="AA28" i="19"/>
  <c r="X28" i="19"/>
  <c r="V28" i="19"/>
  <c r="U28" i="19"/>
  <c r="M28" i="19"/>
  <c r="L28" i="19"/>
  <c r="G28" i="19"/>
  <c r="AA27" i="19"/>
  <c r="X27" i="19"/>
  <c r="V27" i="19"/>
  <c r="U27" i="19"/>
  <c r="M27" i="19"/>
  <c r="G27" i="19"/>
  <c r="E27" i="19"/>
  <c r="AA26" i="19"/>
  <c r="X26" i="19"/>
  <c r="V26" i="19"/>
  <c r="U26" i="19"/>
  <c r="M26" i="19"/>
  <c r="G26" i="19"/>
  <c r="E26" i="19"/>
  <c r="AA25" i="19"/>
  <c r="X25" i="19"/>
  <c r="V25" i="19"/>
  <c r="U25" i="19"/>
  <c r="M25" i="19"/>
  <c r="G25" i="19"/>
  <c r="E25" i="19"/>
  <c r="AA24" i="19"/>
  <c r="X24" i="19"/>
  <c r="V24" i="19"/>
  <c r="U24" i="19"/>
  <c r="M24" i="19"/>
  <c r="G24" i="19"/>
  <c r="E24" i="19"/>
  <c r="AA23" i="19"/>
  <c r="X23" i="19"/>
  <c r="V23" i="19"/>
  <c r="U23" i="19"/>
  <c r="M23" i="19"/>
  <c r="G23" i="19"/>
  <c r="E23" i="19"/>
  <c r="V22" i="19"/>
  <c r="X22" i="19" s="1"/>
  <c r="U22" i="19"/>
  <c r="M22" i="19"/>
  <c r="G22" i="19"/>
  <c r="X21" i="19"/>
  <c r="V21" i="19"/>
  <c r="U21" i="19"/>
  <c r="M21" i="19"/>
  <c r="G21" i="19"/>
  <c r="V20" i="19"/>
  <c r="X20" i="19" s="1"/>
  <c r="U20" i="19"/>
  <c r="M20" i="19"/>
  <c r="G20" i="19"/>
  <c r="V19" i="19"/>
  <c r="X19" i="19" s="1"/>
  <c r="U19" i="19"/>
  <c r="M19" i="19"/>
  <c r="G19" i="19"/>
  <c r="V18" i="19"/>
  <c r="AA18" i="19" s="1"/>
  <c r="U18" i="19"/>
  <c r="M18" i="19"/>
  <c r="G18" i="19"/>
  <c r="E18" i="19"/>
  <c r="E19" i="19" s="1"/>
  <c r="E20" i="19" s="1"/>
  <c r="E21" i="19" s="1"/>
  <c r="E22" i="19" s="1"/>
  <c r="V17" i="19"/>
  <c r="X17" i="19" s="1"/>
  <c r="U17" i="19"/>
  <c r="M17" i="19"/>
  <c r="L17" i="19"/>
  <c r="G17" i="19"/>
  <c r="V16" i="19"/>
  <c r="X16" i="19" s="1"/>
  <c r="U16" i="19"/>
  <c r="M16" i="19"/>
  <c r="G16" i="19"/>
  <c r="V15" i="19"/>
  <c r="AA15" i="19" s="1"/>
  <c r="U15" i="19"/>
  <c r="M15" i="19"/>
  <c r="G15" i="19"/>
  <c r="E15" i="19"/>
  <c r="E16" i="19" s="1"/>
  <c r="E17" i="19" s="1"/>
  <c r="X14" i="19"/>
  <c r="V14" i="19"/>
  <c r="U14" i="19"/>
  <c r="M14" i="19"/>
  <c r="L14" i="19"/>
  <c r="G14" i="19"/>
  <c r="X13" i="19"/>
  <c r="V13" i="19"/>
  <c r="U13" i="19"/>
  <c r="M13" i="19"/>
  <c r="L13" i="19"/>
  <c r="G13" i="19"/>
  <c r="X12" i="19"/>
  <c r="V12" i="19"/>
  <c r="U12" i="19"/>
  <c r="M12" i="19"/>
  <c r="G12" i="19"/>
  <c r="AA11" i="19"/>
  <c r="X11" i="19"/>
  <c r="V11" i="19"/>
  <c r="U11" i="19"/>
  <c r="M11" i="19"/>
  <c r="G11" i="19"/>
  <c r="E11" i="19"/>
  <c r="E12" i="19" s="1"/>
  <c r="E13" i="19" s="1"/>
  <c r="E14" i="19" s="1"/>
  <c r="G9" i="19"/>
  <c r="D8" i="19"/>
  <c r="D6" i="19"/>
  <c r="D7" i="19" s="1"/>
  <c r="M480" i="19" l="1"/>
  <c r="N9" i="19" s="1"/>
  <c r="AA126" i="19"/>
  <c r="X126" i="19"/>
  <c r="AA125" i="19"/>
  <c r="X125" i="19"/>
  <c r="AA181" i="19"/>
  <c r="X188" i="19"/>
  <c r="AA187" i="19"/>
  <c r="AA194" i="19"/>
  <c r="X194" i="19"/>
  <c r="X259" i="19"/>
  <c r="E333" i="19"/>
  <c r="E334" i="19" s="1"/>
  <c r="E335" i="19" s="1"/>
  <c r="E332" i="19"/>
  <c r="X63" i="19"/>
  <c r="X64" i="19"/>
  <c r="X18" i="19"/>
  <c r="AA70" i="19"/>
  <c r="X75" i="19"/>
  <c r="X79" i="19"/>
  <c r="X116" i="19"/>
  <c r="X122" i="19"/>
  <c r="V124" i="19"/>
  <c r="AA85" i="19"/>
  <c r="AA88" i="19"/>
  <c r="X15" i="19"/>
  <c r="X33" i="19"/>
  <c r="X34" i="19"/>
  <c r="X35" i="19"/>
  <c r="X36" i="19"/>
  <c r="X62" i="19"/>
  <c r="X88" i="19"/>
  <c r="X123" i="19"/>
  <c r="AA127" i="19"/>
  <c r="AG362" i="19"/>
  <c r="X148" i="19"/>
  <c r="X154" i="19"/>
  <c r="X173" i="19"/>
  <c r="X263" i="19"/>
  <c r="E405" i="19"/>
  <c r="E406" i="19" s="1"/>
  <c r="E407" i="19" s="1"/>
  <c r="E408" i="19" s="1"/>
  <c r="E409" i="19" s="1"/>
  <c r="E410" i="19" s="1"/>
  <c r="E411" i="19" s="1"/>
  <c r="E392" i="19"/>
  <c r="E393" i="19" s="1"/>
  <c r="E394" i="19" s="1"/>
  <c r="E395" i="19" s="1"/>
  <c r="AA83" i="19"/>
  <c r="AA203" i="19"/>
  <c r="X203" i="19"/>
  <c r="AA228" i="19"/>
  <c r="X228" i="19"/>
  <c r="W269" i="19"/>
  <c r="X269" i="19" s="1"/>
  <c r="X38" i="19"/>
  <c r="X67" i="19"/>
  <c r="AA136" i="19"/>
  <c r="AA163" i="19"/>
  <c r="X201" i="19"/>
  <c r="X39" i="19"/>
  <c r="AA40" i="19"/>
  <c r="AA112" i="19"/>
  <c r="W268" i="19"/>
  <c r="X268" i="19" s="1"/>
  <c r="X217" i="19"/>
  <c r="W224" i="19"/>
  <c r="X224" i="19" s="1"/>
  <c r="AA266" i="19"/>
  <c r="W323" i="19"/>
  <c r="X323" i="19" s="1"/>
  <c r="W342" i="19"/>
  <c r="X342" i="19" s="1"/>
  <c r="X346" i="19"/>
  <c r="X351" i="19"/>
  <c r="W357" i="19"/>
  <c r="AA358" i="19"/>
  <c r="AA377" i="19"/>
  <c r="X420" i="19"/>
  <c r="AA417" i="19"/>
  <c r="X195" i="19"/>
  <c r="X343" i="19"/>
  <c r="AA366" i="19"/>
  <c r="X368" i="19"/>
  <c r="X272" i="19"/>
  <c r="AA274" i="19"/>
  <c r="X355" i="19"/>
  <c r="W361" i="19"/>
  <c r="X366" i="19"/>
  <c r="X361" i="19"/>
  <c r="AA362" i="19"/>
  <c r="AA373" i="19"/>
  <c r="X381" i="19"/>
  <c r="X389" i="19"/>
  <c r="X339" i="19"/>
  <c r="X348" i="19"/>
  <c r="AA371" i="19"/>
  <c r="X373" i="19"/>
  <c r="X380" i="19"/>
  <c r="X357" i="19"/>
  <c r="AA421" i="19"/>
  <c r="X421" i="19"/>
  <c r="AA430" i="19"/>
  <c r="AA431" i="19"/>
  <c r="AA436" i="19"/>
  <c r="AA437" i="19"/>
  <c r="AA438" i="19"/>
  <c r="AA439" i="19"/>
  <c r="AA447" i="19"/>
  <c r="AA448" i="19"/>
  <c r="AA449" i="19"/>
  <c r="AA450" i="19"/>
  <c r="AA451" i="19"/>
  <c r="AA452" i="19"/>
  <c r="V480" i="19"/>
  <c r="D9" i="19" s="1"/>
  <c r="X429" i="19"/>
  <c r="X435" i="19"/>
  <c r="X446" i="19"/>
  <c r="X452" i="19"/>
  <c r="X480" i="19" s="1"/>
  <c r="AG117" i="19" l="1"/>
  <c r="AA480" i="19"/>
  <c r="E396" i="19"/>
  <c r="E397" i="19" s="1"/>
  <c r="E398" i="19" s="1"/>
  <c r="E401" i="19"/>
  <c r="AG157" i="19"/>
  <c r="AG146" i="19"/>
  <c r="AA124" i="19"/>
  <c r="X124" i="19"/>
  <c r="E400" i="19" l="1"/>
  <c r="E399" i="19" s="1"/>
  <c r="E402" i="19"/>
  <c r="E403" i="19" s="1"/>
  <c r="E404" i="19" s="1"/>
  <c r="D15" i="16" l="1"/>
  <c r="D25" i="18" l="1"/>
  <c r="D57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43" i="18"/>
  <c r="C42" i="18"/>
  <c r="A40" i="18"/>
  <c r="D37" i="18"/>
  <c r="D21" i="18"/>
  <c r="F11" i="16" l="1"/>
  <c r="L11" i="16" s="1"/>
  <c r="L12" i="16" l="1"/>
  <c r="D23" i="16"/>
  <c r="D22" i="16" l="1"/>
  <c r="E22" i="16" s="1"/>
  <c r="M11" i="16"/>
  <c r="N11" i="16" s="1"/>
  <c r="F10" i="16"/>
  <c r="L10" i="16" s="1"/>
  <c r="T9" i="16"/>
  <c r="F9" i="16"/>
  <c r="C8" i="16"/>
  <c r="F8" i="16" s="1"/>
  <c r="H8" i="16" s="1"/>
  <c r="C7" i="16"/>
  <c r="F7" i="16" s="1"/>
  <c r="H7" i="16" s="1"/>
  <c r="O7" i="16" s="1"/>
  <c r="Q7" i="16" s="1"/>
  <c r="S7" i="16" s="1"/>
  <c r="C6" i="16"/>
  <c r="F6" i="16" s="1"/>
  <c r="H6" i="16" s="1"/>
  <c r="F5" i="16"/>
  <c r="H5" i="16" s="1"/>
  <c r="L5" i="16" s="1"/>
  <c r="P4" i="16"/>
  <c r="F4" i="16"/>
  <c r="H4" i="16" s="1"/>
  <c r="L8" i="16" l="1"/>
  <c r="L9" i="16"/>
  <c r="O4" i="16"/>
  <c r="J4" i="16"/>
  <c r="O6" i="16"/>
  <c r="Q6" i="16" s="1"/>
  <c r="S6" i="16" s="1"/>
  <c r="J6" i="16"/>
  <c r="L6" i="16" s="1"/>
  <c r="H10" i="16"/>
  <c r="J7" i="16"/>
  <c r="L7" i="16" s="1"/>
  <c r="M9" i="16" l="1"/>
  <c r="D20" i="16"/>
  <c r="M6" i="16"/>
  <c r="D19" i="16"/>
  <c r="L4" i="16"/>
  <c r="L13" i="16" s="1"/>
  <c r="Q4" i="16"/>
  <c r="S4" i="16" s="1"/>
  <c r="P9" i="16"/>
  <c r="Q9" i="16" s="1"/>
  <c r="M4" i="16" l="1"/>
  <c r="D18" i="16"/>
  <c r="C43" i="15"/>
  <c r="G42" i="15"/>
  <c r="G41" i="15"/>
  <c r="G40" i="15"/>
  <c r="G39" i="15"/>
  <c r="G38" i="15"/>
  <c r="G37" i="15"/>
  <c r="G36" i="15"/>
  <c r="G43" i="15" s="1"/>
  <c r="G33" i="15"/>
  <c r="G32" i="15"/>
  <c r="G31" i="15"/>
  <c r="G30" i="15"/>
  <c r="G29" i="15"/>
  <c r="C29" i="15"/>
  <c r="G28" i="15"/>
  <c r="G27" i="15"/>
  <c r="G26" i="15"/>
  <c r="C26" i="15"/>
  <c r="C25" i="15"/>
  <c r="G25" i="15" s="1"/>
  <c r="G34" i="15" s="1"/>
  <c r="C23" i="15"/>
  <c r="G22" i="15"/>
  <c r="G21" i="15"/>
  <c r="G20" i="15"/>
  <c r="G19" i="15"/>
  <c r="G18" i="15"/>
  <c r="G17" i="15"/>
  <c r="G16" i="15"/>
  <c r="G23" i="15" s="1"/>
  <c r="C13" i="15"/>
  <c r="G12" i="15"/>
  <c r="G11" i="15"/>
  <c r="G10" i="15"/>
  <c r="G9" i="15"/>
  <c r="G8" i="15"/>
  <c r="G7" i="15"/>
  <c r="G13" i="15" s="1"/>
  <c r="F18" i="14"/>
  <c r="G16" i="14"/>
  <c r="G15" i="14"/>
  <c r="H15" i="14" s="1"/>
  <c r="G14" i="14"/>
  <c r="G13" i="14"/>
  <c r="G18" i="14" s="1"/>
  <c r="G12" i="14"/>
  <c r="G11" i="14"/>
  <c r="H11" i="14" s="1"/>
  <c r="G10" i="14"/>
  <c r="G9" i="14"/>
  <c r="H9" i="14" s="1"/>
  <c r="D25" i="16" l="1"/>
  <c r="E17" i="16"/>
  <c r="F17" i="16" s="1"/>
  <c r="M13" i="16"/>
  <c r="N4" i="16"/>
  <c r="N13" i="16" s="1"/>
  <c r="C34" i="15"/>
  <c r="C44" i="15" s="1"/>
  <c r="H18" i="14"/>
  <c r="H12" i="14"/>
  <c r="F114" i="12"/>
  <c r="M111" i="12"/>
  <c r="L111" i="12"/>
  <c r="K111" i="12"/>
  <c r="N110" i="12"/>
  <c r="J110" i="12"/>
  <c r="G110" i="12"/>
  <c r="N109" i="12"/>
  <c r="J109" i="12"/>
  <c r="G109" i="12"/>
  <c r="N108" i="12"/>
  <c r="J108" i="12"/>
  <c r="G108" i="12"/>
  <c r="N107" i="12"/>
  <c r="J107" i="12"/>
  <c r="G107" i="12"/>
  <c r="N106" i="12"/>
  <c r="J106" i="12"/>
  <c r="N105" i="12"/>
  <c r="J105" i="12"/>
  <c r="N104" i="12"/>
  <c r="J104" i="12"/>
  <c r="G104" i="12"/>
  <c r="N103" i="12"/>
  <c r="N102" i="12"/>
  <c r="J102" i="12"/>
  <c r="N101" i="12"/>
  <c r="N100" i="12"/>
  <c r="J100" i="12"/>
  <c r="G100" i="12"/>
  <c r="N99" i="12"/>
  <c r="J99" i="12"/>
  <c r="G99" i="12"/>
  <c r="N98" i="12"/>
  <c r="J98" i="12"/>
  <c r="G98" i="12"/>
  <c r="N97" i="12"/>
  <c r="J97" i="12"/>
  <c r="G97" i="12"/>
  <c r="N96" i="12"/>
  <c r="J96" i="12"/>
  <c r="G96" i="12"/>
  <c r="N95" i="12"/>
  <c r="J95" i="12"/>
  <c r="G95" i="12"/>
  <c r="N94" i="12"/>
  <c r="J94" i="12"/>
  <c r="G94" i="12"/>
  <c r="N93" i="12"/>
  <c r="J93" i="12"/>
  <c r="G93" i="12"/>
  <c r="N92" i="12"/>
  <c r="J92" i="12"/>
  <c r="G92" i="12"/>
  <c r="N91" i="12"/>
  <c r="J91" i="12"/>
  <c r="G91" i="12"/>
  <c r="N90" i="12"/>
  <c r="J90" i="12"/>
  <c r="G90" i="12"/>
  <c r="N89" i="12"/>
  <c r="J89" i="12"/>
  <c r="G89" i="12"/>
  <c r="N88" i="12"/>
  <c r="J88" i="12"/>
  <c r="G88" i="12"/>
  <c r="N87" i="12"/>
  <c r="J87" i="12"/>
  <c r="G87" i="12"/>
  <c r="N86" i="12"/>
  <c r="J86" i="12"/>
  <c r="G86" i="12"/>
  <c r="N85" i="12"/>
  <c r="J85" i="12"/>
  <c r="G85" i="12"/>
  <c r="N84" i="12"/>
  <c r="J84" i="12"/>
  <c r="G84" i="12"/>
  <c r="N83" i="12"/>
  <c r="J83" i="12"/>
  <c r="G83" i="12"/>
  <c r="N82" i="12"/>
  <c r="J82" i="12"/>
  <c r="G82" i="12"/>
  <c r="N81" i="12"/>
  <c r="J81" i="12"/>
  <c r="G81" i="12"/>
  <c r="N80" i="12"/>
  <c r="J80" i="12"/>
  <c r="G80" i="12"/>
  <c r="N79" i="12"/>
  <c r="J79" i="12"/>
  <c r="G79" i="12"/>
  <c r="N78" i="12"/>
  <c r="J78" i="12"/>
  <c r="G78" i="12"/>
  <c r="N77" i="12"/>
  <c r="J77" i="12"/>
  <c r="G77" i="12"/>
  <c r="N76" i="12"/>
  <c r="J76" i="12"/>
  <c r="G76" i="12"/>
  <c r="N75" i="12"/>
  <c r="J75" i="12"/>
  <c r="G75" i="12"/>
  <c r="N74" i="12"/>
  <c r="J74" i="12"/>
  <c r="G74" i="12"/>
  <c r="N73" i="12"/>
  <c r="J73" i="12"/>
  <c r="G73" i="12"/>
  <c r="N72" i="12"/>
  <c r="J72" i="12"/>
  <c r="G72" i="12"/>
  <c r="N71" i="12"/>
  <c r="J71" i="12"/>
  <c r="G71" i="12"/>
  <c r="N70" i="12"/>
  <c r="J70" i="12"/>
  <c r="G70" i="12"/>
  <c r="N69" i="12"/>
  <c r="J69" i="12"/>
  <c r="G69" i="12"/>
  <c r="N68" i="12"/>
  <c r="J68" i="12"/>
  <c r="G68" i="12"/>
  <c r="N67" i="12"/>
  <c r="J67" i="12"/>
  <c r="G67" i="12"/>
  <c r="N66" i="12"/>
  <c r="J66" i="12"/>
  <c r="G66" i="12"/>
  <c r="N65" i="12"/>
  <c r="J65" i="12"/>
  <c r="G65" i="12"/>
  <c r="N64" i="12"/>
  <c r="J64" i="12"/>
  <c r="G64" i="12"/>
  <c r="N63" i="12"/>
  <c r="J63" i="12"/>
  <c r="G63" i="12"/>
  <c r="N62" i="12"/>
  <c r="J62" i="12"/>
  <c r="G62" i="12"/>
  <c r="N60" i="12"/>
  <c r="J60" i="12"/>
  <c r="G60" i="12"/>
  <c r="N59" i="12"/>
  <c r="N58" i="12"/>
  <c r="J58" i="12"/>
  <c r="G58" i="12"/>
  <c r="N57" i="12"/>
  <c r="J57" i="12"/>
  <c r="G57" i="12"/>
  <c r="N56" i="12"/>
  <c r="J56" i="12"/>
  <c r="G56" i="12"/>
  <c r="N55" i="12"/>
  <c r="N54" i="12"/>
  <c r="N53" i="12"/>
  <c r="N52" i="12"/>
  <c r="J52" i="12"/>
  <c r="G52" i="12"/>
  <c r="N51" i="12"/>
  <c r="J51" i="12"/>
  <c r="G51" i="12"/>
  <c r="N50" i="12"/>
  <c r="N49" i="12"/>
  <c r="N48" i="12"/>
  <c r="J48" i="12"/>
  <c r="G48" i="12"/>
  <c r="N47" i="12"/>
  <c r="J47" i="12"/>
  <c r="G47" i="12"/>
  <c r="N46" i="12"/>
  <c r="J46" i="12"/>
  <c r="G46" i="12"/>
  <c r="N45" i="12"/>
  <c r="J45" i="12"/>
  <c r="G45" i="12"/>
  <c r="N44" i="12"/>
  <c r="J44" i="12"/>
  <c r="G44" i="12"/>
  <c r="N42" i="12"/>
  <c r="J42" i="12"/>
  <c r="G42" i="12"/>
  <c r="N41" i="12"/>
  <c r="N114" i="12" s="1"/>
  <c r="J41" i="12"/>
  <c r="G41" i="12"/>
  <c r="N40" i="12"/>
  <c r="J40" i="12"/>
  <c r="G40" i="12"/>
  <c r="N39" i="12"/>
  <c r="J39" i="12"/>
  <c r="G39" i="12"/>
  <c r="N37" i="12"/>
  <c r="J37" i="12"/>
  <c r="G37" i="12"/>
  <c r="N34" i="12"/>
  <c r="J34" i="12"/>
  <c r="G34" i="12"/>
  <c r="N32" i="12"/>
  <c r="J32" i="12"/>
  <c r="G32" i="12"/>
  <c r="N29" i="12"/>
  <c r="J29" i="12"/>
  <c r="G29" i="12"/>
  <c r="N28" i="12"/>
  <c r="N27" i="12"/>
  <c r="J27" i="12"/>
  <c r="G27" i="12"/>
  <c r="N25" i="12"/>
  <c r="J25" i="12"/>
  <c r="G25" i="12"/>
  <c r="N24" i="12"/>
  <c r="J24" i="12"/>
  <c r="G24" i="12"/>
  <c r="N22" i="12"/>
  <c r="J22" i="12"/>
  <c r="G22" i="12"/>
  <c r="N21" i="12"/>
  <c r="D27" i="7" s="1"/>
  <c r="D29" i="7" s="1"/>
  <c r="J21" i="12"/>
  <c r="G21" i="12"/>
  <c r="N20" i="12"/>
  <c r="J20" i="12"/>
  <c r="G20" i="12"/>
  <c r="N16" i="12"/>
  <c r="J16" i="12"/>
  <c r="G16" i="12"/>
  <c r="N13" i="12"/>
  <c r="J13" i="12"/>
  <c r="G13" i="12"/>
  <c r="N12" i="12"/>
  <c r="J12" i="12"/>
  <c r="G12" i="12"/>
  <c r="N11" i="12"/>
  <c r="J11" i="12"/>
  <c r="G11" i="12"/>
  <c r="N10" i="12"/>
  <c r="J10" i="12"/>
  <c r="G10" i="12"/>
  <c r="D26" i="16" l="1"/>
  <c r="E25" i="16"/>
  <c r="F22" i="16"/>
  <c r="G114" i="12"/>
  <c r="N111" i="12"/>
  <c r="G111" i="12"/>
  <c r="E26" i="16" l="1"/>
  <c r="F26" i="16"/>
  <c r="D9" i="11" l="1"/>
  <c r="K292" i="10" l="1"/>
  <c r="V290" i="10"/>
  <c r="U290" i="10"/>
  <c r="M290" i="10"/>
  <c r="H290" i="10"/>
  <c r="V289" i="10"/>
  <c r="U289" i="10"/>
  <c r="M289" i="10"/>
  <c r="H289" i="10"/>
  <c r="V288" i="10"/>
  <c r="U288" i="10"/>
  <c r="M288" i="10"/>
  <c r="H288" i="10"/>
  <c r="V287" i="10"/>
  <c r="U287" i="10"/>
  <c r="M287" i="10"/>
  <c r="H287" i="10"/>
  <c r="V286" i="10"/>
  <c r="U286" i="10"/>
  <c r="M286" i="10"/>
  <c r="H286" i="10"/>
  <c r="V285" i="10"/>
  <c r="U285" i="10"/>
  <c r="M285" i="10"/>
  <c r="H285" i="10"/>
  <c r="V284" i="10"/>
  <c r="U284" i="10"/>
  <c r="M284" i="10"/>
  <c r="H284" i="10"/>
  <c r="V283" i="10"/>
  <c r="U283" i="10"/>
  <c r="M283" i="10"/>
  <c r="H283" i="10"/>
  <c r="V282" i="10"/>
  <c r="U282" i="10"/>
  <c r="M282" i="10"/>
  <c r="H282" i="10"/>
  <c r="V281" i="10"/>
  <c r="U281" i="10"/>
  <c r="M281" i="10"/>
  <c r="H281" i="10"/>
  <c r="V280" i="10"/>
  <c r="U280" i="10"/>
  <c r="M280" i="10"/>
  <c r="H280" i="10"/>
  <c r="V279" i="10"/>
  <c r="U279" i="10"/>
  <c r="M279" i="10"/>
  <c r="H279" i="10"/>
  <c r="V278" i="10"/>
  <c r="U278" i="10"/>
  <c r="M278" i="10"/>
  <c r="H278" i="10"/>
  <c r="V277" i="10"/>
  <c r="U277" i="10"/>
  <c r="M277" i="10"/>
  <c r="H277" i="10"/>
  <c r="V276" i="10"/>
  <c r="U276" i="10"/>
  <c r="M276" i="10"/>
  <c r="H276" i="10"/>
  <c r="V275" i="10"/>
  <c r="U275" i="10"/>
  <c r="M275" i="10"/>
  <c r="L275" i="10"/>
  <c r="H275" i="10"/>
  <c r="V274" i="10"/>
  <c r="U274" i="10"/>
  <c r="M274" i="10"/>
  <c r="H274" i="10"/>
  <c r="V273" i="10"/>
  <c r="U273" i="10"/>
  <c r="M273" i="10"/>
  <c r="H273" i="10"/>
  <c r="V272" i="10"/>
  <c r="U272" i="10"/>
  <c r="M272" i="10"/>
  <c r="H272" i="10"/>
  <c r="V271" i="10"/>
  <c r="U271" i="10"/>
  <c r="M271" i="10"/>
  <c r="H271" i="10"/>
  <c r="V270" i="10"/>
  <c r="U270" i="10"/>
  <c r="M270" i="10"/>
  <c r="L270" i="10"/>
  <c r="H270" i="10"/>
  <c r="V269" i="10"/>
  <c r="U269" i="10"/>
  <c r="M269" i="10"/>
  <c r="H269" i="10"/>
  <c r="V268" i="10"/>
  <c r="U268" i="10"/>
  <c r="M268" i="10"/>
  <c r="H268" i="10"/>
  <c r="V267" i="10"/>
  <c r="Y264" i="10" s="1"/>
  <c r="U267" i="10"/>
  <c r="M267" i="10"/>
  <c r="H267" i="10"/>
  <c r="V266" i="10"/>
  <c r="U266" i="10"/>
  <c r="M266" i="10"/>
  <c r="H266" i="10"/>
  <c r="V265" i="10"/>
  <c r="U265" i="10"/>
  <c r="M265" i="10"/>
  <c r="H265" i="10"/>
  <c r="V264" i="10"/>
  <c r="U264" i="10"/>
  <c r="M264" i="10"/>
  <c r="H264" i="10"/>
  <c r="B264" i="10"/>
  <c r="Y263" i="10"/>
  <c r="V263" i="10"/>
  <c r="U263" i="10"/>
  <c r="M263" i="10"/>
  <c r="H263" i="10"/>
  <c r="B263" i="10"/>
  <c r="Y262" i="10"/>
  <c r="V262" i="10"/>
  <c r="U262" i="10"/>
  <c r="B262" i="10" s="1"/>
  <c r="M262" i="10"/>
  <c r="H262" i="10"/>
  <c r="V261" i="10"/>
  <c r="Y259" i="10" s="1"/>
  <c r="U261" i="10"/>
  <c r="M261" i="10"/>
  <c r="H261" i="10"/>
  <c r="V260" i="10"/>
  <c r="U260" i="10"/>
  <c r="M260" i="10"/>
  <c r="H260" i="10"/>
  <c r="V259" i="10"/>
  <c r="U259" i="10"/>
  <c r="B259" i="10" s="1"/>
  <c r="M259" i="10"/>
  <c r="H259" i="10"/>
  <c r="V258" i="10"/>
  <c r="Y254" i="10" s="1"/>
  <c r="U258" i="10"/>
  <c r="H258" i="10"/>
  <c r="V257" i="10"/>
  <c r="U257" i="10"/>
  <c r="H257" i="10"/>
  <c r="V256" i="10"/>
  <c r="U256" i="10"/>
  <c r="M256" i="10"/>
  <c r="H256" i="10"/>
  <c r="V255" i="10"/>
  <c r="U255" i="10"/>
  <c r="M255" i="10"/>
  <c r="L255" i="10"/>
  <c r="H255" i="10"/>
  <c r="V254" i="10"/>
  <c r="U254" i="10"/>
  <c r="M254" i="10"/>
  <c r="L254" i="10"/>
  <c r="H254" i="10"/>
  <c r="B254" i="10"/>
  <c r="V253" i="10"/>
  <c r="U253" i="10"/>
  <c r="M253" i="10"/>
  <c r="H253" i="10"/>
  <c r="V252" i="10"/>
  <c r="U252" i="10"/>
  <c r="M252" i="10"/>
  <c r="H252" i="10"/>
  <c r="V251" i="10"/>
  <c r="U251" i="10"/>
  <c r="M251" i="10"/>
  <c r="L251" i="10"/>
  <c r="H251" i="10"/>
  <c r="Y250" i="10"/>
  <c r="V250" i="10"/>
  <c r="U250" i="10"/>
  <c r="B250" i="10" s="1"/>
  <c r="M250" i="10"/>
  <c r="L250" i="10"/>
  <c r="H250" i="10"/>
  <c r="Y249" i="10"/>
  <c r="V249" i="10"/>
  <c r="U249" i="10"/>
  <c r="M249" i="10"/>
  <c r="H249" i="10"/>
  <c r="B249" i="10"/>
  <c r="V248" i="10"/>
  <c r="U248" i="10"/>
  <c r="M248" i="10"/>
  <c r="H248" i="10"/>
  <c r="V247" i="10"/>
  <c r="Y247" i="10" s="1"/>
  <c r="U247" i="10"/>
  <c r="B247" i="10" s="1"/>
  <c r="M247" i="10"/>
  <c r="H247" i="10"/>
  <c r="Y246" i="10"/>
  <c r="V246" i="10"/>
  <c r="U246" i="10"/>
  <c r="M246" i="10"/>
  <c r="H246" i="10"/>
  <c r="V245" i="10"/>
  <c r="U245" i="10"/>
  <c r="M245" i="10"/>
  <c r="H245" i="10"/>
  <c r="U244" i="10"/>
  <c r="P244" i="10"/>
  <c r="V244" i="10" s="1"/>
  <c r="Y244" i="10" s="1"/>
  <c r="M244" i="10"/>
  <c r="H244" i="10"/>
  <c r="B244" i="10"/>
  <c r="V243" i="10"/>
  <c r="U243" i="10"/>
  <c r="M243" i="10"/>
  <c r="H243" i="10"/>
  <c r="V242" i="10"/>
  <c r="U242" i="10"/>
  <c r="M242" i="10"/>
  <c r="H242" i="10"/>
  <c r="V241" i="10"/>
  <c r="U241" i="10"/>
  <c r="M241" i="10"/>
  <c r="H241" i="10"/>
  <c r="V240" i="10"/>
  <c r="U240" i="10"/>
  <c r="M240" i="10"/>
  <c r="H240" i="10"/>
  <c r="V239" i="10"/>
  <c r="U239" i="10"/>
  <c r="M239" i="10"/>
  <c r="H239" i="10"/>
  <c r="V238" i="10"/>
  <c r="U238" i="10"/>
  <c r="M238" i="10"/>
  <c r="H238" i="10"/>
  <c r="Y237" i="10"/>
  <c r="V237" i="10"/>
  <c r="U237" i="10"/>
  <c r="M237" i="10"/>
  <c r="H237" i="10"/>
  <c r="B237" i="10"/>
  <c r="V236" i="10"/>
  <c r="Y236" i="10" s="1"/>
  <c r="U236" i="10"/>
  <c r="M236" i="10"/>
  <c r="L236" i="10"/>
  <c r="H236" i="10"/>
  <c r="U235" i="10"/>
  <c r="Q235" i="10"/>
  <c r="V235" i="10" s="1"/>
  <c r="M235" i="10"/>
  <c r="H235" i="10"/>
  <c r="V234" i="10"/>
  <c r="U234" i="10"/>
  <c r="M234" i="10"/>
  <c r="H234" i="10"/>
  <c r="V233" i="10"/>
  <c r="Y233" i="10" s="1"/>
  <c r="U233" i="10"/>
  <c r="Q233" i="10"/>
  <c r="M233" i="10"/>
  <c r="H233" i="10"/>
  <c r="B233" i="10"/>
  <c r="V232" i="10"/>
  <c r="Y232" i="10" s="1"/>
  <c r="U232" i="10"/>
  <c r="Q232" i="10"/>
  <c r="M232" i="10"/>
  <c r="H232" i="10"/>
  <c r="B232" i="10"/>
  <c r="V231" i="10"/>
  <c r="Y231" i="10" s="1"/>
  <c r="U231" i="10"/>
  <c r="M231" i="10"/>
  <c r="H231" i="10"/>
  <c r="V230" i="10"/>
  <c r="Y226" i="10" s="1"/>
  <c r="U230" i="10"/>
  <c r="M230" i="10"/>
  <c r="L230" i="10"/>
  <c r="H230" i="10"/>
  <c r="Y229" i="10"/>
  <c r="V229" i="10"/>
  <c r="U229" i="10"/>
  <c r="M229" i="10"/>
  <c r="H229" i="10"/>
  <c r="V228" i="10"/>
  <c r="U228" i="10"/>
  <c r="M228" i="10"/>
  <c r="H228" i="10"/>
  <c r="Y227" i="10"/>
  <c r="V227" i="10"/>
  <c r="U227" i="10"/>
  <c r="M227" i="10"/>
  <c r="H227" i="10"/>
  <c r="V226" i="10"/>
  <c r="U226" i="10"/>
  <c r="M226" i="10"/>
  <c r="H226" i="10"/>
  <c r="V225" i="10"/>
  <c r="U225" i="10"/>
  <c r="M225" i="10"/>
  <c r="H225" i="10"/>
  <c r="V224" i="10"/>
  <c r="U224" i="10"/>
  <c r="Q224" i="10"/>
  <c r="M224" i="10"/>
  <c r="H224" i="10"/>
  <c r="U223" i="10"/>
  <c r="Q223" i="10"/>
  <c r="V223" i="10" s="1"/>
  <c r="Y222" i="10" s="1"/>
  <c r="M223" i="10"/>
  <c r="H223" i="10"/>
  <c r="V222" i="10"/>
  <c r="U222" i="10"/>
  <c r="M222" i="10"/>
  <c r="L222" i="10"/>
  <c r="H222" i="10"/>
  <c r="V221" i="10"/>
  <c r="U221" i="10"/>
  <c r="M221" i="10"/>
  <c r="H221" i="10"/>
  <c r="Y220" i="10"/>
  <c r="V220" i="10"/>
  <c r="U220" i="10"/>
  <c r="M220" i="10"/>
  <c r="L220" i="10"/>
  <c r="H220" i="10"/>
  <c r="V219" i="10"/>
  <c r="U219" i="10"/>
  <c r="M219" i="10"/>
  <c r="H219" i="10"/>
  <c r="V218" i="10"/>
  <c r="U218" i="10"/>
  <c r="M218" i="10"/>
  <c r="L218" i="10"/>
  <c r="H218" i="10"/>
  <c r="V217" i="10"/>
  <c r="Y217" i="10" s="1"/>
  <c r="U217" i="10"/>
  <c r="M217" i="10"/>
  <c r="L217" i="10"/>
  <c r="H217" i="10"/>
  <c r="V216" i="10"/>
  <c r="Y215" i="10" s="1"/>
  <c r="U216" i="10"/>
  <c r="M216" i="10"/>
  <c r="H216" i="10"/>
  <c r="V215" i="10"/>
  <c r="U215" i="10"/>
  <c r="M215" i="10"/>
  <c r="L215" i="10"/>
  <c r="H215" i="10"/>
  <c r="V214" i="10"/>
  <c r="U214" i="10"/>
  <c r="M214" i="10"/>
  <c r="H214" i="10"/>
  <c r="V213" i="10"/>
  <c r="U213" i="10"/>
  <c r="M213" i="10"/>
  <c r="H213" i="10"/>
  <c r="V212" i="10"/>
  <c r="U212" i="10"/>
  <c r="M212" i="10"/>
  <c r="L212" i="10"/>
  <c r="H212" i="10"/>
  <c r="V211" i="10"/>
  <c r="Y211" i="10" s="1"/>
  <c r="U211" i="10"/>
  <c r="M211" i="10"/>
  <c r="L211" i="10"/>
  <c r="H211" i="10"/>
  <c r="Y210" i="10"/>
  <c r="V210" i="10"/>
  <c r="U210" i="10"/>
  <c r="M210" i="10"/>
  <c r="L210" i="10"/>
  <c r="H210" i="10"/>
  <c r="V209" i="10"/>
  <c r="Y209" i="10" s="1"/>
  <c r="U209" i="10"/>
  <c r="M209" i="10"/>
  <c r="H209" i="10"/>
  <c r="V208" i="10"/>
  <c r="Y208" i="10" s="1"/>
  <c r="U208" i="10"/>
  <c r="M208" i="10"/>
  <c r="L208" i="10"/>
  <c r="H208" i="10"/>
  <c r="B208" i="10"/>
  <c r="V207" i="10"/>
  <c r="U207" i="10"/>
  <c r="H207" i="10"/>
  <c r="V206" i="10"/>
  <c r="U206" i="10"/>
  <c r="L206" i="10"/>
  <c r="H206" i="10"/>
  <c r="V205" i="10"/>
  <c r="U205" i="10"/>
  <c r="L205" i="10"/>
  <c r="H205" i="10"/>
  <c r="V204" i="10"/>
  <c r="U204" i="10"/>
  <c r="B202" i="10" s="1"/>
  <c r="H204" i="10"/>
  <c r="V203" i="10"/>
  <c r="U203" i="10"/>
  <c r="H203" i="10"/>
  <c r="Y202" i="10"/>
  <c r="V202" i="10"/>
  <c r="U202" i="10"/>
  <c r="H202" i="10"/>
  <c r="V201" i="10"/>
  <c r="U201" i="10"/>
  <c r="H201" i="10"/>
  <c r="V200" i="10"/>
  <c r="U200" i="10"/>
  <c r="L200" i="10"/>
  <c r="H200" i="10"/>
  <c r="V199" i="10"/>
  <c r="U199" i="10"/>
  <c r="L199" i="10"/>
  <c r="H199" i="10"/>
  <c r="V198" i="10"/>
  <c r="U198" i="10"/>
  <c r="H198" i="10"/>
  <c r="Y197" i="10"/>
  <c r="V197" i="10"/>
  <c r="U197" i="10"/>
  <c r="M197" i="10"/>
  <c r="H197" i="10"/>
  <c r="V196" i="10"/>
  <c r="U196" i="10"/>
  <c r="M196" i="10"/>
  <c r="H196" i="10"/>
  <c r="V195" i="10"/>
  <c r="U195" i="10"/>
  <c r="M195" i="10"/>
  <c r="L195" i="10"/>
  <c r="H195" i="10"/>
  <c r="Y194" i="10"/>
  <c r="V194" i="10"/>
  <c r="U194" i="10"/>
  <c r="M194" i="10"/>
  <c r="H194" i="10"/>
  <c r="Y193" i="10"/>
  <c r="V193" i="10"/>
  <c r="U193" i="10"/>
  <c r="M193" i="10"/>
  <c r="L193" i="10"/>
  <c r="H193" i="10"/>
  <c r="V192" i="10"/>
  <c r="U192" i="10"/>
  <c r="M192" i="10"/>
  <c r="H192" i="10"/>
  <c r="V191" i="10"/>
  <c r="Y191" i="10" s="1"/>
  <c r="U191" i="10"/>
  <c r="M191" i="10"/>
  <c r="H191" i="10"/>
  <c r="V190" i="10"/>
  <c r="Y190" i="10" s="1"/>
  <c r="U190" i="10"/>
  <c r="M190" i="10"/>
  <c r="H190" i="10"/>
  <c r="B190" i="10"/>
  <c r="Y189" i="10"/>
  <c r="V189" i="10"/>
  <c r="U189" i="10"/>
  <c r="M189" i="10"/>
  <c r="H189" i="10"/>
  <c r="V188" i="10"/>
  <c r="Y188" i="10" s="1"/>
  <c r="U188" i="10"/>
  <c r="B188" i="10" s="1"/>
  <c r="M188" i="10"/>
  <c r="H188" i="10"/>
  <c r="V187" i="10"/>
  <c r="U187" i="10"/>
  <c r="M187" i="10"/>
  <c r="H187" i="10"/>
  <c r="V186" i="10"/>
  <c r="U186" i="10"/>
  <c r="M186" i="10"/>
  <c r="L186" i="10"/>
  <c r="H186" i="10"/>
  <c r="V185" i="10"/>
  <c r="U185" i="10"/>
  <c r="M185" i="10"/>
  <c r="L185" i="10"/>
  <c r="H185" i="10"/>
  <c r="V184" i="10"/>
  <c r="U184" i="10"/>
  <c r="M184" i="10"/>
  <c r="H184" i="10"/>
  <c r="V183" i="10"/>
  <c r="Y183" i="10" s="1"/>
  <c r="U183" i="10"/>
  <c r="M183" i="10"/>
  <c r="H183" i="10"/>
  <c r="V182" i="10"/>
  <c r="U182" i="10"/>
  <c r="M182" i="10"/>
  <c r="H182" i="10"/>
  <c r="V181" i="10"/>
  <c r="U181" i="10"/>
  <c r="M181" i="10"/>
  <c r="L181" i="10"/>
  <c r="H181" i="10"/>
  <c r="V180" i="10"/>
  <c r="U180" i="10"/>
  <c r="M180" i="10"/>
  <c r="L180" i="10"/>
  <c r="H180" i="10"/>
  <c r="V179" i="10"/>
  <c r="Y179" i="10" s="1"/>
  <c r="U179" i="10"/>
  <c r="M179" i="10"/>
  <c r="H179" i="10"/>
  <c r="V178" i="10"/>
  <c r="U178" i="10"/>
  <c r="M178" i="10"/>
  <c r="H178" i="10"/>
  <c r="V177" i="10"/>
  <c r="Y177" i="10" s="1"/>
  <c r="U177" i="10"/>
  <c r="M177" i="10"/>
  <c r="L177" i="10"/>
  <c r="H177" i="10"/>
  <c r="B177" i="10"/>
  <c r="V176" i="10"/>
  <c r="U176" i="10"/>
  <c r="M176" i="10"/>
  <c r="H176" i="10"/>
  <c r="V175" i="10"/>
  <c r="U175" i="10"/>
  <c r="M175" i="10"/>
  <c r="L175" i="10"/>
  <c r="H175" i="10"/>
  <c r="V174" i="10"/>
  <c r="U174" i="10"/>
  <c r="M174" i="10"/>
  <c r="L174" i="10"/>
  <c r="H174" i="10"/>
  <c r="V173" i="10"/>
  <c r="U173" i="10"/>
  <c r="M173" i="10"/>
  <c r="H173" i="10"/>
  <c r="V172" i="10"/>
  <c r="U172" i="10"/>
  <c r="M172" i="10"/>
  <c r="H172" i="10"/>
  <c r="Y171" i="10"/>
  <c r="V171" i="10"/>
  <c r="U171" i="10"/>
  <c r="M171" i="10"/>
  <c r="H171" i="10"/>
  <c r="V170" i="10"/>
  <c r="U170" i="10"/>
  <c r="M170" i="10"/>
  <c r="H170" i="10"/>
  <c r="V169" i="10"/>
  <c r="U169" i="10"/>
  <c r="M169" i="10"/>
  <c r="L169" i="10"/>
  <c r="H169" i="10"/>
  <c r="V168" i="10"/>
  <c r="U168" i="10"/>
  <c r="M168" i="10"/>
  <c r="L168" i="10"/>
  <c r="H168" i="10"/>
  <c r="V167" i="10"/>
  <c r="U167" i="10"/>
  <c r="M167" i="10"/>
  <c r="H167" i="10"/>
  <c r="V166" i="10"/>
  <c r="U166" i="10"/>
  <c r="M166" i="10"/>
  <c r="H166" i="10"/>
  <c r="V165" i="10"/>
  <c r="Y165" i="10" s="1"/>
  <c r="U165" i="10"/>
  <c r="M165" i="10"/>
  <c r="H165" i="10"/>
  <c r="V164" i="10"/>
  <c r="Y164" i="10" s="1"/>
  <c r="U164" i="10"/>
  <c r="M164" i="10"/>
  <c r="H164" i="10"/>
  <c r="V163" i="10"/>
  <c r="U163" i="10"/>
  <c r="M163" i="10"/>
  <c r="L163" i="10"/>
  <c r="H163" i="10"/>
  <c r="V162" i="10"/>
  <c r="U162" i="10"/>
  <c r="M162" i="10"/>
  <c r="H162" i="10"/>
  <c r="V161" i="10"/>
  <c r="Y161" i="10" s="1"/>
  <c r="U161" i="10"/>
  <c r="M161" i="10"/>
  <c r="H161" i="10"/>
  <c r="Y160" i="10"/>
  <c r="V160" i="10"/>
  <c r="U160" i="10"/>
  <c r="M160" i="10"/>
  <c r="H160" i="10"/>
  <c r="Y159" i="10"/>
  <c r="V159" i="10"/>
  <c r="U159" i="10"/>
  <c r="M159" i="10"/>
  <c r="H159" i="10"/>
  <c r="Y158" i="10"/>
  <c r="V158" i="10"/>
  <c r="U158" i="10"/>
  <c r="B158" i="10" s="1"/>
  <c r="M158" i="10"/>
  <c r="H158" i="10"/>
  <c r="V157" i="10"/>
  <c r="U157" i="10"/>
  <c r="M157" i="10"/>
  <c r="L157" i="10"/>
  <c r="H157" i="10"/>
  <c r="V156" i="10"/>
  <c r="U156" i="10"/>
  <c r="M156" i="10"/>
  <c r="H156" i="10"/>
  <c r="V155" i="10"/>
  <c r="U155" i="10"/>
  <c r="M155" i="10"/>
  <c r="H155" i="10"/>
  <c r="V154" i="10"/>
  <c r="U154" i="10"/>
  <c r="M154" i="10"/>
  <c r="H154" i="10"/>
  <c r="V153" i="10"/>
  <c r="U153" i="10"/>
  <c r="M153" i="10"/>
  <c r="H153" i="10"/>
  <c r="V152" i="10"/>
  <c r="U152" i="10"/>
  <c r="M152" i="10"/>
  <c r="H152" i="10"/>
  <c r="V151" i="10"/>
  <c r="Y151" i="10" s="1"/>
  <c r="U151" i="10"/>
  <c r="M151" i="10"/>
  <c r="H151" i="10"/>
  <c r="V150" i="10"/>
  <c r="U150" i="10"/>
  <c r="M150" i="10"/>
  <c r="L150" i="10"/>
  <c r="H150" i="10"/>
  <c r="V149" i="10"/>
  <c r="U149" i="10"/>
  <c r="M149" i="10"/>
  <c r="H149" i="10"/>
  <c r="V148" i="10"/>
  <c r="U148" i="10"/>
  <c r="M148" i="10"/>
  <c r="H148" i="10"/>
  <c r="V147" i="10"/>
  <c r="U147" i="10"/>
  <c r="M147" i="10"/>
  <c r="L147" i="10"/>
  <c r="H147" i="10"/>
  <c r="V146" i="10"/>
  <c r="U146" i="10"/>
  <c r="M146" i="10"/>
  <c r="H146" i="10"/>
  <c r="Y145" i="10"/>
  <c r="V145" i="10"/>
  <c r="U145" i="10"/>
  <c r="B145" i="10" s="1"/>
  <c r="M145" i="10"/>
  <c r="H145" i="10"/>
  <c r="V144" i="10"/>
  <c r="U144" i="10"/>
  <c r="M144" i="10"/>
  <c r="L144" i="10"/>
  <c r="H144" i="10"/>
  <c r="V143" i="10"/>
  <c r="U143" i="10"/>
  <c r="M143" i="10"/>
  <c r="L143" i="10"/>
  <c r="H143" i="10"/>
  <c r="Y142" i="10"/>
  <c r="V142" i="10"/>
  <c r="U142" i="10"/>
  <c r="M142" i="10"/>
  <c r="H142" i="10"/>
  <c r="Y141" i="10"/>
  <c r="V141" i="10"/>
  <c r="U141" i="10"/>
  <c r="M141" i="10"/>
  <c r="L141" i="10"/>
  <c r="H141" i="10"/>
  <c r="V140" i="10"/>
  <c r="Y140" i="10" s="1"/>
  <c r="U140" i="10"/>
  <c r="M140" i="10"/>
  <c r="H140" i="10"/>
  <c r="V139" i="10"/>
  <c r="U139" i="10"/>
  <c r="M139" i="10"/>
  <c r="L139" i="10"/>
  <c r="H139" i="10"/>
  <c r="V138" i="10"/>
  <c r="U138" i="10"/>
  <c r="M138" i="10"/>
  <c r="L138" i="10"/>
  <c r="H138" i="10"/>
  <c r="Y137" i="10"/>
  <c r="V137" i="10"/>
  <c r="U137" i="10"/>
  <c r="B137" i="10" s="1"/>
  <c r="M137" i="10"/>
  <c r="H137" i="10"/>
  <c r="Y136" i="10"/>
  <c r="U136" i="10"/>
  <c r="M136" i="10"/>
  <c r="L136" i="10"/>
  <c r="H136" i="10"/>
  <c r="V135" i="10"/>
  <c r="Y135" i="10" s="1"/>
  <c r="U135" i="10"/>
  <c r="M135" i="10"/>
  <c r="L135" i="10"/>
  <c r="H135" i="10"/>
  <c r="Y134" i="10"/>
  <c r="V134" i="10"/>
  <c r="U134" i="10"/>
  <c r="M134" i="10"/>
  <c r="H134" i="10"/>
  <c r="V133" i="10"/>
  <c r="Y133" i="10" s="1"/>
  <c r="U133" i="10"/>
  <c r="M133" i="10"/>
  <c r="H133" i="10"/>
  <c r="V132" i="10"/>
  <c r="Y132" i="10" s="1"/>
  <c r="U132" i="10"/>
  <c r="M132" i="10"/>
  <c r="H132" i="10"/>
  <c r="V131" i="10"/>
  <c r="Y131" i="10" s="1"/>
  <c r="U131" i="10"/>
  <c r="M131" i="10"/>
  <c r="H131" i="10"/>
  <c r="Y130" i="10"/>
  <c r="V130" i="10"/>
  <c r="U130" i="10"/>
  <c r="M130" i="10"/>
  <c r="H130" i="10"/>
  <c r="Y129" i="10"/>
  <c r="V129" i="10"/>
  <c r="U129" i="10"/>
  <c r="M129" i="10"/>
  <c r="H129" i="10"/>
  <c r="V128" i="10"/>
  <c r="U128" i="10"/>
  <c r="M128" i="10"/>
  <c r="H128" i="10"/>
  <c r="V127" i="10"/>
  <c r="U127" i="10"/>
  <c r="M127" i="10"/>
  <c r="L127" i="10"/>
  <c r="H127" i="10"/>
  <c r="V126" i="10"/>
  <c r="U126" i="10"/>
  <c r="M126" i="10"/>
  <c r="H126" i="10"/>
  <c r="V125" i="10"/>
  <c r="Y125" i="10" s="1"/>
  <c r="U125" i="10"/>
  <c r="M125" i="10"/>
  <c r="L125" i="10"/>
  <c r="H125" i="10"/>
  <c r="B125" i="10"/>
  <c r="V124" i="10"/>
  <c r="U124" i="10"/>
  <c r="M124" i="10"/>
  <c r="H124" i="10"/>
  <c r="V123" i="10"/>
  <c r="U123" i="10"/>
  <c r="M123" i="10"/>
  <c r="L123" i="10"/>
  <c r="H123" i="10"/>
  <c r="V122" i="10"/>
  <c r="U122" i="10"/>
  <c r="M122" i="10"/>
  <c r="L122" i="10"/>
  <c r="H122" i="10"/>
  <c r="V121" i="10"/>
  <c r="U121" i="10"/>
  <c r="M121" i="10"/>
  <c r="H121" i="10"/>
  <c r="V120" i="10"/>
  <c r="Y120" i="10" s="1"/>
  <c r="U120" i="10"/>
  <c r="M120" i="10"/>
  <c r="L120" i="10"/>
  <c r="H120" i="10"/>
  <c r="V119" i="10"/>
  <c r="U119" i="10"/>
  <c r="L119" i="10"/>
  <c r="H119" i="10"/>
  <c r="V118" i="10"/>
  <c r="U118" i="10"/>
  <c r="L118" i="10"/>
  <c r="H118" i="10"/>
  <c r="V117" i="10"/>
  <c r="U117" i="10"/>
  <c r="L117" i="10"/>
  <c r="H117" i="10"/>
  <c r="V116" i="10"/>
  <c r="U116" i="10"/>
  <c r="H116" i="10"/>
  <c r="V115" i="10"/>
  <c r="U115" i="10"/>
  <c r="H115" i="10"/>
  <c r="V114" i="10"/>
  <c r="U114" i="10"/>
  <c r="H114" i="10"/>
  <c r="V113" i="10"/>
  <c r="U113" i="10"/>
  <c r="H113" i="10"/>
  <c r="V112" i="10"/>
  <c r="U112" i="10"/>
  <c r="H112" i="10"/>
  <c r="V111" i="10"/>
  <c r="Y111" i="10" s="1"/>
  <c r="U111" i="10"/>
  <c r="M111" i="10"/>
  <c r="H111" i="10"/>
  <c r="B111" i="10"/>
  <c r="V110" i="10"/>
  <c r="U110" i="10"/>
  <c r="M110" i="10"/>
  <c r="L110" i="10"/>
  <c r="H110" i="10"/>
  <c r="V109" i="10"/>
  <c r="U109" i="10"/>
  <c r="M109" i="10"/>
  <c r="L109" i="10"/>
  <c r="H109" i="10"/>
  <c r="V108" i="10"/>
  <c r="U108" i="10"/>
  <c r="M108" i="10"/>
  <c r="L108" i="10"/>
  <c r="H108" i="10"/>
  <c r="V107" i="10"/>
  <c r="U107" i="10"/>
  <c r="M107" i="10"/>
  <c r="H107" i="10"/>
  <c r="V106" i="10"/>
  <c r="U106" i="10"/>
  <c r="M106" i="10"/>
  <c r="H106" i="10"/>
  <c r="V105" i="10"/>
  <c r="Y102" i="10" s="1"/>
  <c r="U105" i="10"/>
  <c r="M105" i="10"/>
  <c r="H105" i="10"/>
  <c r="V104" i="10"/>
  <c r="U104" i="10"/>
  <c r="M104" i="10"/>
  <c r="H104" i="10"/>
  <c r="V103" i="10"/>
  <c r="U103" i="10"/>
  <c r="M103" i="10"/>
  <c r="H103" i="10"/>
  <c r="V102" i="10"/>
  <c r="U102" i="10"/>
  <c r="M102" i="10"/>
  <c r="H102" i="10"/>
  <c r="V101" i="10"/>
  <c r="U101" i="10"/>
  <c r="M101" i="10"/>
  <c r="L101" i="10"/>
  <c r="H101" i="10"/>
  <c r="V100" i="10"/>
  <c r="U100" i="10"/>
  <c r="M100" i="10"/>
  <c r="L100" i="10"/>
  <c r="H100" i="10"/>
  <c r="V99" i="10"/>
  <c r="U99" i="10"/>
  <c r="M99" i="10"/>
  <c r="L99" i="10"/>
  <c r="H99" i="10"/>
  <c r="V98" i="10"/>
  <c r="U98" i="10"/>
  <c r="M98" i="10"/>
  <c r="H98" i="10"/>
  <c r="V97" i="10"/>
  <c r="U97" i="10"/>
  <c r="M97" i="10"/>
  <c r="H97" i="10"/>
  <c r="V96" i="10"/>
  <c r="U96" i="10"/>
  <c r="M96" i="10"/>
  <c r="H96" i="10"/>
  <c r="V95" i="10"/>
  <c r="U95" i="10"/>
  <c r="M95" i="10"/>
  <c r="H95" i="10"/>
  <c r="V94" i="10"/>
  <c r="U94" i="10"/>
  <c r="M94" i="10"/>
  <c r="H94" i="10"/>
  <c r="V93" i="10"/>
  <c r="Y93" i="10" s="1"/>
  <c r="U93" i="10"/>
  <c r="M93" i="10"/>
  <c r="H93" i="10"/>
  <c r="V92" i="10"/>
  <c r="U92" i="10"/>
  <c r="M92" i="10"/>
  <c r="L92" i="10"/>
  <c r="H92" i="10"/>
  <c r="V91" i="10"/>
  <c r="U91" i="10"/>
  <c r="M91" i="10"/>
  <c r="L91" i="10"/>
  <c r="H91" i="10"/>
  <c r="V90" i="10"/>
  <c r="U90" i="10"/>
  <c r="M90" i="10"/>
  <c r="L90" i="10"/>
  <c r="H90" i="10"/>
  <c r="V89" i="10"/>
  <c r="U89" i="10"/>
  <c r="M89" i="10"/>
  <c r="H89" i="10"/>
  <c r="V88" i="10"/>
  <c r="Y84" i="10" s="1"/>
  <c r="U88" i="10"/>
  <c r="M88" i="10"/>
  <c r="H88" i="10"/>
  <c r="V87" i="10"/>
  <c r="U87" i="10"/>
  <c r="M87" i="10"/>
  <c r="H87" i="10"/>
  <c r="V86" i="10"/>
  <c r="U86" i="10"/>
  <c r="M86" i="10"/>
  <c r="H86" i="10"/>
  <c r="V85" i="10"/>
  <c r="U85" i="10"/>
  <c r="M85" i="10"/>
  <c r="H85" i="10"/>
  <c r="V84" i="10"/>
  <c r="U84" i="10"/>
  <c r="M84" i="10"/>
  <c r="H84" i="10"/>
  <c r="V83" i="10"/>
  <c r="U83" i="10"/>
  <c r="M83" i="10"/>
  <c r="L83" i="10"/>
  <c r="H83" i="10"/>
  <c r="V82" i="10"/>
  <c r="U82" i="10"/>
  <c r="M82" i="10"/>
  <c r="L82" i="10"/>
  <c r="H82" i="10"/>
  <c r="V81" i="10"/>
  <c r="U81" i="10"/>
  <c r="M81" i="10"/>
  <c r="L81" i="10"/>
  <c r="H81" i="10"/>
  <c r="V80" i="10"/>
  <c r="U80" i="10"/>
  <c r="M80" i="10"/>
  <c r="H80" i="10"/>
  <c r="V79" i="10"/>
  <c r="U79" i="10"/>
  <c r="M79" i="10"/>
  <c r="H79" i="10"/>
  <c r="V78" i="10"/>
  <c r="U78" i="10"/>
  <c r="M78" i="10"/>
  <c r="H78" i="10"/>
  <c r="V77" i="10"/>
  <c r="U77" i="10"/>
  <c r="M77" i="10"/>
  <c r="H77" i="10"/>
  <c r="V76" i="10"/>
  <c r="U76" i="10"/>
  <c r="M76" i="10"/>
  <c r="H76" i="10"/>
  <c r="V75" i="10"/>
  <c r="Y75" i="10" s="1"/>
  <c r="U75" i="10"/>
  <c r="M75" i="10"/>
  <c r="H75" i="10"/>
  <c r="V74" i="10"/>
  <c r="Y74" i="10" s="1"/>
  <c r="U74" i="10"/>
  <c r="M74" i="10"/>
  <c r="H74" i="10"/>
  <c r="V73" i="10"/>
  <c r="Y73" i="10" s="1"/>
  <c r="U73" i="10"/>
  <c r="L73" i="10"/>
  <c r="V72" i="10"/>
  <c r="U72" i="10"/>
  <c r="M72" i="10"/>
  <c r="H72" i="10"/>
  <c r="V71" i="10"/>
  <c r="U71" i="10"/>
  <c r="M71" i="10"/>
  <c r="H71" i="10"/>
  <c r="V70" i="10"/>
  <c r="U70" i="10"/>
  <c r="M70" i="10"/>
  <c r="L70" i="10"/>
  <c r="H70" i="10"/>
  <c r="V69" i="10"/>
  <c r="U69" i="10"/>
  <c r="M69" i="10"/>
  <c r="L69" i="10"/>
  <c r="H69" i="10"/>
  <c r="V68" i="10"/>
  <c r="U68" i="10"/>
  <c r="M68" i="10"/>
  <c r="L68" i="10"/>
  <c r="H68" i="10"/>
  <c r="V67" i="10"/>
  <c r="U67" i="10"/>
  <c r="M67" i="10"/>
  <c r="H67" i="10"/>
  <c r="V66" i="10"/>
  <c r="U66" i="10"/>
  <c r="M66" i="10"/>
  <c r="H66" i="10"/>
  <c r="V65" i="10"/>
  <c r="U65" i="10"/>
  <c r="M65" i="10"/>
  <c r="H65" i="10"/>
  <c r="Y64" i="10"/>
  <c r="V64" i="10"/>
  <c r="U64" i="10"/>
  <c r="M64" i="10"/>
  <c r="H64" i="10"/>
  <c r="V63" i="10"/>
  <c r="U63" i="10"/>
  <c r="M63" i="10"/>
  <c r="H63" i="10"/>
  <c r="V62" i="10"/>
  <c r="U62" i="10"/>
  <c r="M62" i="10"/>
  <c r="H62" i="10"/>
  <c r="V61" i="10"/>
  <c r="U61" i="10"/>
  <c r="M61" i="10"/>
  <c r="L61" i="10"/>
  <c r="H61" i="10"/>
  <c r="V60" i="10"/>
  <c r="U60" i="10"/>
  <c r="M60" i="10"/>
  <c r="L60" i="10"/>
  <c r="H60" i="10"/>
  <c r="V59" i="10"/>
  <c r="U59" i="10"/>
  <c r="M59" i="10"/>
  <c r="H59" i="10"/>
  <c r="V58" i="10"/>
  <c r="Y58" i="10" s="1"/>
  <c r="U58" i="10"/>
  <c r="B58" i="10" s="1"/>
  <c r="M58" i="10"/>
  <c r="H58" i="10"/>
  <c r="Y57" i="10"/>
  <c r="V57" i="10"/>
  <c r="U57" i="10"/>
  <c r="M57" i="10"/>
  <c r="H57" i="10"/>
  <c r="V56" i="10"/>
  <c r="U56" i="10"/>
  <c r="M56" i="10"/>
  <c r="H56" i="10"/>
  <c r="V55" i="10"/>
  <c r="Y55" i="10" s="1"/>
  <c r="U55" i="10"/>
  <c r="M55" i="10"/>
  <c r="H55" i="10"/>
  <c r="V54" i="10"/>
  <c r="U54" i="10"/>
  <c r="M54" i="10"/>
  <c r="H54" i="10"/>
  <c r="V53" i="10"/>
  <c r="Y53" i="10" s="1"/>
  <c r="U53" i="10"/>
  <c r="M53" i="10"/>
  <c r="H53" i="10"/>
  <c r="B53" i="10"/>
  <c r="V52" i="10"/>
  <c r="U52" i="10"/>
  <c r="M52" i="10"/>
  <c r="L52" i="10"/>
  <c r="H52" i="10"/>
  <c r="V51" i="10"/>
  <c r="U51" i="10"/>
  <c r="M51" i="10"/>
  <c r="L51" i="10"/>
  <c r="H51" i="10"/>
  <c r="V50" i="10"/>
  <c r="U50" i="10"/>
  <c r="M50" i="10"/>
  <c r="H50" i="10"/>
  <c r="Y49" i="10"/>
  <c r="V49" i="10"/>
  <c r="U49" i="10"/>
  <c r="M49" i="10"/>
  <c r="H49" i="10"/>
  <c r="V48" i="10"/>
  <c r="U48" i="10"/>
  <c r="M48" i="10"/>
  <c r="L48" i="10"/>
  <c r="H48" i="10"/>
  <c r="V47" i="10"/>
  <c r="U47" i="10"/>
  <c r="M47" i="10"/>
  <c r="H47" i="10"/>
  <c r="Y46" i="10"/>
  <c r="V46" i="10"/>
  <c r="U46" i="10"/>
  <c r="M46" i="10"/>
  <c r="H46" i="10"/>
  <c r="V45" i="10"/>
  <c r="U45" i="10"/>
  <c r="M45" i="10"/>
  <c r="L45" i="10"/>
  <c r="H45" i="10"/>
  <c r="V44" i="10"/>
  <c r="U44" i="10"/>
  <c r="M44" i="10"/>
  <c r="H44" i="10"/>
  <c r="Y43" i="10"/>
  <c r="V43" i="10"/>
  <c r="U43" i="10"/>
  <c r="B43" i="10" s="1"/>
  <c r="M43" i="10"/>
  <c r="H43" i="10"/>
  <c r="V42" i="10"/>
  <c r="Y42" i="10" s="1"/>
  <c r="U42" i="10"/>
  <c r="M42" i="10"/>
  <c r="H42" i="10"/>
  <c r="Y41" i="10"/>
  <c r="V41" i="10"/>
  <c r="U41" i="10"/>
  <c r="M41" i="10"/>
  <c r="L41" i="10"/>
  <c r="H41" i="10"/>
  <c r="V40" i="10"/>
  <c r="Y40" i="10" s="1"/>
  <c r="U40" i="10"/>
  <c r="M40" i="10"/>
  <c r="L40" i="10"/>
  <c r="H40" i="10"/>
  <c r="B40" i="10"/>
  <c r="V39" i="10"/>
  <c r="Y39" i="10" s="1"/>
  <c r="U39" i="10"/>
  <c r="M39" i="10"/>
  <c r="L39" i="10"/>
  <c r="H39" i="10"/>
  <c r="B39" i="10"/>
  <c r="V38" i="10"/>
  <c r="Y38" i="10" s="1"/>
  <c r="U38" i="10"/>
  <c r="M38" i="10"/>
  <c r="L38" i="10"/>
  <c r="H38" i="10"/>
  <c r="B38" i="10"/>
  <c r="V37" i="10"/>
  <c r="Y37" i="10" s="1"/>
  <c r="U37" i="10"/>
  <c r="M37" i="10"/>
  <c r="L37" i="10"/>
  <c r="H37" i="10"/>
  <c r="B37" i="10"/>
  <c r="V36" i="10"/>
  <c r="Y36" i="10" s="1"/>
  <c r="U36" i="10"/>
  <c r="M36" i="10"/>
  <c r="H36" i="10"/>
  <c r="V35" i="10"/>
  <c r="Y35" i="10" s="1"/>
  <c r="U35" i="10"/>
  <c r="M35" i="10"/>
  <c r="H35" i="10"/>
  <c r="B35" i="10"/>
  <c r="Y34" i="10"/>
  <c r="V34" i="10"/>
  <c r="U34" i="10"/>
  <c r="M34" i="10"/>
  <c r="H34" i="10"/>
  <c r="V33" i="10"/>
  <c r="Y33" i="10" s="1"/>
  <c r="U33" i="10"/>
  <c r="B33" i="10" s="1"/>
  <c r="M33" i="10"/>
  <c r="H33" i="10"/>
  <c r="Y32" i="10"/>
  <c r="V32" i="10"/>
  <c r="U32" i="10"/>
  <c r="B32" i="10" s="1"/>
  <c r="M32" i="10"/>
  <c r="L32" i="10"/>
  <c r="H32" i="10"/>
  <c r="Y31" i="10"/>
  <c r="V31" i="10"/>
  <c r="U31" i="10"/>
  <c r="B31" i="10" s="1"/>
  <c r="M31" i="10"/>
  <c r="L31" i="10"/>
  <c r="H31" i="10"/>
  <c r="Y30" i="10"/>
  <c r="V30" i="10"/>
  <c r="U30" i="10"/>
  <c r="B30" i="10" s="1"/>
  <c r="M30" i="10"/>
  <c r="L30" i="10"/>
  <c r="H30" i="10"/>
  <c r="Y29" i="10"/>
  <c r="V29" i="10"/>
  <c r="U29" i="10"/>
  <c r="B29" i="10" s="1"/>
  <c r="M29" i="10"/>
  <c r="L29" i="10"/>
  <c r="H29" i="10"/>
  <c r="Y28" i="10"/>
  <c r="V28" i="10"/>
  <c r="U28" i="10"/>
  <c r="M28" i="10"/>
  <c r="L28" i="10"/>
  <c r="H28" i="10"/>
  <c r="V27" i="10"/>
  <c r="Y27" i="10" s="1"/>
  <c r="U27" i="10"/>
  <c r="M27" i="10"/>
  <c r="H27" i="10"/>
  <c r="V26" i="10"/>
  <c r="Y26" i="10" s="1"/>
  <c r="U26" i="10"/>
  <c r="M26" i="10"/>
  <c r="H26" i="10"/>
  <c r="V25" i="10"/>
  <c r="Y25" i="10" s="1"/>
  <c r="U25" i="10"/>
  <c r="M25" i="10"/>
  <c r="H25" i="10"/>
  <c r="Y24" i="10"/>
  <c r="V24" i="10"/>
  <c r="U24" i="10"/>
  <c r="M24" i="10"/>
  <c r="H24" i="10"/>
  <c r="Y23" i="10"/>
  <c r="V23" i="10"/>
  <c r="U23" i="10"/>
  <c r="M23" i="10"/>
  <c r="H23" i="10"/>
  <c r="V22" i="10"/>
  <c r="U22" i="10"/>
  <c r="M22" i="10"/>
  <c r="H22" i="10"/>
  <c r="V21" i="10"/>
  <c r="Y18" i="10" s="1"/>
  <c r="U21" i="10"/>
  <c r="M21" i="10"/>
  <c r="H21" i="10"/>
  <c r="V20" i="10"/>
  <c r="U20" i="10"/>
  <c r="M20" i="10"/>
  <c r="H20" i="10"/>
  <c r="V19" i="10"/>
  <c r="U19" i="10"/>
  <c r="M19" i="10"/>
  <c r="H19" i="10"/>
  <c r="V18" i="10"/>
  <c r="U18" i="10"/>
  <c r="M18" i="10"/>
  <c r="H18" i="10"/>
  <c r="V17" i="10"/>
  <c r="U17" i="10"/>
  <c r="M17" i="10"/>
  <c r="L17" i="10"/>
  <c r="H17" i="10"/>
  <c r="V16" i="10"/>
  <c r="U16" i="10"/>
  <c r="M16" i="10"/>
  <c r="H16" i="10"/>
  <c r="Y15" i="10"/>
  <c r="V15" i="10"/>
  <c r="U15" i="10"/>
  <c r="M15" i="10"/>
  <c r="H15" i="10"/>
  <c r="V14" i="10"/>
  <c r="U14" i="10"/>
  <c r="M14" i="10"/>
  <c r="L14" i="10"/>
  <c r="H14" i="10"/>
  <c r="V13" i="10"/>
  <c r="U13" i="10"/>
  <c r="M13" i="10"/>
  <c r="L13" i="10"/>
  <c r="H13" i="10"/>
  <c r="V12" i="10"/>
  <c r="U12" i="10"/>
  <c r="M12" i="10"/>
  <c r="H12" i="10"/>
  <c r="Y11" i="10"/>
  <c r="V11" i="10"/>
  <c r="AE292" i="10" s="1"/>
  <c r="D9" i="10" s="1"/>
  <c r="U11" i="10"/>
  <c r="M11" i="10"/>
  <c r="H11" i="10"/>
  <c r="D8" i="10"/>
  <c r="M292" i="10" l="1"/>
  <c r="N9" i="10" s="1"/>
  <c r="AE96" i="10"/>
  <c r="AE85" i="10"/>
  <c r="AE69" i="10"/>
  <c r="D6" i="10"/>
  <c r="D7" i="10" s="1"/>
  <c r="AE211" i="10"/>
  <c r="L223" i="10"/>
  <c r="L292" i="10" s="1"/>
  <c r="H9" i="10" s="1"/>
  <c r="L235" i="10"/>
  <c r="Y230" i="10"/>
  <c r="Y292" i="10" s="1"/>
  <c r="V292" i="10"/>
  <c r="D60" i="8" l="1"/>
  <c r="D12" i="8"/>
  <c r="D11" i="8"/>
  <c r="D10" i="8"/>
  <c r="D9" i="8"/>
  <c r="D8" i="8"/>
  <c r="D7" i="8"/>
  <c r="D30" i="8" s="1"/>
  <c r="G10" i="6"/>
  <c r="D62" i="8" l="1"/>
  <c r="F10" i="6" l="1"/>
  <c r="J111" i="5"/>
  <c r="J107" i="5"/>
  <c r="J95" i="5"/>
  <c r="J91" i="5"/>
  <c r="J85" i="5"/>
  <c r="J81" i="5"/>
  <c r="J71" i="5"/>
  <c r="J68" i="5"/>
  <c r="J63" i="5"/>
  <c r="J47" i="5"/>
  <c r="J41" i="5"/>
  <c r="J33" i="5"/>
  <c r="J27" i="5"/>
  <c r="J21" i="5"/>
  <c r="J15" i="5"/>
  <c r="J9" i="5"/>
  <c r="F8" i="5"/>
  <c r="H118" i="2" l="1"/>
  <c r="G118" i="2"/>
  <c r="J117" i="2"/>
  <c r="J118" i="2" s="1"/>
  <c r="F117" i="2"/>
  <c r="D117" i="2"/>
  <c r="C117" i="2"/>
  <c r="C118" i="2" s="1"/>
  <c r="M116" i="2"/>
  <c r="L116" i="2"/>
  <c r="H116" i="2"/>
  <c r="E116" i="2"/>
  <c r="G116" i="2" s="1"/>
  <c r="M115" i="2"/>
  <c r="E115" i="2"/>
  <c r="L115" i="2" s="1"/>
  <c r="J112" i="2"/>
  <c r="I112" i="2"/>
  <c r="I113" i="2" s="1"/>
  <c r="F112" i="2"/>
  <c r="E112" i="2"/>
  <c r="H112" i="2" s="1"/>
  <c r="D112" i="2"/>
  <c r="D113" i="2" s="1"/>
  <c r="C112" i="2"/>
  <c r="C113" i="2" s="1"/>
  <c r="M111" i="2"/>
  <c r="E111" i="2"/>
  <c r="L111" i="2" s="1"/>
  <c r="M110" i="2"/>
  <c r="M112" i="2" s="1"/>
  <c r="M113" i="2" s="1"/>
  <c r="K110" i="2"/>
  <c r="G110" i="2"/>
  <c r="E110" i="2"/>
  <c r="H110" i="2" s="1"/>
  <c r="J107" i="2"/>
  <c r="J108" i="2" s="1"/>
  <c r="I107" i="2"/>
  <c r="I108" i="2" s="1"/>
  <c r="F107" i="2"/>
  <c r="D107" i="2"/>
  <c r="D108" i="2" s="1"/>
  <c r="C107" i="2"/>
  <c r="E107" i="2" s="1"/>
  <c r="M106" i="2"/>
  <c r="E106" i="2"/>
  <c r="G106" i="2" s="1"/>
  <c r="M105" i="2"/>
  <c r="M107" i="2" s="1"/>
  <c r="M108" i="2" s="1"/>
  <c r="L105" i="2"/>
  <c r="E105" i="2"/>
  <c r="H105" i="2" s="1"/>
  <c r="J102" i="2"/>
  <c r="I102" i="2"/>
  <c r="F102" i="2"/>
  <c r="D102" i="2"/>
  <c r="D103" i="2" s="1"/>
  <c r="C102" i="2"/>
  <c r="J103" i="2" s="1"/>
  <c r="M101" i="2"/>
  <c r="E101" i="2"/>
  <c r="H101" i="2" s="1"/>
  <c r="M100" i="2"/>
  <c r="M102" i="2" s="1"/>
  <c r="M103" i="2" s="1"/>
  <c r="L100" i="2"/>
  <c r="K100" i="2"/>
  <c r="H100" i="2"/>
  <c r="E100" i="2"/>
  <c r="G100" i="2" s="1"/>
  <c r="F96" i="2"/>
  <c r="D96" i="2"/>
  <c r="C96" i="2"/>
  <c r="I97" i="2" s="1"/>
  <c r="M95" i="2"/>
  <c r="K95" i="2"/>
  <c r="E95" i="2"/>
  <c r="H95" i="2" s="1"/>
  <c r="M94" i="2"/>
  <c r="M96" i="2" s="1"/>
  <c r="L94" i="2"/>
  <c r="G94" i="2"/>
  <c r="E94" i="2"/>
  <c r="K94" i="2" s="1"/>
  <c r="J91" i="2"/>
  <c r="I91" i="2"/>
  <c r="F91" i="2"/>
  <c r="D91" i="2"/>
  <c r="C91" i="2"/>
  <c r="C92" i="2" s="1"/>
  <c r="M90" i="2"/>
  <c r="E90" i="2"/>
  <c r="K90" i="2" s="1"/>
  <c r="M89" i="2"/>
  <c r="H89" i="2"/>
  <c r="E89" i="2"/>
  <c r="K89" i="2" s="1"/>
  <c r="M88" i="2"/>
  <c r="E88" i="2"/>
  <c r="G88" i="2" s="1"/>
  <c r="M87" i="2"/>
  <c r="E87" i="2"/>
  <c r="H87" i="2" s="1"/>
  <c r="M86" i="2"/>
  <c r="L86" i="2"/>
  <c r="H86" i="2"/>
  <c r="E86" i="2"/>
  <c r="K86" i="2" s="1"/>
  <c r="M85" i="2"/>
  <c r="E85" i="2"/>
  <c r="K85" i="2" s="1"/>
  <c r="M84" i="2"/>
  <c r="E84" i="2"/>
  <c r="G84" i="2" s="1"/>
  <c r="M83" i="2"/>
  <c r="K83" i="2"/>
  <c r="E83" i="2"/>
  <c r="H83" i="2" s="1"/>
  <c r="M82" i="2"/>
  <c r="E82" i="2"/>
  <c r="L82" i="2" s="1"/>
  <c r="M81" i="2"/>
  <c r="H81" i="2"/>
  <c r="E81" i="2"/>
  <c r="K81" i="2" s="1"/>
  <c r="M80" i="2"/>
  <c r="E80" i="2"/>
  <c r="G80" i="2" s="1"/>
  <c r="M79" i="2"/>
  <c r="E79" i="2"/>
  <c r="H79" i="2" s="1"/>
  <c r="M78" i="2"/>
  <c r="G78" i="2"/>
  <c r="E78" i="2"/>
  <c r="L78" i="2" s="1"/>
  <c r="M77" i="2"/>
  <c r="E77" i="2"/>
  <c r="K77" i="2" s="1"/>
  <c r="M76" i="2"/>
  <c r="E76" i="2"/>
  <c r="K76" i="2" s="1"/>
  <c r="M75" i="2"/>
  <c r="L75" i="2"/>
  <c r="K75" i="2"/>
  <c r="G75" i="2"/>
  <c r="E75" i="2"/>
  <c r="H75" i="2" s="1"/>
  <c r="M74" i="2"/>
  <c r="L74" i="2"/>
  <c r="K74" i="2"/>
  <c r="H74" i="2"/>
  <c r="G74" i="2"/>
  <c r="M73" i="2"/>
  <c r="G73" i="2"/>
  <c r="E73" i="2"/>
  <c r="K73" i="2" s="1"/>
  <c r="M72" i="2"/>
  <c r="L72" i="2"/>
  <c r="K72" i="2"/>
  <c r="H72" i="2"/>
  <c r="E72" i="2"/>
  <c r="G72" i="2" s="1"/>
  <c r="M71" i="2"/>
  <c r="E71" i="2"/>
  <c r="L71" i="2" s="1"/>
  <c r="M70" i="2"/>
  <c r="G70" i="2"/>
  <c r="E70" i="2"/>
  <c r="H70" i="2" s="1"/>
  <c r="M69" i="2"/>
  <c r="L69" i="2"/>
  <c r="H69" i="2"/>
  <c r="G69" i="2"/>
  <c r="E69" i="2"/>
  <c r="K69" i="2" s="1"/>
  <c r="M68" i="2"/>
  <c r="H68" i="2"/>
  <c r="E68" i="2"/>
  <c r="G68" i="2" s="1"/>
  <c r="M67" i="2"/>
  <c r="E67" i="2"/>
  <c r="L67" i="2" s="1"/>
  <c r="M66" i="2"/>
  <c r="E66" i="2"/>
  <c r="H66" i="2" s="1"/>
  <c r="M65" i="2"/>
  <c r="L65" i="2"/>
  <c r="H65" i="2"/>
  <c r="G65" i="2"/>
  <c r="E65" i="2"/>
  <c r="K65" i="2" s="1"/>
  <c r="M64" i="2"/>
  <c r="L64" i="2"/>
  <c r="K64" i="2"/>
  <c r="H64" i="2"/>
  <c r="E64" i="2"/>
  <c r="G64" i="2" s="1"/>
  <c r="M63" i="2"/>
  <c r="E63" i="2"/>
  <c r="L63" i="2" s="1"/>
  <c r="M62" i="2"/>
  <c r="E62" i="2"/>
  <c r="H62" i="2" s="1"/>
  <c r="M61" i="2"/>
  <c r="E61" i="2"/>
  <c r="G61" i="2" s="1"/>
  <c r="M60" i="2"/>
  <c r="E60" i="2"/>
  <c r="L60" i="2" s="1"/>
  <c r="M59" i="2"/>
  <c r="K59" i="2"/>
  <c r="E59" i="2"/>
  <c r="H59" i="2" s="1"/>
  <c r="M58" i="2"/>
  <c r="E58" i="2"/>
  <c r="K58" i="2" s="1"/>
  <c r="M57" i="2"/>
  <c r="K57" i="2"/>
  <c r="H57" i="2"/>
  <c r="E57" i="2"/>
  <c r="L57" i="2" s="1"/>
  <c r="M56" i="2"/>
  <c r="E56" i="2"/>
  <c r="L56" i="2" s="1"/>
  <c r="M55" i="2"/>
  <c r="E55" i="2"/>
  <c r="H55" i="2" s="1"/>
  <c r="M54" i="2"/>
  <c r="L54" i="2"/>
  <c r="H54" i="2"/>
  <c r="G54" i="2"/>
  <c r="E54" i="2"/>
  <c r="K54" i="2" s="1"/>
  <c r="J51" i="2"/>
  <c r="I51" i="2"/>
  <c r="I52" i="2" s="1"/>
  <c r="F51" i="2"/>
  <c r="D51" i="2"/>
  <c r="C51" i="2"/>
  <c r="C119" i="2" s="1"/>
  <c r="C120" i="2" s="1"/>
  <c r="M50" i="2"/>
  <c r="E50" i="2"/>
  <c r="L50" i="2" s="1"/>
  <c r="M49" i="2"/>
  <c r="E49" i="2"/>
  <c r="L49" i="2" s="1"/>
  <c r="M48" i="2"/>
  <c r="G48" i="2"/>
  <c r="E48" i="2"/>
  <c r="H48" i="2" s="1"/>
  <c r="M47" i="2"/>
  <c r="L47" i="2"/>
  <c r="H47" i="2"/>
  <c r="G47" i="2"/>
  <c r="E47" i="2"/>
  <c r="K47" i="2" s="1"/>
  <c r="M46" i="2"/>
  <c r="E46" i="2"/>
  <c r="K46" i="2" s="1"/>
  <c r="M45" i="2"/>
  <c r="K45" i="2"/>
  <c r="G45" i="2"/>
  <c r="E45" i="2"/>
  <c r="H45" i="2" s="1"/>
  <c r="M44" i="2"/>
  <c r="G44" i="2"/>
  <c r="E44" i="2"/>
  <c r="K44" i="2" s="1"/>
  <c r="M43" i="2"/>
  <c r="K43" i="2"/>
  <c r="E43" i="2"/>
  <c r="L43" i="2" s="1"/>
  <c r="M42" i="2"/>
  <c r="E42" i="2"/>
  <c r="L42" i="2" s="1"/>
  <c r="M41" i="2"/>
  <c r="L41" i="2"/>
  <c r="K41" i="2"/>
  <c r="E41" i="2"/>
  <c r="H41" i="2" s="1"/>
  <c r="M40" i="2"/>
  <c r="K40" i="2"/>
  <c r="E40" i="2"/>
  <c r="G40" i="2" s="1"/>
  <c r="M39" i="2"/>
  <c r="E39" i="2"/>
  <c r="L39" i="2" s="1"/>
  <c r="M38" i="2"/>
  <c r="G38" i="2"/>
  <c r="E38" i="2"/>
  <c r="H38" i="2" s="1"/>
  <c r="M37" i="2"/>
  <c r="L37" i="2"/>
  <c r="G37" i="2"/>
  <c r="E37" i="2"/>
  <c r="K37" i="2" s="1"/>
  <c r="M36" i="2"/>
  <c r="K36" i="2"/>
  <c r="H36" i="2"/>
  <c r="E36" i="2"/>
  <c r="L36" i="2" s="1"/>
  <c r="M35" i="2"/>
  <c r="E35" i="2"/>
  <c r="L35" i="2" s="1"/>
  <c r="M34" i="2"/>
  <c r="L34" i="2"/>
  <c r="K34" i="2"/>
  <c r="G34" i="2"/>
  <c r="E34" i="2"/>
  <c r="H34" i="2" s="1"/>
  <c r="J31" i="2"/>
  <c r="J32" i="2" s="1"/>
  <c r="I31" i="2"/>
  <c r="I32" i="2" s="1"/>
  <c r="F31" i="2"/>
  <c r="D31" i="2"/>
  <c r="D32" i="2" s="1"/>
  <c r="C31" i="2"/>
  <c r="C32" i="2" s="1"/>
  <c r="E32" i="2" s="1"/>
  <c r="M30" i="2"/>
  <c r="E30" i="2"/>
  <c r="G30" i="2" s="1"/>
  <c r="M29" i="2"/>
  <c r="E29" i="2"/>
  <c r="K29" i="2" s="1"/>
  <c r="M28" i="2"/>
  <c r="E28" i="2"/>
  <c r="K28" i="2" s="1"/>
  <c r="M27" i="2"/>
  <c r="E27" i="2"/>
  <c r="K27" i="2" s="1"/>
  <c r="M26" i="2"/>
  <c r="L26" i="2"/>
  <c r="K26" i="2"/>
  <c r="G26" i="2"/>
  <c r="E26" i="2"/>
  <c r="H26" i="2" s="1"/>
  <c r="M25" i="2"/>
  <c r="E25" i="2"/>
  <c r="K25" i="2" s="1"/>
  <c r="M24" i="2"/>
  <c r="E24" i="2"/>
  <c r="G24" i="2" s="1"/>
  <c r="M23" i="2"/>
  <c r="K23" i="2"/>
  <c r="E23" i="2"/>
  <c r="H23" i="2" s="1"/>
  <c r="M22" i="2"/>
  <c r="E22" i="2"/>
  <c r="L22" i="2" s="1"/>
  <c r="M21" i="2"/>
  <c r="H21" i="2"/>
  <c r="E21" i="2"/>
  <c r="K21" i="2" s="1"/>
  <c r="M20" i="2"/>
  <c r="E20" i="2"/>
  <c r="G20" i="2" s="1"/>
  <c r="M19" i="2"/>
  <c r="E19" i="2"/>
  <c r="H19" i="2" s="1"/>
  <c r="M18" i="2"/>
  <c r="G18" i="2"/>
  <c r="E18" i="2"/>
  <c r="L18" i="2" s="1"/>
  <c r="M17" i="2"/>
  <c r="H17" i="2"/>
  <c r="E17" i="2"/>
  <c r="K17" i="2" s="1"/>
  <c r="M16" i="2"/>
  <c r="E16" i="2"/>
  <c r="G16" i="2" s="1"/>
  <c r="M15" i="2"/>
  <c r="K15" i="2"/>
  <c r="E15" i="2"/>
  <c r="H15" i="2" s="1"/>
  <c r="M14" i="2"/>
  <c r="E14" i="2"/>
  <c r="H14" i="2" s="1"/>
  <c r="M13" i="2"/>
  <c r="E13" i="2"/>
  <c r="K13" i="2" s="1"/>
  <c r="J54" i="1"/>
  <c r="I54" i="1"/>
  <c r="I55" i="1" s="1"/>
  <c r="F54" i="1"/>
  <c r="Q12" i="1" s="1"/>
  <c r="D54" i="1"/>
  <c r="O12" i="1" s="1"/>
  <c r="C54" i="1"/>
  <c r="C55" i="1" s="1"/>
  <c r="E53" i="1"/>
  <c r="H53" i="1" s="1"/>
  <c r="E52" i="1"/>
  <c r="H52" i="1" s="1"/>
  <c r="E51" i="1"/>
  <c r="L51" i="1" s="1"/>
  <c r="E50" i="1"/>
  <c r="G50" i="1" s="1"/>
  <c r="L49" i="1"/>
  <c r="E49" i="1"/>
  <c r="G49" i="1" s="1"/>
  <c r="E48" i="1"/>
  <c r="K48" i="1" s="1"/>
  <c r="L47" i="1"/>
  <c r="E47" i="1"/>
  <c r="H47" i="1" s="1"/>
  <c r="E46" i="1"/>
  <c r="L46" i="1" s="1"/>
  <c r="E45" i="1"/>
  <c r="G45" i="1" s="1"/>
  <c r="H44" i="1"/>
  <c r="E44" i="1"/>
  <c r="G44" i="1" s="1"/>
  <c r="E43" i="1"/>
  <c r="K43" i="1" s="1"/>
  <c r="L42" i="1"/>
  <c r="E42" i="1"/>
  <c r="K42" i="1" s="1"/>
  <c r="K41" i="1"/>
  <c r="H41" i="1"/>
  <c r="E41" i="1"/>
  <c r="L41" i="1" s="1"/>
  <c r="E40" i="1"/>
  <c r="H40" i="1" s="1"/>
  <c r="E39" i="1"/>
  <c r="H39" i="1" s="1"/>
  <c r="E38" i="1"/>
  <c r="L38" i="1" s="1"/>
  <c r="E37" i="1"/>
  <c r="G37" i="1" s="1"/>
  <c r="L36" i="1"/>
  <c r="E36" i="1"/>
  <c r="G36" i="1" s="1"/>
  <c r="E35" i="1"/>
  <c r="K35" i="1" s="1"/>
  <c r="L34" i="1"/>
  <c r="E34" i="1"/>
  <c r="K34" i="1" s="1"/>
  <c r="G33" i="1"/>
  <c r="E33" i="1"/>
  <c r="K33" i="1" s="1"/>
  <c r="E32" i="1"/>
  <c r="H32" i="1" s="1"/>
  <c r="L31" i="1"/>
  <c r="E31" i="1"/>
  <c r="H31" i="1" s="1"/>
  <c r="I29" i="1"/>
  <c r="C29" i="1"/>
  <c r="J28" i="1"/>
  <c r="J29" i="1" s="1"/>
  <c r="I28" i="1"/>
  <c r="F28" i="1"/>
  <c r="D28" i="1"/>
  <c r="C28" i="1"/>
  <c r="E27" i="1"/>
  <c r="H27" i="1" s="1"/>
  <c r="E26" i="1"/>
  <c r="H26" i="1" s="1"/>
  <c r="E25" i="1"/>
  <c r="L25" i="1" s="1"/>
  <c r="E24" i="1"/>
  <c r="G24" i="1" s="1"/>
  <c r="K23" i="1"/>
  <c r="H23" i="1"/>
  <c r="E23" i="1"/>
  <c r="G23" i="1" s="1"/>
  <c r="E22" i="1"/>
  <c r="K22" i="1" s="1"/>
  <c r="J19" i="1"/>
  <c r="J56" i="1" s="1"/>
  <c r="I19" i="1"/>
  <c r="F19" i="1"/>
  <c r="F56" i="1" s="1"/>
  <c r="D19" i="1"/>
  <c r="D20" i="1" s="1"/>
  <c r="C19" i="1"/>
  <c r="E18" i="1"/>
  <c r="G18" i="1" s="1"/>
  <c r="L17" i="1"/>
  <c r="H17" i="1"/>
  <c r="E17" i="1"/>
  <c r="G17" i="1" s="1"/>
  <c r="E16" i="1"/>
  <c r="K16" i="1" s="1"/>
  <c r="E15" i="1"/>
  <c r="K15" i="1" s="1"/>
  <c r="G14" i="1"/>
  <c r="E14" i="1"/>
  <c r="K14" i="1" s="1"/>
  <c r="E13" i="1"/>
  <c r="H13" i="1" s="1"/>
  <c r="T12" i="1"/>
  <c r="N12" i="1"/>
  <c r="K12" i="1"/>
  <c r="H12" i="1"/>
  <c r="E12" i="1"/>
  <c r="G12" i="1" s="1"/>
  <c r="E113" i="2" l="1"/>
  <c r="L107" i="2"/>
  <c r="K107" i="2"/>
  <c r="L12" i="1"/>
  <c r="S12" i="1"/>
  <c r="L14" i="1"/>
  <c r="K17" i="1"/>
  <c r="K31" i="1"/>
  <c r="L33" i="1"/>
  <c r="K36" i="1"/>
  <c r="G42" i="1"/>
  <c r="K49" i="1"/>
  <c r="K14" i="2"/>
  <c r="H18" i="2"/>
  <c r="G22" i="2"/>
  <c r="L23" i="2"/>
  <c r="K38" i="2"/>
  <c r="H44" i="2"/>
  <c r="H50" i="2"/>
  <c r="J52" i="2"/>
  <c r="L58" i="2"/>
  <c r="G66" i="2"/>
  <c r="K68" i="2"/>
  <c r="H73" i="2"/>
  <c r="H78" i="2"/>
  <c r="G82" i="2"/>
  <c r="L83" i="2"/>
  <c r="K87" i="2"/>
  <c r="K101" i="2"/>
  <c r="J113" i="2"/>
  <c r="M117" i="2"/>
  <c r="M118" i="2" s="1"/>
  <c r="I56" i="1"/>
  <c r="L14" i="2"/>
  <c r="M31" i="2"/>
  <c r="M32" i="2" s="1"/>
  <c r="K18" i="2"/>
  <c r="H22" i="2"/>
  <c r="L38" i="2"/>
  <c r="L44" i="2"/>
  <c r="K50" i="2"/>
  <c r="C52" i="2"/>
  <c r="K66" i="2"/>
  <c r="L68" i="2"/>
  <c r="L73" i="2"/>
  <c r="M91" i="2"/>
  <c r="M92" i="2" s="1"/>
  <c r="K78" i="2"/>
  <c r="H82" i="2"/>
  <c r="G86" i="2"/>
  <c r="L87" i="2"/>
  <c r="I92" i="2"/>
  <c r="G95" i="2"/>
  <c r="L101" i="2"/>
  <c r="C108" i="2"/>
  <c r="E108" i="2" s="1"/>
  <c r="G15" i="1"/>
  <c r="K26" i="1"/>
  <c r="G34" i="1"/>
  <c r="G41" i="1"/>
  <c r="H13" i="2"/>
  <c r="K22" i="2"/>
  <c r="H28" i="2"/>
  <c r="M51" i="2"/>
  <c r="M52" i="2" s="1"/>
  <c r="H37" i="2"/>
  <c r="G41" i="2"/>
  <c r="H43" i="2"/>
  <c r="K48" i="2"/>
  <c r="G55" i="2"/>
  <c r="K61" i="2"/>
  <c r="K82" i="2"/>
  <c r="G90" i="2"/>
  <c r="J92" i="2"/>
  <c r="L15" i="1"/>
  <c r="E19" i="1"/>
  <c r="G19" i="1" s="1"/>
  <c r="G20" i="1" s="1"/>
  <c r="L26" i="1"/>
  <c r="K55" i="2"/>
  <c r="G59" i="2"/>
  <c r="K70" i="2"/>
  <c r="H77" i="2"/>
  <c r="K105" i="2"/>
  <c r="K116" i="2"/>
  <c r="D118" i="2"/>
  <c r="D119" i="2"/>
  <c r="D120" i="2" s="1"/>
  <c r="E120" i="2" s="1"/>
  <c r="G96" i="2"/>
  <c r="F108" i="2"/>
  <c r="H14" i="1"/>
  <c r="L23" i="1"/>
  <c r="H33" i="1"/>
  <c r="K39" i="1"/>
  <c r="K44" i="1"/>
  <c r="K52" i="1"/>
  <c r="G14" i="2"/>
  <c r="L15" i="2"/>
  <c r="K19" i="2"/>
  <c r="H25" i="2"/>
  <c r="G29" i="2"/>
  <c r="G58" i="2"/>
  <c r="G62" i="2"/>
  <c r="K79" i="2"/>
  <c r="H85" i="2"/>
  <c r="D97" i="2"/>
  <c r="F113" i="2"/>
  <c r="I20" i="1"/>
  <c r="D29" i="1"/>
  <c r="H36" i="1"/>
  <c r="L39" i="1"/>
  <c r="L44" i="1"/>
  <c r="H49" i="1"/>
  <c r="L52" i="1"/>
  <c r="J55" i="1"/>
  <c r="L19" i="2"/>
  <c r="H58" i="2"/>
  <c r="K62" i="2"/>
  <c r="L79" i="2"/>
  <c r="M97" i="2"/>
  <c r="F119" i="2"/>
  <c r="L112" i="2"/>
  <c r="M119" i="2"/>
  <c r="M120" i="2" s="1"/>
  <c r="L102" i="2"/>
  <c r="L21" i="2"/>
  <c r="H24" i="2"/>
  <c r="K30" i="2"/>
  <c r="L77" i="2"/>
  <c r="H80" i="2"/>
  <c r="L85" i="2"/>
  <c r="H88" i="2"/>
  <c r="E91" i="2"/>
  <c r="F92" i="2" s="1"/>
  <c r="J97" i="2"/>
  <c r="E102" i="2"/>
  <c r="G107" i="2"/>
  <c r="G15" i="2"/>
  <c r="K16" i="2"/>
  <c r="K31" i="2" s="1"/>
  <c r="G19" i="2"/>
  <c r="K20" i="2"/>
  <c r="G23" i="2"/>
  <c r="K24" i="2"/>
  <c r="G27" i="2"/>
  <c r="L45" i="2"/>
  <c r="L48" i="2"/>
  <c r="E51" i="2"/>
  <c r="L55" i="2"/>
  <c r="L59" i="2"/>
  <c r="L62" i="2"/>
  <c r="L66" i="2"/>
  <c r="L70" i="2"/>
  <c r="G76" i="2"/>
  <c r="G79" i="2"/>
  <c r="K80" i="2"/>
  <c r="G83" i="2"/>
  <c r="K84" i="2"/>
  <c r="G87" i="2"/>
  <c r="K88" i="2"/>
  <c r="H94" i="2"/>
  <c r="L95" i="2"/>
  <c r="G101" i="2"/>
  <c r="C103" i="2"/>
  <c r="E103" i="2" s="1"/>
  <c r="G105" i="2"/>
  <c r="K106" i="2"/>
  <c r="L110" i="2"/>
  <c r="K112" i="2"/>
  <c r="E117" i="2"/>
  <c r="K49" i="2"/>
  <c r="L13" i="2"/>
  <c r="H16" i="2"/>
  <c r="L17" i="2"/>
  <c r="H20" i="2"/>
  <c r="L25" i="2"/>
  <c r="L28" i="2"/>
  <c r="L81" i="2"/>
  <c r="H84" i="2"/>
  <c r="L89" i="2"/>
  <c r="D92" i="2"/>
  <c r="E92" i="2" s="1"/>
  <c r="H106" i="2"/>
  <c r="L16" i="2"/>
  <c r="L20" i="2"/>
  <c r="L24" i="2"/>
  <c r="G36" i="2"/>
  <c r="G43" i="2"/>
  <c r="G50" i="2"/>
  <c r="D52" i="2"/>
  <c r="G57" i="2"/>
  <c r="L80" i="2"/>
  <c r="L84" i="2"/>
  <c r="L88" i="2"/>
  <c r="L106" i="2"/>
  <c r="J119" i="2"/>
  <c r="J120" i="2" s="1"/>
  <c r="C97" i="2"/>
  <c r="E97" i="2" s="1"/>
  <c r="E31" i="2"/>
  <c r="H31" i="2" s="1"/>
  <c r="G35" i="2"/>
  <c r="G39" i="2"/>
  <c r="G42" i="2"/>
  <c r="G46" i="2"/>
  <c r="G49" i="2"/>
  <c r="G56" i="2"/>
  <c r="G60" i="2"/>
  <c r="G63" i="2"/>
  <c r="G67" i="2"/>
  <c r="G71" i="2"/>
  <c r="G111" i="2"/>
  <c r="G115" i="2"/>
  <c r="G13" i="2"/>
  <c r="G17" i="2"/>
  <c r="G21" i="2"/>
  <c r="G25" i="2"/>
  <c r="G28" i="2"/>
  <c r="H35" i="2"/>
  <c r="H39" i="2"/>
  <c r="H42" i="2"/>
  <c r="H49" i="2"/>
  <c r="H56" i="2"/>
  <c r="H60" i="2"/>
  <c r="H63" i="2"/>
  <c r="H67" i="2"/>
  <c r="H71" i="2"/>
  <c r="G77" i="2"/>
  <c r="G81" i="2"/>
  <c r="G85" i="2"/>
  <c r="G89" i="2"/>
  <c r="E96" i="2"/>
  <c r="I103" i="2"/>
  <c r="H111" i="2"/>
  <c r="G112" i="2"/>
  <c r="H115" i="2"/>
  <c r="K35" i="2"/>
  <c r="K39" i="2"/>
  <c r="K42" i="2"/>
  <c r="K56" i="2"/>
  <c r="K60" i="2"/>
  <c r="K63" i="2"/>
  <c r="K67" i="2"/>
  <c r="K71" i="2"/>
  <c r="K111" i="2"/>
  <c r="K115" i="2"/>
  <c r="H19" i="1"/>
  <c r="H28" i="1"/>
  <c r="G25" i="1"/>
  <c r="E28" i="1"/>
  <c r="G46" i="1"/>
  <c r="G51" i="1"/>
  <c r="E54" i="1"/>
  <c r="G16" i="1"/>
  <c r="C20" i="1"/>
  <c r="E20" i="1" s="1"/>
  <c r="H46" i="1"/>
  <c r="G48" i="1"/>
  <c r="H51" i="1"/>
  <c r="H18" i="1"/>
  <c r="F20" i="1"/>
  <c r="H37" i="1"/>
  <c r="K40" i="1"/>
  <c r="L13" i="1"/>
  <c r="H15" i="1"/>
  <c r="K18" i="1"/>
  <c r="K24" i="1"/>
  <c r="G26" i="1"/>
  <c r="L27" i="1"/>
  <c r="G31" i="1"/>
  <c r="L32" i="1"/>
  <c r="H34" i="1"/>
  <c r="K37" i="1"/>
  <c r="G39" i="1"/>
  <c r="L40" i="1"/>
  <c r="H42" i="1"/>
  <c r="K45" i="1"/>
  <c r="G47" i="1"/>
  <c r="K50" i="1"/>
  <c r="G52" i="1"/>
  <c r="L53" i="1"/>
  <c r="C56" i="1"/>
  <c r="J20" i="1"/>
  <c r="D55" i="1"/>
  <c r="E55" i="1" s="1"/>
  <c r="G22" i="1"/>
  <c r="H25" i="1"/>
  <c r="G43" i="1"/>
  <c r="K13" i="1"/>
  <c r="L16" i="1"/>
  <c r="L22" i="1"/>
  <c r="H24" i="1"/>
  <c r="K27" i="1"/>
  <c r="K32" i="1"/>
  <c r="L35" i="1"/>
  <c r="L43" i="1"/>
  <c r="H45" i="1"/>
  <c r="L48" i="1"/>
  <c r="H50" i="1"/>
  <c r="K53" i="1"/>
  <c r="L18" i="1"/>
  <c r="L24" i="1"/>
  <c r="L37" i="1"/>
  <c r="L45" i="1"/>
  <c r="L50" i="1"/>
  <c r="G38" i="1"/>
  <c r="G35" i="1"/>
  <c r="H38" i="1"/>
  <c r="H16" i="1"/>
  <c r="H22" i="1"/>
  <c r="K25" i="1"/>
  <c r="G27" i="1"/>
  <c r="G32" i="1"/>
  <c r="H35" i="1"/>
  <c r="K38" i="1"/>
  <c r="G40" i="1"/>
  <c r="H43" i="1"/>
  <c r="K46" i="1"/>
  <c r="H48" i="1"/>
  <c r="K51" i="1"/>
  <c r="G53" i="1"/>
  <c r="E119" i="2" l="1"/>
  <c r="G119" i="2" s="1"/>
  <c r="L96" i="2"/>
  <c r="K96" i="2"/>
  <c r="K117" i="2"/>
  <c r="K118" i="2" s="1"/>
  <c r="I117" i="2"/>
  <c r="L31" i="2"/>
  <c r="F97" i="2"/>
  <c r="H117" i="2"/>
  <c r="G117" i="2"/>
  <c r="K102" i="2"/>
  <c r="F103" i="2"/>
  <c r="H102" i="2"/>
  <c r="G102" i="2"/>
  <c r="K91" i="2"/>
  <c r="G91" i="2"/>
  <c r="G92" i="2" s="1"/>
  <c r="F120" i="2"/>
  <c r="H120" i="2" s="1"/>
  <c r="H119" i="2"/>
  <c r="G31" i="2"/>
  <c r="G32" i="2" s="1"/>
  <c r="F32" i="2"/>
  <c r="K51" i="2"/>
  <c r="G51" i="2"/>
  <c r="H51" i="2"/>
  <c r="F52" i="2"/>
  <c r="G54" i="1"/>
  <c r="F55" i="1"/>
  <c r="P12" i="1"/>
  <c r="K54" i="1"/>
  <c r="U12" i="1" s="1"/>
  <c r="D57" i="1"/>
  <c r="C57" i="1"/>
  <c r="E56" i="1"/>
  <c r="G28" i="1"/>
  <c r="K28" i="1"/>
  <c r="I57" i="1"/>
  <c r="K19" i="1"/>
  <c r="L19" i="1"/>
  <c r="F29" i="1"/>
  <c r="J57" i="1"/>
  <c r="I118" i="2" l="1"/>
  <c r="L118" i="2" s="1"/>
  <c r="L117" i="2"/>
  <c r="I119" i="2"/>
  <c r="K119" i="2"/>
  <c r="K120" i="2" s="1"/>
  <c r="G56" i="1"/>
  <c r="K56" i="1"/>
  <c r="F57" i="1"/>
  <c r="L56" i="1"/>
  <c r="H56" i="1"/>
  <c r="E57" i="1"/>
  <c r="G55" i="1"/>
  <c r="R12" i="1"/>
  <c r="L119" i="2" l="1"/>
  <c r="I120" i="2"/>
  <c r="L120" i="2" s="1"/>
  <c r="E9" i="11"/>
  <c r="F9" i="11" l="1"/>
  <c r="E14" i="11"/>
  <c r="F14" i="11" s="1"/>
</calcChain>
</file>

<file path=xl/comments1.xml><?xml version="1.0" encoding="utf-8"?>
<comments xmlns="http://schemas.openxmlformats.org/spreadsheetml/2006/main">
  <authors>
    <author>Ing. Jorge M. Ordóñez O.</author>
  </authors>
  <commentList>
    <comment ref="Q559" authorId="0">
      <text>
        <r>
          <rPr>
            <b/>
            <sz val="9"/>
            <color indexed="81"/>
            <rFont val="Tahoma"/>
            <family val="2"/>
          </rPr>
          <t>Ing. Jorge M. Ordóñez O.:</t>
        </r>
        <r>
          <rPr>
            <sz val="9"/>
            <color indexed="81"/>
            <rFont val="Tahoma"/>
            <family val="2"/>
          </rPr>
          <t xml:space="preserve">
ANTES ESTABA 1127</t>
        </r>
      </text>
    </comment>
  </commentList>
</comments>
</file>

<file path=xl/sharedStrings.xml><?xml version="1.0" encoding="utf-8"?>
<sst xmlns="http://schemas.openxmlformats.org/spreadsheetml/2006/main" count="18190" uniqueCount="1547">
  <si>
    <t>EMPRESA PUBLICA DE VIALIDAD DEL SUR EP</t>
  </si>
  <si>
    <t>DEPARTAMENTO FINANCIERO</t>
  </si>
  <si>
    <t>EJECUCION DEL PRESUPUESTO DE GASTOS</t>
  </si>
  <si>
    <t>DEL MES DE ENERO AL 31 DE JULIO DEL 2014</t>
  </si>
  <si>
    <t>PROYECTO SARAGURO TENTA</t>
  </si>
  <si>
    <t>CODIGO</t>
  </si>
  <si>
    <t>CUENTAS</t>
  </si>
  <si>
    <t>PRESUPUES</t>
  </si>
  <si>
    <t>REFOR</t>
  </si>
  <si>
    <t>TOTAL</t>
  </si>
  <si>
    <t>COMPRO</t>
  </si>
  <si>
    <t>SALDO</t>
  </si>
  <si>
    <t>Presu</t>
  </si>
  <si>
    <t>DEVENGADO</t>
  </si>
  <si>
    <t>PAGADO</t>
  </si>
  <si>
    <t>SALDO POR</t>
  </si>
  <si>
    <t>% Pre</t>
  </si>
  <si>
    <t>PRESUP</t>
  </si>
  <si>
    <t>CODIFIC</t>
  </si>
  <si>
    <t>COMPROM</t>
  </si>
  <si>
    <t>SALDO POR COMP</t>
  </si>
  <si>
    <t>DEVENG</t>
  </si>
  <si>
    <t>SALDO POR DEV</t>
  </si>
  <si>
    <t>OTROS GASTOS CORRIENTES</t>
  </si>
  <si>
    <t>TADO</t>
  </si>
  <si>
    <t>MAS</t>
  </si>
  <si>
    <t>METIDO</t>
  </si>
  <si>
    <t>POR COMP</t>
  </si>
  <si>
    <t>Comp</t>
  </si>
  <si>
    <t>DEVENGAR</t>
  </si>
  <si>
    <t>supu</t>
  </si>
  <si>
    <t>441528,46</t>
  </si>
  <si>
    <t>Decimotercer Sueldo</t>
  </si>
  <si>
    <t>Decimocuarto Sueldo</t>
  </si>
  <si>
    <t>Horas extras y Suplementarias</t>
  </si>
  <si>
    <t>Servicios Personales por Contrato</t>
  </si>
  <si>
    <t>Aporte Patronal</t>
  </si>
  <si>
    <t>Fondo de Reserva</t>
  </si>
  <si>
    <t>Compensacion por Vacaciones no gozadas por Cesacion de Funciones</t>
  </si>
  <si>
    <t>GASTOS EN PERSONAL (INVERSION)</t>
  </si>
  <si>
    <t>DEVENGA</t>
  </si>
  <si>
    <t>Almacenamiento,embalaje,envase</t>
  </si>
  <si>
    <t>Edicion Impresion Reproduccion y Publicaciones</t>
  </si>
  <si>
    <t>Difusion Informacion y Publicidad</t>
  </si>
  <si>
    <t>Publicidad y Propaganda en Medios de comunicación masiva</t>
  </si>
  <si>
    <t>Pasajes al interior</t>
  </si>
  <si>
    <t>Viaticos y Subsistencias en el Interior</t>
  </si>
  <si>
    <t>Maquinarias y Equipos mantenimien</t>
  </si>
  <si>
    <t>Vehiculos Mantenimiento</t>
  </si>
  <si>
    <t>Otras Instalaciones,mantenimiento y reparaciones</t>
  </si>
  <si>
    <t>Terrenos arrendamiento</t>
  </si>
  <si>
    <t>Edificios Locales y Residencias</t>
  </si>
  <si>
    <t>Maquinarias y Equipos</t>
  </si>
  <si>
    <t>Vehiculos</t>
  </si>
  <si>
    <t>Consultoria Asesoria e Investigacion Especializada</t>
  </si>
  <si>
    <t>Alimentos y Bebidas</t>
  </si>
  <si>
    <t>Vestuario Lenceria y Prendas de Proteccion</t>
  </si>
  <si>
    <t>Combustibles y Lubricantes</t>
  </si>
  <si>
    <t>Materiales de Oficina</t>
  </si>
  <si>
    <t>Herramientas  Compras menores</t>
  </si>
  <si>
    <t>Materiales de Construccion Electricos Plomeria y Carpinteria</t>
  </si>
  <si>
    <t>Repuestos y Accesorios</t>
  </si>
  <si>
    <t>Mobiliarios</t>
  </si>
  <si>
    <t>Herramientas</t>
  </si>
  <si>
    <t>Tasas Generales Impuestos Contribuciones</t>
  </si>
  <si>
    <t>Comisiones Bancarias</t>
  </si>
  <si>
    <t>Equipos. Sistemas y paquetes informáticos</t>
  </si>
  <si>
    <t>Eco. Sandra Rojas Ojeda</t>
  </si>
  <si>
    <t>COORDINADORA FINANCIERA VIALSUR EP</t>
  </si>
  <si>
    <t>REFORMAS</t>
  </si>
  <si>
    <t>DIFERENCIA</t>
  </si>
  <si>
    <t>TRANSFERENCIAS Y DONACIONES CORRIENTES</t>
  </si>
  <si>
    <t>rome.</t>
  </si>
  <si>
    <t>Dev.</t>
  </si>
  <si>
    <t>Salarios</t>
  </si>
  <si>
    <t>Remuneraciones Unificadas</t>
  </si>
  <si>
    <t>Compensacion por Transporte</t>
  </si>
  <si>
    <t>EJECUCION DEL PRESUPUESTO DE GASTOS VIALSUR EP</t>
  </si>
  <si>
    <t>ALIMENTACION</t>
  </si>
  <si>
    <t>DEL 1 DE ENERO AL 30 DE SEPTIEMBRE DEL 2013</t>
  </si>
  <si>
    <t>Por Cargas Familiares</t>
  </si>
  <si>
    <t>Subsidio de Antigüedad</t>
  </si>
  <si>
    <t>Subrogación</t>
  </si>
  <si>
    <t>Encargos</t>
  </si>
  <si>
    <t>Jubilación Patronal</t>
  </si>
  <si>
    <t>BENEFICIO POR JUBILACION</t>
  </si>
  <si>
    <t>Por Renuncia Voluntaria</t>
  </si>
  <si>
    <t>Por compra de renuncia</t>
  </si>
  <si>
    <t>DIFEREN</t>
  </si>
  <si>
    <t>Agua Potable</t>
  </si>
  <si>
    <t>Energia Electrica</t>
  </si>
  <si>
    <t>Telecomunicaciones</t>
  </si>
  <si>
    <t>Servicio de Correo</t>
  </si>
  <si>
    <t>Almacenamiento, embalaje,envase y recarga de extintores</t>
  </si>
  <si>
    <t>Eventos Publicos y Oficiales</t>
  </si>
  <si>
    <t>Servicios de aseo: vestimenta de trabajo,fumigación</t>
  </si>
  <si>
    <t>Investigación profesionales y exámenes de laborato</t>
  </si>
  <si>
    <t>Pasajes al Interior</t>
  </si>
  <si>
    <t>Pasajes al Exterior</t>
  </si>
  <si>
    <t>Viaticos y Subsistencias en el Exterior</t>
  </si>
  <si>
    <t>Servicio de Capacitacion</t>
  </si>
  <si>
    <t>ESTUDIO Y DISENO DE PROYECTOS</t>
  </si>
  <si>
    <t>Arrendamiento y Licencias de Uso de Paquetes Informaticos</t>
  </si>
  <si>
    <t>Mantenimiento y Reparacion de Equipos y Sistemas Informaticos</t>
  </si>
  <si>
    <t>Materiales de Aseo</t>
  </si>
  <si>
    <t>Materiales de Impresion Fotografia Reproduccion y Publicaciones</t>
  </si>
  <si>
    <t>Medicinas y Productos Farmaceuticos</t>
  </si>
  <si>
    <t>Adquisición de accesorios e insumos quimicos orgánicos</t>
  </si>
  <si>
    <t>Menaje de Cocina de Hogar y accesorios descartables</t>
  </si>
  <si>
    <t>7.3.08.99</t>
  </si>
  <si>
    <t>Otros de uso y consumo de inversion</t>
  </si>
  <si>
    <t>Equipos,sistemas y paquetes informáticos</t>
  </si>
  <si>
    <t>Partes y Repuestos</t>
  </si>
  <si>
    <t>Seguros</t>
  </si>
  <si>
    <t>Costas Judiciales</t>
  </si>
  <si>
    <t>SUBPROGRAMA PLANIFICACION Y ESTUDIOS</t>
  </si>
  <si>
    <t>REFORMA</t>
  </si>
  <si>
    <t>TOTAL PR</t>
  </si>
  <si>
    <t>SALDO P</t>
  </si>
  <si>
    <t xml:space="preserve">SUBPROGRAMA 2 .- ZONA UNO </t>
  </si>
  <si>
    <t>Construcción de Puentes y pasarelas</t>
  </si>
  <si>
    <t>Microempresa de Mantenimiento de la Vía</t>
  </si>
  <si>
    <t>SUBPROGRAMA 3.- ZONA DOS</t>
  </si>
  <si>
    <t>SUBPROGRAMA 4.- Zona Tres</t>
  </si>
  <si>
    <t>SUBPROGRAMA 5.- ZONA CUATRO</t>
  </si>
  <si>
    <t>PREFECTURA DE LA PROVINCIA DE LOJA</t>
  </si>
  <si>
    <t>PROYECTOS E INVERSION POR PARROQUIA DURANTE EL 2014</t>
  </si>
  <si>
    <t>EMPRESA PUBLICA DE VIALIDAD DEL SUR  VIALSUR.EP</t>
  </si>
  <si>
    <t>MODALIDAD:</t>
  </si>
  <si>
    <t>OBRAS POR ADMINISTRACION DIRECTA, CONTRATOS, CONVENIOS CANTON MACARA</t>
  </si>
  <si>
    <t>PERIODO :</t>
  </si>
  <si>
    <t>AL</t>
  </si>
  <si>
    <t>PROGRAMAS</t>
  </si>
  <si>
    <t xml:space="preserve">ASFALTO, MEJORAMIENTO, MANTENIMIENTO, ALANTARILLAS,HORMIGONES, PUENTES Y SEÑALIZACION, </t>
  </si>
  <si>
    <t>INTERVENCIONES</t>
  </si>
  <si>
    <t>EJECUCION</t>
  </si>
  <si>
    <t>EJECUTADOS</t>
  </si>
  <si>
    <t>Beneficiarios:</t>
  </si>
  <si>
    <t>Periodo de Ejecución</t>
  </si>
  <si>
    <t>Medio de Verificación</t>
  </si>
  <si>
    <t xml:space="preserve">Nº
</t>
  </si>
  <si>
    <t>ESTADO PROYECTOS</t>
  </si>
  <si>
    <t>Programa</t>
  </si>
  <si>
    <t xml:space="preserve"> Proyecto/Obra/Convenios</t>
  </si>
  <si>
    <t>PROYECTO</t>
  </si>
  <si>
    <t>ZONA</t>
  </si>
  <si>
    <t>Cantón</t>
  </si>
  <si>
    <t>Parroquia</t>
  </si>
  <si>
    <t>MODALIDAD</t>
  </si>
  <si>
    <t>Entidad</t>
  </si>
  <si>
    <t>km.</t>
  </si>
  <si>
    <t>KM INTERVENIDOS</t>
  </si>
  <si>
    <t>Metas alcanzadas</t>
  </si>
  <si>
    <t>UNIDAD</t>
  </si>
  <si>
    <t>COST. UNIT.</t>
  </si>
  <si>
    <t>CANT.</t>
  </si>
  <si>
    <t>Plazo en días calendario</t>
  </si>
  <si>
    <t>Inicio</t>
  </si>
  <si>
    <t>Fin</t>
  </si>
  <si>
    <t>ESTADO</t>
  </si>
  <si>
    <t>MONTO INVERSION GPL / VIALSUR</t>
  </si>
  <si>
    <t>Institución</t>
  </si>
  <si>
    <t>Cooperación</t>
  </si>
  <si>
    <t>Total</t>
  </si>
  <si>
    <t>Avance del Proyecto/Obra ( % )</t>
  </si>
  <si>
    <t xml:space="preserve">Técnico Responsable </t>
  </si>
  <si>
    <t>Fotos, otros</t>
  </si>
  <si>
    <t>estado</t>
  </si>
  <si>
    <t>AÑO</t>
  </si>
  <si>
    <t>MEJORAMIENTO</t>
  </si>
  <si>
    <t>TERMINACIÓN DE RECONFORMACIÓN DE LA VÍA PURUNUMA - CHINGUILAMACA  ( L TOTAL = 18,8Km, TRABAJO EJECUTADO, 1 KM DE RECONFORMACIÓN Y 3KM DE RESANTEO EN ESTA JORNADA FINAL)</t>
  </si>
  <si>
    <t>ZONA1</t>
  </si>
  <si>
    <t>PURUNUMA</t>
  </si>
  <si>
    <t>AD. DIRECTA</t>
  </si>
  <si>
    <t>VIALSUR</t>
  </si>
  <si>
    <t>Excavacion sin clasificar a maquina (explotación de material)</t>
  </si>
  <si>
    <t>m3</t>
  </si>
  <si>
    <t>ING. JAVIER RUIZ VELEZ</t>
  </si>
  <si>
    <t>Informe, planillas y actas</t>
  </si>
  <si>
    <t>EJECUTADO</t>
  </si>
  <si>
    <t>Transporte de material para mejoramiento, inc. cargado</t>
  </si>
  <si>
    <t>m3/km</t>
  </si>
  <si>
    <t>MANTENIMIENTO</t>
  </si>
  <si>
    <t>Acabado de Obra Básica existente</t>
  </si>
  <si>
    <t>m2</t>
  </si>
  <si>
    <t>Rasanteo y conformacion de cunetas con motoniveladora</t>
  </si>
  <si>
    <t>RECONFORMACIÓN DE LA VÍA PURUNUMA GONZANAMÁ (L INTERVENCIÓN = 5KM A LA FECHA, SON EN TOTAL 7KM)</t>
  </si>
  <si>
    <t>EN EJECUCION</t>
  </si>
  <si>
    <t xml:space="preserve">CONSTRUCCIÓN DE OBRAS DE ARTE EN LA VÍA CHIRIHUALA-CHANGAIMINA </t>
  </si>
  <si>
    <t>CHANGAIMINA</t>
  </si>
  <si>
    <t>Excavacion sin clasificar para cunetas</t>
  </si>
  <si>
    <t>HORMIGONES</t>
  </si>
  <si>
    <t>Hormigon simple F´c 180 Kg / cm 2</t>
  </si>
  <si>
    <t>Bordillos de Hormigon F´c 180 Kg/cm2 incluye encofr.</t>
  </si>
  <si>
    <t xml:space="preserve">m </t>
  </si>
  <si>
    <t>Hormigon coclopeo F´c 180 Kg / cm 2( 60%)H. Simple</t>
  </si>
  <si>
    <t>SEÑALIZACION</t>
  </si>
  <si>
    <t>Señalizacion con Balizas Reflectivas</t>
  </si>
  <si>
    <t>LIMPIEZA DE DERRUMBES EN LA VIA GONZANAMÁ QUILANGA</t>
  </si>
  <si>
    <t>QUILANGA</t>
  </si>
  <si>
    <t>Limpieza de derrumbes a máquina</t>
  </si>
  <si>
    <t>LIMPIEZA DE DERRUMBES EN LA VIA LLANO GRANDE - LUJINUMA</t>
  </si>
  <si>
    <t>LIMPIEZA DE DERRUMBES EN LA VIA COMBOLO - POTRERILLOS</t>
  </si>
  <si>
    <t>LIMPIEZA DE DERRUMBES EN LA VIA CHIRIHUALA - CHANGAIMINA</t>
  </si>
  <si>
    <t>LIMPIEZA DE DERRUMBES EN LA VIA ACCESO PRINCIPAL A SACAPALCA</t>
  </si>
  <si>
    <t>SACAPALCA</t>
  </si>
  <si>
    <t>RESANTEO Y LIMPIEZA DE DERRUMBES EN LA VIA NAMBACOLA-GERINOMA-CUCULAS</t>
  </si>
  <si>
    <t>NAMBACOLA</t>
  </si>
  <si>
    <t>RESANTEO Y LIMPIEZA DE CUNETAS EN LA VIA NAMBACOLA- PEÑA NEGRA</t>
  </si>
  <si>
    <t>RESANTEO Y LIMPIEZA DE CUNETAS EN LA VIA LANZACA - GRANJA DEPROSUR</t>
  </si>
  <si>
    <t xml:space="preserve">RESANTEO Y LIMPIEZA DE CUNETAS EN LA VIA NAMBACOLA - LA CALERA - LA CALERA ALTO </t>
  </si>
  <si>
    <t>RESANTEO Y LIMPIEZA DE CUNETAS EN LA VIA GERINOMA ALTO ILLIACA</t>
  </si>
  <si>
    <t>LIMPIEZA DE DERRUMBES EN LA VIA LA HUACA - SACAPALCA - Y BACHEO CON LASTRES</t>
  </si>
  <si>
    <t>LIMPIEZA DE DERRUMBES EN LA VIA AYASAPA - CHANGAIMINA Y BACHEO CON LASTRE</t>
  </si>
  <si>
    <t>RECONFORMACIÓN Y LIMPIEZA DE CUNETAS EN LA VIA PRINCIPAL - YACURA</t>
  </si>
  <si>
    <t>RECONFORMACIÓN Y LIMPIEZA DE CUNETAS EN LA VIA EL LIMON - CARBONERA - PLATANAL</t>
  </si>
  <si>
    <t>RECONFORMACIÓN Y LIMPIEZA DE CUNETAS EN LA VIA PRINCIPAL - PIEDRA GRANDE</t>
  </si>
  <si>
    <t>RECONFORMACIÓN Y LIMPIEZA DE CUNETAS EN LA VIA MOLLEPAMBA BAJO - MOLLEPAMBA ALTO</t>
  </si>
  <si>
    <t>RECONFORMACION, BACHEO Y LIMPIEZA DE CUNETAS EN LA VIA ACCESO PRINCIPAL A LA PARROQUIA NAMBACOLA</t>
  </si>
  <si>
    <t>Transporte de material para mejoramiento, inc cargado</t>
  </si>
  <si>
    <t>RECONFORMACION, BACHEO Y LIMPIEZA DE CUNETAS EN LA VIA SUNAMANGA SACAPALCA</t>
  </si>
  <si>
    <t>ING. LINO VALLEJO DELGADO</t>
  </si>
  <si>
    <t>TRABAJOS EMERGENTES PARA RAZANTEO Y LIMPIEZA DE CUNETAS BARRIO EL INGENIO</t>
  </si>
  <si>
    <t>EL INGENIO</t>
  </si>
  <si>
    <t>M2</t>
  </si>
  <si>
    <t>AMPLIACIÓN DE CURVAS Y DE VIA EN EL BARRIO EL GUABO</t>
  </si>
  <si>
    <t>Excavación sin clasificar a máquina</t>
  </si>
  <si>
    <t>MEJORAMIENTO DE LA VIA BARRIO EL GUABO - COLOCACION DE MATERIAL DE MEJORAMIENTO EN TRAMOS CRITICOS</t>
  </si>
  <si>
    <t>AMALUZA</t>
  </si>
  <si>
    <t>Mejoramiento de la subrasante con suelo seleccionado</t>
  </si>
  <si>
    <t>MEJORAMIENTO DE LA VIA BARRIO CONSAGUANA</t>
  </si>
  <si>
    <t xml:space="preserve">TRABAJOS EMERGENTES DE LIMPIEZA DE DERRUMBES PARROQUIA EL AIRO; PARROQUIA SANTA TERESITA
</t>
  </si>
  <si>
    <t>ESPINDOLA</t>
  </si>
  <si>
    <t>SANTA TERESITA EL AIRO</t>
  </si>
  <si>
    <t>1</t>
  </si>
  <si>
    <t>MANTENIMIENTO DE VIAS DE LA PARROQUIA BELLAVISTA</t>
  </si>
  <si>
    <t>BELLAVISTA</t>
  </si>
  <si>
    <t>2</t>
  </si>
  <si>
    <t>MANTENIMIENTO DE VIAS DE LA PARROQUIA JIMBURA</t>
  </si>
  <si>
    <t>JIMBURA</t>
  </si>
  <si>
    <t>RECONFORMACIÓN DE LA VIA SAN ANTONIO DE LAS ARADAS - QUEBRADA QUIROZ (L TOTAL = 5,4KM, TRABAJO EJECUTADO)</t>
  </si>
  <si>
    <t>SANANTONIODELASARADAS</t>
  </si>
  <si>
    <t>MANTENIMIENTO DE LA VIA " COLAISACA-PULPERIA", PARROQUIA COLAISACA, CANTON CALVAS</t>
  </si>
  <si>
    <t>COLAISACA</t>
  </si>
  <si>
    <t>APERTURA DE VIA SECTOR DE QUIZANGA Y AMPLIACION EN OTRAS PARTES DEL TRAMO SANGUILLIN - LUCERO (Longitud 100m)</t>
  </si>
  <si>
    <t>SANGUILLÍN</t>
  </si>
  <si>
    <t>MANTENIMIENTO DE EMERGENCIA A VIAS DE LA PARROQUIA TACAMOROS INICIA 7 MARZO 2014</t>
  </si>
  <si>
    <t>TACAMOROS</t>
  </si>
  <si>
    <t>Limpieza de alcantarillas y desalojo hasta 6m</t>
  </si>
  <si>
    <t>ENCAUSAMIENTO DE QUEBRADA TUNGANI</t>
  </si>
  <si>
    <t>GONZANAMÁ</t>
  </si>
  <si>
    <t>MANTENIMIENTO DE LA VIA " CARIAMANGA - SAN GUILLIN  DE LA PARROQUIA SAN GUILLIN, CANTON CALVAS"</t>
  </si>
  <si>
    <t xml:space="preserve">Excavación sin clasificar a maquina (explotación de material) </t>
  </si>
  <si>
    <t>3</t>
  </si>
  <si>
    <t>Mejoramiento de la Vía  SAN GUILLIN-QUIZANGA DE LA PARROQUIA SAN GUILLIN, CANTON CALVAS</t>
  </si>
  <si>
    <t>Acabado de la obra básica existente</t>
  </si>
  <si>
    <t>4</t>
  </si>
  <si>
    <t>MANTENIMIENTO DE EMERGENCIA A VIAS DE LA PARROQUIA COLAISACA</t>
  </si>
  <si>
    <t>5</t>
  </si>
  <si>
    <t>Mejoramiento de la Vía  SAN GUILLIN-USAIMA DE LA PARROQUIA SAN GUILLIN, CANTON CALVAS</t>
  </si>
  <si>
    <t>Razanteo con Motoniveladora</t>
  </si>
  <si>
    <t>6</t>
  </si>
  <si>
    <t>Mejoramiento VIAL P. San Guillin :Camayos, San Joaquin,Chullafaique,Pasallal, CANTON CALVAS</t>
  </si>
  <si>
    <t>CONVENIO DE MANTENIMIENTO DE LA VIA SOZORANGA - NUEVA FATIMA, CANTON SOZORANGA.
Longtud 13,30KM</t>
  </si>
  <si>
    <t>NUEVAFÁTIMA</t>
  </si>
  <si>
    <t>CONVENIO</t>
  </si>
  <si>
    <t>Transporte de material de derrumbes (desalojo a escombrera)</t>
  </si>
  <si>
    <t>MANTENIMIENTO RUTINARIO VIAL EN LOS CANTONES CALVAS, ESPINDOLA, GONZANAMÁ, QUILANGA Y SOZORANGA (CONTRATO SIE-NRO.821-VIALSUR E.P.-2013)</t>
  </si>
  <si>
    <t>CALVAS ESPINDOLA GONZANAMA QUILANGA Y SOZORANGA</t>
  </si>
  <si>
    <t>EL LUCERO, PURUNUMA, SACAPALCA,SAN ANTONO DE LAS ARADASJIMBURA</t>
  </si>
  <si>
    <t>CONTRATO</t>
  </si>
  <si>
    <t>MANTENIMIENTO RUTINARIO DE LA VIA CARIAMANGA - EL LUCERO - RIO PINDO (MONTO EJECUTADO 4´249 133.29)</t>
  </si>
  <si>
    <t>CALVAS</t>
  </si>
  <si>
    <t>KM</t>
  </si>
  <si>
    <t>VIA TACAMOROS - LA VICTORIA - LA BOCANA- EL LIMON; TRAMO - TACAMOROS - LA VICTORIA L= 14 KM.
(PARALIZADO POR INVIERNO)</t>
  </si>
  <si>
    <t>ZONA2</t>
  </si>
  <si>
    <t>Roza a mano</t>
  </si>
  <si>
    <t>Ha</t>
  </si>
  <si>
    <t>ING. MARCO CEVALLOS</t>
  </si>
  <si>
    <t>Limpieza de cunetas y alcantarillas a maquina</t>
  </si>
  <si>
    <t>Transporte de material excavado ( desalojo de escombrera)</t>
  </si>
  <si>
    <t>Transporte de material de mejoramiento, inc cargado</t>
  </si>
  <si>
    <t>Reconformación de la rasante</t>
  </si>
  <si>
    <t xml:space="preserve">VIA ALAMOR VICENTINO </t>
  </si>
  <si>
    <t>VICENTINO</t>
  </si>
  <si>
    <t>VIA LA HOYADA EL LIMO (CANTON PUYANGO)</t>
  </si>
  <si>
    <t>ELLIMO</t>
  </si>
  <si>
    <t>VIA GUAYACAN - PALTAPAMBA - (CANTON PUYANGO)
(PARALIZADO POR INVIERNO)</t>
  </si>
  <si>
    <t>7</t>
  </si>
  <si>
    <t>MANTENIEMIENTO DE VIAS DEL CANTON PUYANGO (PARROQUIAS ARENAL, CIANO, EL LIMO Y MERCADILLO)</t>
  </si>
  <si>
    <t>CIANO</t>
  </si>
  <si>
    <t>Limpieza de cunetas y alcantarillas a máquina</t>
  </si>
  <si>
    <t>Transporte de material excavado (desalojo a escombrera)</t>
  </si>
  <si>
    <t>8</t>
  </si>
  <si>
    <t>REHABILITACION DE LA VIA Y CELICA - POZUL - PINDAL
(CONVENIO GPL - VIALSUR.EP RECURSOS)</t>
  </si>
  <si>
    <t>POZUL</t>
  </si>
  <si>
    <t>Bacheo con material de base clase 3</t>
  </si>
  <si>
    <t>ASFALTO</t>
  </si>
  <si>
    <t>Imprimación Asfaltica</t>
  </si>
  <si>
    <t>Lt.</t>
  </si>
  <si>
    <t>Bacheo asfaltico con material 3/4" (manual)</t>
  </si>
  <si>
    <t>Sello asfaltico con material 3/8"</t>
  </si>
  <si>
    <t>Reconformación de base</t>
  </si>
  <si>
    <t>Transporte de material  ( Catamayo - Loja)</t>
  </si>
  <si>
    <t>9</t>
  </si>
  <si>
    <t>REHABILITACION DE LA VÍA MACARÁ - SAUCILLO
(CONVENIO GPL - VIALSUR.EP RECURSOS)</t>
  </si>
  <si>
    <t>MACARÁ</t>
  </si>
  <si>
    <t>Imprimación asfaltica</t>
  </si>
  <si>
    <t>Lt</t>
  </si>
  <si>
    <t>Bacheo asfaltico con material 3/4" Y 3/8" (manual)</t>
  </si>
  <si>
    <t>Transporte de material (Catamayo - Loja)</t>
  </si>
  <si>
    <t>Doble tratamiento superficial bituminoso</t>
  </si>
  <si>
    <t>CONTRATO SIE-NRO-828-VIALSUR.EP-2013 CONTRATACION DE MAQUINARIA PARA EL MANTENIMIENTO RUTINARIO DE VIAS EN LOS CANTONES (PINDAL CELICA PUYANGO MACARA Y ZAPOTILLO)</t>
  </si>
  <si>
    <t>PINDAL C</t>
  </si>
  <si>
    <t>m².</t>
  </si>
  <si>
    <t>BOLASPAMBA</t>
  </si>
  <si>
    <t>GARZAREAL</t>
  </si>
  <si>
    <t>CAZADEROS</t>
  </si>
  <si>
    <t xml:space="preserve">CRUZPAMBA </t>
  </si>
  <si>
    <t>10</t>
  </si>
  <si>
    <t>MANTENIMIENTO DE LA VIA MANGAHURQUILLO CAZADEROS PROGRESO GRAMADALES LA LEONERA</t>
  </si>
  <si>
    <t>ZAPOTILLO</t>
  </si>
  <si>
    <t>Pefilado de razante con tractor</t>
  </si>
  <si>
    <t>PUENTES</t>
  </si>
  <si>
    <t>CONSTRUCCION DE ESTRIBOS PARA PUENTE BAYLEY SECTOR EL ARENAL CONVENIO NRO 007-2013 GADM PUYANGO - VIALSUR.EP(MUNICIPIO AUN NO INICIA LOS TRABAJOS) APORTES GAD $ 10000,00 Y VIALSUR $ 10 500,00, las estructuras se encuentran en bodega del GAP. PUYANGO, en espera de firma de convenio para realizar entrega</t>
  </si>
  <si>
    <t>ELARENAL</t>
  </si>
  <si>
    <t>CONSTRUCCION DE ESTRIBOS PARA PUENTE BAYLEY SECTOR CIANO CONVENIO  NRO. 006-2013 GADP CIANO - VIALSUR.EP(ESTRIBOS EJECUTADOS) GADP $ 15 000, 00 Y VIALSUR. EP $ 10 000,00. Las estructuras se encuentran en bodega del GAP. PUYANGO, en espera de firma de convenio para realizar entrega</t>
  </si>
  <si>
    <t>ESTRIBOS CONSTRUIDOS</t>
  </si>
  <si>
    <t>11</t>
  </si>
  <si>
    <t>VIA, CHINCHAS-ZAMBI-RIO PINDO, L=55,88 km. (Catamayo)</t>
  </si>
  <si>
    <t>ZONA3</t>
  </si>
  <si>
    <t>ZAMBI</t>
  </si>
  <si>
    <t>Excavación sin clasificar a máquina (ampliación de la vía en áreas críticas)</t>
  </si>
  <si>
    <t>m³.</t>
  </si>
  <si>
    <t>ING. ALFONSO GONZALEZ</t>
  </si>
  <si>
    <t>Explotación  de material (incluye cargado)</t>
  </si>
  <si>
    <t>Clasificación de material.</t>
  </si>
  <si>
    <t>Limpieza de derrumbes a maquina</t>
  </si>
  <si>
    <t>GUAYQUICHUMA</t>
  </si>
  <si>
    <t>Reconformación de la Subrazante</t>
  </si>
  <si>
    <t>Transporte de material de mejoramiento</t>
  </si>
  <si>
    <t>m3/km.</t>
  </si>
  <si>
    <t>EL ROSARIO</t>
  </si>
  <si>
    <t>VIA, ACCESO A RUMIPOTRERO, L=4,5 km. (Catamayo)</t>
  </si>
  <si>
    <t>VIA, CHIGUANGO-CHIGUANGO ALTO, L=3,1 km. (Catamayo)</t>
  </si>
  <si>
    <t>VIA CHINCHAS LA ARADA, L=6.7 KM. (incluye 0.4 km accesos al sitio la Cruz ( ( Zambi - Catamayo)</t>
  </si>
  <si>
    <t>VIA, ACCESO A BARRIOS: LA CHORA-LA LIBERTAD, L=6,7 km, AL PORVENIR, L=1,1 km.  (Catamayo)</t>
  </si>
  <si>
    <t>VIA, ACCESO AL BARRIO, TOGUEROS, L=1,65 km (Catamayo)</t>
  </si>
  <si>
    <t>SAN PEDRO DE LA BENDITA</t>
  </si>
  <si>
    <t>Excavación sin clasificar a maquina (construcción de drenes y subdrenes)</t>
  </si>
  <si>
    <t>Explotación de material incluye cargado</t>
  </si>
  <si>
    <t>Transporte de material excavado, inc. cargado</t>
  </si>
  <si>
    <t>m³/km.</t>
  </si>
  <si>
    <t>ALCANTARILLA</t>
  </si>
  <si>
    <t>VIA, INDIUCHO-EL TAMBO, L=12,7 km. (Catamayo)  FALLA GEOLOGICA, ABS. 8+500  Inicio: 7 de marzo, continúa.</t>
  </si>
  <si>
    <t>EL TAMBO</t>
  </si>
  <si>
    <t>Suministro y colocación de alcantarilla D=1.20 m.</t>
  </si>
  <si>
    <t>ml.</t>
  </si>
  <si>
    <t>Material filtrante (construcción de subdrenes)</t>
  </si>
  <si>
    <t>Relleno Compactado con material mejorado (estructura de la vía)</t>
  </si>
  <si>
    <t>ESCOMBRERAS</t>
  </si>
  <si>
    <t>Explotación de material (incluye cargado).</t>
  </si>
  <si>
    <t>Excavación sin clasificar a maquina (Ampliación de la vía)</t>
  </si>
  <si>
    <t>Transporte de material petreo, inc. cargado</t>
  </si>
  <si>
    <t>m³</t>
  </si>
  <si>
    <t>VIA, INDIUCHO-EL TAMBO, L=12,7 km. (Catamayo)</t>
  </si>
  <si>
    <t>VIA, EL TAMBO-CHAPAMARCA-VILLONACO, L=18,2 km. (Catamayo)</t>
  </si>
  <si>
    <t>VIA, EL TAMBO-LA ERA, L=8,6 km. (Catamayo)</t>
  </si>
  <si>
    <t>Transporte de material mejorado, inc. Cargado</t>
  </si>
  <si>
    <t>m³./km.</t>
  </si>
  <si>
    <t>VIA ACCESO A LA MERCED BAJA, L= 1.6 KM. VIA ANTIGUA, LA ERA - "Y" DEL CANAL, L= 2,3 KM (EL TAMBO - CATAMAYO)</t>
  </si>
  <si>
    <t>VIA, SOBRINOSPAMBA-EL HUAYCO, L=4,7 km. (Catamayo)</t>
  </si>
  <si>
    <t>12</t>
  </si>
  <si>
    <t>VIA, "Y" del ROSARIO-RIO YAGUACHI, L=15,4 km. (Chaguar.)</t>
  </si>
  <si>
    <t>Reconformación de la subrasante</t>
  </si>
  <si>
    <t>Excavación y Relleno compactado, con material mejorado</t>
  </si>
  <si>
    <t>13</t>
  </si>
  <si>
    <t>VIA, CORDILLERA DE RAMOS-4 LOMAS, L=6,2 km. (Chaguar.)</t>
  </si>
  <si>
    <t>VIA,PANAMERICANA - SAN JOSE-BUENAVISTA, L=7,3 km. (Chaguarpamba)</t>
  </si>
  <si>
    <t>BUENAVISTA</t>
  </si>
  <si>
    <t>VIA, BUENAVISTA-AMARILLOS, L=9,9 km. (Chaguarpamba)</t>
  </si>
  <si>
    <t>AMARILLOS</t>
  </si>
  <si>
    <t>VIAS DESDE BUENAVISTA A, VALLE HERMOSO, PALMAL Y PAN DE AZUCAR</t>
  </si>
  <si>
    <t xml:space="preserve">VIA, LAS JUNTAS-"Y" del GUINEO, RIO PINDO L=5.6 km. </t>
  </si>
  <si>
    <t>SANTA RUFINA</t>
  </si>
  <si>
    <t>14</t>
  </si>
  <si>
    <t>PLATAFORMA DEL CANAL,"Y" del GUINEO, L=4,2 km. (Chaguarpamba)</t>
  </si>
  <si>
    <t>Limpieza y desalojo de derrumbes a máquina</t>
  </si>
  <si>
    <t>VIA, ORIANGA-LA VICTORIA-SHOA, L=11,0 km. (Paltas)</t>
  </si>
  <si>
    <t>ORIANGA</t>
  </si>
  <si>
    <t>15</t>
  </si>
  <si>
    <t>VIA RIO PINDO  LAS JUNTAS ORIANGA L=23.2 KM (PALTAS)</t>
  </si>
  <si>
    <t>Excavación sin clasificar a maquina (estabilización de talud)</t>
  </si>
  <si>
    <t>16</t>
  </si>
  <si>
    <t>Excavación sin clasificar a maquina</t>
  </si>
  <si>
    <t>Clasificacion de material.</t>
  </si>
  <si>
    <t>17</t>
  </si>
  <si>
    <t>CALLES DE ORIANGA, L=1,0 km.  (Paltas)</t>
  </si>
  <si>
    <t>VIA, ORIANGA-EL TRIUNFO, L=7,7 km. (Paltas)</t>
  </si>
  <si>
    <t>VIAS DESDE ORIANGA A, GUAYACAN Y LA VEGA. (Paltas)</t>
  </si>
  <si>
    <t>VIA, LA PALMA-EL PLACER, L=11,1 km. (Paltas)( RETROEXCAVADORA DE LA JUNTA PARROQUIAL)</t>
  </si>
  <si>
    <t>LAUROGUERRERO</t>
  </si>
  <si>
    <t>VIAS DE LA PARROQUIA YAMANA, L=6,90 km. (Paltas)</t>
  </si>
  <si>
    <t>YAMANA</t>
  </si>
  <si>
    <t>VIA, PLAYAS-YAMANA, L=3,8 km. (Paltas)</t>
  </si>
  <si>
    <t>VIA, SAN ANTONIO-EL SAUCE, L=9,7 km. (Paltas)</t>
  </si>
  <si>
    <t>SANANTONIO</t>
  </si>
  <si>
    <t>VIA, SAN ANTONIO-YAMANA, L=2.8 km. (Paltas) Inicio: 22 de marzo</t>
  </si>
  <si>
    <t>VIAS DE ACCESO A LOS BARRIOS, STO. DOMINGO, L=3.8 km. CHORRERA L=0.8 km. (Paltas)</t>
  </si>
  <si>
    <t>m3.</t>
  </si>
  <si>
    <t>VIA TAMBARA-COLA L=6.3 KM</t>
  </si>
  <si>
    <t>LA TINGUE</t>
  </si>
  <si>
    <t>VIA, LA TINGUE-ZAPALLAL.  L=4,8 km.</t>
  </si>
  <si>
    <t>VIAS DE ACCESO A LOS BARRIOS, SACAPIANGA Y SAN ANTONIO BAJO</t>
  </si>
  <si>
    <t>MANTENIMIENTO DE LAS VIAS TABLON-MINA, TABLON-SAN JOSE, YEE DE SAN JOSE-QUISHQUIL, CEMENTERIO-LA LAGUNA-COCHALOMA, PANAMERICANA-POTRERILLOS-TACHIN. LONGITUD 18 KM</t>
  </si>
  <si>
    <t>ZONA4</t>
  </si>
  <si>
    <t>EL TABLÓN</t>
  </si>
  <si>
    <t>ING. IVAN VILLA TORRES</t>
  </si>
  <si>
    <t>M3</t>
  </si>
  <si>
    <t xml:space="preserve">Transporte de material de mejoramiento, base , sub-base </t>
  </si>
  <si>
    <t>M3-KM</t>
  </si>
  <si>
    <t>Explotación de material de mejoramiento</t>
  </si>
  <si>
    <t>MANTENIMIENTO DE LAS VIAS DE LA PARROQUIA CELEN, LONGITUD 12,00 KM</t>
  </si>
  <si>
    <t>CELEN</t>
  </si>
  <si>
    <t>MANTENIMIENTO DE LA VIA MALACATOS-SAN JOSE DE LAS PEÑAS, LONGITUD 3,00 KM</t>
  </si>
  <si>
    <t>MALACATOS</t>
  </si>
  <si>
    <t>MANTENIMIENTO DE LA VIA TANQUE DE COLA - PUENTE SANTO DOMINGO, LONGITUD 3,00 KM</t>
  </si>
  <si>
    <t>MANTENIMIENTO DE LAS VIAS DE LA PARROQUIA YANGANA, TRAMO YANGANA-PUENTE MASANAMACA, LONGITUD 26,00 KM</t>
  </si>
  <si>
    <t>YANGANA</t>
  </si>
  <si>
    <t>MEJORAMIENTO  DE LAS CALLES Y VIAS DE LOS BARRIOS PERIFERICOS DE LA CIUDAD DE LOJA, LONGITUD 180 KM CONVENIO NRO. 131-DPS-2013 APORTES GPL - GADMLOJA - VIALSUR.EP, Contrato original sie nro 582 $ 161 921.96  del 15 de agosto al 18 de enero del 2014, concluido 100 % y pagado.</t>
  </si>
  <si>
    <t>LOJA</t>
  </si>
  <si>
    <t>Cargada de material inadecuado a máquina</t>
  </si>
  <si>
    <t>Transporte de material de mejoramiento, distancia 0 a 5,00 Km</t>
  </si>
  <si>
    <t>Alquiler de excavadora</t>
  </si>
  <si>
    <t>Horas</t>
  </si>
  <si>
    <t>Letrero de identificación</t>
  </si>
  <si>
    <t>Unidad</t>
  </si>
  <si>
    <t>MANTENTENIMIENTO DE CALLES Y VIAS DE LOS BARRIOS PERIFERICOS DE LA CIUDAD DE LOJA (CONTRATO CIA. JARAMILLO CONSTRUCTORA)</t>
  </si>
  <si>
    <t>CIA. JARAMILLO</t>
  </si>
  <si>
    <t>Transporte de material de mejoramiento, distancia mayor a 5,00 Km</t>
  </si>
  <si>
    <t>M3-Km</t>
  </si>
  <si>
    <t>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</t>
  </si>
  <si>
    <t>Asfalto para riego de imprimación</t>
  </si>
  <si>
    <t>Lit.</t>
  </si>
  <si>
    <t>Hormigón estructural Clase C f´c=180 kg/cm2 , cunetas y canales</t>
  </si>
  <si>
    <t>Señalización Horizontal</t>
  </si>
  <si>
    <t>ml</t>
  </si>
  <si>
    <t>Tachas Reflectivas</t>
  </si>
  <si>
    <t>Barandas Reflectivas</t>
  </si>
  <si>
    <t>MANTENIMIEMTO RUTINARIO VAL EN LOS CANTONES LOJA Y SARAGURO (CONTRATO SIE N° 822 SUSCRITO CON EL ING. MANUEL PICOITA), LONGITUD 200 KM; Resanteo de vía con motoniveladora en las vías de las parroquias Celén, Selva Alegre, Lluzhapa, Yuluc y Sumaipamba, cantón Saraguro</t>
  </si>
  <si>
    <t>LLUZHAPA</t>
  </si>
  <si>
    <t>ING. MANUEL PICOITA</t>
  </si>
  <si>
    <t>18</t>
  </si>
  <si>
    <t>TERMINACION PROYECTO VIAL VILCABAMBA-LINDEROS-MOYOCOCHA (OBRAS DE ARTE Y SEÑALIZACION, CONTRATISTA ING. MAXIMO CASTRO), fecha de suscripción contrato 5 de febrero del 2014, entrega el anticipo 7 de marzo del 2014 40 % del monto del contrato.</t>
  </si>
  <si>
    <t>ING. MAXIMO CASTRO</t>
  </si>
  <si>
    <t>ING. MEDARDO BASTIDAS</t>
  </si>
  <si>
    <t>Hormigón Simple f´c= 180 kg/cm2</t>
  </si>
  <si>
    <t>Excavación para cunetas y encauzamiento a mano</t>
  </si>
  <si>
    <t>Excavación de suelo a mano cimientos de Piedra</t>
  </si>
  <si>
    <t>Relleno compactado</t>
  </si>
  <si>
    <t>Transporte de material mayor a 5 km</t>
  </si>
  <si>
    <t>m3-km</t>
  </si>
  <si>
    <t>Hormigón estructural</t>
  </si>
  <si>
    <t>Acero refuerzo fy= 4200 kg/cm2 ( Suminostro y colocación )</t>
  </si>
  <si>
    <t>kg</t>
  </si>
  <si>
    <t xml:space="preserve">Letrero de señalización de 2.4 x 7.48 </t>
  </si>
  <si>
    <t>unidad</t>
  </si>
  <si>
    <t>MANTENIMIENTO DE LA VIA SELVA ALEGRE-LLUZHAPA-SUMAIPAMBA L= 40 km.</t>
  </si>
  <si>
    <t>SARAGURO</t>
  </si>
  <si>
    <t>Limpieza de derrumbes</t>
  </si>
  <si>
    <t>Relleno con material granular</t>
  </si>
  <si>
    <t>MANTENIMIENTO DE LA VIA EL CISNE - GUALEL - CHUQUIRIBAMBA  L=22 km.</t>
  </si>
  <si>
    <t>MANTENIMIENTO DE LA VÍA EL CISNE - AMBOCAS L=24 km.</t>
  </si>
  <si>
    <t>Relleno  Compactado</t>
  </si>
  <si>
    <t>MANTENIMIENTPO DE LA VIA SAN PEDRO DE VILCABAMBA - SACAPO L=3.00 KM.</t>
  </si>
  <si>
    <t xml:space="preserve">MANTENIMIENTO DE VIAS DE PARROQUIA MALACATOS SAN FRANCISCO BAJO - SAN FRANCISCOALTO-BELEN </t>
  </si>
  <si>
    <t>MANTENIMIENTO DE LA VIA VILLONACO-TAQUIL-CHANTACO-CHUQUIRIBAMBA  L=40 KM.</t>
  </si>
  <si>
    <t>TAQUIL</t>
  </si>
  <si>
    <t>CHANTACO</t>
  </si>
  <si>
    <t>Mejoramiento de la subrasante con suelo seleccionado S/T h= 20 cm. Incluye explotada</t>
  </si>
  <si>
    <t>CHUQUIRIBAMBA</t>
  </si>
  <si>
    <t>Alcantarilla de armico D=1.80, e= 2.5 mm</t>
  </si>
  <si>
    <t>ML</t>
  </si>
  <si>
    <t>REHABILITACION DE LA VIA LOS MANGOS - CHAQUIRCUÑA L = 7.5 KM</t>
  </si>
  <si>
    <t>EL CISNE</t>
  </si>
  <si>
    <t>Enrocado de piedra diámetro mayor a 70 cm.</t>
  </si>
  <si>
    <t>Encauzamiento de río</t>
  </si>
  <si>
    <t>MANTENIMIENTO DE LA VIA SAUCES NORTE SOLAMAR - SAN LUCAS</t>
  </si>
  <si>
    <t>SAN LUCAS</t>
  </si>
  <si>
    <t>reconformación de la razante</t>
  </si>
  <si>
    <t>Desalojo de Material de escombros</t>
  </si>
  <si>
    <t>Excavación en plataforma suelo rocoso a máquina desalojo hasta 50 m(Variante)</t>
  </si>
  <si>
    <t>ENCAUSAMIENTO DE QUEBRADA PICUMINE (BARRIO TUMIANUMA)</t>
  </si>
  <si>
    <t>19</t>
  </si>
  <si>
    <t>MANTENIMIENTO DE LA VIA SELVA ALEGRE - TENTA</t>
  </si>
  <si>
    <t>Mejoramiento de la subrasante con suelo seleccionado s/t h=20 cm incluye explotada</t>
  </si>
  <si>
    <t>Transporte de mateial mayor a 5 km</t>
  </si>
  <si>
    <t>MANTENIMIENTO DE LA VIA SOLAMAR - JIMBILLA L= 17.00 KM.</t>
  </si>
  <si>
    <t>JIMBILLA</t>
  </si>
  <si>
    <t>MANTENIMIENTO DEL CADE</t>
  </si>
  <si>
    <t>MEJORAMIENTO A NIVEL DE DOBLE TRATAMIENTO SUPERFICIAL BITUMINOSO DE LA VIA SARAGURO TENTA L= 6.17 KM.ABSC (4+044.69 - 10+210.55) CONVENIO NRO.120 - DPS -2013 GPL - VIALSUR.EP</t>
  </si>
  <si>
    <t>ZONA4 - ST</t>
  </si>
  <si>
    <t>UNIDAD DE NEGOCIOS</t>
  </si>
  <si>
    <t>REPLANTEO Y NIVELACION CON APARATOS (VIAS)</t>
  </si>
  <si>
    <t>Km</t>
  </si>
  <si>
    <t>ING. ALVARO ARTEAGA RIOS</t>
  </si>
  <si>
    <t>ROZA A MANO</t>
  </si>
  <si>
    <t>REMOCIÓN DE ALCANTARILLAS DE TUBO (INCLUYE DESALOJO)</t>
  </si>
  <si>
    <t>M</t>
  </si>
  <si>
    <t>REMOCION DE HORMIGON</t>
  </si>
  <si>
    <t>M³</t>
  </si>
  <si>
    <t>EXCAVACION EN PLATAFORMA SUELO SIN CLASIFICAR, A MAQUINA</t>
  </si>
  <si>
    <t>EXCAVACION EN ROCA</t>
  </si>
  <si>
    <t>M²</t>
  </si>
  <si>
    <t>LIMPIEZA DE DERRUMBES</t>
  </si>
  <si>
    <t>TRAN. MAT. PETREOS, BASE, SUB-BASE, MAT. TRITU, DE PRÉSTAMO Y OTROS D/L=0.5Km</t>
  </si>
  <si>
    <t>M³-Km</t>
  </si>
  <si>
    <t>ESTABILIZACIÓN DE TALUDES MEDIANTE LA CONFORMACIÓN DE TERRAZAS</t>
  </si>
  <si>
    <t>TRAN. MAT. PETREOS, BASE, SUB-BASE, MAT. TRITU, DE PRÉSTAMO Y OTROS, D/L=0.5Km</t>
  </si>
  <si>
    <t>SUBBASE CLASE 2</t>
  </si>
  <si>
    <t>BASE CLASE 2</t>
  </si>
  <si>
    <t>LIMPIEZA DE ALCANTARILLA</t>
  </si>
  <si>
    <t>EXCAVACIÓN DE ZANJAS A MÁQUINA EN SUELO SIN CLASIFICAR</t>
  </si>
  <si>
    <t>EXCAVACIÓN PARA CUNETAS Y ENCAUZAMIENTOS, A MÁQUINA D/L=200M</t>
  </si>
  <si>
    <t>ALCANTARILLA METALICA GALVANZADA CORRUGADA PP-68 D=1.20 e= 2MM</t>
  </si>
  <si>
    <t>TUBERÍA CORRUGADA Y PERFORADA PARA SUBDRENES PVC D=200 MM</t>
  </si>
  <si>
    <t>MEMBRANA DE FIBRA SINTETICA NT-1600</t>
  </si>
  <si>
    <t>MATERIAL FILTRANTE PARA SUB-DREN S/T</t>
  </si>
  <si>
    <t>TRAMPA PARA GRASAS Y ACEITES</t>
  </si>
  <si>
    <t>U</t>
  </si>
  <si>
    <t>LETRINA SANITARIA SIN ARRASTRE DE AGUA</t>
  </si>
  <si>
    <t>INSTALACION DE TRITURADORA</t>
  </si>
  <si>
    <t>GBL</t>
  </si>
  <si>
    <t>EQUIPO DE PROTECCIÓN PERSONAL</t>
  </si>
  <si>
    <t>TOTALES</t>
  </si>
  <si>
    <t>Transporte de material</t>
  </si>
  <si>
    <t>Rasanteo de la via</t>
  </si>
  <si>
    <t>Reconformación de la vía con tractor, corrección de pendiente y rasanteo de la calzada</t>
  </si>
  <si>
    <t>Longitud
intervenida</t>
  </si>
  <si>
    <t>MONTO DE INVERSIÓN</t>
  </si>
  <si>
    <t>20</t>
  </si>
  <si>
    <t>21</t>
  </si>
  <si>
    <t>Extrema pobreza por necesidades básicas insatisfechas (NBI)</t>
  </si>
  <si>
    <t>FUENTE: Censo de Población y Vivienda - INEC</t>
  </si>
  <si>
    <t>AÑO: 2010</t>
  </si>
  <si>
    <t>CANTON</t>
  </si>
  <si>
    <t>PARROQUIA</t>
  </si>
  <si>
    <t>Porcentaje</t>
  </si>
  <si>
    <t>Número de pobres extremos</t>
  </si>
  <si>
    <t>Población total</t>
  </si>
  <si>
    <t>(n/N)*100</t>
  </si>
  <si>
    <t>n</t>
  </si>
  <si>
    <t>N</t>
  </si>
  <si>
    <t>ECUADOR</t>
  </si>
  <si>
    <t>26.8</t>
  </si>
  <si>
    <t>3,841,872</t>
  </si>
  <si>
    <t>14,329,606</t>
  </si>
  <si>
    <t>34.3</t>
  </si>
  <si>
    <t>canton</t>
  </si>
  <si>
    <t>total</t>
  </si>
  <si>
    <t>parroquia</t>
  </si>
  <si>
    <t>poblacion</t>
  </si>
  <si>
    <t>area</t>
  </si>
  <si>
    <t>calvas</t>
  </si>
  <si>
    <t>CARIAMANGA</t>
  </si>
  <si>
    <t>rural</t>
  </si>
  <si>
    <t>urbano</t>
  </si>
  <si>
    <t>EL LUCERO</t>
  </si>
  <si>
    <t>SANGILLIN</t>
  </si>
  <si>
    <t xml:space="preserve"> UTUANA</t>
  </si>
  <si>
    <t>UTUANA</t>
  </si>
  <si>
    <t>CATAMAYO</t>
  </si>
  <si>
    <t>CATAMAYO C</t>
  </si>
  <si>
    <t>catamayo</t>
  </si>
  <si>
    <t>CATAMAYO (LA TOMA)</t>
  </si>
  <si>
    <t>CELICA</t>
  </si>
  <si>
    <t>CELICA C</t>
  </si>
  <si>
    <t>celica</t>
  </si>
  <si>
    <t>CRUZPAMBA</t>
  </si>
  <si>
    <t>POZUL (SAN JUAN DE POZUL</t>
  </si>
  <si>
    <t>SABANILLA</t>
  </si>
  <si>
    <t>TNTE. MAXIMILIANO RODRÍGUEZ LOAIZA</t>
  </si>
  <si>
    <t>TNTE. MAXIMILIANO RODRIG</t>
  </si>
  <si>
    <t>CHAGUARPAMBA</t>
  </si>
  <si>
    <t>chaguarpamba</t>
  </si>
  <si>
    <t>ESPÍNDOLA C</t>
  </si>
  <si>
    <t>espindola</t>
  </si>
  <si>
    <t>27 DE ABRIL</t>
  </si>
  <si>
    <t>EL AIRO</t>
  </si>
  <si>
    <t>SANTA TERESITA</t>
  </si>
  <si>
    <t>GONZANAMA</t>
  </si>
  <si>
    <t>gonzanama</t>
  </si>
  <si>
    <t>CHANGAIMINA (LA LIBERTAD</t>
  </si>
  <si>
    <t>PURUNUMA (EGUIGUREN)</t>
  </si>
  <si>
    <t>LOJA C</t>
  </si>
  <si>
    <t>GUALEL</t>
  </si>
  <si>
    <t>LOJAP</t>
  </si>
  <si>
    <t>MALACATOS (VALLADOLID)</t>
  </si>
  <si>
    <t>QUINARA</t>
  </si>
  <si>
    <t>SAN PEDRO DE VILCABAMBA</t>
  </si>
  <si>
    <t>SANTIAGO</t>
  </si>
  <si>
    <t xml:space="preserve">VILCABAMBA </t>
  </si>
  <si>
    <t>VILCABAMBA (VICTORIA)</t>
  </si>
  <si>
    <t>YANGANA (ARSENIO CASTILLO)</t>
  </si>
  <si>
    <t>MACARA</t>
  </si>
  <si>
    <t>macara</t>
  </si>
  <si>
    <t>LA VICTORIA</t>
  </si>
  <si>
    <t>LARAMA</t>
  </si>
  <si>
    <t>MACARÁ C</t>
  </si>
  <si>
    <t>SABIANGO</t>
  </si>
  <si>
    <t>SABIANGO (LA CAPILLA)</t>
  </si>
  <si>
    <t>OLMEDO</t>
  </si>
  <si>
    <t>olmedo</t>
  </si>
  <si>
    <t>OLMEDO C</t>
  </si>
  <si>
    <t>PALTAS</t>
  </si>
  <si>
    <t>paltas</t>
  </si>
  <si>
    <t>ALAMOR</t>
  </si>
  <si>
    <t>CANGONAMÁ</t>
  </si>
  <si>
    <t>CANGONAMA</t>
  </si>
  <si>
    <t>CASANGA</t>
  </si>
  <si>
    <t>CATACOCHA C</t>
  </si>
  <si>
    <t>CATACOCHA</t>
  </si>
  <si>
    <t>GUACHANAMA</t>
  </si>
  <si>
    <t>LAURO GUERRERO</t>
  </si>
  <si>
    <t>SAN ANTONIO</t>
  </si>
  <si>
    <t>PINDAL</t>
  </si>
  <si>
    <t>12DEDICIEMBRE</t>
  </si>
  <si>
    <t>pindal</t>
  </si>
  <si>
    <t>12 DE DICIEMBRE</t>
  </si>
  <si>
    <t>CHAQUINAL</t>
  </si>
  <si>
    <t>PUYANGO</t>
  </si>
  <si>
    <t>puyango</t>
  </si>
  <si>
    <t>EL ARENAL</t>
  </si>
  <si>
    <t>EL LIMO (MARIANA DE JESUS)</t>
  </si>
  <si>
    <t>MERCADILLO</t>
  </si>
  <si>
    <t>quilanga</t>
  </si>
  <si>
    <t>FUNDOCHAMBA</t>
  </si>
  <si>
    <t>SAN ANTONIO DE LAS ARADAS</t>
  </si>
  <si>
    <t>saraguro</t>
  </si>
  <si>
    <t>EL PARAISO DE CELEN</t>
  </si>
  <si>
    <t>EL TABLON</t>
  </si>
  <si>
    <t>MANU</t>
  </si>
  <si>
    <t>MANÚ</t>
  </si>
  <si>
    <t>SAN ANTONIO DE QUMBE</t>
  </si>
  <si>
    <t>SANANTONIODEQUMBE</t>
  </si>
  <si>
    <t>SAN PABLO DE TENTA</t>
  </si>
  <si>
    <t>SANPABLODETENTA</t>
  </si>
  <si>
    <t>SAN SEBASTIAN DE YULUC</t>
  </si>
  <si>
    <t>SANSEBASTIANDEYÚLUC</t>
  </si>
  <si>
    <t>SELVAALEGRE</t>
  </si>
  <si>
    <t>SELVA ALEGRE</t>
  </si>
  <si>
    <t>SUMAYPAMBA</t>
  </si>
  <si>
    <t>URDANETA</t>
  </si>
  <si>
    <t>URDANETA (PAQUISHAPA)</t>
  </si>
  <si>
    <t>SOZORANGA</t>
  </si>
  <si>
    <t>sozoranga</t>
  </si>
  <si>
    <t>NUEVA FATIMA</t>
  </si>
  <si>
    <t>zapotillo</t>
  </si>
  <si>
    <t>LIMONES</t>
  </si>
  <si>
    <t>PALETILLAS</t>
  </si>
  <si>
    <t>PROGRAMA</t>
  </si>
  <si>
    <t>LONGITUD (km)</t>
  </si>
  <si>
    <t>Monto</t>
  </si>
  <si>
    <t>Etiquetas de fila</t>
  </si>
  <si>
    <t>Suma de KM INTERVENIDOS</t>
  </si>
  <si>
    <t>Total general</t>
  </si>
  <si>
    <t>DETALLE DE PROYECTOS</t>
  </si>
  <si>
    <t>Suma de MONTO INVERSION GPL / VIALSUR</t>
  </si>
  <si>
    <t>PROYECTOS E INVERSIÓN POR PARROQUIA  PARA EL AÑO 2014</t>
  </si>
  <si>
    <t>PERIODO JULIO-DICEMBRE /2014</t>
  </si>
  <si>
    <t>Empresa Pública de Vialidad del Sur. VIALSUR.EP</t>
  </si>
  <si>
    <t>OBRAS DE ARRASTRE</t>
  </si>
  <si>
    <t xml:space="preserve">CANTON </t>
  </si>
  <si>
    <t>INVERSION</t>
  </si>
  <si>
    <t>Construcción de cabezales para alcantarillas del contrato MTOP (Zona 1) (ANEXO 1) (Chaquinal Palmitas y Guasimo Arenal )(Saldo Contrato MTOP)</t>
  </si>
  <si>
    <t>GUASIMO</t>
  </si>
  <si>
    <t>ARENAL</t>
  </si>
  <si>
    <t>Construcción de cabezales para alcantarillas del contrato MTOP (Zona 2) (ANEXO2  San antonio de las Aradas , San Guiilin y Utuana (Saldo Contrato MTOP)</t>
  </si>
  <si>
    <t>SANGUILLIN</t>
  </si>
  <si>
    <t>PAGO DE MANTENIMIENTO RUTINARIO CONTRATO Nro. 274-VIALSUR E.P.-2011 (Vía Indiucho-El Tambo, tramo 7+500 - 12+740)</t>
  </si>
  <si>
    <t>Terminación de la construcción de alcantarillas en la Via Chinchas Zambi (Obra de arrastre con financiamiento)</t>
  </si>
  <si>
    <t>BACHEO Y RECAPEO  DE LA VIA CELICA POZUL PINDAL</t>
  </si>
  <si>
    <t>BACHEO Y RECAPEO DE LA VIA MACARA SAUCILLO</t>
  </si>
  <si>
    <t>JMIBILA</t>
  </si>
  <si>
    <t>Estudios de la Vía Solamar Jimbilla</t>
  </si>
  <si>
    <t>MEJORAMIENTO DE LA VÍA MALACATOS - LA CALERA (Informe Técnico Jefe Zona 4)</t>
  </si>
  <si>
    <t>ZONA 1</t>
  </si>
  <si>
    <t>PARROQUIAS ZONA 1</t>
  </si>
  <si>
    <t>CONSTRUCCION  (Puentes y Pasarelas) EN LAS PARROQUIAS DE LA ZONA 1</t>
  </si>
  <si>
    <t>ZONA 2</t>
  </si>
  <si>
    <t>PARROQUIAS ZONA 2</t>
  </si>
  <si>
    <t>CONSTRUCCION  (Puentes y Pasarelas) EN LAS PARROQUIAS DE LA ZONA 2</t>
  </si>
  <si>
    <t>ZONA 3</t>
  </si>
  <si>
    <t>PARROQUIAS ZONA 3</t>
  </si>
  <si>
    <t>CONSTRUCCION  (Puentes y Pasarelas) EN LAS PARROQUIAS DE LA ZONA 3</t>
  </si>
  <si>
    <t>ZONA 4</t>
  </si>
  <si>
    <t>PARROQUIAS ZONA 4</t>
  </si>
  <si>
    <t>CONSTRUCCION  (Puentes y Pasarelas) EN LAS PARROQUIAS DE LA ZONA 4</t>
  </si>
  <si>
    <t>CONSTRUCCION DE ALCANTARILLAS EN LAS PARROQUIAS DE LA ZONA 1</t>
  </si>
  <si>
    <t>CONSTRUCCION DE ALCANTARILLAS EN LAS PARROQUIAS DE LA ZONA 2</t>
  </si>
  <si>
    <t>CONSTRUCCION DE ALCANTARILLAS EN LAS PARROQUIAS DE LA ZONA 3</t>
  </si>
  <si>
    <t>CONSTRUCCION DE ALCANTARILLAS EN LAS PARROQUIAS DE LA ZONA 4</t>
  </si>
  <si>
    <t xml:space="preserve">SUBTOTAL </t>
  </si>
  <si>
    <t>PLANIFICACION OPERATIVA 2014 *</t>
  </si>
  <si>
    <t>A) PERFILADO DE VIAS CON MOTONIVELADORA. (OBRAS POR ADMINISTRACIÓN DIRECTA. VALOR QUE SE JUSTIFICA EN PAGO DE MANO DE OBRA. COMBUSTIBLES, LUBRICANTES,LLANTAS, REPUESTOS) EN LAS PARROQUIAS DE LA ZONA 1</t>
  </si>
  <si>
    <t>A) PERFILADO DE VIAS CON MOTONIVELADORA. (OBRAS POR ADMINISTRACIÓN DIRECTA. VALOR QUE SE JUSTIFICA EN PAGO DE MANO DE OBRA. COMBUSTIBLES, LUBRICANTES,LLANTAS, REPUESTOS) EN LAS PARROQUIAS DE LA ZONA 2</t>
  </si>
  <si>
    <t>A) PERFILADO DE VIAS CON MOTONIVELADORA. (OBRAS POR ADMINISTRACIÓN DIRECTA. VALOR QUE SE JUSTIFICA EN PAGO DE MANO DE OBRA. COMBUSTIBLES, LUBRICANTES,LLANTAS, REPUESTOS) EN LAS PARROQUIAS DE LA ZONA 3</t>
  </si>
  <si>
    <t>A) PERFILADO DE VIAS CON MOTONIVELADORA. (OBRAS POR ADMINISTRACIÓN DIRECTA. VALOR QUE SE JUSTIFICA EN PAGO DE MANO DE OBRA. COMBUSTIBLES, LUBRICANTES,LLANTAS, REPUESTOS) EN LAS PARROQUIAS DE LA ZONA 4</t>
  </si>
  <si>
    <t>B) RECONFORMACIÓN INCLUYE MOTONIVELADORA TANQUERO Y RODILLO. (OBRAS POR ADMINISTRACIÓN DIRECTA. VALOR QUE SE JUSTIFICA EN PAGO DE MANO DE OBRA. COMBUSTIBLES, LUBRICANTES,LLANTAS, REPUESTOS) EN LAS PARROQUIAS DE LA ZONA1</t>
  </si>
  <si>
    <t>B) RECONFORMACIÓN INCLUYE MOTONIVELADORA TANQUERO Y RODILLO. (OBRAS POR ADMINISTRACIÓN DIRECTA. VALOR QUE SE JUSTIFICA EN PAGO DE MANO DE OBRA. COMBUSTIBLES, LUBRICANTES,LLANTAS, REPUESTOS) EN LAS PARROQUIAS DE LA ZONA2</t>
  </si>
  <si>
    <t>B) RECONFORMACIÓN INCLUYE MOTONIVELADORA TANQUERO Y RODILLO. (OBRAS POR ADMINISTRACIÓN DIRECTA. VALOR QUE SE JUSTIFICA EN PAGO DE MANO DE OBRA. COMBUSTIBLES, LUBRICANTES,LLANTAS, REPUESTOS) EN LAS PARROQUIAS DE LA ZONA3</t>
  </si>
  <si>
    <t>B) RECONFORMACIÓN INCLUYE MOTONIVELADORA TANQUERO Y RODILLO. (OBRAS POR ADMINISTRACIÓN DIRECTA. VALOR QUE SE JUSTIFICA EN PAGO DE MANO DE OBRA. COMBUSTIBLES, LUBRICANTES,LLANTAS, REPUESTOS) EN LAS PARROQUIAS DE LA ZONA4</t>
  </si>
  <si>
    <t>C) MEJORAMIENTO VIAL (LASTRADO DE VIAS) (OBRAS POR ADMINISTRACIÓN DIRECTA. VALOR QUE SE JUSTIFICA EN PAGO DE MANO DE OBRA. COMBUSTIBLES, LUBRICANTES,LLANTAS, REPUESTOS) ZONA 1</t>
  </si>
  <si>
    <t>C) MEJORAMIENTO VIAL (LASTRADO DE VIAS) (OBRAS POR ADMINISTRACIÓN DIRECTA. VALOR QUE SE JUSTIFICA EN PAGO DE MANO DE OBRA. COMBUSTIBLES, LUBRICANTES,LLANTAS, REPUESTOS) ZONA 2</t>
  </si>
  <si>
    <t>C) MEJORAMIENTO VIAL (LASTRADO DE VIAS) (OBRAS POR ADMINISTRACIÓN DIRECTA. VALOR QUE SE JUSTIFICA EN PAGO DE MANO DE OBRA. COMBUSTIBLES, LUBRICANTES,LLANTAS, REPUESTOS) ZONA 3</t>
  </si>
  <si>
    <t>C) MEJORAMIENTO VIAL (LASTRADO DE VIAS) (OBRAS POR ADMINISTRACIÓN DIRECTA. VALOR QUE SE JUSTIFICA EN PAGO DE MANO DE OBRA. COMBUSTIBLES, LUBRICANTES,LLANTAS, REPUESTOS) ZONA 4</t>
  </si>
  <si>
    <t>D) DRENAJES (CONSTRUCCIÓN DE ALCANTARILLAS) EN LAS PARROQUIAS DE LA ZONA 1</t>
  </si>
  <si>
    <t>D) DRENAJES (CONSTRUCCIÓN DE ALCANTARILLAS) EN LAS PARROQUIAS DE LA ZONA 2</t>
  </si>
  <si>
    <t>D) DRENAJES (CONSTRUCCIÓN DE ALCANTARILLAS) EN LAS PARROQUIAS DE LA ZONA 3</t>
  </si>
  <si>
    <t>D) DRENAJES (CONSTRUCCIÓN DE ALCANTARILLAS) EN LAS PARROQUIAS DE LA ZONA 4</t>
  </si>
  <si>
    <t>GLOBAL</t>
  </si>
  <si>
    <t>F) PLANIFICACIÓN  ESTUDIOS Y REMEDIACIÓN AMBIENTAL</t>
  </si>
  <si>
    <t>TENTA</t>
  </si>
  <si>
    <t>J) PROYECTO SARAGURO TENTA</t>
  </si>
  <si>
    <t>* LA INTERVENCIÓN DE LAS VIAS SE LO HARA EN FUNCION DE LA PRIORIZACIÓN QUE REALICEN LOS MUNICIPIOS Y LAS JUNTAS PARROQUIALES</t>
  </si>
  <si>
    <t>SUBTOTAL</t>
  </si>
  <si>
    <t>PREFECTURA DE LOJA</t>
  </si>
  <si>
    <t>PLANILLAS DE EJECUCION DE PROYECTOS</t>
  </si>
  <si>
    <t>PROYECTO:</t>
  </si>
  <si>
    <t>OBRAS POR ADMINISTRACION DIRECTA CONTRATOS Y CONVENIOS</t>
  </si>
  <si>
    <t>PERIODO</t>
  </si>
  <si>
    <t>ITEM</t>
  </si>
  <si>
    <t>ELABORO:</t>
  </si>
  <si>
    <t>ING. JORGE M. ORDOÑEZ ORELLANA</t>
  </si>
  <si>
    <t>TECNICO DE PROYECTOS GT-VIALSUR.EP-GPL</t>
  </si>
  <si>
    <t>abril2014</t>
  </si>
  <si>
    <t>GOBIERNO PROVINCIAL DE LOJA</t>
  </si>
  <si>
    <t>OBRAS POR ADMINISTRACION DIRECTA, CONTRATOS, CONVENIOS</t>
  </si>
  <si>
    <t>Longitud:</t>
  </si>
  <si>
    <t>P</t>
  </si>
  <si>
    <t>31/1/2014</t>
  </si>
  <si>
    <t>TRABAJOS EMERGENTES DE REZANTEO Y LIMPIEZA DE CUNETAS EN PARROQUIA EL INGENIO</t>
  </si>
  <si>
    <t xml:space="preserve">Excavacion sin clasificar a maquina </t>
  </si>
  <si>
    <t>Excavación en roca a maquina y uso de explosivos</t>
  </si>
  <si>
    <t>ASFALTADO A NIVEL DE CARPETA ASFALTICA DE LA VIA CARIAMANGA - EL LUCERO - RIO PINDO (MONTO EJECUTADO 4´249 133.29)</t>
  </si>
  <si>
    <t>COLOCACION DE CARPETA ASFALTICA EN LOS 27.88 KM.</t>
  </si>
  <si>
    <t>VIA, INDIUCHU-EL TAMBO, L=12,7 km. (Catamayo)</t>
  </si>
  <si>
    <t>VIA, SAN JOSE-BUENAVISTA, L=7,3 km. (Chaguarpamba)</t>
  </si>
  <si>
    <t>VIA, LAS JUNTAS-"Y" del GUINEO, L=4,2 km. (Paltas, Lauro Guerrero)</t>
  </si>
  <si>
    <t>VIA, ORIANGA-LAS JUNTAS, L=17,8 km. (Paltas)</t>
  </si>
  <si>
    <t>22</t>
  </si>
  <si>
    <t>VIA, LA PALMA-EL PLACER, L=11,1 km. (Paltas)</t>
  </si>
  <si>
    <t>23</t>
  </si>
  <si>
    <t>VIA, SAN ANTONIO-YAMANA, L=5,7 km. (Paltas) Inicio: 22 de marzo, continúa.</t>
  </si>
  <si>
    <t>24</t>
  </si>
  <si>
    <t>25</t>
  </si>
  <si>
    <t>26</t>
  </si>
  <si>
    <t>27</t>
  </si>
  <si>
    <t>Hormigón Ciclopeo f´c= 180 kg/cm2</t>
  </si>
  <si>
    <t>Transporte de material mayor a 5 km.</t>
  </si>
  <si>
    <t>m3-km.</t>
  </si>
  <si>
    <t>28</t>
  </si>
  <si>
    <t>MANTENIMIENTO DE LA VIA SELVA ALEGRE-LLUZHAPA-SUMAIPAMBA  L= 40 km</t>
  </si>
  <si>
    <t>29</t>
  </si>
  <si>
    <t>30</t>
  </si>
  <si>
    <t>31</t>
  </si>
  <si>
    <t>Relleno con maaterial granular</t>
  </si>
  <si>
    <t>32</t>
  </si>
  <si>
    <t>33</t>
  </si>
  <si>
    <t>34</t>
  </si>
  <si>
    <t>35</t>
  </si>
  <si>
    <t>36</t>
  </si>
  <si>
    <t>MAYO + AGOSTO</t>
  </si>
  <si>
    <t>VIA MERCADILLO CHITOQUE GAUTUNUMA</t>
  </si>
  <si>
    <t>VIA RIO PINDO  LAS JUNTAS ORIANGA L=17,8 KM (PALTAS)</t>
  </si>
  <si>
    <t>VIA EL LIMON GUACHANAMA LAURO GUERRERO</t>
  </si>
  <si>
    <t>VIA YEE DEL GUINEO SANTA RUFINA 7.5 KM</t>
  </si>
  <si>
    <t>VIA SANTARUFINA PUEBLO NUEVO 2.8 KM</t>
  </si>
  <si>
    <t>VIA AMANCAY SANTARUFINA PUEBLO NUEVO 1,7 KM</t>
  </si>
  <si>
    <t>CALLES DE SANTA RUFINA  0,8 KM</t>
  </si>
  <si>
    <t>VIA GUACHANAMA CELICA 9,6 KM</t>
  </si>
  <si>
    <t>VIA GUACHANAMA LA SALERA 17,1 KM</t>
  </si>
  <si>
    <t>VIA LAURO GUERRERO SANTA GERTRUDIZ 12.1 KM</t>
  </si>
  <si>
    <t>31/09/2014</t>
  </si>
  <si>
    <t>A) PERFILADO DE VIAS CON MOTONIVELADORA. (OBRAS POR ADMINISTRACIÓN DIRECTA. VALOR QUE SE JUSTIFICA EN PAGO DE MANO DE OBRA. COMBUSTIBLES, LUBRICANTES,LLANTAS, REPUESTOS)</t>
  </si>
  <si>
    <t>B) RECONFORMACIÓN INCLUYE MOTONIVELADORA TANQUERO Y RODILLO. (OBRAS POR ADMINISTRACIÓN DIRECTA. VALOR QUE SE JUSTIFICA EN PAGO DE MANO DE OBRA. COMBUSTIBLES, LUBRICANTES,LLANTAS, REPUESTOS)</t>
  </si>
  <si>
    <t>C) MEJORAMIENTO VIAL (LASTRADO DE VIAS) (OBRAS POR ADMINISTRACIÓN DIRECTA. VALOR QUE SE JUSTIFICA EN PAGO DE MANO DE OBRA. COMBUSTIBLES, LUBRICANTES,LLANTAS, REPUESTOS)</t>
  </si>
  <si>
    <t>D) DRENAJES (CONSTRUCCIÓN DE ALCANTARILLAS)</t>
  </si>
  <si>
    <t>E) PASARELAS</t>
  </si>
  <si>
    <t>G) MICROEMPRESA VIALES</t>
  </si>
  <si>
    <t>H) OBRAS DE ARRASTRE (PRESUPUESTADO)</t>
  </si>
  <si>
    <t>I) OBRAS NUEVAS Y DE ARRASTRE NO PRESUPUESTADO</t>
  </si>
  <si>
    <t>K) ADQUISICIÓN DE BIENES DE USO Y CONSUMO PARA LA OPERATIVIDAD DE LA EMPRESA</t>
  </si>
  <si>
    <t>L) GESTION ADMINISTRATIVA DE LA EMPRESA VIALSUR</t>
  </si>
  <si>
    <t>RECONFORMACION, BACHEO Y LIMPIEZA DE CUNETAS EN LA VIA SACAPALCA CHANGAIMINA</t>
  </si>
  <si>
    <t>RECONFORMACION, BACHEO Y LIMPIEZA DE CUNETAS EN LA VIA SACAPALCA SAN VICENTE DEL RIO</t>
  </si>
  <si>
    <t>RECONFORMACION, BACHEO Y LIMPIEZA DE CUNETAS EN LA VIA SACAPALCA  CHIRIMOYO</t>
  </si>
  <si>
    <t>RECONFORMACION, BACHEO Y LIMPIEZA DE CUNETAS EN LA VIA CHIRIMOYO LIMON VEGA</t>
  </si>
  <si>
    <t>MEJORAMIENTO DE LA VIA LA NARANJA BATALLADEROS</t>
  </si>
  <si>
    <t>MEJORAMIENTO DE LA VIA LA NARANJA EL SAUCO</t>
  </si>
  <si>
    <t>MEJORAMIENTO DE LA VIA LA NARANJA LA VEGA</t>
  </si>
  <si>
    <t>MEJORAMIENTO DE LA VIA LA NARANJA PINDO BAJO</t>
  </si>
  <si>
    <t>MANTENIMIENTO VIAL P. QUIZANGA - LUCERO</t>
  </si>
  <si>
    <t>Replanteo y Nivelación con aparatos ( Edificaciones) O.T. #2</t>
  </si>
  <si>
    <t>Pintura de Pavimento ancho 10 cm</t>
  </si>
  <si>
    <t>km</t>
  </si>
  <si>
    <t>Rosa a Mano</t>
  </si>
  <si>
    <t>ha</t>
  </si>
  <si>
    <t>Excavación sin clasificar no incluye desalojo</t>
  </si>
  <si>
    <t>Relleno compactado con material de sitio</t>
  </si>
  <si>
    <t>Relleno compactado con material granular</t>
  </si>
  <si>
    <t>Hormigón Estructural f´c=210 kg/cm2 I/E</t>
  </si>
  <si>
    <t>DETALLE DE PROYECTOS EJECUTADOS</t>
  </si>
  <si>
    <t>DETALLE DE PROYECTOS EN EJECUCION</t>
  </si>
  <si>
    <t>AREA DE VIALIDAD</t>
  </si>
  <si>
    <t>PRESUPUESTO PARTICIPATIVO</t>
  </si>
  <si>
    <t xml:space="preserve">VIAS CONSIDERADAS PARA MEJORAMIENTO PARROQUIAS </t>
  </si>
  <si>
    <t>TRAMO</t>
  </si>
  <si>
    <t>APORTES</t>
  </si>
  <si>
    <t>INICIO</t>
  </si>
  <si>
    <t>FIN</t>
  </si>
  <si>
    <t>KM TOTAL</t>
  </si>
  <si>
    <t>NRO DE DIAS</t>
  </si>
  <si>
    <t>OPCION</t>
  </si>
  <si>
    <t>EQUIPO</t>
  </si>
  <si>
    <t>PREFECTURA</t>
  </si>
  <si>
    <t>GAD M</t>
  </si>
  <si>
    <t>GADP</t>
  </si>
  <si>
    <t xml:space="preserve">PANDUANA </t>
  </si>
  <si>
    <t>SAMBI CHAGUARPAMBA ALTO</t>
  </si>
  <si>
    <t>SOZORANGA RURAL</t>
  </si>
  <si>
    <t xml:space="preserve">SUSUCO </t>
  </si>
  <si>
    <t>CHORORAS</t>
  </si>
  <si>
    <t>SAMBI</t>
  </si>
  <si>
    <t>YEE DEL CARMELO</t>
  </si>
  <si>
    <t xml:space="preserve"> EL TABLON</t>
  </si>
  <si>
    <t>TABLON  SUNUMBE</t>
  </si>
  <si>
    <t>NARANJILLO</t>
  </si>
  <si>
    <t>NARANJILLO CUCURE</t>
  </si>
  <si>
    <t>TIERRA BLANCA EL FUNDO</t>
  </si>
  <si>
    <t>JERINOMA CALERA</t>
  </si>
  <si>
    <t>CARBONERA</t>
  </si>
  <si>
    <t xml:space="preserve">PORTETE </t>
  </si>
  <si>
    <t>FAICAL</t>
  </si>
  <si>
    <t xml:space="preserve">HIGUERON TOTORA </t>
  </si>
  <si>
    <t>CASCAJO</t>
  </si>
  <si>
    <t xml:space="preserve">PIEDRA GRANDE </t>
  </si>
  <si>
    <t>YUNGA</t>
  </si>
  <si>
    <t>PURUNUMA - LAGUNAS</t>
  </si>
  <si>
    <t>SASACO</t>
  </si>
  <si>
    <t>PUENTE RIO CATAMAYO</t>
  </si>
  <si>
    <t xml:space="preserve">PUENTE DE FUNDOCHAMBA - LIBERTAD </t>
  </si>
  <si>
    <t>PUENTE DE QUIROZ</t>
  </si>
  <si>
    <t xml:space="preserve">FUNDOCHAMBA </t>
  </si>
  <si>
    <t>EL SAUCE</t>
  </si>
  <si>
    <t xml:space="preserve"> PUENTE QUIROZ - SAN ANTONIO DE LAS ARADAS</t>
  </si>
  <si>
    <t>YEE DE VALDIVIA</t>
  </si>
  <si>
    <t>QUILANGA RURAL</t>
  </si>
  <si>
    <t>YEE DE AMINDURO  LOANA HUACUPAMBA</t>
  </si>
  <si>
    <t>SARAQUE</t>
  </si>
  <si>
    <t xml:space="preserve">YEE DE AMINDURO </t>
  </si>
  <si>
    <t>EL GUABO</t>
  </si>
  <si>
    <t>LAS VEGAS</t>
  </si>
  <si>
    <t>RIO VOLCANCOCHA</t>
  </si>
  <si>
    <t>YEE BATALLADEROS</t>
  </si>
  <si>
    <t>EL PINDO</t>
  </si>
  <si>
    <t>AMALUZA RURAL</t>
  </si>
  <si>
    <t>AMALUZA ( LIMIT URBANO)- CONSAPAMBA - GUALACHE</t>
  </si>
  <si>
    <t>MARCOLA</t>
  </si>
  <si>
    <t>GUAYABAL COFRADIA</t>
  </si>
  <si>
    <t>GUACUPAMBA</t>
  </si>
  <si>
    <t>YEE DE LLANO</t>
  </si>
  <si>
    <t>EL LLANO</t>
  </si>
  <si>
    <t xml:space="preserve">LLAMACANCHI </t>
  </si>
  <si>
    <t>JIBIRUCHE</t>
  </si>
  <si>
    <t>PIEDRA BLANCA</t>
  </si>
  <si>
    <t>QUEBRADA TOROLINGA EL TAMBO LA TEJERIA</t>
  </si>
  <si>
    <t>RIO EL AIRO</t>
  </si>
  <si>
    <t>SAN FRANCISCO</t>
  </si>
  <si>
    <t>EL BATAN</t>
  </si>
  <si>
    <t>EL LAUREL</t>
  </si>
  <si>
    <t>Q. GRANADILLO</t>
  </si>
  <si>
    <t xml:space="preserve">LA FLORIDA CONSAGUANA LA CHAMANA </t>
  </si>
  <si>
    <t>SIFON EL GUABO</t>
  </si>
  <si>
    <t>RIO SANANBAY</t>
  </si>
  <si>
    <t>STA TERESITA</t>
  </si>
  <si>
    <t>CANGOCHARA COLLINGORA TUNDURAMA EL SANGO</t>
  </si>
  <si>
    <t>EL TINGO</t>
  </si>
  <si>
    <t>CARIAMANGA RURAL</t>
  </si>
  <si>
    <t>TABLONCILLO</t>
  </si>
  <si>
    <t>TABLONPAMBA</t>
  </si>
  <si>
    <t>SAN GUILLIN</t>
  </si>
  <si>
    <t>CAMAYOS - SAN JOAQUIN</t>
  </si>
  <si>
    <t>CHULLAFAIQUE</t>
  </si>
  <si>
    <t xml:space="preserve">SANGUILLIN </t>
  </si>
  <si>
    <t>PASALLAL</t>
  </si>
  <si>
    <t xml:space="preserve">COLAISACA MORAS LAGUNA TUNAS </t>
  </si>
  <si>
    <t>BATAN</t>
  </si>
  <si>
    <t>LUCERO TUNGANI</t>
  </si>
  <si>
    <t>LA PALMA</t>
  </si>
  <si>
    <t>EL TAMBO CHANTACO</t>
  </si>
  <si>
    <t>SHOCOPA TUNAS CHINGULLE</t>
  </si>
  <si>
    <t>PITAYO JORUPE</t>
  </si>
  <si>
    <t>YEE DE PANAMERICANA CANGONAMA CHICO</t>
  </si>
  <si>
    <t>Q. MATADEROS</t>
  </si>
  <si>
    <t xml:space="preserve">NUMBIARANGA </t>
  </si>
  <si>
    <t>DELICIA NORTE</t>
  </si>
  <si>
    <t>DELICIA SUR</t>
  </si>
  <si>
    <t>SABIANGO SAN JUAN PAMBA</t>
  </si>
  <si>
    <t>ACHIMA</t>
  </si>
  <si>
    <t>EL ORO DE PILARES</t>
  </si>
  <si>
    <t>CORREGIDOR</t>
  </si>
  <si>
    <t>CHAQUIRO</t>
  </si>
  <si>
    <t>CABEZA DE TORO</t>
  </si>
  <si>
    <t>BOLASPAMBA GUABO</t>
  </si>
  <si>
    <t>MANGAHURQUILLO (1ERA ETAPA)</t>
  </si>
  <si>
    <t>GARZA REAL</t>
  </si>
  <si>
    <t>COCHAS LAMANGA OVERAL</t>
  </si>
  <si>
    <t>BEJUCAL PAVAS (1ERA ETAPA)</t>
  </si>
  <si>
    <t>MANGAHURCO</t>
  </si>
  <si>
    <t>LA LEONERA CAÑAVERAL</t>
  </si>
  <si>
    <t>LIMIT PARROQUIAL BOLASPAMBA</t>
  </si>
  <si>
    <t>AÑALCAL CAIDA DE CONVENTOS</t>
  </si>
  <si>
    <t>CAUCHO GRANDE</t>
  </si>
  <si>
    <t>CAUCHO GRANDE TABLAZON GAYURO</t>
  </si>
  <si>
    <t>YEE DE MANGAHURCO</t>
  </si>
  <si>
    <t>VIA CUMBRERILLAS, CERDO VERDE, ALTO DE LA CRUZ</t>
  </si>
  <si>
    <t>VALLE NUEVO - AMARILLOS</t>
  </si>
  <si>
    <t>LIMO</t>
  </si>
  <si>
    <t>LA HOYADA - EL LIMO - MANGAHURQUILLO</t>
  </si>
  <si>
    <t>MARCADILLO-GUATUNUMA</t>
  </si>
  <si>
    <t>ALAMOR -VICENTINO</t>
  </si>
  <si>
    <t>ALGARROBILLO</t>
  </si>
  <si>
    <t>HUERTAS-CHARAN-CAMPICHE-EL FAIQUE</t>
  </si>
  <si>
    <t>ACCESO A LAS COMUNIDADES SAPAYAL- PATUCO - EL GUINEO - EL FAIQUE</t>
  </si>
  <si>
    <t>QUILLUSARA-GUINEO CHICO-GUINEO GRANDE</t>
  </si>
  <si>
    <t>SAN JUAN DE POZUL</t>
  </si>
  <si>
    <t>VIA BARRIO NARANJAPAMBA</t>
  </si>
  <si>
    <t>VIA CARMELO - CANGONAMA. VIA YEE DE CANGONAMA- TUNASPAMBA. VIA CHALANGA- PIEDRA SEMBRADA</t>
  </si>
  <si>
    <t>VIA MACANDAMINE - PIEDRA PUNTA. VIA CASANGA - SAN FRANCISCO</t>
  </si>
  <si>
    <t>VIA GUACHANAMA EL LIMON</t>
  </si>
  <si>
    <t>VIA SAN FRANCISCO - SHAGUINDILLO - SANTO DOMINGO. VIA SANTO  EL CARMEN. VIA  LAURO GUERRERO ANGAMASA. VIA SAN FRANCISCO LAURO GUERRERO. VIA EL MANGO LAURO GUERRERO</t>
  </si>
  <si>
    <t>ACCESO A LOS BARRIOS LIMON , SARACA LA VICTORIA. VIA SANTA LUCIA EL COCO. VIA DE ACCESO LA LIBERTAD</t>
  </si>
  <si>
    <t>VIA DE ACCESO A SANTO DOMINGO DE GUZMAN. ACCESO A SANTA FE</t>
  </si>
  <si>
    <t>VIA LA MERCED - CORDILLERA-PAN DE AZUCAR. VIA INTERSECCION SAN ANTONIO YAMANA</t>
  </si>
  <si>
    <t>4 CAMINOS-AMARILLOS-BUENA VISTA</t>
  </si>
  <si>
    <t>BUENA VISTA</t>
  </si>
  <si>
    <t>BUENAVUSTA VALLE-HERMOSO</t>
  </si>
  <si>
    <t>Y DEL ROSARIO-EL ROSARIO- YURUYURO-CORDILLERA DE RAMOS-PUENTE YAGUACHI</t>
  </si>
  <si>
    <t>STA. RUFINA</t>
  </si>
  <si>
    <t>VIA SANTA RUFINA-SAMANGA -MOSHQUEROS - LA CUCULA</t>
  </si>
  <si>
    <t>VIA CHIVATOS - LA TINGUE - ZAPALLAL - TAMBARA COLA - LOBONGO - CARRIZAL-AGUACILLAS-CORDILLERA</t>
  </si>
  <si>
    <t>VIA PRINCIPAL - SOTAHUAYCO. VIA Y MERCED BAJA - SAN AGUSTIN - LA ERA. VIA LA ERA - LOS LIMOS. VIA ERA EL PAPAYO. VIA SOBRINOSPAMBA NARANJO DULCE - VIA PRINCIPAL. VIA LA CAPILLA- RAMAHURCO-BELLAVISTA-LA ARGENTINA - PUCARA. VIA EL TAMBO CHAPAMARCA JUANES. VIA LA EXTENSA CATAMAYITO</t>
  </si>
  <si>
    <t>VIA ALTERNA AL BARRIO RUMIPOTRERO</t>
  </si>
  <si>
    <t>SAN PEDRO</t>
  </si>
  <si>
    <t>LA VÍA LA CONCHA - TOGUEROS</t>
  </si>
  <si>
    <t>VIA CHINCHAS - LA ARADA. VIA LA CHORA LALIBERTAD</t>
  </si>
  <si>
    <t>VIA CELEN - SAN FERNANDO. VIA GAÑIL SAN JOSE -PACAY</t>
  </si>
  <si>
    <t>VIA TABLON-CUSHQUIL. VIA SAN JOSE LAMACA</t>
  </si>
  <si>
    <t>VIA LLUZHAPA-CORRALPAMBA. VIA SHARAZHAPA - LUMO</t>
  </si>
  <si>
    <t>VIA FATIMA - SEQUER-RODEOS. VIA BELLAVISTA -SABADEL -PALENQUE</t>
  </si>
  <si>
    <t>SAN ANTONIO DE CUMBE</t>
  </si>
  <si>
    <t>VIA CUMBE-HUELEDEL-ARBEJAS LOMA -CHAMICAL. VIA CHAYAZAPA-ZAPOTEPAMBA. VIA HUELEDEL CARBONCILLO</t>
  </si>
  <si>
    <t>VIA LLACO - LOS PINOS-VIAS INTERNAS DE LLACO. VIA INTERNAS SAN ISIDRO. VIAS SAUCE RELLENO. VIA COCHAPAMBA - SAN TENTACRUZ - COCHAPAMBA</t>
  </si>
  <si>
    <t>VIA ENTRADA GUASCACHACA - YULUC-INCUISHCAPA - GAÑANCAY</t>
  </si>
  <si>
    <t>VIA CRUZ LOMA-CARAPALI - LA ESPERANZA. VIA CRUZ LOMA - GUAZHACORRAL-EL NARANJO</t>
  </si>
  <si>
    <t>VIA DESDE LA QUEBRADA LUMACUCHO-PUENTE SOBRE RIO CHUCAY</t>
  </si>
  <si>
    <t>VIA URDANETA-BABER-TURUCACHI-BAHIN. VIA ACCESO A BARRIOS</t>
  </si>
  <si>
    <t>LOJA NORTE</t>
  </si>
  <si>
    <t>Vía Chantaco - El Auxilio. Vía Fatima - San Nicolas - Cañero Alto</t>
  </si>
  <si>
    <t>Vía Chuquiribamba-Saracapa-Tesalia Bajo. Vía Chuquiribamba-Guayllas-Tesalia Alto. Vía Chuquiribamba-Simón Bolívar-Fábrica de horchatas La Lojanita.</t>
  </si>
  <si>
    <t>Vía El Cisne-Puente de Ambocas. Vía El Cisne-Gualel. Vía antigua al Cisne. Vía Charquircuña</t>
  </si>
  <si>
    <t>Jimbilla la Chonta Limite Povincial; Yee de la Chonta Captacion Shucos las Palmas; Yee de Imbana Limite Provincial; Yee de Solamar Jimbilla, Virgen Pamba Huacapamba</t>
  </si>
  <si>
    <t>Vía Paquisha-Challipaccha.  Vía San José-Las Juntas. Vía Paquisha-Posín. Vía Paquisha-Minas</t>
  </si>
  <si>
    <t>Vía Cera - Limón - Higos. Via Cera - Vía Nueva a Cuecna. Vía Cochaloma - Corral Viejo. Acceso a Gonzabal. Acceso a Macainuma. Via La Aguangora-Chipiango</t>
  </si>
  <si>
    <t>LOJA SUR</t>
  </si>
  <si>
    <t>Vía La Granja La Calera 1,2  km; Vía Ela Carmmen El Sauce Belen 3,5 km.; Vias SanJosé las Peñas La Granja 1,8 km; Santorum Los encuentros (Tractor) 2 km., Vía Ceibopamba Santa Cruz 4,5 km, Vía el Prado El Naranjo 3 km, Vía San Francisco Alto Palandita 11 km</t>
  </si>
  <si>
    <t>Vía Palmiras-Sahuayco.  Vía Quinara-El Canal. Vía Quinara-Chirusco. Vía Quinara-El Fundo.</t>
  </si>
  <si>
    <t>VIA SAN PEDRO- SACAPO. VIA SAN PEDRO CHAUPI</t>
  </si>
  <si>
    <t>VILCABAMBA</t>
  </si>
  <si>
    <t>VIA MOYOCOCHA-TUMIANUMA - QUINARA. VIA VILCABAMBA PARADOR TURISTICO SAN JOSE - CHIQUINDA. VIA PARADOR TURISTICO MOLLEPAMBA- YASANGA. VIA VILCABAMBA - YAMBURARA ALTO. VIA VILCABAMBA -ISHCAILUMA. VIA LINDEROS - EL LIMO - EL SAUCE</t>
  </si>
  <si>
    <t>VIA YANGANA CERRO TOLEDO. VIA COMUNIDADES YANGANA SAN GABRIEL. VIA MASANAMACA NAMBURE. VIA ACCESO CEMENTERIO</t>
  </si>
  <si>
    <t>Suma de PREFECTURA</t>
  </si>
  <si>
    <t>Suma de GAD M</t>
  </si>
  <si>
    <t>Suma de GADP</t>
  </si>
  <si>
    <t>MANTENIMIENTO VIAL 2015 PRESUPUESTO PARTICIPATIVO</t>
  </si>
  <si>
    <t>DETALLE DE PROYECTOS POR EJECUTAR</t>
  </si>
  <si>
    <t>SUBTOTAL 2015</t>
  </si>
  <si>
    <t xml:space="preserve">AREA DE VIALIDAD </t>
  </si>
  <si>
    <t>SECTOR</t>
  </si>
  <si>
    <t>L ( m)</t>
  </si>
  <si>
    <t>INVERSION ZONA</t>
  </si>
  <si>
    <t>CAMAYOS</t>
  </si>
  <si>
    <t>LUZ DE AMERICA</t>
  </si>
  <si>
    <t>LINUMA</t>
  </si>
  <si>
    <t>SARAGUALLAS</t>
  </si>
  <si>
    <t>JUMARIN</t>
  </si>
  <si>
    <t>MARCOPAMBA</t>
  </si>
  <si>
    <t>NARANJO EL BUNQUE</t>
  </si>
  <si>
    <t>CONSTRUCCION DE PUENTES CARROSABLES CON ESTRUCTURA METALICA</t>
  </si>
  <si>
    <t>PLAN PLURIANUAL DE MEJORAMIENTO VIAL A NIVEL DE ASFATOS</t>
  </si>
  <si>
    <t>VIAS</t>
  </si>
  <si>
    <t>LONGITUD (Kilomentros)</t>
  </si>
  <si>
    <t>INTERVENCION</t>
  </si>
  <si>
    <t>Ancho de vía (metros)</t>
  </si>
  <si>
    <t>PLAZO</t>
  </si>
  <si>
    <t>MONTO (dólares)</t>
  </si>
  <si>
    <t>AÑO 2015</t>
  </si>
  <si>
    <t>Catamayo- Malacatos</t>
  </si>
  <si>
    <t>42 km (17,7  inter. Coplt.)</t>
  </si>
  <si>
    <t>Carpt. Asfáltica</t>
  </si>
  <si>
    <t>7,2m</t>
  </si>
  <si>
    <t>12 meses</t>
  </si>
  <si>
    <t>Sunamanga - Sacapalca
( 1era etapa. Administración Directa)</t>
  </si>
  <si>
    <t>Doble Trat. Superf. Bituminoso</t>
  </si>
  <si>
    <t>6,0 m</t>
  </si>
  <si>
    <t>Emulsión Asfáltica (80.000/km)</t>
  </si>
  <si>
    <t xml:space="preserve">12 meses </t>
  </si>
  <si>
    <t>Playas - El Carmelo</t>
  </si>
  <si>
    <t>Panamericana - Casanga</t>
  </si>
  <si>
    <t>La Hoyada - El Limo</t>
  </si>
  <si>
    <t>Utuana - Tacamoros</t>
  </si>
  <si>
    <t>Sauces Norte - Solamar</t>
  </si>
  <si>
    <t>AÑO 2016</t>
  </si>
  <si>
    <t>Pindal- Milagros - Paletillas</t>
  </si>
  <si>
    <t>Doble Trat. Superf. bituminoso</t>
  </si>
  <si>
    <t>El Carmelo - Lauro Guerrero</t>
  </si>
  <si>
    <t>Alamor - Vicentino</t>
  </si>
  <si>
    <t>Entrada a Buenavista</t>
  </si>
  <si>
    <t>Entrada a La Tingue</t>
  </si>
  <si>
    <t>El Limón - La Bocana</t>
  </si>
  <si>
    <t>Amaluza - Bellavista</t>
  </si>
  <si>
    <t>Y de Fundochamba - Fundochamba</t>
  </si>
  <si>
    <r>
      <rPr>
        <b/>
        <sz val="12"/>
        <color indexed="8"/>
        <rFont val="Calibri"/>
        <family val="2"/>
      </rPr>
      <t xml:space="preserve">AÑO </t>
    </r>
    <r>
      <rPr>
        <b/>
        <sz val="12"/>
        <color indexed="8"/>
        <rFont val="Calibri"/>
        <family val="2"/>
      </rPr>
      <t>2017</t>
    </r>
  </si>
  <si>
    <t>Tenta - Celen</t>
  </si>
  <si>
    <t>6.0 m</t>
  </si>
  <si>
    <t>Fundochamba - San A. Las Aradas</t>
  </si>
  <si>
    <t>Las Chinchas - Zambi</t>
  </si>
  <si>
    <t>Rio Pindo - Orianga</t>
  </si>
  <si>
    <t>Acceso a Chaquinal</t>
  </si>
  <si>
    <t>Paletillas - Mangahurco</t>
  </si>
  <si>
    <t>La Bocana - La Victoria</t>
  </si>
  <si>
    <t>Sozoranga - Nueva Fátima</t>
  </si>
  <si>
    <t>Acceso a El Airo</t>
  </si>
  <si>
    <t>AÑO 2018</t>
  </si>
  <si>
    <t>Solamar - San Lucas</t>
  </si>
  <si>
    <t>Gonzanama - Purunuma</t>
  </si>
  <si>
    <t>Cariamanga - Yambaca</t>
  </si>
  <si>
    <t>Buenavista - Amarillos</t>
  </si>
  <si>
    <t>Celica - Guachanamá</t>
  </si>
  <si>
    <t>Huásimo - Arenal</t>
  </si>
  <si>
    <t>La Ceiba - Garzareal</t>
  </si>
  <si>
    <t>Letrero de Señalización de 2,4 x 4,80 m</t>
  </si>
  <si>
    <t>Tubería PVC para machinales D=10 cm</t>
  </si>
  <si>
    <t>Transporte de cemento en camión</t>
  </si>
  <si>
    <t>ton/km</t>
  </si>
  <si>
    <t>Transporte de hierro en camión</t>
  </si>
  <si>
    <t>MANTENIMIENTO DE LA VIA TENTA - SELVA ALEGRE</t>
  </si>
  <si>
    <t>RESANTEO DE LA VIA TUMIANUMA QUINARA</t>
  </si>
  <si>
    <t>ADECUACION DEL COLEGIO LA SALLE</t>
  </si>
  <si>
    <t>VIA JIMBILLA LA CHONTA</t>
  </si>
  <si>
    <t>Rasanteo de la via CON TRACTOR</t>
  </si>
  <si>
    <t>capa</t>
  </si>
  <si>
    <t>longitud</t>
  </si>
  <si>
    <t>h</t>
  </si>
  <si>
    <t>ancho</t>
  </si>
  <si>
    <t>volumen</t>
  </si>
  <si>
    <t>esponjamiento</t>
  </si>
  <si>
    <t>m3 .km</t>
  </si>
  <si>
    <t>por planillar</t>
  </si>
  <si>
    <t>Nro de Viajes/ (12 m3)</t>
  </si>
  <si>
    <t>nro de volquetas</t>
  </si>
  <si>
    <t>dias</t>
  </si>
  <si>
    <t>numero viajes por dia</t>
  </si>
  <si>
    <t>mejoramiento</t>
  </si>
  <si>
    <t>base</t>
  </si>
  <si>
    <t>dtsb</t>
  </si>
  <si>
    <t>imprimacion</t>
  </si>
  <si>
    <t>ENERO - SEPTIEMBRE /2014</t>
  </si>
  <si>
    <t xml:space="preserve">EL LUCERO </t>
  </si>
  <si>
    <t xml:space="preserve">ESPINDOLA </t>
  </si>
  <si>
    <t>CANTIDADES DE OBRA PROYECTO SARAGURO TENTA</t>
  </si>
  <si>
    <t>CUNETAS</t>
  </si>
  <si>
    <t>Letrero de señalización de 0.75 X 0.75</t>
  </si>
  <si>
    <t>Replanteo y Nivelación con aparatos ( Edificaciones) O.T. #1</t>
  </si>
  <si>
    <t>PROYECTOS E INVERSIÓN CANTONES MACARA Y CELICA</t>
  </si>
  <si>
    <t>REHABILITACION DE LAS VIAS YEE DE CELICA POZUL PINDAL Y MACARA SAUCILLO</t>
  </si>
  <si>
    <t>Total POZUL</t>
  </si>
  <si>
    <t>SUBTOTAL CELICA</t>
  </si>
  <si>
    <t>Total MACARÁ</t>
  </si>
  <si>
    <t>SUBTOTAL MACARA</t>
  </si>
  <si>
    <t>MONTO EJECUTADO</t>
  </si>
  <si>
    <t>MONTO DEL CONVENIO (-)</t>
  </si>
  <si>
    <t>ADENDA AL CONVENIO</t>
  </si>
  <si>
    <t>SALDO (EXCEDENTE DE OBRA FINAL)</t>
  </si>
  <si>
    <t>MEJORAMIENTO DE LA VIA AMALUZA JIMBURA L=16 KM. (INTERVENCION EN MEJORAMIENTO 4 KM.)</t>
  </si>
  <si>
    <t>MEJORAMIENTO DE LA VIA SOCCIBAMBA AMALUZA ( 3.2 KM)</t>
  </si>
  <si>
    <t>FECHA DEL INFORME:</t>
  </si>
  <si>
    <t>ELABORADO POR:</t>
  </si>
  <si>
    <t xml:space="preserve">ING. LINO VALLEJO DELGADO </t>
  </si>
  <si>
    <t>COORDINADOR ZONAL</t>
  </si>
  <si>
    <t>monto programado</t>
  </si>
  <si>
    <t xml:space="preserve"> Contrato Original</t>
  </si>
  <si>
    <t>Planillado Octubre</t>
  </si>
  <si>
    <t>Señalización</t>
  </si>
  <si>
    <t>PROYECTOS EMBLEMATICOS</t>
  </si>
  <si>
    <t>MEJORAMIENTO A NIVEL DE DOBLE TRATAMIENTO SUPERFICIAL BITUMINOSO DE LA VIA SARAGURO TENTA L= 6.17 KM</t>
  </si>
  <si>
    <t>Etiquetas de columna</t>
  </si>
  <si>
    <t>FINANCIA GPL</t>
  </si>
  <si>
    <t>REQUERIMIENTO DE EJECUCION DE OBRAS DE ARRASTRE 2013</t>
  </si>
  <si>
    <t>GPL</t>
  </si>
  <si>
    <t>RESPONSABLE</t>
  </si>
  <si>
    <t>POR EJECUTAR</t>
  </si>
  <si>
    <t>%</t>
  </si>
  <si>
    <t>INVERSION SARAGURO TENTA</t>
  </si>
  <si>
    <t>Material Base(3.87 km) POR EJECUTAR</t>
  </si>
  <si>
    <t>DTSB (6.17 KM) POR EJECUTAR</t>
  </si>
  <si>
    <t>Mat. Mejoram. (600 m) POR EJECUTAR</t>
  </si>
  <si>
    <t>COSTO/
UNITARIO</t>
  </si>
  <si>
    <t>volumen 2 
(m3)</t>
  </si>
  <si>
    <t>distancia
(km)</t>
  </si>
  <si>
    <t>EJECUTA</t>
  </si>
  <si>
    <t>VIALSUR TIENE PREVISTO EJECUTAR HASTA DICIEMBRE/2014</t>
  </si>
  <si>
    <t>NRO DIAS CALC</t>
  </si>
  <si>
    <t>NRODIAS REAL</t>
  </si>
  <si>
    <t>Pindal- Milagros (DTSB) - Milagros -Paletillas ( emulsion) 
(Primera etapa 15 km de 32 km</t>
  </si>
  <si>
    <t>Total SACAPALCA</t>
  </si>
  <si>
    <t>SUBTOTAL GONZANAMA</t>
  </si>
  <si>
    <t>PROYECTOS E INVERSIÓN CANTON GONZANAMA PARROQUIA CHAGUARPAMBA</t>
  </si>
  <si>
    <t>MANTENIMIENTO DE VIAS PARROQUIA TACAMOROS INICIO 16 DE SEPTIEMBRE 2014</t>
  </si>
  <si>
    <t>Resanteo a máquina ( incluye cunteas)</t>
  </si>
  <si>
    <t>ING. FABIAN GONZALEZ HERRERA</t>
  </si>
  <si>
    <t>TERRACEO EN LA VIA SOZORANGA A NUEVA FATIMA</t>
  </si>
  <si>
    <t>APERTURA APROCHES AL PUENTE DE NAMBACOLA</t>
  </si>
  <si>
    <t>Relleno Compactado a maquina</t>
  </si>
  <si>
    <t>VIA CUATRO CAMINOS - AMARILLOS, L=10.1 KM ( CHAGUARPAMBA) INICIO 2 DE OCT. FIN 14 NOV</t>
  </si>
  <si>
    <t>VIA ACCESO AL BARRIO LA ESPERANZA L=1.1 KM INICIO: 5 NOV FIN 5 NOV</t>
  </si>
  <si>
    <t>VIA AMRILLOS BUENAVISTA (limita Parroquial), L=4.9 km. Chaguarpamba</t>
  </si>
  <si>
    <t>VIA,SAN JOSE-BUENAVISTA, L=7,3 km. (Chaguarpamba) INICIO 16 FEBRERO. FIN 21 DE FEBRERO</t>
  </si>
  <si>
    <t>VIA, BUENAVISTA-AMARILLOS, L=9,9 km. (Chaguarpamba) Inicio: 16 de febrero Fin: 21 de febrero</t>
  </si>
  <si>
    <t>VIA PANAMERICANA- LOZUMBE - CUCUMATE, L=7.7 KM (Chaguarpamba) Inicio 1 de Octubre . Fin  2 de Octubre</t>
  </si>
  <si>
    <t>zambi</t>
  </si>
  <si>
    <t>GUACHANAMa</t>
  </si>
  <si>
    <t>m2.</t>
  </si>
  <si>
    <t>Razanteo y reconformación de cunetas con motoniveladora</t>
  </si>
  <si>
    <t>VIA STA. GERTRUDIS - ORIANGA (lim Parroquial). L=9.6 km (Paltas) Inicio 9 Nov. Fin 22 de Nov</t>
  </si>
  <si>
    <t>Limpieza de derrumbes a maquina y razanteo con Tractor</t>
  </si>
  <si>
    <t>VIA LAURO GUERRERO - CANGONAMA (limite parroquial) L= 4.6 Km. Paltas Inicio 7 y 8 de oct. Fin 8 de Nov</t>
  </si>
  <si>
    <t>cangonamá</t>
  </si>
  <si>
    <t>Limpieza de derrumbes a maquina (incluye limpieza de plataforma de la vía)</t>
  </si>
  <si>
    <t>VIA, ORIANGA-EL TRIUNFO- NARANJILLO- NARANJITO- TUNIMA, L=38.9 km. (Paltas)</t>
  </si>
  <si>
    <t>VIA, ORIANGA- L. GUERRERO (LIM PARROQUIAL), L=5.8 km. (Paltas) Inicio 23 nov. Fin 29 de nov</t>
  </si>
  <si>
    <t>Transporte de material excavado inc cargado &lt; 5km</t>
  </si>
  <si>
    <t>VIA LAURO GUERRERO - SAN FRANCISCO (limite parroquial) L=7.6 km. Paltas Inicio 9 de oct Fin 15-18 oct</t>
  </si>
  <si>
    <t xml:space="preserve">VIA CASANGA SAN FRANCISCO (Limite parroquial) L=4.5 km. Paltas Inicio 29 de Octubre Fin 5 de nov </t>
  </si>
  <si>
    <t>Reconformacion de la razante existente</t>
  </si>
  <si>
    <t>VIA EL DESCANSO - MACANDAMINE- PALO BLANCO L=5.2 KM. Paltas. Inicio 5 de nov Fin 8 de nov</t>
  </si>
  <si>
    <t>VIA CASANGA - EL NARANJO L=3.9 KM  Paltas Inicio 11 de Nov Fin 13 Nov</t>
  </si>
  <si>
    <t>ACCESO AL BARRIO CASANGA L=1.0 KM. Paltas Inicio 20 nov. Fin 20 nov</t>
  </si>
  <si>
    <t>PLATAFORMA DEL CANAL DE RIEGO LAS COCHAS SAN VICENTE L=7.8 KM. Paltas Inicio 29 oct Fin 27 Nov</t>
  </si>
  <si>
    <t xml:space="preserve">m3 </t>
  </si>
  <si>
    <t>VIA CHIVATOS - LA TINGUE L=4.7 KM. Olmedo Inicio 10 nov Fin Continua</t>
  </si>
  <si>
    <t>Transporte de material mejoramiento inc. Cargado &lt; a 5km</t>
  </si>
  <si>
    <t>VIA ACCESO AL BARRIO LOBONGO L=2.9 km. Olmedo Inicia 18 de nov Fin 19 Nov</t>
  </si>
  <si>
    <t>VIA ACCESO AL BARRIO SURAPO L= 3.0 KM Olmedo Inicio 20 nov Fin 21 Nov</t>
  </si>
  <si>
    <t>VIA ACCESO AL BARIO CARRIZAL L= 3.2 KM Olmedo Inicio 21 nov Fin 22 de Nov</t>
  </si>
  <si>
    <t>MANTENIMINETO DE VIAS DE LA PARROQUIA BOLASPAMBA CANTON ZAPOTILLO</t>
  </si>
  <si>
    <t>MEJORAMIENTO DE LA VIA MERCADILLO SAN JOSE I ETAPA, CANTON PUYANGO</t>
  </si>
  <si>
    <t>MEJORAMIENTO DE LA VIA PINDAL MILAGROS PALETILLAS</t>
  </si>
  <si>
    <t>MANTENIMIENTO DE LA VIA EL LIMON LA BOCANA LA VICTORIA CANTON MACARA</t>
  </si>
  <si>
    <t>MANTENIMIENTO DE LA VIA SAN JUAMPAMBA - ACHIMA, PARROQUIA SABIANGO, CANTON MACARA</t>
  </si>
  <si>
    <t>MANTENIMIENTO DE LAS VIAS DE VILCABAMBA (CONTRATO)</t>
  </si>
  <si>
    <t>MANTENIMIENTO DE LAS VIAS DE MALACATOS  (CONTRATO)</t>
  </si>
  <si>
    <t>MANTENIMIENTO DE LAS VIA PUNZARA LA ARGENTINA  (CONTRATO)</t>
  </si>
  <si>
    <t>MANTENIMIENTO DE LA VIA SELVA ALEGRE - SAN LUIS</t>
  </si>
  <si>
    <t>Excavación en marginal</t>
  </si>
  <si>
    <t>Hormigón Ciclópeo 60% de H°S° de F'c=180 Kg/cm2 + 40% de piedra</t>
  </si>
  <si>
    <t>Letretro de señalizacion vial en aluminio de 0.75x0.75 m</t>
  </si>
  <si>
    <t>Explotación de Material incluye cargado</t>
  </si>
  <si>
    <t>MANTENIMIENTO RUTINARIO DE LA VIA LOJA SOLAMAR SAN LUCAS (MICROEMPRESA LOS ANDES)</t>
  </si>
  <si>
    <t>MANTENIMIENTO RUTINARIO</t>
  </si>
  <si>
    <t>CONSTRUCCION DE PUENTES Y PASARELAS</t>
  </si>
  <si>
    <t>CONSTRUCCION DE PUENTE SANTIAGO</t>
  </si>
  <si>
    <t>ESTUDIOS</t>
  </si>
  <si>
    <t>Estudio Tramo Vía Gualel - El Cisne A Nivel De Carpeta Asfaltica</t>
  </si>
  <si>
    <t>VIALSUR E.P.</t>
  </si>
  <si>
    <t>SIG-AME</t>
  </si>
  <si>
    <t>CEDULA PRESUPUESTARIA DE GASTOS</t>
  </si>
  <si>
    <t>Página 1 de 23</t>
  </si>
  <si>
    <t>Desde :</t>
  </si>
  <si>
    <t>Hasta :</t>
  </si>
  <si>
    <t>Tipo de Presupuesto :</t>
  </si>
  <si>
    <t>212</t>
  </si>
  <si>
    <t>Institución :</t>
  </si>
  <si>
    <t>519</t>
  </si>
  <si>
    <t>Unidad Ejecutora :</t>
  </si>
  <si>
    <t>0000</t>
  </si>
  <si>
    <t>1.1.1</t>
  </si>
  <si>
    <t>Denominación :</t>
  </si>
  <si>
    <t>Subprograma 1.- Administracion Central</t>
  </si>
  <si>
    <t>Asignación Inicial</t>
  </si>
  <si>
    <t>Saldo por Comprometer</t>
  </si>
  <si>
    <t>Saldo por Devengar</t>
  </si>
  <si>
    <t>Función :</t>
  </si>
  <si>
    <t>Partida</t>
  </si>
  <si>
    <t>Denominación</t>
  </si>
  <si>
    <t>Reformas</t>
  </si>
  <si>
    <t>Codificado</t>
  </si>
  <si>
    <t>Compromiso</t>
  </si>
  <si>
    <t>Devengado</t>
  </si>
  <si>
    <t>Pagado</t>
  </si>
  <si>
    <t>7.1.01.05</t>
  </si>
  <si>
    <t>7.1.01.06</t>
  </si>
  <si>
    <t>Salarios Unificados</t>
  </si>
  <si>
    <t>7.1.02.03</t>
  </si>
  <si>
    <t>7.1.02.04</t>
  </si>
  <si>
    <t>7.1.03.04</t>
  </si>
  <si>
    <t>Compensación por Transporte</t>
  </si>
  <si>
    <t>7.1.03.06</t>
  </si>
  <si>
    <t>Alimentación</t>
  </si>
  <si>
    <t>7.1.04.01</t>
  </si>
  <si>
    <t>7.1.04.08</t>
  </si>
  <si>
    <t>Subsidio Por Antiguedad</t>
  </si>
  <si>
    <t>7.1.05.09</t>
  </si>
  <si>
    <t>Horas Extraordinarias y Suplementarias</t>
  </si>
  <si>
    <t>7.1.05.10</t>
  </si>
  <si>
    <t>Servicios Personales Por Contrato</t>
  </si>
  <si>
    <t>7.1.05.12</t>
  </si>
  <si>
    <t>7.1.05.13</t>
  </si>
  <si>
    <t>7.1.06.01</t>
  </si>
  <si>
    <t>7.1.06.02</t>
  </si>
  <si>
    <t>Fondo De Reserva</t>
  </si>
  <si>
    <t>7.1.06.03</t>
  </si>
  <si>
    <t>7.1.07.02</t>
  </si>
  <si>
    <t>Supresión de Puesto</t>
  </si>
  <si>
    <t>7.1.07.06</t>
  </si>
  <si>
    <t>Por Jubilación</t>
  </si>
  <si>
    <t>7.1.07.07</t>
  </si>
  <si>
    <t>Compensacion Por Vacaciones No Gozadas Por Sesacion De Funciones</t>
  </si>
  <si>
    <t>7.1.07.09</t>
  </si>
  <si>
    <t>7.1.07.10</t>
  </si>
  <si>
    <t>Por Compra De Renuncia</t>
  </si>
  <si>
    <t>7.3.01.01</t>
  </si>
  <si>
    <t>Ruc N°:</t>
  </si>
  <si>
    <t>Dirección :</t>
  </si>
  <si>
    <t>Teléfono :</t>
  </si>
  <si>
    <t>Correo Electronico :</t>
  </si>
  <si>
    <t>1160049760001</t>
  </si>
  <si>
    <t xml:space="preserve">BERNARDO VALDIVIESO Y JOSE </t>
  </si>
  <si>
    <t>072570234</t>
  </si>
  <si>
    <t>Página 2 de 23</t>
  </si>
  <si>
    <t>7.3.01.04</t>
  </si>
  <si>
    <t>Energía Eléctrica</t>
  </si>
  <si>
    <t>7.3.01.05</t>
  </si>
  <si>
    <t>7.3.01.06</t>
  </si>
  <si>
    <t>7.3.02.02</t>
  </si>
  <si>
    <t>Fletes y Maniobras</t>
  </si>
  <si>
    <t>7.3.02.03</t>
  </si>
  <si>
    <t>Almacenamiento, Embalaje, Envase y Recarga de Extintores</t>
  </si>
  <si>
    <t>7.3.02.04</t>
  </si>
  <si>
    <t>Edición, Impresión, Reproducción y Publicaciones</t>
  </si>
  <si>
    <t>7.3.02.06</t>
  </si>
  <si>
    <t>Eventos Públicos y Oficiales</t>
  </si>
  <si>
    <t>7.3.02.07</t>
  </si>
  <si>
    <t>Difusión, Información Y Publicidad</t>
  </si>
  <si>
    <t>7.3.02.09</t>
  </si>
  <si>
    <t xml:space="preserve">Servicios de Aseo; Vestimenta de Trabajo; Fumigación, Desinfección y </t>
  </si>
  <si>
    <t>7.3.02.12</t>
  </si>
  <si>
    <t>Investigaciones Profesionales y Exámenes de Laboratorio</t>
  </si>
  <si>
    <t>7.3.02.18</t>
  </si>
  <si>
    <t>Publicidad Y Propaganda En Medios De Comunicación Masiva</t>
  </si>
  <si>
    <t>7.3.03.01</t>
  </si>
  <si>
    <t>Pasajes Al Interior</t>
  </si>
  <si>
    <t>7.3.03.02</t>
  </si>
  <si>
    <t>7.3.03.03</t>
  </si>
  <si>
    <t>Viáticos Y Subsistencias En El Interior</t>
  </si>
  <si>
    <t>7.3.03.04</t>
  </si>
  <si>
    <t>Viáticos y Subsistencias en el Exterior</t>
  </si>
  <si>
    <t>7.3.04.02</t>
  </si>
  <si>
    <t>Edificios, Locales y Residencias</t>
  </si>
  <si>
    <t>7.3.04.03</t>
  </si>
  <si>
    <t>7.3.04.04</t>
  </si>
  <si>
    <t>Maquinarias Y Equipos</t>
  </si>
  <si>
    <t>7.3.04.05</t>
  </si>
  <si>
    <t>Vehículos</t>
  </si>
  <si>
    <t>7.3.04.06</t>
  </si>
  <si>
    <t>7.3.05.02</t>
  </si>
  <si>
    <t>Página 3 de 23</t>
  </si>
  <si>
    <t>7.3.05.04</t>
  </si>
  <si>
    <t>7.3.05.05</t>
  </si>
  <si>
    <t>7.3.06.01</t>
  </si>
  <si>
    <t>Consultoría, Asesoría e Investigación Especializada</t>
  </si>
  <si>
    <t>7.3.06.03</t>
  </si>
  <si>
    <t>Servicio De Capacitación</t>
  </si>
  <si>
    <t>7.3.06.05</t>
  </si>
  <si>
    <t>Estudio y Diseño de Proyectos</t>
  </si>
  <si>
    <t>7.3.07.02</t>
  </si>
  <si>
    <t>Arrendamiento y Licencias de Uso de Paquetes Informáticos</t>
  </si>
  <si>
    <t>7.3.07.04</t>
  </si>
  <si>
    <t>Mantenimiento y Reparación de Equipos y Sistemas Informáticos</t>
  </si>
  <si>
    <t>7.3.08.01</t>
  </si>
  <si>
    <t>7.3.08.02</t>
  </si>
  <si>
    <t>Vestuario, Lencería Y Prendas De Protección</t>
  </si>
  <si>
    <t>7.3.08.03</t>
  </si>
  <si>
    <t>7.3.08.04</t>
  </si>
  <si>
    <t>Materiales De Oficina</t>
  </si>
  <si>
    <t>7.3.08.05</t>
  </si>
  <si>
    <t>7.3.08.06</t>
  </si>
  <si>
    <t>7.3.08.07</t>
  </si>
  <si>
    <t>Materiales de Impresión, Fotografía, Reproducción y Publicaciones</t>
  </si>
  <si>
    <t>7.3.08.09</t>
  </si>
  <si>
    <t>Medicinas y Productos Farmacéuticos</t>
  </si>
  <si>
    <t>7.3.08.10</t>
  </si>
  <si>
    <t>Materiales para Laboratorio y Uso Médico</t>
  </si>
  <si>
    <t>7.3.08.11</t>
  </si>
  <si>
    <t>Materiales De Construcción, Eléctricos, Plomería Y Carpintería</t>
  </si>
  <si>
    <t>7.3.08.13</t>
  </si>
  <si>
    <t>7.3.08.19</t>
  </si>
  <si>
    <t>Adquisición De Accesorios E Insumos Químicos Y Orgánicos</t>
  </si>
  <si>
    <t>7.3.08.20</t>
  </si>
  <si>
    <t>Menaje De Cocina. De Hogar Y Accesorios Descartables</t>
  </si>
  <si>
    <t>Otros De Uso Y Consumo De Inversión</t>
  </si>
  <si>
    <t>Página 4 de 23</t>
  </si>
  <si>
    <t>7.3.14.03</t>
  </si>
  <si>
    <t>7.3.14.04</t>
  </si>
  <si>
    <t>7.3.14.06</t>
  </si>
  <si>
    <t>7.3.14.07</t>
  </si>
  <si>
    <t>Equipos, Sistemas y Paquetes Informáticos</t>
  </si>
  <si>
    <t>7.3.14.11</t>
  </si>
  <si>
    <t>7.5.01.05.02.26</t>
  </si>
  <si>
    <t>Construcción De Alcantarillas Via Rio Pindo Amaluza</t>
  </si>
  <si>
    <t>7.7.01.02</t>
  </si>
  <si>
    <t xml:space="preserve">Tasas Generales, Impuestos, Contribuciones, Permisos, Licencias y </t>
  </si>
  <si>
    <t>7.7.02.01</t>
  </si>
  <si>
    <t>7.7.02.03</t>
  </si>
  <si>
    <t>7.7.02.06</t>
  </si>
  <si>
    <t>8.4.01.03</t>
  </si>
  <si>
    <t>8.4.01.04</t>
  </si>
  <si>
    <t>8.4.01.06</t>
  </si>
  <si>
    <t>8.4.01.07</t>
  </si>
  <si>
    <t>Equipos, Sistemas Y Paquetes Informáticos</t>
  </si>
  <si>
    <t>8.4.02.02</t>
  </si>
  <si>
    <t>9.7.01.02</t>
  </si>
  <si>
    <t>Depósito De Terceros</t>
  </si>
  <si>
    <t>Total Función :</t>
  </si>
  <si>
    <t>Página 5 de 23</t>
  </si>
  <si>
    <t>4.1.1</t>
  </si>
  <si>
    <t>Subprograma 1. Planificación Y Estudios</t>
  </si>
  <si>
    <t>Consultoría, Asesoría E Investigación Especializada</t>
  </si>
  <si>
    <t>Estudio Y Diseño De Proyectos</t>
  </si>
  <si>
    <t>7.5.01.05.01.01</t>
  </si>
  <si>
    <t>Planificación Y Estudios</t>
  </si>
  <si>
    <t>7.5.01.05.02.14</t>
  </si>
  <si>
    <t>Estudios De Impacto Ambiental Gpl - Vialsur Ep</t>
  </si>
  <si>
    <t>7.5.01.05.02.15</t>
  </si>
  <si>
    <t>Estudios De Impacto Ambiental De Minas Y Canteras De Materiales</t>
  </si>
  <si>
    <t>7.5.01.05.02.17</t>
  </si>
  <si>
    <t>7.5.01.05.02.18</t>
  </si>
  <si>
    <t>Estudios Vía Cangochara - Sochibamba - Llano - Faical - Tingo - Jibiruche</t>
  </si>
  <si>
    <t>7.5.01.05.02.20</t>
  </si>
  <si>
    <t>Fiscalización Vía Carmelo - Cangonamá - Yee De Chalanga</t>
  </si>
  <si>
    <t>Página 6 de 23</t>
  </si>
  <si>
    <t>4.1.2</t>
  </si>
  <si>
    <t>Subprograma 2.-  Zona Uno</t>
  </si>
  <si>
    <t>7.5.01.05.01.07</t>
  </si>
  <si>
    <t>Construcción De Puentes Y Pasarelas</t>
  </si>
  <si>
    <t>7.5.01.05.01.08</t>
  </si>
  <si>
    <t>Construcción De Drenajes</t>
  </si>
  <si>
    <t>7.5.01.05.02.07</t>
  </si>
  <si>
    <t>Microempresa De Mantenimiento De La Via</t>
  </si>
  <si>
    <t>Página 7 de 23</t>
  </si>
  <si>
    <t>4.1.3</t>
  </si>
  <si>
    <t>Subprograma 3.- Zona Dos</t>
  </si>
  <si>
    <t>7.5.01.05.01.03</t>
  </si>
  <si>
    <t xml:space="preserve">Mantenimiento De Las Vías Zona 2, Zapotillo,Celica,Pindal,Macara Y </t>
  </si>
  <si>
    <t>Página 8 de 23</t>
  </si>
  <si>
    <t>4.1.4</t>
  </si>
  <si>
    <t>Subprograma 4.- Zona Tres</t>
  </si>
  <si>
    <t>Materiales De Construcción, Eléctricos, Plomería,Carpintería Y Señalización Vial</t>
  </si>
  <si>
    <t>7.5.01.05.01.04</t>
  </si>
  <si>
    <t xml:space="preserve">Mantenimiento De Las Vías Zona 3, Catamayo, Olmedo, Chaguarpamba Y </t>
  </si>
  <si>
    <t>Página 9 de 23</t>
  </si>
  <si>
    <t>4.1.5</t>
  </si>
  <si>
    <t>Subprograma 5.- Zona Cuatro</t>
  </si>
  <si>
    <t>7.5.01.05.01.05</t>
  </si>
  <si>
    <t>Mantenimiento De Las Vías Zona 4, Loja Y Saraguro.</t>
  </si>
  <si>
    <t>Página 10 de 23</t>
  </si>
  <si>
    <t>4.1.6</t>
  </si>
  <si>
    <t>Construcción De Vias De Acceso Al Parque Eolico</t>
  </si>
  <si>
    <t>7.5.01.05.03.01</t>
  </si>
  <si>
    <t>Obras De Construcción Al Parque Eolico</t>
  </si>
  <si>
    <t>Página 11 de 23</t>
  </si>
  <si>
    <t>4.1.7</t>
  </si>
  <si>
    <t>Plan Emergente Red Vial Rural-mtopl</t>
  </si>
  <si>
    <t>Alimentos Y Bebidas</t>
  </si>
  <si>
    <t>Combustibles Y Lubricantes</t>
  </si>
  <si>
    <t>Repuestos Y Accesorios</t>
  </si>
  <si>
    <t>7.5.01.05.06.01</t>
  </si>
  <si>
    <t>Plan Emergente  Red Vial Rural - Mtopl- Contrato Nº 001-12</t>
  </si>
  <si>
    <t>Página 12 de 23</t>
  </si>
  <si>
    <t>4.1.9</t>
  </si>
  <si>
    <t>Alcantarilla Multiplaca Quebrada Aminduro,quilanga</t>
  </si>
  <si>
    <t>Página 13 de 23</t>
  </si>
  <si>
    <t>4.2.1</t>
  </si>
  <si>
    <t>Consultoría Celica - Cruzpamba - Yee Del Muerto</t>
  </si>
  <si>
    <t>Página 14 de 23</t>
  </si>
  <si>
    <t>4.2.4</t>
  </si>
  <si>
    <t>Asfaltado Vía Chiriguala Changaimina</t>
  </si>
  <si>
    <t xml:space="preserve">Edificios, Locales,Residencias,Parqueaderos, </t>
  </si>
  <si>
    <t>Vehículos (Arrendamiento)</t>
  </si>
  <si>
    <t>7.5.01.05.04.01</t>
  </si>
  <si>
    <t>Asfaltado De La Vía Chiriguala Changaimina</t>
  </si>
  <si>
    <t>Página 15 de 23</t>
  </si>
  <si>
    <t>4.2.8</t>
  </si>
  <si>
    <t>Mantenimiento Vía Yee Celica - Pózul - Pindal</t>
  </si>
  <si>
    <t>7.5.01.05.02.23</t>
  </si>
  <si>
    <t xml:space="preserve">Rehabilitación Via Ye De Celica-Pozul-Pindal. Resolucion Nº </t>
  </si>
  <si>
    <t>Página 16 de 23</t>
  </si>
  <si>
    <t>4.2.9</t>
  </si>
  <si>
    <t>Ampliación Y Mejoramiento Vía Chinchas - Zambi</t>
  </si>
  <si>
    <t>7.5.01.05.02.01</t>
  </si>
  <si>
    <t>Ampliación Y Mejoramiento De La Vía Chinchas-Zambi</t>
  </si>
  <si>
    <t>Página 17 de 23</t>
  </si>
  <si>
    <t>4.3.1</t>
  </si>
  <si>
    <t>Mejoramiento Vía Panamericana - Casanga</t>
  </si>
  <si>
    <t>7.5.01.05.02.03</t>
  </si>
  <si>
    <t>Mejoramiento De La Vía Panamericana Casanga</t>
  </si>
  <si>
    <t>Página 18 de 23</t>
  </si>
  <si>
    <t>4.3.2</t>
  </si>
  <si>
    <t>Construc Alcantarilla Vía Chinchas-zambi-río Pindo</t>
  </si>
  <si>
    <t>7.5.01.05.02.09</t>
  </si>
  <si>
    <t>Construcción De Alcantarillas En La Vía Chinchas - Zambi - Río Pindo</t>
  </si>
  <si>
    <t>Página 19 de 23</t>
  </si>
  <si>
    <t>4.3.4</t>
  </si>
  <si>
    <t>Ampliación Vía Vilcabamba-linderos-moyococha</t>
  </si>
  <si>
    <t>7.5.01.05.02.02</t>
  </si>
  <si>
    <t>Ampliación Y Mejoramiento De La Vía Vilcabamba Linderos Moyococha</t>
  </si>
  <si>
    <t>Página 20 de 23</t>
  </si>
  <si>
    <t>4.3.9</t>
  </si>
  <si>
    <t>Empréstito, Crédito Bede Construyendo Caminos</t>
  </si>
  <si>
    <t>7.5.01.05.05.01</t>
  </si>
  <si>
    <t>Vía Cariamanga Lucero Río Pindo</t>
  </si>
  <si>
    <t>7.5.01.05.05.03</t>
  </si>
  <si>
    <t>Vía Malacatos San Agustín</t>
  </si>
  <si>
    <t>7.5.01.05.05.04</t>
  </si>
  <si>
    <t>Vía Indiucho El Tambo</t>
  </si>
  <si>
    <t>7.5.01.05.05.05</t>
  </si>
  <si>
    <t>Reajustes De La Vía Cariamanga Lucero Río Pindo</t>
  </si>
  <si>
    <t>7.5.01.05.05.07</t>
  </si>
  <si>
    <t>Reajustes De La Vía Malacatos San Agustín</t>
  </si>
  <si>
    <t>7.5.01.05.05.08</t>
  </si>
  <si>
    <t>Reajustes De La Vía Induicho El Tambo</t>
  </si>
  <si>
    <t>Página 21 de 23</t>
  </si>
  <si>
    <t>4.4.1</t>
  </si>
  <si>
    <t>Mejoramiento De La Vía Saraguro-tenta Conv Nº 120</t>
  </si>
  <si>
    <t>Horas Extraordinarias Y Suplementarias</t>
  </si>
  <si>
    <t xml:space="preserve">Servicios Personales Por Contrato (Servidores Y Trabajadores </t>
  </si>
  <si>
    <t>Compensacion Por Vacaciones No Gozadas Por Cesacion De Funciones</t>
  </si>
  <si>
    <t>Almacenamiento, Embalaje, Envase Y Recarga De Extintores</t>
  </si>
  <si>
    <t xml:space="preserve">Edición, Impresión, Reproducción, Publicaciones, Suscripciones, </t>
  </si>
  <si>
    <t>7.3.02.17</t>
  </si>
  <si>
    <t xml:space="preserve">Difusión E Información (Política Pública, Planes, Programas Y Proyectos </t>
  </si>
  <si>
    <t>Maquinarias Y Equipos (Mantenimiento)</t>
  </si>
  <si>
    <t>Vehículos (Mantenimiento)</t>
  </si>
  <si>
    <t>7.3.05.01</t>
  </si>
  <si>
    <t>Terrenos</t>
  </si>
  <si>
    <t>Maquinarias Y Equipos (Arrendamiento)</t>
  </si>
  <si>
    <t>Página 22 de 23</t>
  </si>
  <si>
    <t>Herramientas (Compras Menores)</t>
  </si>
  <si>
    <t xml:space="preserve">Tasas Generales, Impuestos, Contribuciones, Permisos, Licencias Y </t>
  </si>
  <si>
    <t>Página 23 de 23</t>
  </si>
  <si>
    <t>4.4.2</t>
  </si>
  <si>
    <t>Mantenim Calles Y Caminos Barrios Perifericos Loja</t>
  </si>
  <si>
    <t>7.5.01.05.02.22</t>
  </si>
  <si>
    <t xml:space="preserve">Mantenimiento Vías Barrios Perifericos Ciudad De Loja Segunda Etapa Conv. </t>
  </si>
  <si>
    <t>Total Gasto :</t>
  </si>
  <si>
    <t xml:space="preserve">MÁXIMA AUTORIDAD
</t>
  </si>
  <si>
    <t>DIRECTOR(A) FINANCIERO(A) 
JEFE(A) FINANCIERO(A)</t>
  </si>
  <si>
    <t>JEFE(A) DE CONTABILIDAD</t>
  </si>
  <si>
    <t>FISCALIZACIÓN DE LA CONSTRUCCION</t>
  </si>
  <si>
    <t>ESTUDIOS DE IMPACTO AMBIENTAL EN LA PROVINCIA</t>
  </si>
  <si>
    <t>ING, PATRICIO BARCENAS</t>
  </si>
  <si>
    <t>MANTENIMIENTO RUTINARIO DE LA VIA EL TAMBO INDIUCHO</t>
  </si>
  <si>
    <t>MANTENIMIENTO RUTINARIO CON EL EMPLEO DE MICROEMPRESAS</t>
  </si>
  <si>
    <t>ALCANTARILLA MULTIPLACA QUEBRADA DE AMINDURO</t>
  </si>
  <si>
    <t>CONSTRUCCION DE ALCANTARILLA MULTIPLACA</t>
  </si>
  <si>
    <t>ASFALTADO DE LA VIA CARIAMANGA EL LUCERO RIO PINDO</t>
  </si>
  <si>
    <t>DIFERENCIA PARA COMPLEMENTAR LA INVERSIÓN Y CANCELADA HASTA MAYO 2014</t>
  </si>
  <si>
    <t>PERFILADO DE VIAS</t>
  </si>
  <si>
    <t>MICROEMPRESAS</t>
  </si>
  <si>
    <t xml:space="preserve">OBRAS POR ADMINISTRACION DIRECTA, CONTRATOS, CONVENIOS </t>
  </si>
  <si>
    <t>CARPETA ASFALTICA</t>
  </si>
  <si>
    <t>REHABILITACION BACHEO ASFALTICO</t>
  </si>
  <si>
    <t>ASFALTADO DTSB</t>
  </si>
  <si>
    <t>OBRAS DE ARTE Y SEÑALIZACION</t>
  </si>
  <si>
    <t>PAGO DE RAJUSTE DE PRECIOS DE LA VIA CARIAMANGA EL LUCERO RIO PINDO</t>
  </si>
  <si>
    <t>ESTUDIO DE LA VIA CHAQUIRCUÑA 75 % DE AVANCE</t>
  </si>
  <si>
    <t>DISEÑO VIAL</t>
  </si>
  <si>
    <t>ESTUDIO DE LA VIA SOLAMAR JIMBILLA 90 % DE AVANCE</t>
  </si>
  <si>
    <t>DISEÑO VIAL, ESTUDIO HIDROLOGICO ESTUDIO GEOLOGICO, IMPACTO AMBIENTAL, ESTUDIO GEOTECNICO</t>
  </si>
  <si>
    <t>ESTUDIO DE LA VIA EL TAMBO SANTODOMINGO 95 % DE AVANCE</t>
  </si>
  <si>
    <t>DISEÑO DE ALCANTARILLA CON MULTIPLICA SOBRE LA Q. IGUILA EN LA VIA CRIAMANGA EL LUCERO</t>
  </si>
  <si>
    <t xml:space="preserve">DISEÑO DE MUROS DE APOYO, ESTUDIO HIDROLOGICO </t>
  </si>
  <si>
    <t>ESTUDIO DE PUENTE SANTIAGO</t>
  </si>
  <si>
    <t xml:space="preserve">DISEÑO DE MUROS DE APOYO, Y SUPERESTRUCTURA DEL PUENTE, ESTUDIO HIDROLOGICO </t>
  </si>
  <si>
    <t>ESTUDIO DE PUENTE BERDUN</t>
  </si>
  <si>
    <t>ESTUDIO DE PUENTE QUEBRADA LINUMA</t>
  </si>
  <si>
    <t>ESTUDIO DE OBRAS DE ARTE DE LA VIA LA HOYADA EL LIMO</t>
  </si>
  <si>
    <t xml:space="preserve">DISEÑO DE MUROS DE APOYO,  ESTUDIO HIDROLOGICO </t>
  </si>
  <si>
    <t>TERMINACION PROYECTO VIAL VILCABAMBA-LINDEROS-MOYOCOCHA obras de arte y cunetas L=12.26 km</t>
  </si>
  <si>
    <t>REHABILITACION DE LA VIA Y CELICA - POZUL - PINDAL L= 27 KM. (CONVENIO GPL - VIALSUR.EP RECURSOS)</t>
  </si>
  <si>
    <t>REHABILITACION DE LA VÍA MACARÁ - SAUCILLO
(CONVENIO GPL - VIALSUR.EP RECURSOS) L=42 KM.</t>
  </si>
  <si>
    <t>TERMINACION DEL ASFALTADO DE LA VIA MALACATOS-YEE DE CEIBOPAMBA-TANQUE DE COLA L=4 KM</t>
  </si>
  <si>
    <t>Relleno compactado, con material mejorado (estructura de la vía).</t>
  </si>
  <si>
    <t>Transporte de material petreo, inc. Cargado (&gt; a 5 km.)</t>
  </si>
  <si>
    <t>Material filtrante (costrucción de subdrenes)</t>
  </si>
  <si>
    <t>Limpieza de cunetas y alcantarillas a máquina (inc. Plataforma de la vía)</t>
  </si>
  <si>
    <t>Transporte de material excavado (dasalojo), inc. Cargado (&lt; a 5 km.)</t>
  </si>
  <si>
    <t>VIA, ACCESO AL BARRIO, GUAYPIRA.  L=3,1 km. Paltas.</t>
  </si>
  <si>
    <t>Explotación de material.</t>
  </si>
  <si>
    <t>Reconformación de la rasante, existente.</t>
  </si>
  <si>
    <t>Transporte de material para mejoramiento, inc. Cargado (&lt; a 5 km.)</t>
  </si>
  <si>
    <t>VIA, "Y" DE GUAYPIRA-LA SOTA-CASANGA.  L=4,4 km. Paltas.</t>
  </si>
  <si>
    <t>VIA, TAMBARA-COLA.   L=6,3 km.   Olmedo.</t>
  </si>
  <si>
    <t>Transporte de material excavado, inc. Cargado (&lt; a 5 km.)</t>
  </si>
  <si>
    <t>VÍA Y DE FUNDOCHAMBA - FUNDOCHAMBA, CANTON QUILANGA, L=2.9 K, trabajos del 13 al 22 de Noviembre del 2014.</t>
  </si>
  <si>
    <t>Acabado de Obra Básica Existente</t>
  </si>
  <si>
    <t>Transporte de material de Mejoramiento</t>
  </si>
  <si>
    <t>VÍA FUNDOCHAMBA - EL SAUCE, CANTON QUILANGA, L=5 KM, trabajos del 13 al 22 de Noviembre del 2014.</t>
  </si>
  <si>
    <t>VÍA FUNDOCHAMBA - PUENTE DE QUIROZ, CANTON QUILANGA L=4.7 KM, trabajos del 13 al 22 de Noviembre del 2014.</t>
  </si>
  <si>
    <t>VÍA PUENTE DE QUIROZ- SAN ANTONIO DE LAS ARADAS, CANTON QUILANGA L=5.2 KM, trabajos del 27 de Noviembre al 6 de Diciembre del 2014.</t>
  </si>
  <si>
    <t>VÍA SOCCHIBAMBA AMALUZA, CANTON ESPINDOLA L=3.1 KM, trabajos del 20 al 23 de Noviembre del 2014.</t>
  </si>
  <si>
    <t>VÍA AMALUZA JIMBURA, CANTON ESPINDOLA L=16.8 KM, trabajos se inician el 23 de Noviembre del 2014</t>
  </si>
  <si>
    <t>VÍA JIMBURA EL CEMENTERIO, CANTON ESPINDOLA L=0.8 KM, trabajos se inician el 23 de Noviembre del 2014</t>
  </si>
  <si>
    <t>VÍA JIMBURA EL SALADO, CANTON ESPINDOLA L=0.8 KM, trabajos se ejecutaron el 23 de Noviembre del 2014</t>
  </si>
  <si>
    <t xml:space="preserve">MANTENIMIENTO DE VIAS PARROQUIA TACAMOROS inicio 16 sept 2014  </t>
  </si>
  <si>
    <t>Resanteo a máquina (incluye cunetas)</t>
  </si>
  <si>
    <t>Acabado de obra básica existente</t>
  </si>
  <si>
    <t>NUEVA FATIMA TERRACEO VIA PRINCIPAL Y EXPLOTACION DE MATERIAL PARA VIAS RURALES DE LA PARROQUIA, COORDINACION CON MUNICIPIO</t>
  </si>
  <si>
    <t>Reconformación de la rasante con motoniveladora</t>
  </si>
  <si>
    <t>MANTENIMIENTPO DE LA VIA SAN PEDRO DE VILCABAMBA - SACAPO L=3,00 KM</t>
  </si>
  <si>
    <t>MANTENIMIENTO DE LA VIA EL CISNE - GUALEL</t>
  </si>
  <si>
    <t>MANTENIMIENTO DE LA VIA CHUQUIRIBAMBA-YEE DE PORDEL-GONZABAL</t>
  </si>
  <si>
    <t>Transporte de material mayor a 5 Km</t>
  </si>
  <si>
    <t>Mejoramiento de la subrasante con suelo eleccionado, s/t h= 20 cm incluye explotada, cargada, tendida, hidratada, y compactada, no incluye transporte</t>
  </si>
  <si>
    <t>MANTENIMIENTO DE LA VIA ALAMOR - VICENTINO, CANTON PUYANGO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</si>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</sst>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&quot;$&quot;#,##0.00_);[Red]\(&quot;$&quot;#,##0.00\)"/>
    <numFmt numFmtId="165" formatCode="0.0%"/>
    <numFmt numFmtId="166" formatCode="_ * #,##0.00_ ;_ * \-#,##0.00_ ;_ * &quot;-&quot;??_ ;_ @_ "/>
    <numFmt numFmtId="167" formatCode="_([$$-300A]\ * #,##0.00_);_([$$-300A]\ * \(#,##0.00\);_([$$-300A]\ * &quot;-&quot;??_);_(@_)"/>
    <numFmt numFmtId="168" formatCode="[$-300A]dddd\,\ dd&quot; de &quot;mmmm&quot; de &quot;yyyy;@"/>
    <numFmt numFmtId="169" formatCode="[$-F800]dddd\,\ mmmm\ dd\,\ yyyy"/>
    <numFmt numFmtId="170" formatCode="dddd&quot;, &quot;dd&quot; de &quot;mmmm&quot; de &quot;yyyy;@"/>
    <numFmt numFmtId="171" formatCode="[$$-300A]\ #,##0.00"/>
    <numFmt numFmtId="172" formatCode="0&quot; hab.&quot;"/>
    <numFmt numFmtId="173" formatCode="dd/mm/yyyy;@"/>
    <numFmt numFmtId="174" formatCode="0.00_)"/>
    <numFmt numFmtId="175" formatCode="#,##0.00&quot; KM&quot;"/>
    <numFmt numFmtId="176" formatCode="#,##0&quot;hab.&quot;"/>
    <numFmt numFmtId="177" formatCode="#,##0.0"/>
    <numFmt numFmtId="178" formatCode="&quot;N$&quot;#,##0.00_);\(&quot;N$&quot;#,##0.00\)"/>
    <numFmt numFmtId="179" formatCode="_ [$€-2]\ * #.##0.00_ ;_ [$€-2]\ * \-#.##0.00_ ;_ [$€-2]\ * &quot;-&quot;??_ "/>
    <numFmt numFmtId="180" formatCode="_ [$€-2]\ * #,##0.00_ ;_ [$€-2]\ * \-#,##0.00_ ;_ [$€-2]\ * &quot;-&quot;??_ "/>
    <numFmt numFmtId="181" formatCode="#,##0.000;[Red]#,##0.000"/>
    <numFmt numFmtId="182" formatCode="_-* #,##0.00_-;\-* #,##0.00_-;_-* &quot;-&quot;??_-;_-@_-"/>
    <numFmt numFmtId="183" formatCode="_-* #,##0.00\ _€_-;\-* #,##0.00\ _€_-;_-* &quot;-&quot;??\ _€_-;_-@_-"/>
    <numFmt numFmtId="184" formatCode="_-* #,##0.00\ _$_-;\-* #,##0.00\ _$_-;_-* &quot;-&quot;??\ _$_-;_-@_-"/>
    <numFmt numFmtId="185" formatCode="#,##0.00&quot;    &quot;;\-#,##0.00&quot;    &quot;;&quot; -&quot;#&quot;    &quot;;@\ "/>
    <numFmt numFmtId="186" formatCode="_-* #,##0.00\ _€_-;\-* #,##0.00\ _€_-;_-* \-??\ _€_-;_-@_-"/>
    <numFmt numFmtId="187" formatCode="&quot; &quot;#,##0.00&quot; &quot;;&quot;-&quot;#,##0.00&quot; &quot;;&quot; -&quot;00&quot; &quot;;&quot; &quot;@&quot; &quot;"/>
    <numFmt numFmtId="188" formatCode="_-* #,##0.00\ &quot;€&quot;_-;\-* #,##0.00\ &quot;€&quot;_-;_-* &quot;-&quot;??\ &quot;€&quot;_-;_-@_-"/>
    <numFmt numFmtId="189" formatCode="#,##0.00&quot; &quot;[$€];[Red]&quot;-&quot;#,##0.00&quot; &quot;[$€]"/>
    <numFmt numFmtId="190" formatCode="&quot;$&quot;#,##0.00"/>
    <numFmt numFmtId="191" formatCode="_([$$-409]* #,##0.00_);_([$$-409]* \(#,##0.00\);_([$$-409]* &quot;-&quot;??_);_(@_)"/>
    <numFmt numFmtId="192" formatCode="0.00&quot; km.&quot;"/>
    <numFmt numFmtId="193" formatCode="#,##0.00;[Red]#,##0.00"/>
    <numFmt numFmtId="194" formatCode="&quot;$&quot;\ #,##0.00"/>
    <numFmt numFmtId="195" formatCode="[$-C0A]General"/>
    <numFmt numFmtId="196" formatCode="#,##0.00\ ;\-#,##0.00\ ;&quot; -&quot;#\ ;@\ "/>
    <numFmt numFmtId="197" formatCode="_-* #,##0.00_-;\-* #,##0.00_-;_-* \-??_-;_-@_-"/>
    <numFmt numFmtId="198" formatCode="0.0&quot;Km&quot;"/>
    <numFmt numFmtId="199" formatCode="0.00&quot;Km&quot;"/>
    <numFmt numFmtId="200" formatCode="0.0"/>
    <numFmt numFmtId="201" formatCode="#,##0.00;\-#,##0.00;0.00"/>
    <numFmt numFmtId="202" formatCode="#,##0.00\,&quot; Km.&quot;"/>
  </numFmts>
  <fonts count="16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0"/>
      <color indexed="8"/>
      <name val="Calibri"/>
      <family val="2"/>
    </font>
    <font>
      <b/>
      <sz val="10"/>
      <name val="Times New Roman"/>
      <family val="1"/>
    </font>
    <font>
      <b/>
      <sz val="10"/>
      <name val="Calibri"/>
      <family val="2"/>
      <scheme val="minor"/>
    </font>
    <font>
      <sz val="10"/>
      <name val="Times New Roman"/>
      <family val="1"/>
    </font>
    <font>
      <b/>
      <sz val="9"/>
      <name val="Times New Roman"/>
      <family val="1"/>
    </font>
    <font>
      <b/>
      <sz val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9"/>
      <name val="Times New Roman"/>
      <family val="1"/>
    </font>
    <font>
      <b/>
      <sz val="9"/>
      <color indexed="8"/>
      <name val="Times New Roman"/>
      <family val="1"/>
    </font>
    <font>
      <sz val="12"/>
      <name val="Times New Roman"/>
      <family val="1"/>
    </font>
    <font>
      <sz val="10"/>
      <color indexed="8"/>
      <name val="Times New Roman"/>
      <family val="1"/>
    </font>
    <font>
      <sz val="10"/>
      <name val="Arial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b/>
      <sz val="18"/>
      <name val="Arial Narrow"/>
      <family val="2"/>
    </font>
    <font>
      <b/>
      <sz val="18"/>
      <color theme="0"/>
      <name val="Arial Narrow"/>
      <family val="2"/>
    </font>
    <font>
      <sz val="10"/>
      <name val="Arial Narrow"/>
      <family val="2"/>
    </font>
    <font>
      <sz val="11"/>
      <color indexed="8"/>
      <name val="Arial Narrow"/>
      <family val="2"/>
    </font>
    <font>
      <b/>
      <sz val="14"/>
      <name val="Arial Narrow"/>
      <family val="2"/>
    </font>
    <font>
      <sz val="11"/>
      <color theme="0"/>
      <name val="Arial Narrow"/>
      <family val="2"/>
    </font>
    <font>
      <b/>
      <sz val="14"/>
      <color rgb="FFFF0000"/>
      <name val="Arial Narrow"/>
      <family val="2"/>
    </font>
    <font>
      <b/>
      <sz val="18"/>
      <color rgb="FFFF0000"/>
      <name val="Arial Narrow"/>
      <family val="2"/>
    </font>
    <font>
      <b/>
      <sz val="14"/>
      <color indexed="8"/>
      <name val="Arial Narrow"/>
      <family val="2"/>
    </font>
    <font>
      <b/>
      <sz val="16"/>
      <color indexed="8"/>
      <name val="Arial Narrow"/>
      <family val="2"/>
    </font>
    <font>
      <b/>
      <sz val="16"/>
      <color theme="0"/>
      <name val="Arial Narrow"/>
      <family val="2"/>
    </font>
    <font>
      <sz val="16"/>
      <color indexed="8"/>
      <name val="Arial Narrow"/>
      <family val="2"/>
    </font>
    <font>
      <sz val="14"/>
      <color indexed="8"/>
      <name val="Arial Narrow"/>
      <family val="2"/>
    </font>
    <font>
      <sz val="18"/>
      <color indexed="8"/>
      <name val="Arial Narrow"/>
      <family val="2"/>
    </font>
    <font>
      <sz val="12"/>
      <color indexed="8"/>
      <name val="Arial Narrow"/>
      <family val="2"/>
    </font>
    <font>
      <b/>
      <sz val="9"/>
      <color theme="1"/>
      <name val="Arial Narrow"/>
      <family val="2"/>
    </font>
    <font>
      <b/>
      <i/>
      <sz val="20"/>
      <color indexed="8"/>
      <name val="Arial Narrow"/>
      <family val="2"/>
    </font>
    <font>
      <b/>
      <i/>
      <sz val="20"/>
      <color theme="0"/>
      <name val="Arial Narrow"/>
      <family val="2"/>
    </font>
    <font>
      <b/>
      <i/>
      <sz val="11"/>
      <color indexed="8"/>
      <name val="Arial Narrow"/>
      <family val="2"/>
    </font>
    <font>
      <b/>
      <i/>
      <sz val="10"/>
      <color indexed="8"/>
      <name val="Arial Narrow"/>
      <family val="2"/>
    </font>
    <font>
      <b/>
      <i/>
      <sz val="18"/>
      <color indexed="8"/>
      <name val="Arial Narrow"/>
      <family val="2"/>
    </font>
    <font>
      <b/>
      <i/>
      <sz val="11"/>
      <color theme="0"/>
      <name val="Arial Narrow"/>
      <family val="2"/>
    </font>
    <font>
      <b/>
      <i/>
      <sz val="8"/>
      <color indexed="8"/>
      <name val="Arial Narrow"/>
      <family val="2"/>
    </font>
    <font>
      <sz val="11"/>
      <name val="Arial Narrow"/>
      <family val="2"/>
    </font>
    <font>
      <sz val="18"/>
      <name val="Arial Narrow"/>
      <family val="2"/>
    </font>
    <font>
      <sz val="10"/>
      <name val="Courier"/>
      <family val="3"/>
    </font>
    <font>
      <sz val="10"/>
      <name val="Tahoma"/>
      <family val="2"/>
    </font>
    <font>
      <b/>
      <sz val="10"/>
      <name val="Tahoma"/>
      <family val="2"/>
    </font>
    <font>
      <b/>
      <sz val="11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2"/>
      <name val="Arial"/>
      <family val="2"/>
    </font>
    <font>
      <sz val="12"/>
      <color indexed="24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i/>
      <sz val="16"/>
      <color theme="1"/>
      <name val="Arial1"/>
    </font>
    <font>
      <sz val="11"/>
      <color indexed="20"/>
      <name val="Calibri"/>
      <family val="2"/>
    </font>
    <font>
      <sz val="11"/>
      <name val="Arial"/>
      <family val="2"/>
    </font>
    <font>
      <sz val="11"/>
      <color rgb="FF000000"/>
      <name val="Arial1"/>
    </font>
    <font>
      <sz val="11"/>
      <color indexed="60"/>
      <name val="Calibri"/>
      <family val="2"/>
    </font>
    <font>
      <sz val="10"/>
      <name val="Lohit Hindi"/>
      <family val="2"/>
    </font>
    <font>
      <sz val="11"/>
      <color theme="1"/>
      <name val="Arial1"/>
    </font>
    <font>
      <sz val="8"/>
      <name val="Arial"/>
      <family val="2"/>
    </font>
    <font>
      <b/>
      <i/>
      <u/>
      <sz val="11"/>
      <color theme="1"/>
      <name val="Arial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4"/>
      <name val="Arial Narrow"/>
      <family val="2"/>
    </font>
    <font>
      <sz val="22"/>
      <color indexed="8"/>
      <name val="Arial Narrow"/>
      <family val="2"/>
    </font>
    <font>
      <b/>
      <i/>
      <sz val="22"/>
      <color indexed="8"/>
      <name val="Arial Narrow"/>
      <family val="2"/>
    </font>
    <font>
      <b/>
      <sz val="22"/>
      <color indexed="8"/>
      <name val="Arial Narrow"/>
      <family val="2"/>
    </font>
    <font>
      <sz val="22"/>
      <color theme="1"/>
      <name val="Arial Narrow"/>
      <family val="2"/>
    </font>
    <font>
      <b/>
      <i/>
      <sz val="28"/>
      <color indexed="8"/>
      <name val="Arial Narrow"/>
      <family val="2"/>
    </font>
    <font>
      <b/>
      <sz val="11"/>
      <color theme="1"/>
      <name val="Calibri"/>
      <family val="2"/>
      <scheme val="minor"/>
    </font>
    <font>
      <b/>
      <i/>
      <sz val="10"/>
      <color theme="1"/>
      <name val="Bookman Old Style"/>
      <family val="1"/>
    </font>
    <font>
      <sz val="10"/>
      <color theme="1"/>
      <name val="Arial Narrow"/>
      <family val="2"/>
    </font>
    <font>
      <b/>
      <sz val="11"/>
      <color theme="1"/>
      <name val="Arial Narrow"/>
      <family val="2"/>
    </font>
    <font>
      <b/>
      <i/>
      <sz val="9"/>
      <color indexed="8"/>
      <name val="Arial Narrow"/>
      <family val="2"/>
    </font>
    <font>
      <b/>
      <i/>
      <u/>
      <sz val="14"/>
      <color theme="1"/>
      <name val="Calibri"/>
      <family val="2"/>
      <scheme val="minor"/>
    </font>
    <font>
      <b/>
      <i/>
      <u/>
      <sz val="14"/>
      <color theme="1"/>
      <name val="Arial Narrow"/>
      <family val="2"/>
    </font>
    <font>
      <b/>
      <sz val="10"/>
      <color theme="1"/>
      <name val="Arial Narrow"/>
      <family val="2"/>
    </font>
    <font>
      <sz val="9"/>
      <color theme="1"/>
      <name val="Arial Narrow"/>
      <family val="2"/>
    </font>
    <font>
      <b/>
      <sz val="10"/>
      <name val="Arial Narrow"/>
      <family val="2"/>
    </font>
    <font>
      <b/>
      <sz val="10"/>
      <color rgb="FFFF0000"/>
      <name val="Arial Narrow"/>
      <family val="2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b/>
      <i/>
      <sz val="9"/>
      <color theme="1"/>
      <name val="Arial Narrow"/>
      <family val="2"/>
    </font>
    <font>
      <b/>
      <i/>
      <sz val="18"/>
      <color theme="0"/>
      <name val="Arial Narrow"/>
      <family val="2"/>
    </font>
    <font>
      <b/>
      <i/>
      <sz val="16"/>
      <color indexed="8"/>
      <name val="Arial Narrow"/>
      <family val="2"/>
    </font>
    <font>
      <b/>
      <sz val="18"/>
      <color indexed="8"/>
      <name val="Arial Narrow"/>
      <family val="2"/>
    </font>
    <font>
      <sz val="11"/>
      <color indexed="8"/>
      <name val="Tahoma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2"/>
      <name val="Arial"/>
      <family val="2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u/>
      <sz val="10"/>
      <color indexed="12"/>
      <name val="Arial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  <charset val="1"/>
    </font>
    <font>
      <b/>
      <sz val="2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indexed="8"/>
      <name val="Calibri"/>
      <family val="2"/>
    </font>
    <font>
      <b/>
      <sz val="16"/>
      <name val="Arial Narrow"/>
      <family val="2"/>
    </font>
    <font>
      <b/>
      <i/>
      <sz val="20"/>
      <name val="Arial Narrow"/>
      <family val="2"/>
    </font>
    <font>
      <b/>
      <i/>
      <sz val="28"/>
      <name val="Arial Narrow"/>
      <family val="2"/>
    </font>
    <font>
      <b/>
      <i/>
      <sz val="11"/>
      <name val="Arial Narrow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20"/>
      <color indexed="8"/>
      <name val="Arial Narrow"/>
      <family val="2"/>
    </font>
    <font>
      <sz val="10"/>
      <color indexed="8"/>
      <name val="Arial"/>
      <family val="2"/>
    </font>
    <font>
      <sz val="14"/>
      <color indexed="8"/>
      <name val="Arial"/>
      <family val="2"/>
    </font>
    <font>
      <b/>
      <sz val="9"/>
      <color indexed="8"/>
      <name val="Arial"/>
      <family val="2"/>
    </font>
    <font>
      <b/>
      <sz val="12"/>
      <color indexed="8"/>
      <name val="Arial"/>
      <family val="2"/>
    </font>
    <font>
      <sz val="9"/>
      <color indexed="8"/>
      <name val="Arial"/>
      <family val="2"/>
    </font>
    <font>
      <b/>
      <sz val="8"/>
      <color indexed="8"/>
      <name val="Arial"/>
      <family val="2"/>
    </font>
    <font>
      <sz val="7"/>
      <color indexed="8"/>
      <name val="Arial"/>
      <family val="2"/>
    </font>
    <font>
      <sz val="8"/>
      <color indexed="8"/>
      <name val="Arial"/>
      <family val="2"/>
    </font>
    <font>
      <b/>
      <sz val="7"/>
      <color indexed="8"/>
      <name val="Arial"/>
      <family val="2"/>
    </font>
    <font>
      <sz val="12"/>
      <name val="Arial Narrow"/>
      <family val="2"/>
    </font>
    <font>
      <sz val="14"/>
      <name val="Tahoma"/>
      <family val="2"/>
    </font>
    <font>
      <sz val="18"/>
      <name val="Arial"/>
      <family val="2"/>
    </font>
    <font>
      <b/>
      <sz val="22"/>
      <name val="Arial Narrow"/>
      <family val="2"/>
    </font>
    <font>
      <b/>
      <sz val="26"/>
      <name val="Arial Narrow"/>
      <family val="2"/>
    </font>
    <font>
      <sz val="22"/>
      <name val="Arial Narrow"/>
      <family val="2"/>
    </font>
    <font>
      <sz val="14"/>
      <color theme="1"/>
      <name val="Arial Narrow"/>
      <family val="2"/>
    </font>
    <font>
      <sz val="10"/>
      <color theme="1"/>
      <name val="Arial"/>
      <family val="2"/>
    </font>
    <font>
      <b/>
      <sz val="16"/>
      <color rgb="FFFF0000"/>
      <name val="Arial Narrow"/>
      <family val="2"/>
    </font>
    <font>
      <b/>
      <i/>
      <sz val="14"/>
      <color indexed="8"/>
      <name val="Arial Narrow"/>
      <family val="2"/>
    </font>
    <font>
      <sz val="14"/>
      <color theme="0"/>
      <name val="Arial Narrow"/>
      <family val="2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rgb="FFFFFF00"/>
        <bgColor indexed="8"/>
      </patternFill>
    </fill>
    <fill>
      <patternFill patternType="solid">
        <fgColor indexed="22"/>
        <bgColor indexed="9"/>
      </patternFill>
    </fill>
    <fill>
      <patternFill patternType="solid">
        <fgColor rgb="FFFFFF00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theme="4" tint="0.79998168889431442"/>
        <bgColor theme="4" tint="0.79998168889431442"/>
      </patternFill>
    </fill>
  </fills>
  <borders count="1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/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double">
        <color auto="1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auto="1"/>
      </left>
      <right style="thin">
        <color indexed="64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auto="1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</borders>
  <cellStyleXfs count="224">
    <xf numFmtId="0" fontId="0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0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54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60" fillId="7" borderId="0" applyNumberFormat="0" applyBorder="0" applyAlignment="0" applyProtection="0"/>
    <xf numFmtId="0" fontId="61" fillId="19" borderId="26" applyNumberFormat="0" applyAlignment="0" applyProtection="0"/>
    <xf numFmtId="0" fontId="62" fillId="20" borderId="27" applyNumberFormat="0" applyAlignment="0" applyProtection="0"/>
    <xf numFmtId="0" fontId="63" fillId="0" borderId="28" applyNumberFormat="0" applyFill="0" applyAlignment="0" applyProtection="0"/>
    <xf numFmtId="177" fontId="64" fillId="0" borderId="0" applyFill="0" applyBorder="0" applyAlignment="0" applyProtection="0"/>
    <xf numFmtId="178" fontId="64" fillId="0" borderId="0" applyFill="0" applyBorder="0" applyAlignment="0" applyProtection="0"/>
    <xf numFmtId="0" fontId="65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59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24" borderId="0" applyNumberFormat="0" applyBorder="0" applyAlignment="0" applyProtection="0"/>
    <xf numFmtId="0" fontId="67" fillId="10" borderId="26" applyNumberFormat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0" fontId="28" fillId="0" borderId="0"/>
    <xf numFmtId="0" fontId="26" fillId="0" borderId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2" fontId="65" fillId="0" borderId="0" applyFont="0" applyFill="0" applyBorder="0" applyAlignment="0" applyProtection="0"/>
    <xf numFmtId="0" fontId="68" fillId="0" borderId="0">
      <alignment horizontal="center"/>
    </xf>
    <xf numFmtId="0" fontId="68" fillId="0" borderId="0">
      <alignment horizontal="center" textRotation="90"/>
    </xf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/>
    <xf numFmtId="0" fontId="69" fillId="6" borderId="0" applyNumberFormat="0" applyBorder="0" applyAlignment="0" applyProtection="0"/>
    <xf numFmtId="181" fontId="26" fillId="0" borderId="0" applyFont="0" applyFill="0" applyBorder="0" applyAlignment="0" applyProtection="0"/>
    <xf numFmtId="182" fontId="28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70" fillId="0" borderId="0" applyFont="0" applyFill="0" applyBorder="0" applyAlignment="0" applyProtection="0"/>
    <xf numFmtId="183" fontId="26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4" fontId="26" fillId="0" borderId="0" applyFont="0" applyFill="0" applyBorder="0" applyAlignment="0" applyProtection="0"/>
    <xf numFmtId="185" fontId="28" fillId="0" borderId="0"/>
    <xf numFmtId="186" fontId="28" fillId="0" borderId="0" applyFill="0" applyBorder="0" applyAlignment="0" applyProtection="0"/>
    <xf numFmtId="186" fontId="28" fillId="0" borderId="0"/>
    <xf numFmtId="183" fontId="28" fillId="0" borderId="0" applyFont="0" applyFill="0" applyBorder="0" applyAlignment="0" applyProtection="0"/>
    <xf numFmtId="166" fontId="26" fillId="0" borderId="0" applyFont="0" applyFill="0" applyBorder="0" applyAlignment="0" applyProtection="0"/>
    <xf numFmtId="183" fontId="10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28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7" fontId="71" fillId="0" borderId="0" applyFont="0" applyFill="0" applyBorder="0" applyAlignment="0" applyProtection="0"/>
    <xf numFmtId="44" fontId="10" fillId="0" borderId="0" applyFont="0" applyFill="0" applyBorder="0" applyAlignment="0" applyProtection="0"/>
    <xf numFmtId="188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0" fontId="72" fillId="25" borderId="0" applyNumberFormat="0" applyBorder="0" applyAlignment="0" applyProtection="0"/>
    <xf numFmtId="0" fontId="70" fillId="0" borderId="0"/>
    <xf numFmtId="0" fontId="26" fillId="0" borderId="0"/>
    <xf numFmtId="0" fontId="10" fillId="0" borderId="0"/>
    <xf numFmtId="0" fontId="10" fillId="0" borderId="0"/>
    <xf numFmtId="0" fontId="10" fillId="0" borderId="0"/>
    <xf numFmtId="0" fontId="70" fillId="0" borderId="0"/>
    <xf numFmtId="0" fontId="26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6" fillId="0" borderId="0"/>
    <xf numFmtId="0" fontId="26" fillId="0" borderId="0"/>
    <xf numFmtId="0" fontId="70" fillId="0" borderId="0"/>
    <xf numFmtId="0" fontId="26" fillId="0" borderId="0"/>
    <xf numFmtId="0" fontId="26" fillId="0" borderId="0"/>
    <xf numFmtId="0" fontId="10" fillId="0" borderId="0"/>
    <xf numFmtId="0" fontId="74" fillId="0" borderId="0"/>
    <xf numFmtId="0" fontId="26" fillId="0" borderId="0"/>
    <xf numFmtId="0" fontId="10" fillId="0" borderId="0"/>
    <xf numFmtId="0" fontId="26" fillId="0" borderId="0"/>
    <xf numFmtId="0" fontId="26" fillId="0" borderId="0"/>
    <xf numFmtId="0" fontId="10" fillId="0" borderId="0"/>
    <xf numFmtId="0" fontId="28" fillId="0" borderId="0"/>
    <xf numFmtId="0" fontId="10" fillId="0" borderId="0"/>
    <xf numFmtId="0" fontId="26" fillId="0" borderId="0"/>
    <xf numFmtId="0" fontId="10" fillId="0" borderId="0"/>
    <xf numFmtId="0" fontId="28" fillId="26" borderId="29" applyNumberFormat="0" applyFont="0" applyAlignment="0" applyProtection="0"/>
    <xf numFmtId="10" fontId="64" fillId="0" borderId="0" applyFill="0" applyBorder="0" applyAlignment="0" applyProtection="0"/>
    <xf numFmtId="9" fontId="2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6" fillId="0" borderId="0"/>
    <xf numFmtId="189" fontId="76" fillId="0" borderId="0"/>
    <xf numFmtId="0" fontId="77" fillId="19" borderId="30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1" fillId="0" borderId="32" applyNumberFormat="0" applyFill="0" applyAlignment="0" applyProtection="0"/>
    <xf numFmtId="0" fontId="6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3" fillId="0" borderId="34" applyNumberFormat="0" applyFill="0" applyAlignment="0" applyProtection="0"/>
    <xf numFmtId="0" fontId="65" fillId="0" borderId="35" applyNumberFormat="0" applyFont="0" applyFill="0" applyAlignment="0" applyProtection="0"/>
    <xf numFmtId="0" fontId="9" fillId="0" borderId="0"/>
    <xf numFmtId="44" fontId="9" fillId="0" borderId="0" applyFont="0" applyFill="0" applyBorder="0" applyAlignment="0" applyProtection="0"/>
    <xf numFmtId="0" fontId="11" fillId="0" borderId="0"/>
    <xf numFmtId="0" fontId="8" fillId="0" borderId="0"/>
    <xf numFmtId="0" fontId="11" fillId="0" borderId="0"/>
    <xf numFmtId="0" fontId="11" fillId="0" borderId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24" borderId="0" applyNumberFormat="0" applyBorder="0" applyAlignment="0" applyProtection="0"/>
    <xf numFmtId="0" fontId="69" fillId="6" borderId="0" applyNumberFormat="0" applyBorder="0" applyAlignment="0" applyProtection="0"/>
    <xf numFmtId="0" fontId="61" fillId="19" borderId="84" applyNumberFormat="0" applyAlignment="0" applyProtection="0"/>
    <xf numFmtId="0" fontId="62" fillId="20" borderId="27" applyNumberFormat="0" applyAlignment="0" applyProtection="0"/>
    <xf numFmtId="0" fontId="67" fillId="10" borderId="84" applyNumberFormat="0" applyAlignment="0" applyProtection="0"/>
    <xf numFmtId="0" fontId="126" fillId="0" borderId="0" applyNumberFormat="0" applyBorder="0" applyProtection="0"/>
    <xf numFmtId="0" fontId="28" fillId="0" borderId="0"/>
    <xf numFmtId="195" fontId="126" fillId="0" borderId="0" applyBorder="0" applyProtection="0"/>
    <xf numFmtId="0" fontId="79" fillId="0" borderId="0" applyNumberFormat="0" applyFill="0" applyBorder="0" applyAlignment="0" applyProtection="0"/>
    <xf numFmtId="0" fontId="60" fillId="7" borderId="0" applyNumberFormat="0" applyBorder="0" applyAlignment="0" applyProtection="0"/>
    <xf numFmtId="0" fontId="80" fillId="0" borderId="31" applyNumberFormat="0" applyFill="0" applyAlignment="0" applyProtection="0"/>
    <xf numFmtId="0" fontId="81" fillId="0" borderId="32" applyNumberFormat="0" applyFill="0" applyAlignment="0" applyProtection="0"/>
    <xf numFmtId="0" fontId="66" fillId="0" borderId="33" applyNumberFormat="0" applyFill="0" applyAlignment="0" applyProtection="0"/>
    <xf numFmtId="0" fontId="66" fillId="0" borderId="0" applyNumberFormat="0" applyFill="0" applyBorder="0" applyAlignment="0" applyProtection="0"/>
    <xf numFmtId="0" fontId="127" fillId="0" borderId="0"/>
    <xf numFmtId="0" fontId="67" fillId="10" borderId="84" applyNumberFormat="0" applyAlignment="0" applyProtection="0"/>
    <xf numFmtId="0" fontId="63" fillId="0" borderId="85" applyNumberFormat="0" applyFill="0" applyAlignment="0" applyProtection="0"/>
    <xf numFmtId="166" fontId="11" fillId="0" borderId="0" applyFont="0" applyFill="0" applyBorder="0" applyAlignment="0" applyProtection="0"/>
    <xf numFmtId="43" fontId="128" fillId="0" borderId="0" applyFont="0" applyBorder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96" fontId="28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97" fontId="28" fillId="0" borderId="0" applyFill="0" applyBorder="0" applyAlignment="0" applyProtection="0"/>
    <xf numFmtId="43" fontId="28" fillId="0" borderId="0" applyFont="0" applyFill="0" applyBorder="0" applyAlignment="0" applyProtection="0"/>
    <xf numFmtId="197" fontId="28" fillId="0" borderId="0"/>
    <xf numFmtId="0" fontId="11" fillId="0" borderId="0"/>
    <xf numFmtId="0" fontId="6" fillId="0" borderId="0"/>
    <xf numFmtId="0" fontId="129" fillId="0" borderId="0"/>
    <xf numFmtId="0" fontId="109" fillId="0" borderId="0">
      <alignment vertical="top"/>
    </xf>
    <xf numFmtId="0" fontId="28" fillId="26" borderId="86" applyNumberFormat="0" applyFont="0" applyAlignment="0" applyProtection="0"/>
    <xf numFmtId="0" fontId="28" fillId="26" borderId="86" applyNumberFormat="0" applyFont="0" applyAlignment="0" applyProtection="0"/>
    <xf numFmtId="0" fontId="77" fillId="19" borderId="87" applyNumberFormat="0" applyAlignment="0" applyProtection="0"/>
    <xf numFmtId="0" fontId="82" fillId="0" borderId="0" applyNumberFormat="0" applyFill="0" applyBorder="0" applyAlignment="0" applyProtection="0"/>
    <xf numFmtId="0" fontId="83" fillId="0" borderId="88" applyNumberFormat="0" applyFill="0" applyAlignment="0" applyProtection="0"/>
    <xf numFmtId="0" fontId="78" fillId="0" borderId="0" applyNumberFormat="0" applyFill="0" applyBorder="0" applyAlignment="0" applyProtection="0"/>
    <xf numFmtId="0" fontId="5" fillId="0" borderId="0"/>
    <xf numFmtId="44" fontId="138" fillId="0" borderId="0" applyFont="0" applyFill="0" applyBorder="0" applyAlignment="0" applyProtection="0"/>
    <xf numFmtId="0" fontId="4" fillId="0" borderId="0"/>
    <xf numFmtId="0" fontId="4" fillId="0" borderId="0"/>
    <xf numFmtId="9" fontId="11" fillId="0" borderId="0" applyFont="0" applyFill="0" applyBorder="0" applyAlignment="0" applyProtection="0"/>
    <xf numFmtId="0" fontId="145" fillId="0" borderId="0">
      <alignment vertical="top"/>
    </xf>
    <xf numFmtId="0" fontId="145" fillId="0" borderId="0">
      <alignment vertical="top"/>
    </xf>
  </cellStyleXfs>
  <cellXfs count="1206">
    <xf numFmtId="0" fontId="0" fillId="0" borderId="0" xfId="0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1" xfId="0" applyFont="1" applyBorder="1" applyAlignment="1">
      <alignment horizontal="left"/>
    </xf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/>
    <xf numFmtId="0" fontId="14" fillId="2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left"/>
    </xf>
    <xf numFmtId="4" fontId="16" fillId="0" borderId="1" xfId="0" applyNumberFormat="1" applyFont="1" applyBorder="1" applyAlignment="1">
      <alignment horizontal="center"/>
    </xf>
    <xf numFmtId="4" fontId="15" fillId="0" borderId="1" xfId="0" applyNumberFormat="1" applyFont="1" applyBorder="1" applyAlignment="1">
      <alignment horizontal="left"/>
    </xf>
    <xf numFmtId="4" fontId="16" fillId="0" borderId="1" xfId="0" applyNumberFormat="1" applyFont="1" applyBorder="1" applyAlignment="1">
      <alignment horizontal="left"/>
    </xf>
    <xf numFmtId="4" fontId="16" fillId="0" borderId="1" xfId="0" applyNumberFormat="1" applyFont="1" applyBorder="1" applyAlignment="1"/>
    <xf numFmtId="4" fontId="15" fillId="2" borderId="1" xfId="0" applyNumberFormat="1" applyFont="1" applyFill="1" applyBorder="1" applyAlignment="1">
      <alignment horizontal="left"/>
    </xf>
    <xf numFmtId="0" fontId="17" fillId="0" borderId="1" xfId="0" applyFont="1" applyBorder="1" applyAlignment="1">
      <alignment horizontal="left"/>
    </xf>
    <xf numFmtId="4" fontId="17" fillId="0" borderId="1" xfId="0" applyNumberFormat="1" applyFont="1" applyBorder="1" applyAlignment="1">
      <alignment horizontal="left"/>
    </xf>
    <xf numFmtId="4" fontId="17" fillId="2" borderId="1" xfId="0" applyNumberFormat="1" applyFont="1" applyFill="1" applyBorder="1" applyAlignment="1">
      <alignment horizontal="left"/>
    </xf>
    <xf numFmtId="4" fontId="0" fillId="0" borderId="1" xfId="0" applyNumberFormat="1" applyBorder="1"/>
    <xf numFmtId="0" fontId="17" fillId="0" borderId="1" xfId="0" applyFont="1" applyBorder="1" applyAlignment="1">
      <alignment horizontal="left" vertical="center" wrapText="1"/>
    </xf>
    <xf numFmtId="4" fontId="17" fillId="0" borderId="1" xfId="0" applyNumberFormat="1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4" fontId="18" fillId="0" borderId="1" xfId="0" applyNumberFormat="1" applyFont="1" applyBorder="1" applyAlignment="1">
      <alignment horizontal="left" vertical="center" wrapText="1"/>
    </xf>
    <xf numFmtId="4" fontId="18" fillId="2" borderId="1" xfId="0" applyNumberFormat="1" applyFont="1" applyFill="1" applyBorder="1" applyAlignment="1">
      <alignment horizontal="left" vertical="center" wrapText="1"/>
    </xf>
    <xf numFmtId="4" fontId="18" fillId="0" borderId="1" xfId="0" applyNumberFormat="1" applyFont="1" applyBorder="1" applyAlignment="1">
      <alignment horizontal="left"/>
    </xf>
    <xf numFmtId="10" fontId="18" fillId="0" borderId="1" xfId="1" applyNumberFormat="1" applyFont="1" applyBorder="1" applyAlignment="1">
      <alignment horizontal="left" vertical="center" wrapText="1"/>
    </xf>
    <xf numFmtId="10" fontId="18" fillId="2" borderId="1" xfId="1" applyNumberFormat="1" applyFont="1" applyFill="1" applyBorder="1" applyAlignment="1">
      <alignment horizontal="left" vertical="center" wrapText="1"/>
    </xf>
    <xf numFmtId="10" fontId="19" fillId="0" borderId="1" xfId="1" applyNumberFormat="1" applyFont="1" applyBorder="1" applyAlignment="1">
      <alignment horizontal="left" vertical="center" wrapText="1"/>
    </xf>
    <xf numFmtId="0" fontId="20" fillId="0" borderId="1" xfId="0" applyFont="1" applyBorder="1" applyAlignment="1">
      <alignment horizontal="left"/>
    </xf>
    <xf numFmtId="0" fontId="20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0" fillId="2" borderId="1" xfId="0" applyFont="1" applyFill="1" applyBorder="1" applyAlignment="1">
      <alignment horizontal="center"/>
    </xf>
    <xf numFmtId="4" fontId="22" fillId="0" borderId="1" xfId="0" applyNumberFormat="1" applyFont="1" applyBorder="1" applyAlignment="1">
      <alignment horizontal="left"/>
    </xf>
    <xf numFmtId="10" fontId="15" fillId="2" borderId="1" xfId="1" applyNumberFormat="1" applyFont="1" applyFill="1" applyBorder="1" applyAlignment="1">
      <alignment horizontal="left" vertical="center" wrapText="1"/>
    </xf>
    <xf numFmtId="10" fontId="15" fillId="0" borderId="1" xfId="1" applyNumberFormat="1" applyFont="1" applyBorder="1" applyAlignment="1">
      <alignment horizontal="left" vertical="center" wrapText="1"/>
    </xf>
    <xf numFmtId="0" fontId="23" fillId="0" borderId="1" xfId="0" applyFont="1" applyBorder="1" applyAlignment="1">
      <alignment horizontal="center"/>
    </xf>
    <xf numFmtId="4" fontId="18" fillId="2" borderId="1" xfId="0" applyNumberFormat="1" applyFont="1" applyFill="1" applyBorder="1" applyAlignment="1">
      <alignment horizontal="left"/>
    </xf>
    <xf numFmtId="4" fontId="19" fillId="0" borderId="1" xfId="0" applyNumberFormat="1" applyFont="1" applyBorder="1" applyAlignment="1">
      <alignment horizontal="left"/>
    </xf>
    <xf numFmtId="10" fontId="18" fillId="0" borderId="1" xfId="1" applyNumberFormat="1" applyFont="1" applyBorder="1" applyAlignment="1">
      <alignment horizontal="left"/>
    </xf>
    <xf numFmtId="9" fontId="18" fillId="2" borderId="1" xfId="1" applyFont="1" applyFill="1" applyBorder="1" applyAlignment="1">
      <alignment horizontal="left"/>
    </xf>
    <xf numFmtId="9" fontId="18" fillId="0" borderId="1" xfId="1" applyFont="1" applyBorder="1" applyAlignment="1">
      <alignment horizontal="left"/>
    </xf>
    <xf numFmtId="10" fontId="15" fillId="0" borderId="1" xfId="1" applyNumberFormat="1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165" fontId="15" fillId="0" borderId="0" xfId="1" applyNumberFormat="1" applyFont="1" applyBorder="1" applyAlignment="1">
      <alignment horizontal="left"/>
    </xf>
    <xf numFmtId="165" fontId="15" fillId="2" borderId="0" xfId="1" applyNumberFormat="1" applyFont="1" applyFill="1" applyBorder="1" applyAlignment="1">
      <alignment horizontal="left"/>
    </xf>
    <xf numFmtId="0" fontId="17" fillId="0" borderId="0" xfId="0" applyFont="1"/>
    <xf numFmtId="0" fontId="18" fillId="0" borderId="1" xfId="0" applyFont="1" applyBorder="1" applyAlignment="1">
      <alignment horizontal="left" vertical="center" wrapText="1"/>
    </xf>
    <xf numFmtId="4" fontId="18" fillId="0" borderId="1" xfId="0" applyNumberFormat="1" applyFont="1" applyBorder="1" applyAlignment="1">
      <alignment horizontal="center"/>
    </xf>
    <xf numFmtId="4" fontId="15" fillId="0" borderId="1" xfId="0" applyNumberFormat="1" applyFont="1" applyBorder="1" applyAlignment="1"/>
    <xf numFmtId="0" fontId="25" fillId="0" borderId="1" xfId="0" applyFont="1" applyBorder="1" applyAlignment="1">
      <alignment horizontal="left" vertical="center" wrapText="1"/>
    </xf>
    <xf numFmtId="4" fontId="25" fillId="0" borderId="1" xfId="0" applyNumberFormat="1" applyFont="1" applyBorder="1" applyAlignment="1">
      <alignment horizontal="left" vertical="center" wrapText="1"/>
    </xf>
    <xf numFmtId="0" fontId="26" fillId="0" borderId="0" xfId="0" applyFont="1"/>
    <xf numFmtId="9" fontId="15" fillId="0" borderId="1" xfId="1" applyFont="1" applyBorder="1" applyAlignment="1">
      <alignment horizontal="left"/>
    </xf>
    <xf numFmtId="9" fontId="15" fillId="2" borderId="1" xfId="1" applyFont="1" applyFill="1" applyBorder="1" applyAlignment="1">
      <alignment horizontal="left"/>
    </xf>
    <xf numFmtId="10" fontId="15" fillId="2" borderId="1" xfId="1" applyNumberFormat="1" applyFont="1" applyFill="1" applyBorder="1" applyAlignment="1">
      <alignment horizontal="left"/>
    </xf>
    <xf numFmtId="166" fontId="15" fillId="0" borderId="1" xfId="2" applyFont="1" applyBorder="1" applyAlignment="1">
      <alignment horizontal="left"/>
    </xf>
    <xf numFmtId="166" fontId="15" fillId="0" borderId="1" xfId="2" applyFont="1" applyBorder="1" applyAlignment="1">
      <alignment horizontal="center"/>
    </xf>
    <xf numFmtId="10" fontId="18" fillId="2" borderId="1" xfId="1" applyNumberFormat="1" applyFont="1" applyFill="1" applyBorder="1" applyAlignment="1">
      <alignment horizontal="left"/>
    </xf>
    <xf numFmtId="4" fontId="23" fillId="0" borderId="1" xfId="0" applyNumberFormat="1" applyFont="1" applyBorder="1" applyAlignment="1">
      <alignment horizontal="left"/>
    </xf>
    <xf numFmtId="0" fontId="18" fillId="0" borderId="1" xfId="1" applyNumberFormat="1" applyFont="1" applyBorder="1" applyAlignment="1">
      <alignment horizontal="left"/>
    </xf>
    <xf numFmtId="4" fontId="23" fillId="2" borderId="1" xfId="0" applyNumberFormat="1" applyFont="1" applyFill="1" applyBorder="1" applyAlignment="1">
      <alignment horizontal="left"/>
    </xf>
    <xf numFmtId="165" fontId="15" fillId="0" borderId="1" xfId="1" applyNumberFormat="1" applyFont="1" applyBorder="1" applyAlignment="1">
      <alignment horizontal="left"/>
    </xf>
    <xf numFmtId="165" fontId="15" fillId="2" borderId="1" xfId="1" applyNumberFormat="1" applyFont="1" applyFill="1" applyBorder="1" applyAlignment="1">
      <alignment horizontal="left"/>
    </xf>
    <xf numFmtId="0" fontId="32" fillId="0" borderId="0" xfId="4" applyFont="1" applyAlignment="1" applyProtection="1">
      <protection locked="0"/>
    </xf>
    <xf numFmtId="0" fontId="33" fillId="0" borderId="0" xfId="4" applyFont="1" applyBorder="1" applyAlignment="1" applyProtection="1">
      <alignment horizontal="left" vertical="center"/>
      <protection locked="0"/>
    </xf>
    <xf numFmtId="0" fontId="35" fillId="0" borderId="0" xfId="4" applyFont="1" applyBorder="1" applyAlignment="1" applyProtection="1">
      <alignment horizontal="left" vertical="center"/>
      <protection locked="0"/>
    </xf>
    <xf numFmtId="0" fontId="35" fillId="0" borderId="0" xfId="4" applyFont="1" applyBorder="1" applyAlignment="1" applyProtection="1">
      <alignment horizontal="center" vertical="center"/>
      <protection locked="0"/>
    </xf>
    <xf numFmtId="167" fontId="36" fillId="0" borderId="6" xfId="4" applyNumberFormat="1" applyFont="1" applyBorder="1" applyAlignment="1" applyProtection="1">
      <alignment horizontal="left" vertical="center"/>
      <protection locked="0"/>
    </xf>
    <xf numFmtId="0" fontId="37" fillId="0" borderId="0" xfId="4" applyFont="1" applyBorder="1" applyAlignment="1" applyProtection="1">
      <alignment horizontal="center" vertical="center"/>
      <protection locked="0"/>
    </xf>
    <xf numFmtId="0" fontId="37" fillId="0" borderId="6" xfId="4" applyNumberFormat="1" applyFont="1" applyBorder="1" applyAlignment="1" applyProtection="1">
      <alignment horizontal="center" vertical="center"/>
      <protection locked="0"/>
    </xf>
    <xf numFmtId="0" fontId="32" fillId="0" borderId="0" xfId="4" applyFont="1" applyAlignment="1" applyProtection="1">
      <alignment vertical="center"/>
      <protection locked="0"/>
    </xf>
    <xf numFmtId="49" fontId="33" fillId="0" borderId="0" xfId="4" applyNumberFormat="1" applyFont="1" applyBorder="1" applyAlignment="1" applyProtection="1">
      <alignment horizontal="left" vertical="center"/>
      <protection locked="0"/>
    </xf>
    <xf numFmtId="0" fontId="35" fillId="0" borderId="0" xfId="4" applyFont="1" applyBorder="1" applyAlignment="1" applyProtection="1">
      <alignment horizontal="left" vertical="center" wrapText="1"/>
      <protection locked="0"/>
    </xf>
    <xf numFmtId="0" fontId="40" fillId="0" borderId="0" xfId="4" applyFont="1" applyBorder="1" applyAlignment="1" applyProtection="1">
      <protection locked="0"/>
    </xf>
    <xf numFmtId="168" fontId="38" fillId="0" borderId="0" xfId="4" applyNumberFormat="1" applyFont="1" applyBorder="1" applyAlignment="1" applyProtection="1">
      <alignment vertical="center"/>
      <protection locked="0"/>
    </xf>
    <xf numFmtId="0" fontId="32" fillId="0" borderId="0" xfId="4" applyFont="1" applyFill="1" applyBorder="1" applyAlignment="1" applyProtection="1">
      <alignment vertical="center"/>
      <protection locked="0"/>
    </xf>
    <xf numFmtId="0" fontId="32" fillId="0" borderId="0" xfId="4" applyFont="1" applyBorder="1" applyAlignment="1" applyProtection="1">
      <protection locked="0"/>
    </xf>
    <xf numFmtId="0" fontId="41" fillId="0" borderId="0" xfId="4" applyFont="1" applyBorder="1" applyAlignment="1" applyProtection="1">
      <protection locked="0"/>
    </xf>
    <xf numFmtId="0" fontId="32" fillId="0" borderId="0" xfId="4" applyFont="1" applyBorder="1" applyAlignment="1" applyProtection="1">
      <alignment horizontal="center"/>
      <protection locked="0"/>
    </xf>
    <xf numFmtId="167" fontId="42" fillId="0" borderId="6" xfId="4" applyNumberFormat="1" applyFont="1" applyBorder="1" applyAlignment="1" applyProtection="1">
      <alignment horizontal="center" vertical="center"/>
      <protection locked="0"/>
    </xf>
    <xf numFmtId="170" fontId="32" fillId="0" borderId="0" xfId="4" applyNumberFormat="1" applyFont="1" applyBorder="1" applyAlignment="1" applyProtection="1">
      <alignment horizontal="center"/>
      <protection locked="0"/>
    </xf>
    <xf numFmtId="170" fontId="32" fillId="0" borderId="7" xfId="4" applyNumberFormat="1" applyFont="1" applyBorder="1" applyAlignment="1" applyProtection="1">
      <alignment horizontal="center"/>
      <protection locked="0"/>
    </xf>
    <xf numFmtId="170" fontId="43" fillId="3" borderId="0" xfId="4" applyNumberFormat="1" applyFont="1" applyFill="1" applyBorder="1" applyAlignment="1" applyProtection="1">
      <alignment horizontal="center" vertical="center"/>
      <protection locked="0"/>
    </xf>
    <xf numFmtId="0" fontId="43" fillId="3" borderId="6" xfId="4" applyNumberFormat="1" applyFont="1" applyFill="1" applyBorder="1" applyAlignment="1" applyProtection="1">
      <alignment horizontal="center" vertical="center"/>
      <protection locked="0"/>
    </xf>
    <xf numFmtId="169" fontId="38" fillId="0" borderId="0" xfId="4" applyNumberFormat="1" applyFont="1" applyBorder="1" applyAlignment="1" applyProtection="1">
      <alignment horizontal="right" vertical="center"/>
      <protection locked="0"/>
    </xf>
    <xf numFmtId="169" fontId="38" fillId="0" borderId="0" xfId="4" applyNumberFormat="1" applyFont="1" applyBorder="1" applyAlignment="1" applyProtection="1">
      <alignment horizontal="center" vertical="center"/>
      <protection locked="0"/>
    </xf>
    <xf numFmtId="1" fontId="45" fillId="3" borderId="9" xfId="4" applyNumberFormat="1" applyFont="1" applyFill="1" applyBorder="1" applyAlignment="1" applyProtection="1">
      <alignment horizontal="center" vertical="center"/>
      <protection locked="0"/>
    </xf>
    <xf numFmtId="1" fontId="46" fillId="3" borderId="0" xfId="4" applyNumberFormat="1" applyFont="1" applyFill="1" applyBorder="1" applyAlignment="1" applyProtection="1">
      <alignment horizontal="center" vertical="center"/>
      <protection locked="0"/>
    </xf>
    <xf numFmtId="1" fontId="45" fillId="3" borderId="11" xfId="4" applyNumberFormat="1" applyFont="1" applyFill="1" applyBorder="1" applyAlignment="1" applyProtection="1">
      <alignment horizontal="center" vertical="center"/>
      <protection locked="0"/>
    </xf>
    <xf numFmtId="0" fontId="42" fillId="0" borderId="0" xfId="4" applyFont="1" applyBorder="1" applyAlignment="1" applyProtection="1">
      <protection locked="0"/>
    </xf>
    <xf numFmtId="169" fontId="42" fillId="0" borderId="0" xfId="4" applyNumberFormat="1" applyFont="1" applyBorder="1" applyAlignment="1" applyProtection="1">
      <alignment horizontal="left" vertical="center"/>
      <protection locked="0"/>
    </xf>
    <xf numFmtId="0" fontId="27" fillId="0" borderId="0" xfId="3" applyFont="1" applyFill="1"/>
    <xf numFmtId="0" fontId="32" fillId="0" borderId="0" xfId="4" applyFont="1" applyFill="1" applyAlignment="1" applyProtection="1">
      <protection locked="0"/>
    </xf>
    <xf numFmtId="0" fontId="27" fillId="0" borderId="0" xfId="3" applyFont="1" applyFill="1" applyAlignment="1">
      <alignment vertical="center" wrapText="1"/>
    </xf>
    <xf numFmtId="0" fontId="32" fillId="0" borderId="0" xfId="4" applyFont="1" applyFill="1" applyAlignment="1" applyProtection="1">
      <alignment vertical="center" wrapText="1"/>
      <protection locked="0"/>
    </xf>
    <xf numFmtId="167" fontId="27" fillId="0" borderId="0" xfId="3" applyNumberFormat="1" applyFont="1" applyFill="1" applyAlignment="1">
      <alignment vertical="center" wrapText="1"/>
    </xf>
    <xf numFmtId="174" fontId="56" fillId="0" borderId="17" xfId="9" applyNumberFormat="1" applyFont="1" applyFill="1" applyBorder="1" applyAlignment="1" applyProtection="1">
      <alignment wrapText="1"/>
    </xf>
    <xf numFmtId="174" fontId="56" fillId="0" borderId="17" xfId="9" applyNumberFormat="1" applyFont="1" applyFill="1" applyBorder="1" applyAlignment="1" applyProtection="1"/>
    <xf numFmtId="0" fontId="32" fillId="0" borderId="0" xfId="4" applyFont="1" applyFill="1" applyBorder="1" applyAlignment="1" applyProtection="1">
      <protection locked="0"/>
    </xf>
    <xf numFmtId="0" fontId="32" fillId="0" borderId="0" xfId="4" applyFont="1" applyFill="1" applyBorder="1" applyAlignment="1" applyProtection="1">
      <alignment horizontal="center"/>
      <protection locked="0"/>
    </xf>
    <xf numFmtId="3" fontId="32" fillId="0" borderId="0" xfId="4" applyNumberFormat="1" applyFont="1" applyFill="1" applyBorder="1" applyAlignment="1" applyProtection="1">
      <protection locked="0"/>
    </xf>
    <xf numFmtId="167" fontId="42" fillId="0" borderId="6" xfId="4" applyNumberFormat="1" applyFont="1" applyFill="1" applyBorder="1" applyAlignment="1" applyProtection="1">
      <protection locked="0"/>
    </xf>
    <xf numFmtId="0" fontId="32" fillId="0" borderId="0" xfId="4" applyNumberFormat="1" applyFont="1" applyFill="1" applyAlignment="1" applyProtection="1">
      <protection locked="0"/>
    </xf>
    <xf numFmtId="0" fontId="32" fillId="0" borderId="5" xfId="4" applyFont="1" applyFill="1" applyBorder="1" applyAlignment="1" applyProtection="1">
      <alignment horizontal="center" vertical="center"/>
      <protection locked="0"/>
    </xf>
    <xf numFmtId="0" fontId="57" fillId="0" borderId="1" xfId="4" applyFont="1" applyFill="1" applyBorder="1" applyAlignment="1" applyProtection="1">
      <alignment horizontal="center" vertical="center"/>
      <protection locked="0"/>
    </xf>
    <xf numFmtId="175" fontId="58" fillId="0" borderId="1" xfId="4" applyNumberFormat="1" applyFont="1" applyFill="1" applyBorder="1" applyAlignment="1" applyProtection="1">
      <alignment horizontal="center"/>
      <protection locked="0"/>
    </xf>
    <xf numFmtId="176" fontId="58" fillId="0" borderId="1" xfId="4" applyNumberFormat="1" applyFont="1" applyFill="1" applyBorder="1" applyAlignment="1" applyProtection="1">
      <alignment horizontal="center"/>
      <protection locked="0"/>
    </xf>
    <xf numFmtId="2" fontId="40" fillId="0" borderId="0" xfId="4" applyNumberFormat="1" applyFont="1" applyFill="1" applyBorder="1" applyAlignment="1" applyProtection="1">
      <protection locked="0"/>
    </xf>
    <xf numFmtId="0" fontId="34" fillId="0" borderId="0" xfId="4" applyFont="1" applyFill="1" applyBorder="1" applyAlignment="1" applyProtection="1">
      <protection locked="0"/>
    </xf>
    <xf numFmtId="167" fontId="33" fillId="0" borderId="0" xfId="4" applyNumberFormat="1" applyFont="1" applyFill="1" applyBorder="1" applyAlignment="1" applyProtection="1">
      <protection locked="0"/>
    </xf>
    <xf numFmtId="167" fontId="30" fillId="0" borderId="6" xfId="4" applyNumberFormat="1" applyFont="1" applyFill="1" applyBorder="1" applyAlignment="1" applyProtection="1">
      <protection locked="0"/>
    </xf>
    <xf numFmtId="3" fontId="32" fillId="0" borderId="0" xfId="4" applyNumberFormat="1" applyFont="1" applyFill="1" applyAlignment="1" applyProtection="1">
      <protection locked="0"/>
    </xf>
    <xf numFmtId="167" fontId="42" fillId="0" borderId="0" xfId="4" applyNumberFormat="1" applyFont="1" applyFill="1" applyAlignment="1" applyProtection="1">
      <protection locked="0"/>
    </xf>
    <xf numFmtId="0" fontId="32" fillId="0" borderId="0" xfId="4" applyFont="1" applyFill="1" applyAlignment="1" applyProtection="1">
      <alignment horizontal="center"/>
      <protection locked="0"/>
    </xf>
    <xf numFmtId="1" fontId="32" fillId="0" borderId="0" xfId="4" applyNumberFormat="1" applyFont="1" applyAlignment="1" applyProtection="1">
      <protection locked="0"/>
    </xf>
    <xf numFmtId="1" fontId="32" fillId="0" borderId="0" xfId="4" applyNumberFormat="1" applyFont="1" applyAlignment="1" applyProtection="1">
      <alignment horizontal="center" vertical="center"/>
      <protection locked="0"/>
    </xf>
    <xf numFmtId="0" fontId="32" fillId="0" borderId="0" xfId="4" applyFont="1" applyAlignment="1" applyProtection="1">
      <alignment horizontal="center"/>
      <protection locked="0"/>
    </xf>
    <xf numFmtId="3" fontId="32" fillId="0" borderId="0" xfId="4" applyNumberFormat="1" applyFont="1" applyAlignment="1" applyProtection="1">
      <protection locked="0"/>
    </xf>
    <xf numFmtId="167" fontId="42" fillId="0" borderId="0" xfId="4" applyNumberFormat="1" applyFont="1" applyAlignment="1" applyProtection="1">
      <protection locked="0"/>
    </xf>
    <xf numFmtId="0" fontId="32" fillId="0" borderId="0" xfId="4" applyNumberFormat="1" applyFont="1" applyAlignment="1" applyProtection="1">
      <protection locked="0"/>
    </xf>
    <xf numFmtId="0" fontId="57" fillId="0" borderId="0" xfId="4" applyFont="1" applyBorder="1" applyAlignment="1" applyProtection="1">
      <alignment vertical="center"/>
      <protection locked="0"/>
    </xf>
    <xf numFmtId="0" fontId="57" fillId="0" borderId="0" xfId="4" applyFont="1" applyFill="1" applyBorder="1" applyAlignment="1" applyProtection="1">
      <alignment vertical="center"/>
      <protection locked="0"/>
    </xf>
    <xf numFmtId="49" fontId="84" fillId="0" borderId="0" xfId="4" applyNumberFormat="1" applyFont="1" applyBorder="1" applyAlignment="1" applyProtection="1">
      <alignment horizontal="left" vertical="center"/>
      <protection locked="0"/>
    </xf>
    <xf numFmtId="0" fontId="88" fillId="0" borderId="0" xfId="3" applyFont="1" applyFill="1"/>
    <xf numFmtId="0" fontId="85" fillId="0" borderId="0" xfId="4" applyFont="1" applyFill="1" applyAlignment="1" applyProtection="1">
      <protection locked="0"/>
    </xf>
    <xf numFmtId="167" fontId="40" fillId="0" borderId="0" xfId="4" applyNumberFormat="1" applyFont="1" applyFill="1" applyAlignment="1" applyProtection="1">
      <alignment horizontal="center"/>
      <protection locked="0"/>
    </xf>
    <xf numFmtId="0" fontId="9" fillId="0" borderId="0" xfId="146"/>
    <xf numFmtId="0" fontId="9" fillId="0" borderId="0" xfId="146" applyAlignment="1">
      <alignment horizontal="right" wrapText="1"/>
    </xf>
    <xf numFmtId="0" fontId="9" fillId="0" borderId="0" xfId="146" applyAlignment="1">
      <alignment horizontal="center" vertical="center"/>
    </xf>
    <xf numFmtId="0" fontId="9" fillId="0" borderId="0" xfId="146" applyAlignment="1">
      <alignment horizontal="center" vertical="center" wrapText="1"/>
    </xf>
    <xf numFmtId="0" fontId="90" fillId="0" borderId="1" xfId="146" applyFont="1" applyBorder="1" applyAlignment="1">
      <alignment horizontal="center" vertical="center"/>
    </xf>
    <xf numFmtId="0" fontId="9" fillId="0" borderId="1" xfId="146" applyNumberFormat="1" applyBorder="1"/>
    <xf numFmtId="0" fontId="9" fillId="0" borderId="0" xfId="146" applyNumberFormat="1"/>
    <xf numFmtId="0" fontId="9" fillId="0" borderId="1" xfId="146" applyBorder="1"/>
    <xf numFmtId="167" fontId="9" fillId="0" borderId="0" xfId="146" applyNumberFormat="1"/>
    <xf numFmtId="0" fontId="91" fillId="0" borderId="39" xfId="146" applyFont="1" applyBorder="1" applyAlignment="1">
      <alignment horizontal="center" vertical="center" wrapText="1"/>
    </xf>
    <xf numFmtId="0" fontId="91" fillId="0" borderId="40" xfId="146" applyFont="1" applyBorder="1" applyAlignment="1">
      <alignment horizontal="center" vertical="center" wrapText="1"/>
    </xf>
    <xf numFmtId="0" fontId="92" fillId="0" borderId="41" xfId="146" applyFont="1" applyBorder="1" applyAlignment="1">
      <alignment vertical="center" wrapText="1"/>
    </xf>
    <xf numFmtId="0" fontId="27" fillId="0" borderId="42" xfId="146" applyFont="1" applyBorder="1" applyAlignment="1">
      <alignment horizontal="center" vertical="center" wrapText="1"/>
    </xf>
    <xf numFmtId="164" fontId="27" fillId="0" borderId="42" xfId="146" applyNumberFormat="1" applyFont="1" applyBorder="1" applyAlignment="1">
      <alignment horizontal="right" vertical="center" wrapText="1"/>
    </xf>
    <xf numFmtId="0" fontId="93" fillId="0" borderId="41" xfId="146" applyFont="1" applyBorder="1" applyAlignment="1">
      <alignment vertical="center" wrapText="1"/>
    </xf>
    <xf numFmtId="0" fontId="93" fillId="0" borderId="42" xfId="146" applyFont="1" applyBorder="1" applyAlignment="1">
      <alignment horizontal="center" vertical="center" wrapText="1"/>
    </xf>
    <xf numFmtId="164" fontId="93" fillId="0" borderId="42" xfId="146" applyNumberFormat="1" applyFont="1" applyBorder="1" applyAlignment="1">
      <alignment horizontal="right" vertical="center" wrapText="1"/>
    </xf>
    <xf numFmtId="171" fontId="89" fillId="3" borderId="16" xfId="4" applyNumberFormat="1" applyFont="1" applyFill="1" applyBorder="1" applyAlignment="1" applyProtection="1">
      <alignment horizontal="center" vertical="center"/>
      <protection locked="0"/>
    </xf>
    <xf numFmtId="1" fontId="45" fillId="3" borderId="50" xfId="4" applyNumberFormat="1" applyFont="1" applyFill="1" applyBorder="1" applyAlignment="1" applyProtection="1">
      <alignment horizontal="center" vertical="center"/>
      <protection locked="0"/>
    </xf>
    <xf numFmtId="0" fontId="0" fillId="0" borderId="0" xfId="0" pivotButton="1"/>
    <xf numFmtId="0" fontId="0" fillId="0" borderId="0" xfId="0" applyAlignment="1">
      <alignment horizontal="left"/>
    </xf>
    <xf numFmtId="167" fontId="0" fillId="0" borderId="0" xfId="0" applyNumberFormat="1"/>
    <xf numFmtId="0" fontId="9" fillId="0" borderId="0" xfId="146" applyAlignment="1">
      <alignment vertical="center" wrapText="1"/>
    </xf>
    <xf numFmtId="0" fontId="90" fillId="0" borderId="0" xfId="146" applyFont="1" applyAlignment="1">
      <alignment horizontal="center" vertical="center" wrapText="1"/>
    </xf>
    <xf numFmtId="190" fontId="9" fillId="0" borderId="37" xfId="146" applyNumberFormat="1" applyBorder="1" applyAlignment="1">
      <alignment vertical="center" wrapText="1"/>
    </xf>
    <xf numFmtId="0" fontId="9" fillId="0" borderId="0" xfId="146" applyAlignment="1">
      <alignment horizontal="left" vertical="center" wrapText="1"/>
    </xf>
    <xf numFmtId="190" fontId="9" fillId="0" borderId="3" xfId="146" applyNumberFormat="1" applyBorder="1" applyAlignment="1">
      <alignment vertical="center" wrapText="1"/>
    </xf>
    <xf numFmtId="190" fontId="9" fillId="0" borderId="0" xfId="146" applyNumberFormat="1" applyBorder="1" applyAlignment="1">
      <alignment vertical="center" wrapText="1"/>
    </xf>
    <xf numFmtId="0" fontId="96" fillId="0" borderId="0" xfId="146" applyFont="1" applyAlignment="1">
      <alignment horizontal="left" vertical="center"/>
    </xf>
    <xf numFmtId="0" fontId="96" fillId="0" borderId="0" xfId="146" applyFont="1" applyAlignment="1">
      <alignment horizontal="center" vertical="center"/>
    </xf>
    <xf numFmtId="0" fontId="96" fillId="0" borderId="0" xfId="146" applyFont="1" applyAlignment="1">
      <alignment vertical="center"/>
    </xf>
    <xf numFmtId="190" fontId="96" fillId="0" borderId="0" xfId="146" applyNumberFormat="1" applyFont="1" applyAlignment="1">
      <alignment vertical="center"/>
    </xf>
    <xf numFmtId="0" fontId="27" fillId="0" borderId="0" xfId="146" applyFont="1"/>
    <xf numFmtId="0" fontId="27" fillId="0" borderId="0" xfId="146" applyFont="1" applyAlignment="1">
      <alignment horizontal="left" vertical="center"/>
    </xf>
    <xf numFmtId="0" fontId="27" fillId="0" borderId="0" xfId="146" applyFont="1" applyAlignment="1">
      <alignment horizontal="center" vertical="center"/>
    </xf>
    <xf numFmtId="190" fontId="27" fillId="0" borderId="0" xfId="146" applyNumberFormat="1" applyFont="1"/>
    <xf numFmtId="0" fontId="93" fillId="0" borderId="0" xfId="146" applyFont="1" applyAlignment="1">
      <alignment horizontal="left" vertical="center"/>
    </xf>
    <xf numFmtId="0" fontId="97" fillId="0" borderId="1" xfId="146" applyFont="1" applyBorder="1" applyAlignment="1">
      <alignment horizontal="center" vertical="center"/>
    </xf>
    <xf numFmtId="0" fontId="97" fillId="0" borderId="1" xfId="146" applyFont="1" applyBorder="1" applyAlignment="1">
      <alignment horizontal="center"/>
    </xf>
    <xf numFmtId="190" fontId="97" fillId="0" borderId="1" xfId="146" applyNumberFormat="1" applyFont="1" applyBorder="1" applyAlignment="1">
      <alignment horizontal="center"/>
    </xf>
    <xf numFmtId="0" fontId="92" fillId="0" borderId="1" xfId="146" applyFont="1" applyBorder="1" applyAlignment="1">
      <alignment horizontal="center" vertical="center"/>
    </xf>
    <xf numFmtId="0" fontId="92" fillId="0" borderId="1" xfId="146" applyFont="1" applyBorder="1" applyAlignment="1">
      <alignment wrapText="1"/>
    </xf>
    <xf numFmtId="190" fontId="92" fillId="0" borderId="1" xfId="146" applyNumberFormat="1" applyFont="1" applyBorder="1" applyAlignment="1">
      <alignment horizontal="right" vertical="center"/>
    </xf>
    <xf numFmtId="0" fontId="92" fillId="0" borderId="1" xfId="146" applyFont="1" applyBorder="1" applyAlignment="1">
      <alignment horizontal="center" vertical="center" wrapText="1"/>
    </xf>
    <xf numFmtId="0" fontId="92" fillId="0" borderId="1" xfId="146" applyFont="1" applyBorder="1"/>
    <xf numFmtId="190" fontId="92" fillId="0" borderId="1" xfId="146" applyNumberFormat="1" applyFont="1" applyBorder="1"/>
    <xf numFmtId="0" fontId="92" fillId="0" borderId="0" xfId="146" applyFont="1" applyBorder="1" applyAlignment="1">
      <alignment horizontal="center" vertical="center"/>
    </xf>
    <xf numFmtId="0" fontId="97" fillId="0" borderId="0" xfId="146" applyFont="1" applyBorder="1" applyAlignment="1">
      <alignment horizontal="right"/>
    </xf>
    <xf numFmtId="190" fontId="97" fillId="0" borderId="0" xfId="146" applyNumberFormat="1" applyFont="1" applyBorder="1"/>
    <xf numFmtId="0" fontId="97" fillId="0" borderId="0" xfId="146" applyFont="1" applyAlignment="1">
      <alignment horizontal="left" vertical="center"/>
    </xf>
    <xf numFmtId="0" fontId="92" fillId="0" borderId="0" xfId="146" applyFont="1" applyAlignment="1">
      <alignment horizontal="center" vertical="center"/>
    </xf>
    <xf numFmtId="0" fontId="92" fillId="0" borderId="0" xfId="146" applyFont="1"/>
    <xf numFmtId="190" fontId="92" fillId="0" borderId="0" xfId="146" applyNumberFormat="1" applyFont="1"/>
    <xf numFmtId="190" fontId="92" fillId="0" borderId="1" xfId="146" applyNumberFormat="1" applyFont="1" applyBorder="1" applyAlignment="1">
      <alignment vertical="center"/>
    </xf>
    <xf numFmtId="0" fontId="98" fillId="0" borderId="0" xfId="146" applyFont="1" applyAlignment="1">
      <alignment horizontal="left" vertical="center"/>
    </xf>
    <xf numFmtId="190" fontId="92" fillId="0" borderId="0" xfId="146" applyNumberFormat="1" applyFont="1" applyAlignment="1">
      <alignment vertical="center"/>
    </xf>
    <xf numFmtId="0" fontId="97" fillId="0" borderId="0" xfId="146" applyFont="1" applyAlignment="1">
      <alignment horizontal="right"/>
    </xf>
    <xf numFmtId="190" fontId="97" fillId="0" borderId="0" xfId="146" applyNumberFormat="1" applyFont="1" applyAlignment="1">
      <alignment vertical="center"/>
    </xf>
    <xf numFmtId="0" fontId="9" fillId="0" borderId="0" xfId="146" applyBorder="1"/>
    <xf numFmtId="0" fontId="99" fillId="0" borderId="0" xfId="4" applyFont="1" applyBorder="1" applyAlignment="1" applyProtection="1">
      <alignment vertical="center"/>
      <protection locked="0"/>
    </xf>
    <xf numFmtId="0" fontId="99" fillId="0" borderId="3" xfId="4" applyFont="1" applyBorder="1" applyAlignment="1" applyProtection="1">
      <alignment vertical="center"/>
      <protection locked="0"/>
    </xf>
    <xf numFmtId="0" fontId="100" fillId="0" borderId="0" xfId="4" applyFont="1" applyBorder="1" applyAlignment="1" applyProtection="1">
      <alignment horizontal="left" vertical="center"/>
      <protection locked="0"/>
    </xf>
    <xf numFmtId="0" fontId="100" fillId="0" borderId="0" xfId="4" applyFont="1" applyBorder="1" applyAlignment="1" applyProtection="1">
      <alignment horizontal="center" vertical="center"/>
      <protection locked="0"/>
    </xf>
    <xf numFmtId="0" fontId="101" fillId="0" borderId="0" xfId="4" applyFont="1" applyBorder="1" applyAlignment="1" applyProtection="1">
      <alignment horizontal="center" vertical="center"/>
      <protection locked="0"/>
    </xf>
    <xf numFmtId="49" fontId="99" fillId="0" borderId="0" xfId="148" applyNumberFormat="1" applyFont="1" applyFill="1" applyBorder="1" applyAlignment="1" applyProtection="1">
      <alignment horizontal="center"/>
      <protection locked="0"/>
    </xf>
    <xf numFmtId="0" fontId="100" fillId="0" borderId="0" xfId="4" applyFont="1" applyBorder="1" applyAlignment="1" applyProtection="1">
      <alignment horizontal="left" vertical="center" wrapText="1"/>
      <protection locked="0"/>
    </xf>
    <xf numFmtId="191" fontId="0" fillId="0" borderId="0" xfId="147" applyNumberFormat="1" applyFont="1"/>
    <xf numFmtId="2" fontId="102" fillId="0" borderId="0" xfId="4" applyNumberFormat="1" applyFont="1" applyFill="1" applyAlignment="1" applyProtection="1">
      <protection locked="0"/>
    </xf>
    <xf numFmtId="3" fontId="102" fillId="0" borderId="0" xfId="4" applyNumberFormat="1" applyFont="1" applyFill="1" applyAlignment="1" applyProtection="1">
      <protection locked="0"/>
    </xf>
    <xf numFmtId="0" fontId="102" fillId="0" borderId="0" xfId="4" applyFont="1" applyFill="1" applyAlignment="1" applyProtection="1">
      <protection locked="0"/>
    </xf>
    <xf numFmtId="0" fontId="102" fillId="0" borderId="0" xfId="4" applyFont="1" applyFill="1" applyAlignment="1" applyProtection="1">
      <alignment horizontal="left"/>
      <protection locked="0"/>
    </xf>
    <xf numFmtId="169" fontId="39" fillId="0" borderId="0" xfId="4" applyNumberFormat="1" applyFont="1" applyBorder="1" applyAlignment="1" applyProtection="1">
      <alignment horizontal="right" vertical="center"/>
      <protection locked="0"/>
    </xf>
    <xf numFmtId="0" fontId="34" fillId="0" borderId="0" xfId="4" applyFont="1" applyAlignment="1" applyProtection="1">
      <protection locked="0"/>
    </xf>
    <xf numFmtId="0" fontId="103" fillId="0" borderId="39" xfId="146" applyFont="1" applyBorder="1" applyAlignment="1">
      <alignment horizontal="center" vertical="center" wrapText="1"/>
    </xf>
    <xf numFmtId="0" fontId="103" fillId="0" borderId="40" xfId="146" applyFont="1" applyBorder="1" applyAlignment="1">
      <alignment horizontal="center" vertical="center" wrapText="1"/>
    </xf>
    <xf numFmtId="1" fontId="32" fillId="0" borderId="0" xfId="4" applyNumberFormat="1" applyFont="1" applyFill="1" applyAlignment="1" applyProtection="1">
      <alignment horizontal="center" vertical="center"/>
      <protection locked="0"/>
    </xf>
    <xf numFmtId="1" fontId="32" fillId="0" borderId="0" xfId="4" applyNumberFormat="1" applyFont="1" applyFill="1" applyAlignment="1" applyProtection="1">
      <protection locked="0"/>
    </xf>
    <xf numFmtId="0" fontId="34" fillId="0" borderId="0" xfId="4" applyFont="1" applyFill="1" applyAlignment="1" applyProtection="1">
      <protection locked="0"/>
    </xf>
    <xf numFmtId="1" fontId="27" fillId="0" borderId="2" xfId="149" applyNumberFormat="1" applyFont="1" applyBorder="1" applyAlignment="1">
      <alignment horizontal="center" vertical="center"/>
    </xf>
    <xf numFmtId="1" fontId="27" fillId="0" borderId="3" xfId="149" applyNumberFormat="1" applyFont="1" applyBorder="1"/>
    <xf numFmtId="0" fontId="31" fillId="0" borderId="4" xfId="150" applyNumberFormat="1" applyFont="1" applyBorder="1"/>
    <xf numFmtId="0" fontId="27" fillId="0" borderId="0" xfId="149" applyFont="1"/>
    <xf numFmtId="1" fontId="27" fillId="0" borderId="5" xfId="149" applyNumberFormat="1" applyFont="1" applyBorder="1" applyAlignment="1">
      <alignment horizontal="center" vertical="center"/>
    </xf>
    <xf numFmtId="1" fontId="27" fillId="0" borderId="0" xfId="149" applyNumberFormat="1" applyFont="1" applyBorder="1"/>
    <xf numFmtId="0" fontId="27" fillId="0" borderId="0" xfId="149" applyFont="1" applyBorder="1"/>
    <xf numFmtId="0" fontId="34" fillId="0" borderId="0" xfId="149" applyFont="1" applyBorder="1"/>
    <xf numFmtId="0" fontId="27" fillId="0" borderId="0" xfId="149" applyFont="1" applyBorder="1" applyAlignment="1"/>
    <xf numFmtId="167" fontId="36" fillId="0" borderId="0" xfId="4" applyNumberFormat="1" applyFont="1" applyBorder="1" applyAlignment="1" applyProtection="1">
      <alignment horizontal="left" vertical="center"/>
      <protection locked="0"/>
    </xf>
    <xf numFmtId="49" fontId="29" fillId="0" borderId="0" xfId="148" applyNumberFormat="1" applyFont="1" applyFill="1" applyBorder="1" applyAlignment="1" applyProtection="1">
      <alignment horizontal="left"/>
      <protection locked="0"/>
    </xf>
    <xf numFmtId="49" fontId="29" fillId="0" borderId="0" xfId="151" applyNumberFormat="1" applyFont="1" applyFill="1" applyBorder="1" applyAlignment="1" applyProtection="1">
      <alignment horizontal="left"/>
      <protection locked="0"/>
    </xf>
    <xf numFmtId="167" fontId="42" fillId="0" borderId="0" xfId="4" applyNumberFormat="1" applyFont="1" applyBorder="1" applyAlignment="1" applyProtection="1">
      <alignment horizontal="center" vertical="center"/>
      <protection locked="0"/>
    </xf>
    <xf numFmtId="49" fontId="29" fillId="0" borderId="8" xfId="151" applyNumberFormat="1" applyFont="1" applyFill="1" applyBorder="1" applyAlignment="1" applyProtection="1">
      <alignment horizontal="left"/>
      <protection locked="0"/>
    </xf>
    <xf numFmtId="49" fontId="29" fillId="0" borderId="10" xfId="151" applyNumberFormat="1" applyFont="1" applyFill="1" applyBorder="1" applyAlignment="1" applyProtection="1">
      <alignment horizontal="left"/>
      <protection locked="0"/>
    </xf>
    <xf numFmtId="49" fontId="29" fillId="0" borderId="49" xfId="151" applyNumberFormat="1" applyFont="1" applyFill="1" applyBorder="1" applyAlignment="1" applyProtection="1">
      <alignment horizontal="left"/>
      <protection locked="0"/>
    </xf>
    <xf numFmtId="0" fontId="32" fillId="0" borderId="0" xfId="4" applyFont="1" applyFill="1" applyAlignment="1" applyProtection="1">
      <alignment horizontal="center" vertical="center"/>
      <protection locked="0"/>
    </xf>
    <xf numFmtId="1" fontId="47" fillId="3" borderId="5" xfId="4" applyNumberFormat="1" applyFont="1" applyFill="1" applyBorder="1" applyAlignment="1" applyProtection="1">
      <alignment horizontal="center" vertical="center"/>
      <protection locked="0"/>
    </xf>
    <xf numFmtId="0" fontId="48" fillId="3" borderId="5" xfId="4" applyFont="1" applyFill="1" applyBorder="1" applyAlignment="1" applyProtection="1">
      <alignment horizontal="center" vertical="center" wrapText="1"/>
      <protection locked="0"/>
    </xf>
    <xf numFmtId="171" fontId="49" fillId="3" borderId="6" xfId="4" applyNumberFormat="1" applyFont="1" applyFill="1" applyBorder="1" applyAlignment="1" applyProtection="1">
      <alignment horizontal="center" vertical="center"/>
      <protection locked="0"/>
    </xf>
    <xf numFmtId="171" fontId="104" fillId="3" borderId="0" xfId="4" applyNumberFormat="1" applyFont="1" applyFill="1" applyBorder="1" applyAlignment="1" applyProtection="1">
      <alignment horizontal="center" vertical="center"/>
      <protection locked="0"/>
    </xf>
    <xf numFmtId="0" fontId="47" fillId="3" borderId="56" xfId="4" applyFont="1" applyFill="1" applyBorder="1" applyAlignment="1" applyProtection="1">
      <alignment vertical="center"/>
      <protection locked="0"/>
    </xf>
    <xf numFmtId="0" fontId="47" fillId="3" borderId="2" xfId="4" applyFont="1" applyFill="1" applyBorder="1" applyAlignment="1" applyProtection="1">
      <alignment horizontal="center" vertical="center"/>
      <protection locked="0"/>
    </xf>
    <xf numFmtId="192" fontId="105" fillId="3" borderId="4" xfId="4" applyNumberFormat="1" applyFont="1" applyFill="1" applyBorder="1" applyAlignment="1" applyProtection="1">
      <alignment horizontal="center" vertical="center"/>
      <protection locked="0"/>
    </xf>
    <xf numFmtId="0" fontId="47" fillId="3" borderId="0" xfId="4" applyFont="1" applyFill="1" applyBorder="1" applyAlignment="1" applyProtection="1">
      <alignment horizontal="center" vertical="center"/>
      <protection locked="0"/>
    </xf>
    <xf numFmtId="0" fontId="47" fillId="3" borderId="57" xfId="4" applyFont="1" applyFill="1" applyBorder="1" applyAlignment="1" applyProtection="1">
      <alignment horizontal="center" vertical="center" wrapText="1"/>
      <protection locked="0"/>
    </xf>
    <xf numFmtId="172" fontId="106" fillId="0" borderId="57" xfId="4" applyNumberFormat="1" applyFont="1" applyFill="1" applyBorder="1" applyAlignment="1" applyProtection="1">
      <alignment horizontal="center" vertical="center"/>
      <protection locked="0"/>
    </xf>
    <xf numFmtId="0" fontId="32" fillId="0" borderId="3" xfId="4" applyFont="1" applyFill="1" applyBorder="1" applyAlignment="1" applyProtection="1">
      <alignment horizontal="center"/>
      <protection locked="0"/>
    </xf>
    <xf numFmtId="0" fontId="47" fillId="4" borderId="58" xfId="4" applyFont="1" applyFill="1" applyBorder="1" applyAlignment="1" applyProtection="1">
      <alignment horizontal="center" vertical="center" wrapText="1"/>
      <protection locked="0"/>
    </xf>
    <xf numFmtId="0" fontId="47" fillId="4" borderId="3" xfId="4" applyFont="1" applyFill="1" applyBorder="1" applyAlignment="1" applyProtection="1">
      <alignment horizontal="center" vertical="center"/>
      <protection locked="0"/>
    </xf>
    <xf numFmtId="167" fontId="49" fillId="4" borderId="60" xfId="4" applyNumberFormat="1" applyFont="1" applyFill="1" applyBorder="1" applyAlignment="1" applyProtection="1">
      <alignment vertical="center"/>
      <protection locked="0"/>
    </xf>
    <xf numFmtId="0" fontId="47" fillId="4" borderId="61" xfId="4" applyFont="1" applyFill="1" applyBorder="1" applyAlignment="1" applyProtection="1">
      <alignment horizontal="center" vertical="justify"/>
      <protection locked="0"/>
    </xf>
    <xf numFmtId="0" fontId="47" fillId="4" borderId="62" xfId="4" applyFont="1" applyFill="1" applyBorder="1" applyAlignment="1" applyProtection="1">
      <alignment horizontal="center" vertical="center" wrapText="1"/>
      <protection locked="0"/>
    </xf>
    <xf numFmtId="0" fontId="27" fillId="0" borderId="0" xfId="149" applyFont="1" applyFill="1"/>
    <xf numFmtId="1" fontId="47" fillId="4" borderId="2" xfId="4" applyNumberFormat="1" applyFont="1" applyFill="1" applyBorder="1" applyAlignment="1" applyProtection="1">
      <alignment horizontal="center" vertical="center" wrapText="1"/>
      <protection locked="0"/>
    </xf>
    <xf numFmtId="0" fontId="47" fillId="4" borderId="64" xfId="4" applyFont="1" applyFill="1" applyBorder="1" applyAlignment="1" applyProtection="1">
      <alignment horizontal="center" vertical="center"/>
      <protection locked="0"/>
    </xf>
    <xf numFmtId="0" fontId="47" fillId="4" borderId="58" xfId="4" applyFont="1" applyFill="1" applyBorder="1" applyAlignment="1" applyProtection="1">
      <alignment horizontal="center" vertical="center"/>
      <protection locked="0"/>
    </xf>
    <xf numFmtId="0" fontId="50" fillId="4" borderId="59" xfId="4" applyFont="1" applyFill="1" applyBorder="1" applyAlignment="1" applyProtection="1">
      <alignment horizontal="center" vertical="center"/>
      <protection locked="0"/>
    </xf>
    <xf numFmtId="0" fontId="47" fillId="4" borderId="65" xfId="4" applyFont="1" applyFill="1" applyBorder="1" applyAlignment="1" applyProtection="1">
      <alignment vertical="center"/>
      <protection locked="0"/>
    </xf>
    <xf numFmtId="0" fontId="48" fillId="4" borderId="58" xfId="4" applyFont="1" applyFill="1" applyBorder="1" applyAlignment="1" applyProtection="1">
      <alignment horizontal="center" vertical="center" wrapText="1"/>
      <protection locked="0"/>
    </xf>
    <xf numFmtId="0" fontId="51" fillId="4" borderId="58" xfId="4" applyFont="1" applyFill="1" applyBorder="1" applyAlignment="1" applyProtection="1">
      <alignment horizontal="center" vertical="center" wrapText="1"/>
      <protection locked="0"/>
    </xf>
    <xf numFmtId="0" fontId="47" fillId="4" borderId="59" xfId="4" applyFont="1" applyFill="1" applyBorder="1" applyAlignment="1" applyProtection="1">
      <alignment horizontal="center" vertical="center"/>
      <protection locked="0"/>
    </xf>
    <xf numFmtId="3" fontId="48" fillId="4" borderId="61" xfId="4" applyNumberFormat="1" applyFont="1" applyFill="1" applyBorder="1" applyAlignment="1" applyProtection="1">
      <alignment horizontal="center" vertical="center" wrapText="1"/>
      <protection locked="0"/>
    </xf>
    <xf numFmtId="3" fontId="47" fillId="4" borderId="60" xfId="4" applyNumberFormat="1" applyFont="1" applyFill="1" applyBorder="1" applyAlignment="1" applyProtection="1">
      <alignment horizontal="center" vertical="center" wrapText="1"/>
      <protection locked="0"/>
    </xf>
    <xf numFmtId="3" fontId="47" fillId="4" borderId="58" xfId="4" applyNumberFormat="1" applyFont="1" applyFill="1" applyBorder="1" applyAlignment="1" applyProtection="1">
      <alignment horizontal="center" vertical="center" wrapText="1"/>
      <protection locked="0"/>
    </xf>
    <xf numFmtId="167" fontId="49" fillId="4" borderId="61" xfId="4" applyNumberFormat="1" applyFont="1" applyFill="1" applyBorder="1" applyAlignment="1" applyProtection="1">
      <alignment horizontal="center" vertical="center"/>
      <protection locked="0"/>
    </xf>
    <xf numFmtId="0" fontId="47" fillId="4" borderId="4" xfId="4" applyFont="1" applyFill="1" applyBorder="1" applyAlignment="1" applyProtection="1">
      <alignment horizontal="center" vertical="justify"/>
      <protection locked="0"/>
    </xf>
    <xf numFmtId="0" fontId="47" fillId="4" borderId="60" xfId="4" applyFont="1" applyFill="1" applyBorder="1" applyAlignment="1" applyProtection="1">
      <alignment horizontal="center" vertical="center" wrapText="1"/>
      <protection locked="0"/>
    </xf>
    <xf numFmtId="0" fontId="47" fillId="4" borderId="61" xfId="4" applyFont="1" applyFill="1" applyBorder="1" applyAlignment="1" applyProtection="1">
      <alignment horizontal="center" vertical="center"/>
      <protection locked="0"/>
    </xf>
    <xf numFmtId="49" fontId="52" fillId="3" borderId="58" xfId="150" applyNumberFormat="1" applyFont="1" applyFill="1" applyBorder="1" applyAlignment="1" applyProtection="1">
      <alignment horizontal="center" vertical="center" wrapText="1"/>
      <protection locked="0"/>
    </xf>
    <xf numFmtId="49" fontId="52" fillId="3" borderId="67" xfId="150" applyNumberFormat="1" applyFont="1" applyFill="1" applyBorder="1" applyAlignment="1" applyProtection="1">
      <alignment horizontal="center" vertical="center" wrapText="1"/>
      <protection locked="0"/>
    </xf>
    <xf numFmtId="49" fontId="34" fillId="3" borderId="68" xfId="150" applyNumberFormat="1" applyFont="1" applyFill="1" applyBorder="1" applyAlignment="1" applyProtection="1">
      <alignment horizontal="center" vertical="center" wrapText="1"/>
      <protection locked="0"/>
    </xf>
    <xf numFmtId="0" fontId="32" fillId="3" borderId="69" xfId="4" applyFont="1" applyFill="1" applyBorder="1" applyAlignment="1" applyProtection="1">
      <alignment horizontal="center" vertical="center" wrapText="1"/>
      <protection locked="0"/>
    </xf>
    <xf numFmtId="0" fontId="32" fillId="3" borderId="67" xfId="4" applyFont="1" applyFill="1" applyBorder="1" applyAlignment="1" applyProtection="1">
      <alignment horizontal="center" vertical="center" wrapText="1"/>
      <protection locked="0"/>
    </xf>
    <xf numFmtId="3" fontId="32" fillId="3" borderId="67" xfId="4" applyNumberFormat="1" applyFont="1" applyFill="1" applyBorder="1" applyAlignment="1" applyProtection="1">
      <alignment horizontal="center" vertical="center" wrapText="1"/>
      <protection locked="0"/>
    </xf>
    <xf numFmtId="0" fontId="32" fillId="3" borderId="67" xfId="4" applyFont="1" applyFill="1" applyBorder="1" applyAlignment="1" applyProtection="1">
      <alignment horizontal="left" vertical="center" wrapText="1"/>
      <protection locked="0"/>
    </xf>
    <xf numFmtId="169" fontId="32" fillId="3" borderId="67" xfId="4" applyNumberFormat="1" applyFont="1" applyFill="1" applyBorder="1" applyAlignment="1" applyProtection="1">
      <alignment horizontal="center" vertical="center" wrapText="1"/>
      <protection locked="0"/>
    </xf>
    <xf numFmtId="14" fontId="32" fillId="3" borderId="67" xfId="4" applyNumberFormat="1" applyFont="1" applyFill="1" applyBorder="1" applyAlignment="1" applyProtection="1">
      <alignment horizontal="center" vertical="center" wrapText="1"/>
      <protection locked="0"/>
    </xf>
    <xf numFmtId="167" fontId="32" fillId="3" borderId="67" xfId="4" applyNumberFormat="1" applyFont="1" applyFill="1" applyBorder="1" applyAlignment="1" applyProtection="1">
      <alignment horizontal="center" vertical="center" wrapText="1"/>
      <protection locked="0"/>
    </xf>
    <xf numFmtId="9" fontId="52" fillId="3" borderId="69" xfId="1" applyFont="1" applyFill="1" applyBorder="1" applyAlignment="1" applyProtection="1">
      <alignment horizontal="center" vertical="center" wrapText="1"/>
      <protection locked="0"/>
    </xf>
    <xf numFmtId="173" fontId="32" fillId="3" borderId="67" xfId="4" applyNumberFormat="1" applyFont="1" applyFill="1" applyBorder="1" applyAlignment="1" applyProtection="1">
      <alignment horizontal="center" vertical="center" wrapText="1"/>
      <protection locked="0"/>
    </xf>
    <xf numFmtId="2" fontId="32" fillId="3" borderId="67" xfId="4" applyNumberFormat="1" applyFont="1" applyFill="1" applyBorder="1" applyAlignment="1" applyProtection="1">
      <alignment horizontal="center" vertical="center" wrapText="1"/>
      <protection locked="0"/>
    </xf>
    <xf numFmtId="0" fontId="32" fillId="3" borderId="70" xfId="4" applyNumberFormat="1" applyFont="1" applyFill="1" applyBorder="1" applyAlignment="1" applyProtection="1">
      <alignment horizontal="center" vertical="center" wrapText="1"/>
      <protection locked="0"/>
    </xf>
    <xf numFmtId="0" fontId="27" fillId="3" borderId="0" xfId="149" applyFont="1" applyFill="1" applyAlignment="1">
      <alignment vertical="center" wrapText="1"/>
    </xf>
    <xf numFmtId="0" fontId="32" fillId="3" borderId="0" xfId="4" applyFont="1" applyFill="1" applyAlignment="1" applyProtection="1">
      <alignment vertical="center" wrapText="1"/>
      <protection locked="0"/>
    </xf>
    <xf numFmtId="49" fontId="52" fillId="3" borderId="17" xfId="150" applyNumberFormat="1" applyFont="1" applyFill="1" applyBorder="1" applyAlignment="1" applyProtection="1">
      <alignment horizontal="center" vertical="center" wrapText="1"/>
      <protection locked="0"/>
    </xf>
    <xf numFmtId="49" fontId="52" fillId="3" borderId="1" xfId="150" applyNumberFormat="1" applyFont="1" applyFill="1" applyBorder="1" applyAlignment="1" applyProtection="1">
      <alignment horizontal="center" vertical="center" wrapText="1"/>
      <protection locked="0"/>
    </xf>
    <xf numFmtId="49" fontId="34" fillId="3" borderId="36" xfId="150" applyNumberFormat="1" applyFont="1" applyFill="1" applyBorder="1" applyAlignment="1" applyProtection="1">
      <alignment horizontal="center" vertical="center" wrapText="1"/>
      <protection locked="0"/>
    </xf>
    <xf numFmtId="0" fontId="32" fillId="3" borderId="14" xfId="4" applyFont="1" applyFill="1" applyBorder="1" applyAlignment="1" applyProtection="1">
      <alignment horizontal="center" vertical="center" wrapText="1"/>
      <protection locked="0"/>
    </xf>
    <xf numFmtId="0" fontId="32" fillId="3" borderId="1" xfId="4" applyFont="1" applyFill="1" applyBorder="1" applyAlignment="1" applyProtection="1">
      <alignment horizontal="center" vertical="center" wrapText="1"/>
      <protection locked="0"/>
    </xf>
    <xf numFmtId="3" fontId="32" fillId="3" borderId="1" xfId="4" applyNumberFormat="1" applyFont="1" applyFill="1" applyBorder="1" applyAlignment="1" applyProtection="1">
      <alignment horizontal="center" vertical="center" wrapText="1"/>
      <protection locked="0"/>
    </xf>
    <xf numFmtId="0" fontId="32" fillId="3" borderId="1" xfId="4" applyFont="1" applyFill="1" applyBorder="1" applyAlignment="1" applyProtection="1">
      <alignment horizontal="left" vertical="center" wrapText="1"/>
      <protection locked="0"/>
    </xf>
    <xf numFmtId="14" fontId="32" fillId="3" borderId="1" xfId="4" applyNumberFormat="1" applyFont="1" applyFill="1" applyBorder="1" applyAlignment="1" applyProtection="1">
      <alignment horizontal="center" vertical="center" wrapText="1"/>
      <protection locked="0"/>
    </xf>
    <xf numFmtId="167" fontId="32" fillId="3" borderId="1" xfId="4" applyNumberFormat="1" applyFont="1" applyFill="1" applyBorder="1" applyAlignment="1" applyProtection="1">
      <alignment horizontal="center" vertical="center" wrapText="1"/>
      <protection locked="0"/>
    </xf>
    <xf numFmtId="9" fontId="52" fillId="3" borderId="14" xfId="1" applyFont="1" applyFill="1" applyBorder="1" applyAlignment="1" applyProtection="1">
      <alignment horizontal="center" vertical="center" wrapText="1"/>
      <protection locked="0"/>
    </xf>
    <xf numFmtId="173" fontId="32" fillId="3" borderId="1" xfId="4" applyNumberFormat="1" applyFont="1" applyFill="1" applyBorder="1" applyAlignment="1" applyProtection="1">
      <alignment horizontal="center" vertical="center" wrapText="1"/>
      <protection locked="0"/>
    </xf>
    <xf numFmtId="2" fontId="32" fillId="3" borderId="1" xfId="4" applyNumberFormat="1" applyFont="1" applyFill="1" applyBorder="1" applyAlignment="1" applyProtection="1">
      <alignment horizontal="center" vertical="center" wrapText="1"/>
      <protection locked="0"/>
    </xf>
    <xf numFmtId="0" fontId="32" fillId="3" borderId="13" xfId="4" applyNumberFormat="1" applyFont="1" applyFill="1" applyBorder="1" applyAlignment="1" applyProtection="1">
      <alignment horizontal="center" vertical="center" wrapText="1"/>
      <protection locked="0"/>
    </xf>
    <xf numFmtId="49" fontId="52" fillId="3" borderId="71" xfId="150" applyNumberFormat="1" applyFont="1" applyFill="1" applyBorder="1" applyAlignment="1" applyProtection="1">
      <alignment horizontal="center" vertical="center" wrapText="1"/>
      <protection locked="0"/>
    </xf>
    <xf numFmtId="49" fontId="52" fillId="3" borderId="24" xfId="150" applyNumberFormat="1" applyFont="1" applyFill="1" applyBorder="1" applyAlignment="1" applyProtection="1">
      <alignment horizontal="center" vertical="center" wrapText="1"/>
      <protection locked="0"/>
    </xf>
    <xf numFmtId="49" fontId="34" fillId="3" borderId="52" xfId="150" applyNumberFormat="1" applyFont="1" applyFill="1" applyBorder="1" applyAlignment="1" applyProtection="1">
      <alignment horizontal="center" vertical="center" wrapText="1"/>
      <protection locked="0"/>
    </xf>
    <xf numFmtId="0" fontId="32" fillId="3" borderId="51" xfId="4" applyFont="1" applyFill="1" applyBorder="1" applyAlignment="1" applyProtection="1">
      <alignment horizontal="center" vertical="center" wrapText="1"/>
      <protection locked="0"/>
    </xf>
    <xf numFmtId="0" fontId="32" fillId="3" borderId="24" xfId="4" applyFont="1" applyFill="1" applyBorder="1" applyAlignment="1" applyProtection="1">
      <alignment horizontal="center" vertical="center" wrapText="1"/>
      <protection locked="0"/>
    </xf>
    <xf numFmtId="3" fontId="32" fillId="3" borderId="24" xfId="4" applyNumberFormat="1" applyFont="1" applyFill="1" applyBorder="1" applyAlignment="1" applyProtection="1">
      <alignment horizontal="center" vertical="center" wrapText="1"/>
      <protection locked="0"/>
    </xf>
    <xf numFmtId="0" fontId="32" fillId="3" borderId="24" xfId="4" applyFont="1" applyFill="1" applyBorder="1" applyAlignment="1" applyProtection="1">
      <alignment horizontal="left" vertical="center" wrapText="1"/>
      <protection locked="0"/>
    </xf>
    <xf numFmtId="14" fontId="32" fillId="3" borderId="24" xfId="4" applyNumberFormat="1" applyFont="1" applyFill="1" applyBorder="1" applyAlignment="1" applyProtection="1">
      <alignment horizontal="center" vertical="center" wrapText="1"/>
      <protection locked="0"/>
    </xf>
    <xf numFmtId="167" fontId="32" fillId="3" borderId="24" xfId="4" applyNumberFormat="1" applyFont="1" applyFill="1" applyBorder="1" applyAlignment="1" applyProtection="1">
      <alignment horizontal="center" vertical="center" wrapText="1"/>
      <protection locked="0"/>
    </xf>
    <xf numFmtId="49" fontId="52" fillId="3" borderId="16" xfId="150" applyNumberFormat="1" applyFont="1" applyFill="1" applyBorder="1" applyAlignment="1" applyProtection="1">
      <alignment horizontal="center" vertical="center" wrapText="1"/>
      <protection locked="0"/>
    </xf>
    <xf numFmtId="49" fontId="34" fillId="3" borderId="72" xfId="150" applyNumberFormat="1" applyFont="1" applyFill="1" applyBorder="1" applyAlignment="1" applyProtection="1">
      <alignment horizontal="center" vertical="center" wrapText="1"/>
      <protection locked="0"/>
    </xf>
    <xf numFmtId="0" fontId="32" fillId="3" borderId="45" xfId="4" applyFont="1" applyFill="1" applyBorder="1" applyAlignment="1" applyProtection="1">
      <alignment horizontal="center" vertical="center" wrapText="1"/>
      <protection locked="0"/>
    </xf>
    <xf numFmtId="0" fontId="32" fillId="3" borderId="16" xfId="4" applyFont="1" applyFill="1" applyBorder="1" applyAlignment="1" applyProtection="1">
      <alignment horizontal="center" vertical="center" wrapText="1"/>
      <protection locked="0"/>
    </xf>
    <xf numFmtId="3" fontId="32" fillId="3" borderId="16" xfId="4" applyNumberFormat="1" applyFont="1" applyFill="1" applyBorder="1" applyAlignment="1" applyProtection="1">
      <alignment horizontal="center" vertical="center" wrapText="1"/>
      <protection locked="0"/>
    </xf>
    <xf numFmtId="0" fontId="32" fillId="3" borderId="16" xfId="4" applyFont="1" applyFill="1" applyBorder="1" applyAlignment="1" applyProtection="1">
      <alignment horizontal="left" vertical="center" wrapText="1"/>
      <protection locked="0"/>
    </xf>
    <xf numFmtId="14" fontId="32" fillId="3" borderId="16" xfId="4" applyNumberFormat="1" applyFont="1" applyFill="1" applyBorder="1" applyAlignment="1" applyProtection="1">
      <alignment horizontal="center" vertical="center" wrapText="1"/>
      <protection locked="0"/>
    </xf>
    <xf numFmtId="167" fontId="32" fillId="3" borderId="16" xfId="4" applyNumberFormat="1" applyFont="1" applyFill="1" applyBorder="1" applyAlignment="1" applyProtection="1">
      <alignment horizontal="center" vertical="center" wrapText="1"/>
      <protection locked="0"/>
    </xf>
    <xf numFmtId="49" fontId="52" fillId="3" borderId="73" xfId="150" applyNumberFormat="1" applyFont="1" applyFill="1" applyBorder="1" applyAlignment="1" applyProtection="1">
      <alignment horizontal="center" vertical="center" wrapText="1"/>
      <protection locked="0"/>
    </xf>
    <xf numFmtId="49" fontId="34" fillId="3" borderId="74" xfId="150" applyNumberFormat="1" applyFont="1" applyFill="1" applyBorder="1" applyAlignment="1" applyProtection="1">
      <alignment horizontal="left" vertical="center" wrapText="1"/>
      <protection locked="0"/>
    </xf>
    <xf numFmtId="0" fontId="32" fillId="3" borderId="65" xfId="4" applyFont="1" applyFill="1" applyBorder="1" applyAlignment="1" applyProtection="1">
      <alignment horizontal="center" vertical="center" wrapText="1"/>
      <protection locked="0"/>
    </xf>
    <xf numFmtId="0" fontId="32" fillId="3" borderId="73" xfId="4" applyFont="1" applyFill="1" applyBorder="1" applyAlignment="1" applyProtection="1">
      <alignment horizontal="center" vertical="center" wrapText="1"/>
      <protection locked="0"/>
    </xf>
    <xf numFmtId="3" fontId="32" fillId="3" borderId="73" xfId="4" applyNumberFormat="1" applyFont="1" applyFill="1" applyBorder="1" applyAlignment="1" applyProtection="1">
      <alignment horizontal="center" vertical="center" wrapText="1"/>
      <protection locked="0"/>
    </xf>
    <xf numFmtId="0" fontId="32" fillId="3" borderId="73" xfId="4" applyFont="1" applyFill="1" applyBorder="1" applyAlignment="1" applyProtection="1">
      <alignment horizontal="left" vertical="center" wrapText="1"/>
      <protection locked="0"/>
    </xf>
    <xf numFmtId="14" fontId="32" fillId="3" borderId="73" xfId="4" applyNumberFormat="1" applyFont="1" applyFill="1" applyBorder="1" applyAlignment="1" applyProtection="1">
      <alignment horizontal="center" vertical="center" wrapText="1"/>
      <protection locked="0"/>
    </xf>
    <xf numFmtId="167" fontId="32" fillId="3" borderId="73" xfId="4" applyNumberFormat="1" applyFont="1" applyFill="1" applyBorder="1" applyAlignment="1" applyProtection="1">
      <alignment horizontal="center" vertical="center" wrapText="1"/>
      <protection locked="0"/>
    </xf>
    <xf numFmtId="167" fontId="53" fillId="3" borderId="73" xfId="150" applyNumberFormat="1" applyFont="1" applyFill="1" applyBorder="1" applyAlignment="1" applyProtection="1">
      <alignment horizontal="center" vertical="center" wrapText="1"/>
      <protection locked="0"/>
    </xf>
    <xf numFmtId="9" fontId="52" fillId="3" borderId="1" xfId="1" applyFont="1" applyFill="1" applyBorder="1" applyAlignment="1" applyProtection="1">
      <alignment horizontal="center" vertical="center" wrapText="1"/>
      <protection locked="0"/>
    </xf>
    <xf numFmtId="49" fontId="34" fillId="3" borderId="59" xfId="150" applyNumberFormat="1" applyFont="1" applyFill="1" applyBorder="1" applyAlignment="1" applyProtection="1">
      <alignment horizontal="left" vertical="center" wrapText="1"/>
      <protection locked="0"/>
    </xf>
    <xf numFmtId="0" fontId="32" fillId="3" borderId="60" xfId="4" applyFont="1" applyFill="1" applyBorder="1" applyAlignment="1" applyProtection="1">
      <alignment horizontal="center" vertical="center" wrapText="1"/>
      <protection locked="0"/>
    </xf>
    <xf numFmtId="0" fontId="32" fillId="3" borderId="58" xfId="4" applyFont="1" applyFill="1" applyBorder="1" applyAlignment="1" applyProtection="1">
      <alignment horizontal="center" vertical="center" wrapText="1"/>
      <protection locked="0"/>
    </xf>
    <xf numFmtId="3" fontId="32" fillId="3" borderId="58" xfId="4" applyNumberFormat="1" applyFont="1" applyFill="1" applyBorder="1" applyAlignment="1" applyProtection="1">
      <alignment horizontal="center" vertical="center" wrapText="1"/>
      <protection locked="0"/>
    </xf>
    <xf numFmtId="0" fontId="32" fillId="3" borderId="58" xfId="4" applyFont="1" applyFill="1" applyBorder="1" applyAlignment="1" applyProtection="1">
      <alignment horizontal="left" vertical="center" wrapText="1"/>
      <protection locked="0"/>
    </xf>
    <xf numFmtId="14" fontId="32" fillId="3" borderId="58" xfId="4" applyNumberFormat="1" applyFont="1" applyFill="1" applyBorder="1" applyAlignment="1" applyProtection="1">
      <alignment horizontal="center" vertical="center" wrapText="1"/>
      <protection locked="0"/>
    </xf>
    <xf numFmtId="167" fontId="32" fillId="3" borderId="58" xfId="4" applyNumberFormat="1" applyFont="1" applyFill="1" applyBorder="1" applyAlignment="1" applyProtection="1">
      <alignment horizontal="center" vertical="center" wrapText="1"/>
      <protection locked="0"/>
    </xf>
    <xf numFmtId="167" fontId="53" fillId="3" borderId="58" xfId="150" applyNumberFormat="1" applyFont="1" applyFill="1" applyBorder="1" applyAlignment="1" applyProtection="1">
      <alignment horizontal="center" vertical="center" wrapText="1"/>
      <protection locked="0"/>
    </xf>
    <xf numFmtId="49" fontId="52" fillId="3" borderId="75" xfId="150" applyNumberFormat="1" applyFont="1" applyFill="1" applyBorder="1" applyAlignment="1" applyProtection="1">
      <alignment horizontal="center" vertical="center" wrapText="1"/>
      <protection locked="0"/>
    </xf>
    <xf numFmtId="167" fontId="53" fillId="3" borderId="76" xfId="150" applyNumberFormat="1" applyFont="1" applyFill="1" applyBorder="1" applyAlignment="1" applyProtection="1">
      <alignment horizontal="center" vertical="center" wrapText="1"/>
      <protection locked="0"/>
    </xf>
    <xf numFmtId="0" fontId="8" fillId="3" borderId="24" xfId="149" applyNumberFormat="1" applyFill="1" applyBorder="1" applyAlignment="1">
      <alignment horizontal="center" vertical="center" wrapText="1"/>
    </xf>
    <xf numFmtId="167" fontId="27" fillId="3" borderId="0" xfId="149" applyNumberFormat="1" applyFont="1" applyFill="1" applyAlignment="1">
      <alignment vertical="center" wrapText="1"/>
    </xf>
    <xf numFmtId="49" fontId="34" fillId="3" borderId="68" xfId="150" applyNumberFormat="1" applyFont="1" applyFill="1" applyBorder="1" applyAlignment="1" applyProtection="1">
      <alignment horizontal="left" vertical="center" wrapText="1"/>
      <protection locked="0"/>
    </xf>
    <xf numFmtId="167" fontId="53" fillId="3" borderId="70" xfId="150" applyNumberFormat="1" applyFont="1" applyFill="1" applyBorder="1" applyAlignment="1" applyProtection="1">
      <alignment horizontal="center" vertical="center" wrapText="1"/>
      <protection locked="0"/>
    </xf>
    <xf numFmtId="49" fontId="34" fillId="3" borderId="36" xfId="150" applyNumberFormat="1" applyFont="1" applyFill="1" applyBorder="1" applyAlignment="1" applyProtection="1">
      <alignment horizontal="left" vertical="center" wrapText="1"/>
      <protection locked="0"/>
    </xf>
    <xf numFmtId="167" fontId="53" fillId="3" borderId="13" xfId="150" applyNumberFormat="1" applyFont="1" applyFill="1" applyBorder="1" applyAlignment="1" applyProtection="1">
      <alignment horizontal="center" vertical="center" wrapText="1"/>
      <protection locked="0"/>
    </xf>
    <xf numFmtId="49" fontId="52" fillId="3" borderId="15" xfId="150" applyNumberFormat="1" applyFont="1" applyFill="1" applyBorder="1" applyAlignment="1" applyProtection="1">
      <alignment horizontal="center" vertical="center" wrapText="1"/>
      <protection locked="0"/>
    </xf>
    <xf numFmtId="49" fontId="34" fillId="3" borderId="77" xfId="150" applyNumberFormat="1" applyFont="1" applyFill="1" applyBorder="1" applyAlignment="1" applyProtection="1">
      <alignment horizontal="left" vertical="center" wrapText="1"/>
      <protection locked="0"/>
    </xf>
    <xf numFmtId="0" fontId="32" fillId="3" borderId="78" xfId="4" applyFont="1" applyFill="1" applyBorder="1" applyAlignment="1" applyProtection="1">
      <alignment horizontal="center" vertical="center" wrapText="1"/>
      <protection locked="0"/>
    </xf>
    <xf numFmtId="0" fontId="32" fillId="3" borderId="15" xfId="4" applyFont="1" applyFill="1" applyBorder="1" applyAlignment="1" applyProtection="1">
      <alignment horizontal="center" vertical="center" wrapText="1"/>
      <protection locked="0"/>
    </xf>
    <xf numFmtId="3" fontId="32" fillId="3" borderId="15" xfId="4" applyNumberFormat="1" applyFont="1" applyFill="1" applyBorder="1" applyAlignment="1" applyProtection="1">
      <alignment horizontal="center" vertical="center" wrapText="1"/>
      <protection locked="0"/>
    </xf>
    <xf numFmtId="0" fontId="32" fillId="3" borderId="15" xfId="4" applyFont="1" applyFill="1" applyBorder="1" applyAlignment="1" applyProtection="1">
      <alignment horizontal="left" vertical="center" wrapText="1"/>
      <protection locked="0"/>
    </xf>
    <xf numFmtId="14" fontId="32" fillId="3" borderId="15" xfId="4" applyNumberFormat="1" applyFont="1" applyFill="1" applyBorder="1" applyAlignment="1" applyProtection="1">
      <alignment horizontal="center" vertical="center" wrapText="1"/>
      <protection locked="0"/>
    </xf>
    <xf numFmtId="167" fontId="32" fillId="3" borderId="15" xfId="4" applyNumberFormat="1" applyFont="1" applyFill="1" applyBorder="1" applyAlignment="1" applyProtection="1">
      <alignment horizontal="center" vertical="center" wrapText="1"/>
      <protection locked="0"/>
    </xf>
    <xf numFmtId="167" fontId="53" fillId="3" borderId="18" xfId="150" applyNumberFormat="1" applyFont="1" applyFill="1" applyBorder="1" applyAlignment="1" applyProtection="1">
      <alignment horizontal="center" vertical="center" wrapText="1"/>
      <protection locked="0"/>
    </xf>
    <xf numFmtId="49" fontId="52" fillId="3" borderId="66" xfId="150" applyNumberFormat="1" applyFont="1" applyFill="1" applyBorder="1" applyAlignment="1" applyProtection="1">
      <alignment horizontal="center" vertical="center" wrapText="1"/>
      <protection locked="0"/>
    </xf>
    <xf numFmtId="49" fontId="52" fillId="3" borderId="23" xfId="150" applyNumberFormat="1" applyFont="1" applyFill="1" applyBorder="1" applyAlignment="1" applyProtection="1">
      <alignment horizontal="center" vertical="center" wrapText="1"/>
      <protection locked="0"/>
    </xf>
    <xf numFmtId="49" fontId="34" fillId="3" borderId="52" xfId="150" applyNumberFormat="1" applyFont="1" applyFill="1" applyBorder="1" applyAlignment="1" applyProtection="1">
      <alignment horizontal="left" vertical="center" wrapText="1"/>
      <protection locked="0"/>
    </xf>
    <xf numFmtId="167" fontId="53" fillId="3" borderId="25" xfId="150" applyNumberFormat="1" applyFont="1" applyFill="1" applyBorder="1" applyAlignment="1" applyProtection="1">
      <alignment horizontal="center" vertical="center" wrapText="1"/>
      <protection locked="0"/>
    </xf>
    <xf numFmtId="174" fontId="55" fillId="3" borderId="67" xfId="9" applyNumberFormat="1" applyFont="1" applyFill="1" applyBorder="1" applyAlignment="1" applyProtection="1">
      <alignment horizontal="center" vertical="center" wrapText="1"/>
    </xf>
    <xf numFmtId="0" fontId="107" fillId="3" borderId="67" xfId="149" applyFont="1" applyFill="1" applyBorder="1" applyAlignment="1" applyProtection="1">
      <alignment horizontal="center" vertical="center"/>
    </xf>
    <xf numFmtId="4" fontId="107" fillId="3" borderId="67" xfId="149" applyNumberFormat="1" applyFont="1" applyFill="1" applyBorder="1" applyAlignment="1" applyProtection="1">
      <alignment horizontal="center" vertical="center"/>
    </xf>
    <xf numFmtId="174" fontId="55" fillId="3" borderId="1" xfId="9" applyNumberFormat="1" applyFont="1" applyFill="1" applyBorder="1" applyAlignment="1" applyProtection="1">
      <alignment horizontal="center" vertical="center" wrapText="1"/>
    </xf>
    <xf numFmtId="0" fontId="107" fillId="3" borderId="1" xfId="149" applyFont="1" applyFill="1" applyBorder="1" applyAlignment="1" applyProtection="1">
      <alignment horizontal="center" vertical="center"/>
    </xf>
    <xf numFmtId="4" fontId="107" fillId="3" borderId="1" xfId="149" applyNumberFormat="1" applyFont="1" applyFill="1" applyBorder="1" applyAlignment="1" applyProtection="1">
      <alignment horizontal="center" vertical="center"/>
    </xf>
    <xf numFmtId="174" fontId="55" fillId="3" borderId="24" xfId="9" applyNumberFormat="1" applyFont="1" applyFill="1" applyBorder="1" applyAlignment="1" applyProtection="1">
      <alignment horizontal="center" vertical="center"/>
    </xf>
    <xf numFmtId="0" fontId="107" fillId="3" borderId="24" xfId="149" applyFont="1" applyFill="1" applyBorder="1" applyAlignment="1" applyProtection="1">
      <alignment horizontal="center" vertical="center"/>
    </xf>
    <xf numFmtId="4" fontId="107" fillId="3" borderId="24" xfId="149" applyNumberFormat="1" applyFont="1" applyFill="1" applyBorder="1" applyAlignment="1" applyProtection="1">
      <alignment horizontal="center" vertical="center"/>
    </xf>
    <xf numFmtId="174" fontId="52" fillId="3" borderId="67" xfId="9" applyNumberFormat="1" applyFont="1" applyFill="1" applyBorder="1" applyAlignment="1" applyProtection="1">
      <alignment horizontal="center" vertical="center" wrapText="1"/>
    </xf>
    <xf numFmtId="174" fontId="55" fillId="3" borderId="24" xfId="9" applyNumberFormat="1" applyFont="1" applyFill="1" applyBorder="1" applyAlignment="1" applyProtection="1">
      <alignment horizontal="center" vertical="center" wrapText="1"/>
    </xf>
    <xf numFmtId="174" fontId="55" fillId="3" borderId="67" xfId="9" applyNumberFormat="1" applyFont="1" applyFill="1" applyBorder="1" applyAlignment="1" applyProtection="1">
      <alignment horizontal="left" vertical="center"/>
    </xf>
    <xf numFmtId="174" fontId="55" fillId="3" borderId="1" xfId="9" applyNumberFormat="1" applyFont="1" applyFill="1" applyBorder="1" applyAlignment="1" applyProtection="1">
      <alignment horizontal="left" vertical="center"/>
    </xf>
    <xf numFmtId="174" fontId="55" fillId="3" borderId="24" xfId="9" applyNumberFormat="1" applyFont="1" applyFill="1" applyBorder="1" applyAlignment="1" applyProtection="1">
      <alignment horizontal="left" vertical="center"/>
    </xf>
    <xf numFmtId="0" fontId="8" fillId="3" borderId="67" xfId="149" applyNumberFormat="1" applyFill="1" applyBorder="1" applyAlignment="1">
      <alignment horizontal="center" vertical="center"/>
    </xf>
    <xf numFmtId="0" fontId="8" fillId="3" borderId="1" xfId="149" applyNumberFormat="1" applyFill="1" applyBorder="1" applyAlignment="1">
      <alignment horizontal="center" vertical="center"/>
    </xf>
    <xf numFmtId="0" fontId="8" fillId="3" borderId="24" xfId="149" applyNumberFormat="1" applyFill="1" applyBorder="1" applyAlignment="1">
      <alignment horizontal="center" vertical="center"/>
    </xf>
    <xf numFmtId="0" fontId="8" fillId="3" borderId="73" xfId="149" applyNumberFormat="1" applyFill="1" applyBorder="1" applyAlignment="1">
      <alignment horizontal="center" vertical="center"/>
    </xf>
    <xf numFmtId="4" fontId="11" fillId="3" borderId="67" xfId="4" applyNumberFormat="1" applyFont="1" applyFill="1" applyBorder="1" applyAlignment="1">
      <alignment horizontal="center" vertical="center"/>
    </xf>
    <xf numFmtId="4" fontId="0" fillId="3" borderId="1" xfId="4" applyNumberFormat="1" applyFont="1" applyFill="1" applyBorder="1" applyAlignment="1">
      <alignment horizontal="center" vertical="center"/>
    </xf>
    <xf numFmtId="4" fontId="11" fillId="3" borderId="1" xfId="4" applyNumberFormat="1" applyFont="1" applyFill="1" applyBorder="1" applyAlignment="1">
      <alignment horizontal="center" vertical="center"/>
    </xf>
    <xf numFmtId="4" fontId="11" fillId="3" borderId="1" xfId="4" applyNumberFormat="1" applyFont="1" applyFill="1" applyBorder="1" applyAlignment="1">
      <alignment vertical="center" wrapText="1"/>
    </xf>
    <xf numFmtId="4" fontId="11" fillId="3" borderId="24" xfId="4" applyNumberFormat="1" applyFont="1" applyFill="1" applyBorder="1" applyAlignment="1">
      <alignment vertical="center" wrapText="1"/>
    </xf>
    <xf numFmtId="4" fontId="11" fillId="3" borderId="24" xfId="4" applyNumberFormat="1" applyFont="1" applyFill="1" applyBorder="1" applyAlignment="1">
      <alignment horizontal="center" vertical="center"/>
    </xf>
    <xf numFmtId="167" fontId="32" fillId="3" borderId="67" xfId="4" applyNumberFormat="1" applyFont="1" applyFill="1" applyBorder="1" applyAlignment="1" applyProtection="1">
      <alignment vertical="center" wrapText="1"/>
      <protection locked="0"/>
    </xf>
    <xf numFmtId="167" fontId="32" fillId="3" borderId="1" xfId="4" applyNumberFormat="1" applyFont="1" applyFill="1" applyBorder="1" applyAlignment="1" applyProtection="1">
      <alignment vertical="center" wrapText="1"/>
      <protection locked="0"/>
    </xf>
    <xf numFmtId="167" fontId="32" fillId="3" borderId="24" xfId="4" applyNumberFormat="1" applyFont="1" applyFill="1" applyBorder="1" applyAlignment="1" applyProtection="1">
      <alignment vertical="center" wrapText="1"/>
      <protection locked="0"/>
    </xf>
    <xf numFmtId="4" fontId="0" fillId="3" borderId="67" xfId="4" applyNumberFormat="1" applyFont="1" applyFill="1" applyBorder="1" applyAlignment="1">
      <alignment vertical="center" wrapText="1"/>
    </xf>
    <xf numFmtId="0" fontId="108" fillId="3" borderId="67" xfId="4" applyFont="1" applyFill="1" applyBorder="1" applyAlignment="1">
      <alignment horizontal="center" vertical="center" wrapText="1"/>
    </xf>
    <xf numFmtId="193" fontId="11" fillId="3" borderId="67" xfId="4" applyNumberFormat="1" applyFont="1" applyFill="1" applyBorder="1" applyAlignment="1">
      <alignment horizontal="center" vertical="center" wrapText="1"/>
    </xf>
    <xf numFmtId="4" fontId="109" fillId="3" borderId="67" xfId="4" applyNumberFormat="1" applyFont="1" applyFill="1" applyBorder="1" applyAlignment="1" applyProtection="1">
      <alignment horizontal="right" vertical="center"/>
    </xf>
    <xf numFmtId="4" fontId="0" fillId="3" borderId="1" xfId="4" applyNumberFormat="1" applyFont="1" applyFill="1" applyBorder="1" applyAlignment="1">
      <alignment vertical="center" wrapText="1"/>
    </xf>
    <xf numFmtId="4" fontId="109" fillId="3" borderId="1" xfId="4" applyNumberFormat="1" applyFont="1" applyFill="1" applyBorder="1" applyAlignment="1" applyProtection="1">
      <alignment horizontal="right" vertical="center"/>
    </xf>
    <xf numFmtId="4" fontId="0" fillId="3" borderId="24" xfId="4" applyNumberFormat="1" applyFont="1" applyFill="1" applyBorder="1" applyAlignment="1">
      <alignment vertical="center" wrapText="1"/>
    </xf>
    <xf numFmtId="4" fontId="0" fillId="3" borderId="24" xfId="4" applyNumberFormat="1" applyFont="1" applyFill="1" applyBorder="1" applyAlignment="1">
      <alignment horizontal="center" vertical="center"/>
    </xf>
    <xf numFmtId="4" fontId="109" fillId="3" borderId="24" xfId="4" applyNumberFormat="1" applyFont="1" applyFill="1" applyBorder="1" applyAlignment="1" applyProtection="1">
      <alignment horizontal="right" vertical="center"/>
    </xf>
    <xf numFmtId="49" fontId="34" fillId="3" borderId="74" xfId="150" applyNumberFormat="1" applyFont="1" applyFill="1" applyBorder="1" applyAlignment="1" applyProtection="1">
      <alignment vertical="center" wrapText="1"/>
      <protection locked="0"/>
    </xf>
    <xf numFmtId="49" fontId="34" fillId="3" borderId="68" xfId="150" applyNumberFormat="1" applyFont="1" applyFill="1" applyBorder="1" applyAlignment="1" applyProtection="1">
      <alignment vertical="center" wrapText="1"/>
      <protection locked="0"/>
    </xf>
    <xf numFmtId="49" fontId="34" fillId="3" borderId="36" xfId="150" applyNumberFormat="1" applyFont="1" applyFill="1" applyBorder="1" applyAlignment="1" applyProtection="1">
      <alignment vertical="center" wrapText="1"/>
      <protection locked="0"/>
    </xf>
    <xf numFmtId="49" fontId="52" fillId="3" borderId="1" xfId="150" applyNumberFormat="1" applyFont="1" applyFill="1" applyBorder="1" applyAlignment="1" applyProtection="1">
      <alignment vertical="center" wrapText="1"/>
      <protection locked="0"/>
    </xf>
    <xf numFmtId="49" fontId="34" fillId="3" borderId="52" xfId="150" applyNumberFormat="1" applyFont="1" applyFill="1" applyBorder="1" applyAlignment="1" applyProtection="1">
      <alignment vertical="center" wrapText="1"/>
      <protection locked="0"/>
    </xf>
    <xf numFmtId="49" fontId="52" fillId="3" borderId="24" xfId="150" applyNumberFormat="1" applyFont="1" applyFill="1" applyBorder="1" applyAlignment="1" applyProtection="1">
      <alignment vertical="center" wrapText="1"/>
      <protection locked="0"/>
    </xf>
    <xf numFmtId="49" fontId="34" fillId="3" borderId="68" xfId="150" applyNumberFormat="1" applyFont="1" applyFill="1" applyBorder="1" applyAlignment="1" applyProtection="1">
      <alignment horizontal="center" vertical="top" wrapText="1"/>
      <protection locked="0"/>
    </xf>
    <xf numFmtId="49" fontId="34" fillId="3" borderId="36" xfId="150" applyNumberFormat="1" applyFont="1" applyFill="1" applyBorder="1" applyAlignment="1" applyProtection="1">
      <alignment horizontal="center" vertical="top" wrapText="1"/>
      <protection locked="0"/>
    </xf>
    <xf numFmtId="174" fontId="56" fillId="3" borderId="17" xfId="9" applyNumberFormat="1" applyFont="1" applyFill="1" applyBorder="1" applyAlignment="1" applyProtection="1">
      <alignment wrapText="1"/>
    </xf>
    <xf numFmtId="174" fontId="56" fillId="3" borderId="17" xfId="9" applyNumberFormat="1" applyFont="1" applyFill="1" applyBorder="1" applyAlignment="1" applyProtection="1"/>
    <xf numFmtId="49" fontId="34" fillId="3" borderId="52" xfId="150" applyNumberFormat="1" applyFont="1" applyFill="1" applyBorder="1" applyAlignment="1" applyProtection="1">
      <alignment horizontal="center" vertical="top" wrapText="1"/>
      <protection locked="0"/>
    </xf>
    <xf numFmtId="9" fontId="52" fillId="3" borderId="51" xfId="1" applyFont="1" applyFill="1" applyBorder="1" applyAlignment="1" applyProtection="1">
      <alignment horizontal="center" vertical="center" wrapText="1"/>
      <protection locked="0"/>
    </xf>
    <xf numFmtId="173" fontId="32" fillId="3" borderId="24" xfId="4" applyNumberFormat="1" applyFont="1" applyFill="1" applyBorder="1" applyAlignment="1" applyProtection="1">
      <alignment horizontal="center" vertical="center" wrapText="1"/>
      <protection locked="0"/>
    </xf>
    <xf numFmtId="2" fontId="32" fillId="3" borderId="24" xfId="4" applyNumberFormat="1" applyFont="1" applyFill="1" applyBorder="1" applyAlignment="1" applyProtection="1">
      <alignment horizontal="center" vertical="center" wrapText="1"/>
      <protection locked="0"/>
    </xf>
    <xf numFmtId="0" fontId="32" fillId="3" borderId="25" xfId="4" applyNumberFormat="1" applyFont="1" applyFill="1" applyBorder="1" applyAlignment="1" applyProtection="1">
      <alignment horizontal="center" vertical="center" wrapText="1"/>
      <protection locked="0"/>
    </xf>
    <xf numFmtId="0" fontId="32" fillId="3" borderId="0" xfId="4" applyFont="1" applyFill="1" applyAlignment="1" applyProtection="1">
      <alignment horizontal="center" vertical="center"/>
      <protection locked="0"/>
    </xf>
    <xf numFmtId="0" fontId="32" fillId="3" borderId="0" xfId="4" applyFont="1" applyFill="1" applyAlignment="1" applyProtection="1">
      <protection locked="0"/>
    </xf>
    <xf numFmtId="0" fontId="34" fillId="3" borderId="0" xfId="4" applyFont="1" applyFill="1" applyAlignment="1" applyProtection="1">
      <protection locked="0"/>
    </xf>
    <xf numFmtId="0" fontId="32" fillId="3" borderId="0" xfId="4" applyFont="1" applyFill="1" applyAlignment="1" applyProtection="1">
      <alignment horizontal="center"/>
      <protection locked="0"/>
    </xf>
    <xf numFmtId="3" fontId="32" fillId="3" borderId="0" xfId="4" applyNumberFormat="1" applyFont="1" applyFill="1" applyAlignment="1" applyProtection="1">
      <protection locked="0"/>
    </xf>
    <xf numFmtId="167" fontId="42" fillId="3" borderId="0" xfId="4" applyNumberFormat="1" applyFont="1" applyFill="1" applyAlignment="1" applyProtection="1">
      <protection locked="0"/>
    </xf>
    <xf numFmtId="0" fontId="32" fillId="3" borderId="0" xfId="4" applyNumberFormat="1" applyFont="1" applyFill="1" applyAlignment="1" applyProtection="1">
      <protection locked="0"/>
    </xf>
    <xf numFmtId="2" fontId="40" fillId="0" borderId="1" xfId="4" applyNumberFormat="1" applyFont="1" applyFill="1" applyBorder="1" applyAlignment="1" applyProtection="1">
      <protection locked="0"/>
    </xf>
    <xf numFmtId="2" fontId="40" fillId="0" borderId="0" xfId="4" applyNumberFormat="1" applyFont="1" applyFill="1" applyAlignment="1" applyProtection="1">
      <protection locked="0"/>
    </xf>
    <xf numFmtId="167" fontId="37" fillId="0" borderId="0" xfId="4" applyNumberFormat="1" applyFont="1" applyFill="1" applyAlignment="1" applyProtection="1">
      <protection locked="0"/>
    </xf>
    <xf numFmtId="167" fontId="106" fillId="0" borderId="0" xfId="4" applyNumberFormat="1" applyFont="1" applyFill="1" applyAlignment="1" applyProtection="1">
      <protection locked="0"/>
    </xf>
    <xf numFmtId="175" fontId="40" fillId="0" borderId="0" xfId="4" applyNumberFormat="1" applyFont="1" applyFill="1" applyAlignment="1" applyProtection="1">
      <protection locked="0"/>
    </xf>
    <xf numFmtId="2" fontId="43" fillId="0" borderId="0" xfId="4" applyNumberFormat="1" applyFont="1" applyFill="1" applyAlignment="1" applyProtection="1">
      <protection locked="0"/>
    </xf>
    <xf numFmtId="167" fontId="32" fillId="0" borderId="0" xfId="4" applyNumberFormat="1" applyFont="1" applyFill="1" applyAlignment="1" applyProtection="1">
      <protection locked="0"/>
    </xf>
    <xf numFmtId="0" fontId="32" fillId="0" borderId="0" xfId="4" applyFont="1" applyFill="1" applyAlignment="1" applyProtection="1">
      <alignment horizontal="left"/>
      <protection locked="0"/>
    </xf>
    <xf numFmtId="1" fontId="46" fillId="3" borderId="9" xfId="4" applyNumberFormat="1" applyFont="1" applyFill="1" applyBorder="1" applyAlignment="1" applyProtection="1">
      <alignment horizontal="center" vertical="center"/>
      <protection locked="0"/>
    </xf>
    <xf numFmtId="1" fontId="46" fillId="3" borderId="11" xfId="4" applyNumberFormat="1" applyFont="1" applyFill="1" applyBorder="1" applyAlignment="1" applyProtection="1">
      <alignment horizontal="center" vertical="center"/>
      <protection locked="0"/>
    </xf>
    <xf numFmtId="1" fontId="46" fillId="3" borderId="50" xfId="4" applyNumberFormat="1" applyFont="1" applyFill="1" applyBorder="1" applyAlignment="1" applyProtection="1">
      <alignment horizontal="center" vertical="center"/>
      <protection locked="0"/>
    </xf>
    <xf numFmtId="190" fontId="41" fillId="0" borderId="0" xfId="4" applyNumberFormat="1" applyFont="1" applyBorder="1" applyAlignment="1" applyProtection="1">
      <protection locked="0"/>
    </xf>
    <xf numFmtId="190" fontId="9" fillId="0" borderId="0" xfId="146" applyNumberFormat="1"/>
    <xf numFmtId="190" fontId="0" fillId="0" borderId="0" xfId="0" applyNumberFormat="1"/>
    <xf numFmtId="0" fontId="7" fillId="0" borderId="0" xfId="152"/>
    <xf numFmtId="0" fontId="7" fillId="0" borderId="0" xfId="152" applyAlignment="1">
      <alignment wrapText="1"/>
    </xf>
    <xf numFmtId="167" fontId="7" fillId="0" borderId="0" xfId="152" applyNumberFormat="1" applyAlignment="1">
      <alignment vertical="center"/>
    </xf>
    <xf numFmtId="167" fontId="7" fillId="0" borderId="0" xfId="152" applyNumberFormat="1"/>
    <xf numFmtId="0" fontId="6" fillId="0" borderId="0" xfId="153" applyFill="1"/>
    <xf numFmtId="0" fontId="95" fillId="0" borderId="44" xfId="153" applyFont="1" applyFill="1" applyBorder="1" applyAlignment="1">
      <alignment horizontal="center" vertical="center" wrapText="1"/>
    </xf>
    <xf numFmtId="0" fontId="117" fillId="0" borderId="80" xfId="153" applyFont="1" applyFill="1" applyBorder="1" applyAlignment="1">
      <alignment horizontal="center" vertical="center"/>
    </xf>
    <xf numFmtId="0" fontId="117" fillId="0" borderId="80" xfId="153" applyFont="1" applyFill="1" applyBorder="1" applyAlignment="1">
      <alignment horizontal="center" vertical="center" wrapText="1"/>
    </xf>
    <xf numFmtId="0" fontId="115" fillId="0" borderId="80" xfId="153" applyFont="1" applyFill="1" applyBorder="1" applyAlignment="1">
      <alignment horizontal="center" vertical="center" wrapText="1"/>
    </xf>
    <xf numFmtId="0" fontId="115" fillId="0" borderId="17" xfId="153" applyFont="1" applyFill="1" applyBorder="1" applyAlignment="1">
      <alignment horizontal="center" vertical="center"/>
    </xf>
    <xf numFmtId="0" fontId="118" fillId="0" borderId="0" xfId="153" applyFont="1" applyFill="1" applyAlignment="1">
      <alignment horizontal="center" vertical="center"/>
    </xf>
    <xf numFmtId="0" fontId="116" fillId="0" borderId="80" xfId="153" applyFont="1" applyFill="1" applyBorder="1" applyAlignment="1">
      <alignment horizontal="center" vertical="center"/>
    </xf>
    <xf numFmtId="0" fontId="116" fillId="0" borderId="80" xfId="153" applyFont="1" applyFill="1" applyBorder="1" applyAlignment="1">
      <alignment horizontal="center" vertical="center" wrapText="1"/>
    </xf>
    <xf numFmtId="0" fontId="119" fillId="0" borderId="80" xfId="153" applyFont="1" applyFill="1" applyBorder="1" applyAlignment="1">
      <alignment horizontal="center" vertical="center"/>
    </xf>
    <xf numFmtId="0" fontId="120" fillId="0" borderId="80" xfId="153" applyFont="1" applyFill="1" applyBorder="1" applyAlignment="1">
      <alignment horizontal="left" vertical="center" wrapText="1"/>
    </xf>
    <xf numFmtId="190" fontId="121" fillId="0" borderId="80" xfId="153" applyNumberFormat="1" applyFont="1" applyFill="1" applyBorder="1" applyAlignment="1">
      <alignment horizontal="center" vertical="center"/>
    </xf>
    <xf numFmtId="0" fontId="6" fillId="0" borderId="0" xfId="153" applyFill="1" applyAlignment="1">
      <alignment horizontal="left" vertical="center"/>
    </xf>
    <xf numFmtId="0" fontId="120" fillId="0" borderId="80" xfId="153" applyFont="1" applyFill="1" applyBorder="1" applyAlignment="1">
      <alignment vertical="center" wrapText="1"/>
    </xf>
    <xf numFmtId="0" fontId="120" fillId="0" borderId="80" xfId="153" applyFont="1" applyFill="1" applyBorder="1" applyAlignment="1">
      <alignment horizontal="center" vertical="center" wrapText="1"/>
    </xf>
    <xf numFmtId="0" fontId="120" fillId="0" borderId="80" xfId="153" applyFont="1" applyFill="1" applyBorder="1" applyAlignment="1">
      <alignment horizontal="center" vertical="center"/>
    </xf>
    <xf numFmtId="0" fontId="119" fillId="0" borderId="80" xfId="153" applyFont="1" applyFill="1" applyBorder="1" applyAlignment="1">
      <alignment horizontal="center" vertical="center" wrapText="1"/>
    </xf>
    <xf numFmtId="0" fontId="122" fillId="0" borderId="80" xfId="153" applyNumberFormat="1" applyFont="1" applyFill="1" applyBorder="1" applyAlignment="1">
      <alignment horizontal="left" vertical="center"/>
    </xf>
    <xf numFmtId="1" fontId="119" fillId="0" borderId="80" xfId="154" applyNumberFormat="1" applyFont="1" applyFill="1" applyBorder="1" applyAlignment="1">
      <alignment horizontal="center" vertical="center"/>
    </xf>
    <xf numFmtId="1" fontId="119" fillId="0" borderId="80" xfId="153" applyNumberFormat="1" applyFont="1" applyFill="1" applyBorder="1" applyAlignment="1">
      <alignment horizontal="center" vertical="center"/>
    </xf>
    <xf numFmtId="0" fontId="120" fillId="0" borderId="80" xfId="153" applyNumberFormat="1" applyFont="1" applyFill="1" applyBorder="1" applyAlignment="1">
      <alignment horizontal="center" vertical="center"/>
    </xf>
    <xf numFmtId="0" fontId="6" fillId="0" borderId="80" xfId="153" applyFill="1" applyBorder="1" applyAlignment="1">
      <alignment horizontal="center" vertical="center"/>
    </xf>
    <xf numFmtId="1" fontId="6" fillId="0" borderId="80" xfId="153" applyNumberFormat="1" applyFill="1" applyBorder="1" applyAlignment="1">
      <alignment horizontal="center" vertical="center"/>
    </xf>
    <xf numFmtId="0" fontId="6" fillId="0" borderId="80" xfId="153" applyFont="1" applyFill="1" applyBorder="1" applyAlignment="1">
      <alignment horizontal="center" vertical="center"/>
    </xf>
    <xf numFmtId="0" fontId="6" fillId="0" borderId="80" xfId="153" applyFill="1" applyBorder="1" applyAlignment="1">
      <alignment horizontal="center" vertical="center" wrapText="1"/>
    </xf>
    <xf numFmtId="194" fontId="6" fillId="0" borderId="80" xfId="153" applyNumberFormat="1" applyFont="1" applyFill="1" applyBorder="1" applyAlignment="1">
      <alignment horizontal="center" vertical="center" wrapText="1"/>
    </xf>
    <xf numFmtId="194" fontId="6" fillId="0" borderId="80" xfId="153" applyNumberFormat="1" applyFont="1" applyFill="1" applyBorder="1" applyAlignment="1">
      <alignment horizontal="center" vertical="center"/>
    </xf>
    <xf numFmtId="190" fontId="6" fillId="0" borderId="80" xfId="153" applyNumberFormat="1" applyFill="1" applyBorder="1" applyAlignment="1">
      <alignment horizontal="center" vertical="center"/>
    </xf>
    <xf numFmtId="0" fontId="6" fillId="0" borderId="0" xfId="153" applyFill="1" applyAlignment="1">
      <alignment horizontal="center" vertical="center"/>
    </xf>
    <xf numFmtId="0" fontId="90" fillId="0" borderId="80" xfId="153" applyFont="1" applyFill="1" applyBorder="1" applyAlignment="1">
      <alignment horizontal="center" vertical="center" wrapText="1"/>
    </xf>
    <xf numFmtId="0" fontId="123" fillId="0" borderId="80" xfId="153" applyFont="1" applyFill="1" applyBorder="1" applyAlignment="1">
      <alignment horizontal="center" vertical="center"/>
    </xf>
    <xf numFmtId="2" fontId="123" fillId="0" borderId="80" xfId="153" applyNumberFormat="1" applyFont="1" applyFill="1" applyBorder="1" applyAlignment="1">
      <alignment horizontal="center" vertical="center"/>
    </xf>
    <xf numFmtId="0" fontId="124" fillId="0" borderId="80" xfId="153" applyFont="1" applyFill="1" applyBorder="1" applyAlignment="1">
      <alignment horizontal="center" vertical="center"/>
    </xf>
    <xf numFmtId="190" fontId="124" fillId="0" borderId="80" xfId="153" applyNumberFormat="1" applyFont="1" applyFill="1" applyBorder="1" applyAlignment="1">
      <alignment horizontal="center" vertical="center"/>
    </xf>
    <xf numFmtId="0" fontId="6" fillId="0" borderId="0" xfId="153" applyFill="1" applyAlignment="1">
      <alignment wrapText="1"/>
    </xf>
    <xf numFmtId="0" fontId="6" fillId="0" borderId="0" xfId="153" applyFill="1" applyBorder="1"/>
    <xf numFmtId="190" fontId="125" fillId="0" borderId="0" xfId="153" applyNumberFormat="1" applyFont="1" applyFill="1" applyBorder="1" applyAlignment="1">
      <alignment horizontal="center" vertical="center"/>
    </xf>
    <xf numFmtId="190" fontId="125" fillId="0" borderId="80" xfId="153" applyNumberFormat="1" applyFont="1" applyFill="1" applyBorder="1" applyAlignment="1">
      <alignment horizontal="center" vertical="center"/>
    </xf>
    <xf numFmtId="0" fontId="6" fillId="0" borderId="0" xfId="153" applyNumberFormat="1" applyFill="1"/>
    <xf numFmtId="0" fontId="121" fillId="0" borderId="0" xfId="153" applyFont="1" applyFill="1"/>
    <xf numFmtId="0" fontId="114" fillId="0" borderId="80" xfId="153" applyFont="1" applyFill="1" applyBorder="1" applyAlignment="1">
      <alignment horizontal="center" vertical="center"/>
    </xf>
    <xf numFmtId="0" fontId="6" fillId="0" borderId="0" xfId="153" applyNumberFormat="1" applyFill="1" applyAlignment="1">
      <alignment horizontal="center" vertical="center"/>
    </xf>
    <xf numFmtId="0" fontId="117" fillId="0" borderId="17" xfId="153" applyFont="1" applyFill="1" applyBorder="1" applyAlignment="1">
      <alignment horizontal="center" vertical="center"/>
    </xf>
    <xf numFmtId="0" fontId="116" fillId="0" borderId="15" xfId="153" applyFont="1" applyFill="1" applyBorder="1" applyAlignment="1">
      <alignment vertical="center" wrapText="1"/>
    </xf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93" xfId="0" applyBorder="1"/>
    <xf numFmtId="0" fontId="113" fillId="0" borderId="94" xfId="0" applyFont="1" applyBorder="1" applyAlignment="1">
      <alignment horizontal="right"/>
    </xf>
    <xf numFmtId="190" fontId="113" fillId="0" borderId="95" xfId="0" applyNumberFormat="1" applyFont="1" applyBorder="1" applyAlignment="1">
      <alignment horizontal="right"/>
    </xf>
    <xf numFmtId="0" fontId="0" fillId="0" borderId="91" xfId="0" applyBorder="1" applyAlignment="1">
      <alignment horizontal="center" vertical="center" wrapText="1"/>
    </xf>
    <xf numFmtId="190" fontId="0" fillId="0" borderId="95" xfId="0" applyNumberFormat="1" applyBorder="1" applyAlignment="1">
      <alignment vertical="center" wrapText="1"/>
    </xf>
    <xf numFmtId="0" fontId="6" fillId="0" borderId="0" xfId="153"/>
    <xf numFmtId="0" fontId="90" fillId="0" borderId="0" xfId="153" applyFont="1"/>
    <xf numFmtId="0" fontId="90" fillId="0" borderId="80" xfId="153" applyFont="1" applyBorder="1" applyAlignment="1">
      <alignment horizontal="center" vertical="center"/>
    </xf>
    <xf numFmtId="0" fontId="90" fillId="0" borderId="80" xfId="153" applyFont="1" applyBorder="1"/>
    <xf numFmtId="0" fontId="6" fillId="0" borderId="80" xfId="153" applyBorder="1"/>
    <xf numFmtId="0" fontId="6" fillId="0" borderId="80" xfId="153" applyBorder="1" applyAlignment="1">
      <alignment horizontal="center" vertical="center"/>
    </xf>
    <xf numFmtId="194" fontId="6" fillId="0" borderId="80" xfId="153" applyNumberFormat="1" applyBorder="1"/>
    <xf numFmtId="0" fontId="6" fillId="0" borderId="80" xfId="153" applyBorder="1" applyAlignment="1">
      <alignment horizontal="center"/>
    </xf>
    <xf numFmtId="194" fontId="6" fillId="0" borderId="80" xfId="153" applyNumberFormat="1" applyBorder="1" applyAlignment="1">
      <alignment horizontal="center"/>
    </xf>
    <xf numFmtId="0" fontId="6" fillId="0" borderId="0" xfId="153" applyAlignment="1">
      <alignment horizontal="center"/>
    </xf>
    <xf numFmtId="0" fontId="6" fillId="0" borderId="0" xfId="153" applyAlignment="1">
      <alignment horizontal="center" vertical="center"/>
    </xf>
    <xf numFmtId="194" fontId="6" fillId="0" borderId="0" xfId="153" applyNumberFormat="1"/>
    <xf numFmtId="194" fontId="6" fillId="0" borderId="0" xfId="153" applyNumberFormat="1" applyBorder="1" applyAlignment="1">
      <alignment horizontal="center" vertical="center"/>
    </xf>
    <xf numFmtId="194" fontId="90" fillId="0" borderId="80" xfId="153" applyNumberFormat="1" applyFont="1" applyBorder="1"/>
    <xf numFmtId="0" fontId="131" fillId="0" borderId="80" xfId="153" applyFont="1" applyBorder="1" applyAlignment="1">
      <alignment vertical="center"/>
    </xf>
    <xf numFmtId="0" fontId="131" fillId="0" borderId="80" xfId="153" applyFont="1" applyBorder="1" applyAlignment="1">
      <alignment horizontal="center"/>
    </xf>
    <xf numFmtId="0" fontId="131" fillId="0" borderId="80" xfId="153" applyFont="1" applyBorder="1"/>
    <xf numFmtId="43" fontId="131" fillId="0" borderId="80" xfId="154" applyFont="1" applyBorder="1"/>
    <xf numFmtId="198" fontId="131" fillId="32" borderId="80" xfId="153" applyNumberFormat="1" applyFont="1" applyFill="1" applyBorder="1" applyAlignment="1">
      <alignment horizontal="center" vertical="center" wrapText="1"/>
    </xf>
    <xf numFmtId="199" fontId="131" fillId="32" borderId="80" xfId="153" applyNumberFormat="1" applyFont="1" applyFill="1" applyBorder="1" applyAlignment="1">
      <alignment horizontal="center" vertical="center"/>
    </xf>
    <xf numFmtId="0" fontId="131" fillId="32" borderId="80" xfId="153" applyFont="1" applyFill="1" applyBorder="1" applyAlignment="1">
      <alignment horizontal="center" vertical="center" wrapText="1"/>
    </xf>
    <xf numFmtId="0" fontId="131" fillId="32" borderId="80" xfId="153" applyFont="1" applyFill="1" applyBorder="1" applyAlignment="1">
      <alignment vertical="center"/>
    </xf>
    <xf numFmtId="43" fontId="131" fillId="32" borderId="80" xfId="154" applyFont="1" applyFill="1" applyBorder="1" applyAlignment="1">
      <alignment vertical="center"/>
    </xf>
    <xf numFmtId="0" fontId="131" fillId="0" borderId="80" xfId="153" applyFont="1" applyBorder="1" applyAlignment="1">
      <alignment vertical="center" wrapText="1"/>
    </xf>
    <xf numFmtId="199" fontId="131" fillId="3" borderId="80" xfId="153" applyNumberFormat="1" applyFont="1" applyFill="1" applyBorder="1" applyAlignment="1">
      <alignment horizontal="center"/>
    </xf>
    <xf numFmtId="0" fontId="131" fillId="3" borderId="80" xfId="153" applyFont="1" applyFill="1" applyBorder="1"/>
    <xf numFmtId="43" fontId="131" fillId="3" borderId="80" xfId="154" applyFont="1" applyFill="1" applyBorder="1"/>
    <xf numFmtId="199" fontId="131" fillId="0" borderId="80" xfId="153" applyNumberFormat="1" applyFont="1" applyBorder="1" applyAlignment="1">
      <alignment horizontal="center"/>
    </xf>
    <xf numFmtId="198" fontId="131" fillId="0" borderId="80" xfId="153" applyNumberFormat="1" applyFont="1" applyBorder="1" applyAlignment="1">
      <alignment horizontal="center"/>
    </xf>
    <xf numFmtId="0" fontId="132" fillId="0" borderId="80" xfId="153" applyFont="1" applyBorder="1"/>
    <xf numFmtId="199" fontId="132" fillId="0" borderId="80" xfId="153" applyNumberFormat="1" applyFont="1" applyBorder="1" applyAlignment="1">
      <alignment horizontal="center"/>
    </xf>
    <xf numFmtId="43" fontId="132" fillId="0" borderId="80" xfId="154" applyFont="1" applyBorder="1"/>
    <xf numFmtId="0" fontId="131" fillId="32" borderId="80" xfId="153" applyFont="1" applyFill="1" applyBorder="1"/>
    <xf numFmtId="198" fontId="131" fillId="32" borderId="80" xfId="153" applyNumberFormat="1" applyFont="1" applyFill="1" applyBorder="1" applyAlignment="1">
      <alignment horizontal="center"/>
    </xf>
    <xf numFmtId="43" fontId="131" fillId="32" borderId="80" xfId="154" applyFont="1" applyFill="1" applyBorder="1"/>
    <xf numFmtId="43" fontId="6" fillId="0" borderId="0" xfId="154" applyFont="1"/>
    <xf numFmtId="198" fontId="132" fillId="0" borderId="80" xfId="153" applyNumberFormat="1" applyFont="1" applyBorder="1" applyAlignment="1">
      <alignment horizontal="center"/>
    </xf>
    <xf numFmtId="43" fontId="132" fillId="0" borderId="80" xfId="153" applyNumberFormat="1" applyFont="1" applyBorder="1"/>
    <xf numFmtId="200" fontId="6" fillId="0" borderId="0" xfId="153" applyNumberFormat="1"/>
    <xf numFmtId="171" fontId="32" fillId="0" borderId="0" xfId="4" applyNumberFormat="1" applyFont="1" applyBorder="1" applyAlignment="1" applyProtection="1">
      <protection locked="0"/>
    </xf>
    <xf numFmtId="0" fontId="90" fillId="0" borderId="100" xfId="217" applyFont="1" applyBorder="1" applyAlignment="1">
      <alignment horizontal="center" vertical="center"/>
    </xf>
    <xf numFmtId="0" fontId="90" fillId="0" borderId="100" xfId="217" applyFont="1" applyBorder="1" applyAlignment="1">
      <alignment horizontal="center" vertical="center" wrapText="1"/>
    </xf>
    <xf numFmtId="167" fontId="90" fillId="0" borderId="100" xfId="217" applyNumberFormat="1" applyFont="1" applyBorder="1" applyAlignment="1">
      <alignment horizontal="center" vertical="center" wrapText="1"/>
    </xf>
    <xf numFmtId="49" fontId="33" fillId="0" borderId="0" xfId="148" applyNumberFormat="1" applyFont="1" applyFill="1" applyBorder="1" applyAlignment="1" applyProtection="1">
      <alignment horizontal="center"/>
      <protection locked="0"/>
    </xf>
    <xf numFmtId="190" fontId="116" fillId="0" borderId="0" xfId="146" applyNumberFormat="1" applyFont="1"/>
    <xf numFmtId="0" fontId="13" fillId="0" borderId="0" xfId="0" pivotButton="1" applyFont="1"/>
    <xf numFmtId="190" fontId="13" fillId="0" borderId="0" xfId="0" applyNumberFormat="1" applyFont="1" applyAlignment="1">
      <alignment wrapText="1"/>
    </xf>
    <xf numFmtId="0" fontId="13" fillId="0" borderId="0" xfId="0" applyFont="1" applyAlignment="1">
      <alignment horizontal="left"/>
    </xf>
    <xf numFmtId="190" fontId="13" fillId="0" borderId="0" xfId="0" applyNumberFormat="1" applyFont="1"/>
    <xf numFmtId="0" fontId="116" fillId="0" borderId="0" xfId="146" applyFont="1"/>
    <xf numFmtId="0" fontId="116" fillId="0" borderId="0" xfId="146" applyFont="1" applyBorder="1"/>
    <xf numFmtId="190" fontId="116" fillId="0" borderId="0" xfId="146" applyNumberFormat="1" applyFont="1" applyBorder="1"/>
    <xf numFmtId="191" fontId="13" fillId="0" borderId="0" xfId="147" applyNumberFormat="1" applyFont="1" applyBorder="1"/>
    <xf numFmtId="0" fontId="33" fillId="0" borderId="0" xfId="4" applyFont="1" applyBorder="1" applyAlignment="1" applyProtection="1">
      <alignment vertical="center"/>
      <protection locked="0"/>
    </xf>
    <xf numFmtId="190" fontId="33" fillId="0" borderId="0" xfId="148" applyNumberFormat="1" applyFont="1" applyFill="1" applyBorder="1" applyAlignment="1" applyProtection="1">
      <alignment horizontal="center"/>
      <protection locked="0"/>
    </xf>
    <xf numFmtId="190" fontId="33" fillId="0" borderId="0" xfId="148" applyNumberFormat="1" applyFont="1" applyFill="1" applyBorder="1" applyAlignment="1" applyProtection="1">
      <alignment horizontal="left"/>
      <protection locked="0"/>
    </xf>
    <xf numFmtId="0" fontId="41" fillId="0" borderId="0" xfId="4" applyFont="1" applyFill="1" applyBorder="1" applyAlignment="1" applyProtection="1">
      <alignment vertical="center"/>
      <protection locked="0"/>
    </xf>
    <xf numFmtId="191" fontId="13" fillId="0" borderId="0" xfId="147" applyNumberFormat="1" applyFont="1"/>
    <xf numFmtId="0" fontId="41" fillId="0" borderId="0" xfId="4" applyFont="1" applyBorder="1" applyAlignment="1" applyProtection="1">
      <alignment horizontal="center"/>
      <protection locked="0"/>
    </xf>
    <xf numFmtId="0" fontId="13" fillId="0" borderId="0" xfId="0" pivotButton="1" applyFont="1" applyAlignment="1">
      <alignment horizontal="center" vertical="center" wrapText="1"/>
    </xf>
    <xf numFmtId="2" fontId="134" fillId="0" borderId="0" xfId="4" applyNumberFormat="1" applyFont="1" applyBorder="1" applyAlignment="1" applyProtection="1">
      <alignment horizontal="center" vertical="center"/>
      <protection locked="0"/>
    </xf>
    <xf numFmtId="2" fontId="134" fillId="0" borderId="0" xfId="4" applyNumberFormat="1" applyFont="1" applyBorder="1" applyAlignment="1" applyProtection="1">
      <alignment horizontal="right" vertical="center"/>
      <protection locked="0"/>
    </xf>
    <xf numFmtId="2" fontId="135" fillId="3" borderId="0" xfId="4" applyNumberFormat="1" applyFont="1" applyFill="1" applyBorder="1" applyAlignment="1" applyProtection="1">
      <alignment horizontal="center" vertical="center"/>
      <protection locked="0"/>
    </xf>
    <xf numFmtId="2" fontId="52" fillId="0" borderId="0" xfId="4" applyNumberFormat="1" applyFont="1" applyFill="1" applyBorder="1" applyAlignment="1" applyProtection="1">
      <protection locked="0"/>
    </xf>
    <xf numFmtId="2" fontId="52" fillId="0" borderId="0" xfId="4" applyNumberFormat="1" applyFont="1" applyFill="1" applyAlignment="1" applyProtection="1">
      <protection locked="0"/>
    </xf>
    <xf numFmtId="2" fontId="52" fillId="0" borderId="0" xfId="4" applyNumberFormat="1" applyFont="1" applyAlignment="1" applyProtection="1">
      <protection locked="0"/>
    </xf>
    <xf numFmtId="0" fontId="32" fillId="0" borderId="0" xfId="4" applyFont="1" applyFill="1" applyAlignment="1" applyProtection="1">
      <alignment horizontal="center"/>
      <protection locked="0"/>
    </xf>
    <xf numFmtId="169" fontId="38" fillId="0" borderId="0" xfId="4" applyNumberFormat="1" applyFont="1" applyBorder="1" applyAlignment="1" applyProtection="1">
      <alignment horizontal="center" vertical="center"/>
      <protection locked="0"/>
    </xf>
    <xf numFmtId="168" fontId="38" fillId="0" borderId="0" xfId="4" applyNumberFormat="1" applyFont="1" applyBorder="1" applyAlignment="1" applyProtection="1">
      <alignment horizontal="center" vertical="center"/>
      <protection locked="0"/>
    </xf>
    <xf numFmtId="194" fontId="0" fillId="0" borderId="0" xfId="0" applyNumberFormat="1"/>
    <xf numFmtId="0" fontId="32" fillId="0" borderId="100" xfId="4" applyFont="1" applyFill="1" applyBorder="1" applyAlignment="1" applyProtection="1">
      <alignment horizontal="center" vertical="center" wrapText="1"/>
      <protection locked="0"/>
    </xf>
    <xf numFmtId="0" fontId="40" fillId="0" borderId="100" xfId="4" applyFont="1" applyFill="1" applyBorder="1" applyAlignment="1" applyProtection="1">
      <alignment horizontal="center" vertical="center" wrapText="1"/>
      <protection locked="0"/>
    </xf>
    <xf numFmtId="3" fontId="40" fillId="0" borderId="100" xfId="4" applyNumberFormat="1" applyFont="1" applyFill="1" applyBorder="1" applyAlignment="1" applyProtection="1">
      <alignment horizontal="center" vertical="center" wrapText="1"/>
      <protection locked="0"/>
    </xf>
    <xf numFmtId="0" fontId="32" fillId="0" borderId="100" xfId="4" applyFont="1" applyFill="1" applyBorder="1" applyAlignment="1" applyProtection="1">
      <alignment horizontal="left" vertical="center" wrapText="1"/>
      <protection locked="0"/>
    </xf>
    <xf numFmtId="0" fontId="41" fillId="0" borderId="100" xfId="4" applyFont="1" applyFill="1" applyBorder="1" applyAlignment="1" applyProtection="1">
      <alignment horizontal="center" vertical="center" wrapText="1"/>
      <protection locked="0"/>
    </xf>
    <xf numFmtId="168" fontId="41" fillId="0" borderId="100" xfId="4" applyNumberFormat="1" applyFont="1" applyFill="1" applyBorder="1" applyAlignment="1" applyProtection="1">
      <alignment horizontal="center" vertical="center" wrapText="1"/>
      <protection locked="0"/>
    </xf>
    <xf numFmtId="14" fontId="32" fillId="0" borderId="100" xfId="4" applyNumberFormat="1" applyFont="1" applyFill="1" applyBorder="1" applyAlignment="1" applyProtection="1">
      <alignment horizontal="center" vertical="center" wrapText="1"/>
      <protection locked="0"/>
    </xf>
    <xf numFmtId="167" fontId="41" fillId="0" borderId="100" xfId="4" applyNumberFormat="1" applyFont="1" applyFill="1" applyBorder="1" applyAlignment="1" applyProtection="1">
      <alignment horizontal="center" vertical="center" wrapText="1"/>
      <protection locked="0"/>
    </xf>
    <xf numFmtId="167" fontId="32" fillId="0" borderId="100" xfId="4" applyNumberFormat="1" applyFont="1" applyFill="1" applyBorder="1" applyAlignment="1" applyProtection="1">
      <alignment horizontal="center" vertical="center" wrapText="1"/>
      <protection locked="0"/>
    </xf>
    <xf numFmtId="173" fontId="32" fillId="0" borderId="100" xfId="4" applyNumberFormat="1" applyFont="1" applyFill="1" applyBorder="1" applyAlignment="1" applyProtection="1">
      <alignment horizontal="center" vertical="center" wrapText="1"/>
      <protection locked="0"/>
    </xf>
    <xf numFmtId="2" fontId="32" fillId="0" borderId="100" xfId="4" applyNumberFormat="1" applyFont="1" applyFill="1" applyBorder="1" applyAlignment="1" applyProtection="1">
      <alignment horizontal="center" vertical="center" wrapText="1"/>
      <protection locked="0"/>
    </xf>
    <xf numFmtId="0" fontId="32" fillId="0" borderId="100" xfId="4" applyNumberFormat="1" applyFont="1" applyFill="1" applyBorder="1" applyAlignment="1" applyProtection="1">
      <alignment horizontal="center" vertical="center" wrapText="1"/>
      <protection locked="0"/>
    </xf>
    <xf numFmtId="4" fontId="32" fillId="0" borderId="0" xfId="4" applyNumberFormat="1" applyFont="1" applyFill="1" applyBorder="1" applyAlignment="1" applyProtection="1">
      <alignment horizontal="center"/>
      <protection locked="0"/>
    </xf>
    <xf numFmtId="4" fontId="32" fillId="0" borderId="0" xfId="4" applyNumberFormat="1" applyFont="1" applyFill="1" applyAlignment="1" applyProtection="1">
      <alignment horizontal="center"/>
      <protection locked="0"/>
    </xf>
    <xf numFmtId="167" fontId="41" fillId="0" borderId="100" xfId="4" applyNumberFormat="1" applyFont="1" applyFill="1" applyBorder="1" applyAlignment="1" applyProtection="1">
      <alignment horizontal="center" vertical="center"/>
      <protection locked="0"/>
    </xf>
    <xf numFmtId="0" fontId="4" fillId="0" borderId="0" xfId="219" applyAlignment="1">
      <alignment vertical="center" wrapText="1"/>
    </xf>
    <xf numFmtId="190" fontId="4" fillId="0" borderId="0" xfId="219" applyNumberFormat="1" applyBorder="1" applyAlignment="1">
      <alignment vertical="center" wrapText="1"/>
    </xf>
    <xf numFmtId="0" fontId="4" fillId="0" borderId="0" xfId="219" applyAlignment="1">
      <alignment horizontal="left" vertical="center" wrapText="1"/>
    </xf>
    <xf numFmtId="0" fontId="112" fillId="0" borderId="89" xfId="150" applyFont="1" applyBorder="1" applyAlignment="1">
      <alignment horizontal="center" vertical="center" wrapText="1"/>
    </xf>
    <xf numFmtId="0" fontId="112" fillId="0" borderId="90" xfId="150" applyFont="1" applyBorder="1" applyAlignment="1">
      <alignment horizontal="center" vertical="center" wrapText="1"/>
    </xf>
    <xf numFmtId="0" fontId="11" fillId="0" borderId="91" xfId="150" applyBorder="1" applyAlignment="1">
      <alignment horizontal="center" vertical="center" wrapText="1"/>
    </xf>
    <xf numFmtId="0" fontId="11" fillId="0" borderId="0" xfId="150"/>
    <xf numFmtId="0" fontId="110" fillId="0" borderId="101" xfId="150" applyFont="1" applyBorder="1" applyAlignment="1">
      <alignment horizontal="center" vertical="center" wrapText="1"/>
    </xf>
    <xf numFmtId="0" fontId="110" fillId="0" borderId="100" xfId="150" applyFont="1" applyBorder="1" applyAlignment="1">
      <alignment horizontal="center" vertical="center" wrapText="1"/>
    </xf>
    <xf numFmtId="0" fontId="110" fillId="0" borderId="105" xfId="150" applyFont="1" applyBorder="1" applyAlignment="1">
      <alignment horizontal="center" vertical="center" wrapText="1"/>
    </xf>
    <xf numFmtId="0" fontId="110" fillId="0" borderId="102" xfId="150" applyFont="1" applyBorder="1" applyAlignment="1">
      <alignment horizontal="center" vertical="center" wrapText="1"/>
    </xf>
    <xf numFmtId="0" fontId="90" fillId="0" borderId="0" xfId="219" applyFont="1" applyAlignment="1">
      <alignment horizontal="center" vertical="center" wrapText="1"/>
    </xf>
    <xf numFmtId="0" fontId="11" fillId="0" borderId="100" xfId="150" applyBorder="1" applyAlignment="1">
      <alignment horizontal="center" vertical="center" wrapText="1"/>
    </xf>
    <xf numFmtId="0" fontId="11" fillId="0" borderId="106" xfId="150" applyBorder="1" applyAlignment="1">
      <alignment horizontal="center" vertical="center" wrapText="1"/>
    </xf>
    <xf numFmtId="190" fontId="11" fillId="0" borderId="102" xfId="150" applyNumberFormat="1" applyBorder="1" applyAlignment="1">
      <alignment vertical="center" wrapText="1"/>
    </xf>
    <xf numFmtId="190" fontId="11" fillId="0" borderId="95" xfId="150" applyNumberFormat="1" applyBorder="1" applyAlignment="1">
      <alignment vertical="center" wrapText="1"/>
    </xf>
    <xf numFmtId="0" fontId="110" fillId="0" borderId="0" xfId="150" applyFont="1"/>
    <xf numFmtId="190" fontId="111" fillId="0" borderId="102" xfId="150" applyNumberFormat="1" applyFont="1" applyBorder="1" applyAlignment="1">
      <alignment vertical="center" wrapText="1"/>
    </xf>
    <xf numFmtId="194" fontId="113" fillId="0" borderId="0" xfId="150" applyNumberFormat="1" applyFont="1"/>
    <xf numFmtId="0" fontId="11" fillId="0" borderId="0" xfId="150" applyFont="1"/>
    <xf numFmtId="0" fontId="11" fillId="0" borderId="5" xfId="150" applyBorder="1"/>
    <xf numFmtId="0" fontId="11" fillId="0" borderId="0" xfId="150" applyBorder="1"/>
    <xf numFmtId="0" fontId="11" fillId="0" borderId="6" xfId="150" applyBorder="1"/>
    <xf numFmtId="0" fontId="110" fillId="0" borderId="100" xfId="150" applyFont="1" applyBorder="1" applyAlignment="1">
      <alignment horizontal="center"/>
    </xf>
    <xf numFmtId="0" fontId="110" fillId="0" borderId="100" xfId="150" applyFont="1" applyBorder="1" applyAlignment="1">
      <alignment horizontal="center" wrapText="1"/>
    </xf>
    <xf numFmtId="190" fontId="111" fillId="0" borderId="100" xfId="150" applyNumberFormat="1" applyFont="1" applyBorder="1" applyAlignment="1">
      <alignment vertical="center" wrapText="1"/>
    </xf>
    <xf numFmtId="190" fontId="11" fillId="0" borderId="0" xfId="150" applyNumberFormat="1"/>
    <xf numFmtId="0" fontId="110" fillId="0" borderId="101" xfId="150" applyFont="1" applyBorder="1" applyAlignment="1">
      <alignment horizontal="center"/>
    </xf>
    <xf numFmtId="0" fontId="110" fillId="0" borderId="102" xfId="150" applyFont="1" applyBorder="1" applyAlignment="1">
      <alignment horizontal="center"/>
    </xf>
    <xf numFmtId="0" fontId="11" fillId="0" borderId="101" xfId="150" applyFont="1" applyBorder="1" applyAlignment="1">
      <alignment horizontal="center" vertical="center"/>
    </xf>
    <xf numFmtId="0" fontId="11" fillId="0" borderId="100" xfId="150" applyFont="1" applyBorder="1" applyAlignment="1">
      <alignment horizontal="center" vertical="center"/>
    </xf>
    <xf numFmtId="0" fontId="11" fillId="0" borderId="100" xfId="150" applyFont="1" applyBorder="1" applyAlignment="1">
      <alignment horizontal="center" vertical="center" wrapText="1"/>
    </xf>
    <xf numFmtId="190" fontId="111" fillId="0" borderId="100" xfId="150" applyNumberFormat="1" applyFont="1" applyBorder="1" applyAlignment="1">
      <alignment horizontal="center" vertical="center" wrapText="1"/>
    </xf>
    <xf numFmtId="0" fontId="11" fillId="0" borderId="113" xfId="150" applyBorder="1"/>
    <xf numFmtId="0" fontId="11" fillId="0" borderId="93" xfId="150" applyBorder="1"/>
    <xf numFmtId="0" fontId="113" fillId="0" borderId="94" xfId="150" applyFont="1" applyBorder="1" applyAlignment="1">
      <alignment horizontal="right"/>
    </xf>
    <xf numFmtId="190" fontId="113" fillId="0" borderId="95" xfId="150" applyNumberFormat="1" applyFont="1" applyBorder="1" applyAlignment="1">
      <alignment horizontal="right"/>
    </xf>
    <xf numFmtId="14" fontId="11" fillId="0" borderId="0" xfId="150" applyNumberFormat="1"/>
    <xf numFmtId="0" fontId="11" fillId="0" borderId="105" xfId="150" applyBorder="1" applyAlignment="1">
      <alignment horizontal="center"/>
    </xf>
    <xf numFmtId="0" fontId="12" fillId="0" borderId="0" xfId="150" applyFont="1" applyAlignment="1">
      <alignment horizontal="center"/>
    </xf>
    <xf numFmtId="190" fontId="4" fillId="0" borderId="90" xfId="219" applyNumberFormat="1" applyBorder="1" applyAlignment="1">
      <alignment vertical="center" wrapText="1"/>
    </xf>
    <xf numFmtId="190" fontId="4" fillId="0" borderId="109" xfId="219" applyNumberFormat="1" applyBorder="1" applyAlignment="1">
      <alignment vertical="center" wrapText="1"/>
    </xf>
    <xf numFmtId="1" fontId="27" fillId="0" borderId="89" xfId="220" applyNumberFormat="1" applyFont="1" applyBorder="1" applyAlignment="1">
      <alignment horizontal="center" vertical="center"/>
    </xf>
    <xf numFmtId="1" fontId="27" fillId="0" borderId="90" xfId="220" applyNumberFormat="1" applyFont="1" applyBorder="1"/>
    <xf numFmtId="0" fontId="29" fillId="0" borderId="90" xfId="4" applyFont="1" applyBorder="1" applyAlignment="1" applyProtection="1">
      <alignment vertical="center"/>
      <protection locked="0"/>
    </xf>
    <xf numFmtId="2" fontId="29" fillId="0" borderId="90" xfId="4" applyNumberFormat="1" applyFont="1" applyBorder="1" applyAlignment="1" applyProtection="1">
      <alignment vertical="center"/>
      <protection locked="0"/>
    </xf>
    <xf numFmtId="0" fontId="29" fillId="0" borderId="91" xfId="4" applyFont="1" applyBorder="1" applyAlignment="1" applyProtection="1">
      <alignment vertical="center"/>
      <protection locked="0"/>
    </xf>
    <xf numFmtId="0" fontId="31" fillId="0" borderId="91" xfId="150" applyNumberFormat="1" applyFont="1" applyBorder="1"/>
    <xf numFmtId="0" fontId="27" fillId="0" borderId="0" xfId="220" applyFont="1"/>
    <xf numFmtId="1" fontId="27" fillId="0" borderId="5" xfId="220" applyNumberFormat="1" applyFont="1" applyBorder="1" applyAlignment="1">
      <alignment horizontal="center" vertical="center"/>
    </xf>
    <xf numFmtId="1" fontId="27" fillId="0" borderId="0" xfId="220" applyNumberFormat="1" applyFont="1" applyBorder="1"/>
    <xf numFmtId="0" fontId="27" fillId="0" borderId="0" xfId="220" applyFont="1" applyBorder="1"/>
    <xf numFmtId="2" fontId="52" fillId="0" borderId="0" xfId="220" applyNumberFormat="1" applyFont="1" applyBorder="1"/>
    <xf numFmtId="0" fontId="27" fillId="0" borderId="0" xfId="220" applyFont="1" applyBorder="1" applyAlignment="1"/>
    <xf numFmtId="49" fontId="29" fillId="0" borderId="0" xfId="207" applyNumberFormat="1" applyFont="1" applyFill="1" applyBorder="1" applyAlignment="1" applyProtection="1">
      <alignment horizontal="left"/>
      <protection locked="0"/>
    </xf>
    <xf numFmtId="49" fontId="30" fillId="0" borderId="8" xfId="207" applyNumberFormat="1" applyFont="1" applyFill="1" applyBorder="1" applyAlignment="1" applyProtection="1">
      <alignment horizontal="left"/>
      <protection locked="0"/>
    </xf>
    <xf numFmtId="1" fontId="44" fillId="0" borderId="5" xfId="220" applyNumberFormat="1" applyFont="1" applyBorder="1" applyAlignment="1">
      <alignment vertical="center" textRotation="45"/>
    </xf>
    <xf numFmtId="49" fontId="30" fillId="0" borderId="10" xfId="207" applyNumberFormat="1" applyFont="1" applyFill="1" applyBorder="1" applyAlignment="1" applyProtection="1">
      <alignment horizontal="left"/>
      <protection locked="0"/>
    </xf>
    <xf numFmtId="1" fontId="44" fillId="0" borderId="43" xfId="220" applyNumberFormat="1" applyFont="1" applyBorder="1" applyAlignment="1">
      <alignment vertical="center" textRotation="45"/>
    </xf>
    <xf numFmtId="49" fontId="30" fillId="0" borderId="49" xfId="207" applyNumberFormat="1" applyFont="1" applyFill="1" applyBorder="1" applyAlignment="1" applyProtection="1">
      <alignment horizontal="left"/>
      <protection locked="0"/>
    </xf>
    <xf numFmtId="2" fontId="136" fillId="3" borderId="100" xfId="4" applyNumberFormat="1" applyFont="1" applyFill="1" applyBorder="1" applyAlignment="1" applyProtection="1">
      <alignment horizontal="center" vertical="center"/>
      <protection locked="0"/>
    </xf>
    <xf numFmtId="2" fontId="86" fillId="3" borderId="100" xfId="4" applyNumberFormat="1" applyFont="1" applyFill="1" applyBorder="1" applyAlignment="1" applyProtection="1">
      <alignment horizontal="center" vertical="center" wrapText="1"/>
      <protection locked="0"/>
    </xf>
    <xf numFmtId="2" fontId="86" fillId="3" borderId="100" xfId="4" applyNumberFormat="1" applyFont="1" applyFill="1" applyBorder="1" applyAlignment="1" applyProtection="1">
      <alignment horizontal="center" vertical="center"/>
      <protection locked="0"/>
    </xf>
    <xf numFmtId="0" fontId="86" fillId="3" borderId="100" xfId="4" applyFont="1" applyFill="1" applyBorder="1" applyAlignment="1" applyProtection="1">
      <alignment horizontal="center" vertical="center"/>
      <protection locked="0"/>
    </xf>
    <xf numFmtId="0" fontId="86" fillId="3" borderId="100" xfId="4" applyFont="1" applyFill="1" applyBorder="1" applyAlignment="1" applyProtection="1">
      <alignment horizontal="center" vertical="center" wrapText="1"/>
      <protection locked="0"/>
    </xf>
    <xf numFmtId="172" fontId="87" fillId="0" borderId="100" xfId="4" applyNumberFormat="1" applyFont="1" applyFill="1" applyBorder="1" applyAlignment="1" applyProtection="1">
      <alignment horizontal="center" vertical="center"/>
      <protection locked="0"/>
    </xf>
    <xf numFmtId="0" fontId="85" fillId="0" borderId="100" xfId="4" applyFont="1" applyFill="1" applyBorder="1" applyAlignment="1" applyProtection="1">
      <alignment horizontal="center"/>
      <protection locked="0"/>
    </xf>
    <xf numFmtId="0" fontId="86" fillId="4" borderId="100" xfId="4" applyFont="1" applyFill="1" applyBorder="1" applyAlignment="1" applyProtection="1">
      <alignment horizontal="center" vertical="center" wrapText="1"/>
      <protection locked="0"/>
    </xf>
    <xf numFmtId="0" fontId="86" fillId="4" borderId="100" xfId="4" applyFont="1" applyFill="1" applyBorder="1" applyAlignment="1" applyProtection="1">
      <alignment horizontal="center" vertical="center"/>
      <protection locked="0"/>
    </xf>
    <xf numFmtId="167" fontId="86" fillId="4" borderId="100" xfId="4" applyNumberFormat="1" applyFont="1" applyFill="1" applyBorder="1" applyAlignment="1" applyProtection="1">
      <alignment vertical="center"/>
      <protection locked="0"/>
    </xf>
    <xf numFmtId="0" fontId="86" fillId="4" borderId="100" xfId="4" applyFont="1" applyFill="1" applyBorder="1" applyAlignment="1" applyProtection="1">
      <alignment horizontal="center" vertical="justify"/>
      <protection locked="0"/>
    </xf>
    <xf numFmtId="0" fontId="88" fillId="0" borderId="0" xfId="220" applyFont="1" applyFill="1"/>
    <xf numFmtId="1" fontId="47" fillId="4" borderId="100" xfId="4" applyNumberFormat="1" applyFont="1" applyFill="1" applyBorder="1" applyAlignment="1" applyProtection="1">
      <alignment horizontal="center" vertical="center" wrapText="1"/>
      <protection locked="0"/>
    </xf>
    <xf numFmtId="0" fontId="47" fillId="4" borderId="100" xfId="4" applyFont="1" applyFill="1" applyBorder="1" applyAlignment="1" applyProtection="1">
      <alignment horizontal="center" vertical="center"/>
      <protection locked="0"/>
    </xf>
    <xf numFmtId="2" fontId="137" fillId="4" borderId="100" xfId="4" applyNumberFormat="1" applyFont="1" applyFill="1" applyBorder="1" applyAlignment="1" applyProtection="1">
      <alignment horizontal="center" vertical="center"/>
      <protection locked="0"/>
    </xf>
    <xf numFmtId="0" fontId="48" fillId="4" borderId="100" xfId="4" applyFont="1" applyFill="1" applyBorder="1" applyAlignment="1" applyProtection="1">
      <alignment horizontal="center" vertical="center" wrapText="1"/>
      <protection locked="0"/>
    </xf>
    <xf numFmtId="0" fontId="47" fillId="4" borderId="100" xfId="4" applyFont="1" applyFill="1" applyBorder="1" applyAlignment="1" applyProtection="1">
      <alignment horizontal="center" vertical="center" wrapText="1"/>
      <protection locked="0"/>
    </xf>
    <xf numFmtId="0" fontId="94" fillId="4" borderId="100" xfId="4" applyFont="1" applyFill="1" applyBorder="1" applyAlignment="1" applyProtection="1">
      <alignment horizontal="center" vertical="center" wrapText="1"/>
      <protection locked="0"/>
    </xf>
    <xf numFmtId="0" fontId="51" fillId="4" borderId="100" xfId="4" applyFont="1" applyFill="1" applyBorder="1" applyAlignment="1" applyProtection="1">
      <alignment horizontal="center" vertical="center" wrapText="1"/>
      <protection locked="0"/>
    </xf>
    <xf numFmtId="3" fontId="48" fillId="4" borderId="100" xfId="4" applyNumberFormat="1" applyFont="1" applyFill="1" applyBorder="1" applyAlignment="1" applyProtection="1">
      <alignment horizontal="center" vertical="center" wrapText="1"/>
      <protection locked="0"/>
    </xf>
    <xf numFmtId="3" fontId="47" fillId="4" borderId="100" xfId="4" applyNumberFormat="1" applyFont="1" applyFill="1" applyBorder="1" applyAlignment="1" applyProtection="1">
      <alignment horizontal="center" vertical="center" wrapText="1"/>
      <protection locked="0"/>
    </xf>
    <xf numFmtId="167" fontId="49" fillId="4" borderId="100" xfId="4" applyNumberFormat="1" applyFont="1" applyFill="1" applyBorder="1" applyAlignment="1" applyProtection="1">
      <alignment horizontal="center" vertical="center"/>
      <protection locked="0"/>
    </xf>
    <xf numFmtId="0" fontId="47" fillId="4" borderId="100" xfId="4" applyFont="1" applyFill="1" applyBorder="1" applyAlignment="1" applyProtection="1">
      <alignment horizontal="center" vertical="justify"/>
      <protection locked="0"/>
    </xf>
    <xf numFmtId="0" fontId="27" fillId="0" borderId="0" xfId="220" applyFont="1" applyFill="1"/>
    <xf numFmtId="49" fontId="52" fillId="0" borderId="100" xfId="150" applyNumberFormat="1" applyFont="1" applyFill="1" applyBorder="1" applyAlignment="1" applyProtection="1">
      <alignment horizontal="center" vertical="center" wrapText="1"/>
      <protection locked="0"/>
    </xf>
    <xf numFmtId="2" fontId="52" fillId="0" borderId="97" xfId="150" applyNumberFormat="1" applyFont="1" applyFill="1" applyBorder="1" applyAlignment="1" applyProtection="1">
      <alignment vertical="center" wrapText="1"/>
      <protection locked="0"/>
    </xf>
    <xf numFmtId="0" fontId="41" fillId="27" borderId="100" xfId="4" applyFont="1" applyFill="1" applyBorder="1" applyAlignment="1" applyProtection="1">
      <alignment horizontal="center" vertical="center" wrapText="1"/>
      <protection locked="0"/>
    </xf>
    <xf numFmtId="9" fontId="52" fillId="0" borderId="100" xfId="221" applyFont="1" applyFill="1" applyBorder="1" applyAlignment="1" applyProtection="1">
      <alignment horizontal="center" vertical="center" wrapText="1"/>
      <protection locked="0"/>
    </xf>
    <xf numFmtId="0" fontId="27" fillId="0" borderId="0" xfId="220" applyFont="1" applyFill="1" applyAlignment="1">
      <alignment vertical="center" wrapText="1"/>
    </xf>
    <xf numFmtId="9" fontId="52" fillId="0" borderId="103" xfId="221" applyFont="1" applyFill="1" applyBorder="1" applyAlignment="1" applyProtection="1">
      <alignment horizontal="center" vertical="center" wrapText="1"/>
      <protection locked="0"/>
    </xf>
    <xf numFmtId="49" fontId="52" fillId="0" borderId="101" xfId="150" applyNumberFormat="1" applyFont="1" applyFill="1" applyBorder="1" applyAlignment="1" applyProtection="1">
      <alignment horizontal="center" vertical="center" wrapText="1"/>
      <protection locked="0"/>
    </xf>
    <xf numFmtId="2" fontId="52" fillId="0" borderId="100" xfId="150" applyNumberFormat="1" applyFont="1" applyFill="1" applyBorder="1" applyAlignment="1" applyProtection="1">
      <alignment horizontal="center" vertical="center" wrapText="1"/>
      <protection locked="0"/>
    </xf>
    <xf numFmtId="167" fontId="53" fillId="0" borderId="102" xfId="150" applyNumberFormat="1" applyFont="1" applyFill="1" applyBorder="1" applyAlignment="1" applyProtection="1">
      <alignment horizontal="center" vertical="center" wrapText="1"/>
      <protection locked="0"/>
    </xf>
    <xf numFmtId="167" fontId="41" fillId="27" borderId="100" xfId="4" applyNumberFormat="1" applyFont="1" applyFill="1" applyBorder="1" applyAlignment="1" applyProtection="1">
      <alignment horizontal="center" vertical="center" wrapText="1"/>
      <protection locked="0"/>
    </xf>
    <xf numFmtId="49" fontId="52" fillId="0" borderId="97" xfId="150" applyNumberFormat="1" applyFont="1" applyFill="1" applyBorder="1" applyAlignment="1" applyProtection="1">
      <alignment vertical="center" wrapText="1"/>
      <protection locked="0"/>
    </xf>
    <xf numFmtId="49" fontId="52" fillId="0" borderId="16" xfId="150" applyNumberFormat="1" applyFont="1" applyFill="1" applyBorder="1" applyAlignment="1" applyProtection="1">
      <alignment vertical="center" wrapText="1"/>
      <protection locked="0"/>
    </xf>
    <xf numFmtId="49" fontId="52" fillId="27" borderId="100" xfId="150" applyNumberFormat="1" applyFont="1" applyFill="1" applyBorder="1" applyAlignment="1" applyProtection="1">
      <alignment horizontal="center" vertical="center" wrapText="1"/>
      <protection locked="0"/>
    </xf>
    <xf numFmtId="49" fontId="52" fillId="0" borderId="17" xfId="150" applyNumberFormat="1" applyFont="1" applyFill="1" applyBorder="1" applyAlignment="1" applyProtection="1">
      <alignment vertical="center" wrapText="1"/>
      <protection locked="0"/>
    </xf>
    <xf numFmtId="49" fontId="52" fillId="0" borderId="97" xfId="150" applyNumberFormat="1" applyFont="1" applyFill="1" applyBorder="1" applyAlignment="1" applyProtection="1">
      <alignment horizontal="center" vertical="center" wrapText="1"/>
      <protection locked="0"/>
    </xf>
    <xf numFmtId="14" fontId="52" fillId="0" borderId="97" xfId="150" applyNumberFormat="1" applyFont="1" applyFill="1" applyBorder="1" applyAlignment="1" applyProtection="1">
      <alignment vertical="center" wrapText="1"/>
      <protection locked="0"/>
    </xf>
    <xf numFmtId="14" fontId="52" fillId="0" borderId="17" xfId="150" applyNumberFormat="1" applyFont="1" applyFill="1" applyBorder="1" applyAlignment="1" applyProtection="1">
      <alignment vertical="center" wrapText="1"/>
      <protection locked="0"/>
    </xf>
    <xf numFmtId="0" fontId="4" fillId="0" borderId="100" xfId="220" applyNumberFormat="1" applyFill="1" applyBorder="1" applyAlignment="1">
      <alignment horizontal="center" vertical="center" wrapText="1"/>
    </xf>
    <xf numFmtId="14" fontId="52" fillId="0" borderId="16" xfId="150" applyNumberFormat="1" applyFont="1" applyFill="1" applyBorder="1" applyAlignment="1" applyProtection="1">
      <alignment vertical="center" wrapText="1"/>
      <protection locked="0"/>
    </xf>
    <xf numFmtId="14" fontId="52" fillId="0" borderId="100" xfId="150" applyNumberFormat="1" applyFont="1" applyFill="1" applyBorder="1" applyAlignment="1" applyProtection="1">
      <alignment horizontal="center" vertical="center" wrapText="1"/>
      <protection locked="0"/>
    </xf>
    <xf numFmtId="2" fontId="52" fillId="0" borderId="17" xfId="150" applyNumberFormat="1" applyFont="1" applyFill="1" applyBorder="1" applyAlignment="1" applyProtection="1">
      <alignment vertical="center" wrapText="1"/>
      <protection locked="0"/>
    </xf>
    <xf numFmtId="0" fontId="52" fillId="0" borderId="17" xfId="150" applyNumberFormat="1" applyFont="1" applyFill="1" applyBorder="1" applyAlignment="1" applyProtection="1">
      <alignment vertical="center" wrapText="1"/>
      <protection locked="0"/>
    </xf>
    <xf numFmtId="167" fontId="27" fillId="0" borderId="0" xfId="220" applyNumberFormat="1" applyFont="1" applyFill="1" applyAlignment="1">
      <alignment vertical="center" wrapText="1"/>
    </xf>
    <xf numFmtId="0" fontId="52" fillId="0" borderId="16" xfId="150" applyNumberFormat="1" applyFont="1" applyFill="1" applyBorder="1" applyAlignment="1" applyProtection="1">
      <alignment vertical="center" wrapText="1"/>
      <protection locked="0"/>
    </xf>
    <xf numFmtId="49" fontId="52" fillId="27" borderId="97" xfId="150" applyNumberFormat="1" applyFont="1" applyFill="1" applyBorder="1" applyAlignment="1" applyProtection="1">
      <alignment vertical="center" wrapText="1"/>
      <protection locked="0"/>
    </xf>
    <xf numFmtId="167" fontId="53" fillId="0" borderId="99" xfId="150" applyNumberFormat="1" applyFont="1" applyFill="1" applyBorder="1" applyAlignment="1" applyProtection="1">
      <alignment vertical="center" wrapText="1"/>
      <protection locked="0"/>
    </xf>
    <xf numFmtId="49" fontId="52" fillId="27" borderId="17" xfId="150" applyNumberFormat="1" applyFont="1" applyFill="1" applyBorder="1" applyAlignment="1" applyProtection="1">
      <alignment vertical="center" wrapText="1"/>
      <protection locked="0"/>
    </xf>
    <xf numFmtId="167" fontId="53" fillId="0" borderId="19" xfId="150" applyNumberFormat="1" applyFont="1" applyFill="1" applyBorder="1" applyAlignment="1" applyProtection="1">
      <alignment vertical="center" wrapText="1"/>
      <protection locked="0"/>
    </xf>
    <xf numFmtId="49" fontId="52" fillId="27" borderId="16" xfId="150" applyNumberFormat="1" applyFont="1" applyFill="1" applyBorder="1" applyAlignment="1" applyProtection="1">
      <alignment vertical="center" wrapText="1"/>
      <protection locked="0"/>
    </xf>
    <xf numFmtId="167" fontId="53" fillId="0" borderId="20" xfId="150" applyNumberFormat="1" applyFont="1" applyFill="1" applyBorder="1" applyAlignment="1" applyProtection="1">
      <alignment vertical="center" wrapText="1"/>
      <protection locked="0"/>
    </xf>
    <xf numFmtId="0" fontId="41" fillId="34" borderId="100" xfId="4" applyFont="1" applyFill="1" applyBorder="1" applyAlignment="1" applyProtection="1">
      <alignment horizontal="center" vertical="center" wrapText="1"/>
      <protection locked="0"/>
    </xf>
    <xf numFmtId="174" fontId="55" fillId="0" borderId="100" xfId="9" applyNumberFormat="1" applyFont="1" applyFill="1" applyBorder="1" applyAlignment="1" applyProtection="1">
      <alignment horizontal="center" vertical="center" wrapText="1"/>
    </xf>
    <xf numFmtId="49" fontId="52" fillId="0" borderId="100" xfId="150" applyNumberFormat="1" applyFont="1" applyFill="1" applyBorder="1" applyAlignment="1" applyProtection="1">
      <alignment vertical="center" wrapText="1"/>
      <protection locked="0"/>
    </xf>
    <xf numFmtId="174" fontId="52" fillId="0" borderId="100" xfId="9" applyNumberFormat="1" applyFont="1" applyFill="1" applyBorder="1" applyAlignment="1" applyProtection="1">
      <alignment horizontal="center" vertical="center" wrapText="1"/>
    </xf>
    <xf numFmtId="174" fontId="55" fillId="0" borderId="100" xfId="9" applyNumberFormat="1" applyFont="1" applyFill="1" applyBorder="1" applyAlignment="1" applyProtection="1">
      <alignment horizontal="left" vertical="center"/>
    </xf>
    <xf numFmtId="0" fontId="4" fillId="0" borderId="100" xfId="220" applyNumberFormat="1" applyFill="1" applyBorder="1" applyAlignment="1">
      <alignment horizontal="center" vertical="center"/>
    </xf>
    <xf numFmtId="49" fontId="52" fillId="27" borderId="17" xfId="150" applyNumberFormat="1" applyFont="1" applyFill="1" applyBorder="1" applyAlignment="1" applyProtection="1">
      <alignment horizontal="center" vertical="center" wrapText="1"/>
      <protection locked="0"/>
    </xf>
    <xf numFmtId="167" fontId="53" fillId="0" borderId="107" xfId="150" applyNumberFormat="1" applyFont="1" applyFill="1" applyBorder="1" applyAlignment="1" applyProtection="1">
      <alignment horizontal="center" vertical="center" wrapText="1"/>
      <protection locked="0"/>
    </xf>
    <xf numFmtId="173" fontId="32" fillId="0" borderId="107" xfId="4" applyNumberFormat="1" applyFont="1" applyFill="1" applyBorder="1" applyAlignment="1" applyProtection="1">
      <alignment horizontal="center" vertical="center" wrapText="1"/>
      <protection locked="0"/>
    </xf>
    <xf numFmtId="173" fontId="32" fillId="0" borderId="103" xfId="4" applyNumberFormat="1" applyFont="1" applyFill="1" applyBorder="1" applyAlignment="1" applyProtection="1">
      <alignment horizontal="center" vertical="center" wrapText="1"/>
      <protection locked="0"/>
    </xf>
    <xf numFmtId="2" fontId="32" fillId="0" borderId="107" xfId="4" applyNumberFormat="1" applyFont="1" applyFill="1" applyBorder="1" applyAlignment="1" applyProtection="1">
      <alignment horizontal="center" vertical="center" wrapText="1"/>
      <protection locked="0"/>
    </xf>
    <xf numFmtId="0" fontId="32" fillId="0" borderId="103" xfId="4" applyNumberFormat="1" applyFont="1" applyFill="1" applyBorder="1" applyAlignment="1" applyProtection="1">
      <alignment horizontal="center" vertical="center" wrapText="1"/>
      <protection locked="0"/>
    </xf>
    <xf numFmtId="167" fontId="53" fillId="0" borderId="20" xfId="150" applyNumberFormat="1" applyFont="1" applyFill="1" applyBorder="1" applyAlignment="1" applyProtection="1">
      <alignment horizontal="center" vertical="center" wrapText="1"/>
      <protection locked="0"/>
    </xf>
    <xf numFmtId="167" fontId="41" fillId="33" borderId="100" xfId="4" applyNumberFormat="1" applyFont="1" applyFill="1" applyBorder="1" applyAlignment="1" applyProtection="1">
      <alignment horizontal="center" vertical="center"/>
      <protection locked="0"/>
    </xf>
    <xf numFmtId="4" fontId="11" fillId="0" borderId="100" xfId="4" applyNumberFormat="1" applyFont="1" applyFill="1" applyBorder="1" applyAlignment="1">
      <alignment vertical="center" wrapText="1"/>
    </xf>
    <xf numFmtId="167" fontId="32" fillId="0" borderId="100" xfId="4" applyNumberFormat="1" applyFont="1" applyFill="1" applyBorder="1" applyAlignment="1" applyProtection="1">
      <alignment vertical="center" wrapText="1"/>
      <protection locked="0"/>
    </xf>
    <xf numFmtId="0" fontId="41" fillId="35" borderId="100" xfId="4" applyFont="1" applyFill="1" applyBorder="1" applyAlignment="1" applyProtection="1">
      <alignment horizontal="center" vertical="center" wrapText="1"/>
      <protection locked="0"/>
    </xf>
    <xf numFmtId="49" fontId="52" fillId="28" borderId="100" xfId="150" applyNumberFormat="1" applyFont="1" applyFill="1" applyBorder="1" applyAlignment="1" applyProtection="1">
      <alignment horizontal="center" vertical="center" wrapText="1"/>
      <protection locked="0"/>
    </xf>
    <xf numFmtId="49" fontId="52" fillId="0" borderId="98" xfId="150" applyNumberFormat="1" applyFont="1" applyFill="1" applyBorder="1" applyAlignment="1" applyProtection="1">
      <alignment vertical="center" wrapText="1"/>
      <protection locked="0"/>
    </xf>
    <xf numFmtId="4" fontId="0" fillId="0" borderId="100" xfId="4" applyNumberFormat="1" applyFont="1" applyFill="1" applyBorder="1" applyAlignment="1">
      <alignment vertical="center" wrapText="1"/>
    </xf>
    <xf numFmtId="49" fontId="52" fillId="0" borderId="21" xfId="150" applyNumberFormat="1" applyFont="1" applyFill="1" applyBorder="1" applyAlignment="1" applyProtection="1">
      <alignment vertical="center" wrapText="1"/>
      <protection locked="0"/>
    </xf>
    <xf numFmtId="14" fontId="41" fillId="0" borderId="100" xfId="4" applyNumberFormat="1" applyFont="1" applyFill="1" applyBorder="1" applyAlignment="1" applyProtection="1">
      <alignment horizontal="center" vertical="center" wrapText="1"/>
      <protection locked="0"/>
    </xf>
    <xf numFmtId="49" fontId="52" fillId="0" borderId="22" xfId="150" applyNumberFormat="1" applyFont="1" applyFill="1" applyBorder="1" applyAlignment="1" applyProtection="1">
      <alignment vertical="center" wrapText="1"/>
      <protection locked="0"/>
    </xf>
    <xf numFmtId="0" fontId="41" fillId="33" borderId="100" xfId="4" applyFont="1" applyFill="1" applyBorder="1" applyAlignment="1" applyProtection="1">
      <alignment horizontal="center" vertical="center" wrapText="1"/>
      <protection locked="0"/>
    </xf>
    <xf numFmtId="49" fontId="52" fillId="28" borderId="97" xfId="150" applyNumberFormat="1" applyFont="1" applyFill="1" applyBorder="1" applyAlignment="1" applyProtection="1">
      <alignment vertical="center"/>
      <protection locked="0"/>
    </xf>
    <xf numFmtId="0" fontId="4" fillId="0" borderId="0" xfId="219" applyNumberFormat="1" applyAlignment="1">
      <alignment horizontal="center" vertical="center"/>
    </xf>
    <xf numFmtId="49" fontId="52" fillId="28" borderId="17" xfId="150" applyNumberFormat="1" applyFont="1" applyFill="1" applyBorder="1" applyAlignment="1" applyProtection="1">
      <alignment vertical="center"/>
      <protection locked="0"/>
    </xf>
    <xf numFmtId="49" fontId="52" fillId="28" borderId="100" xfId="150" applyNumberFormat="1" applyFont="1" applyFill="1" applyBorder="1" applyAlignment="1" applyProtection="1">
      <alignment vertical="center" wrapText="1"/>
      <protection locked="0"/>
    </xf>
    <xf numFmtId="49" fontId="52" fillId="28" borderId="16" xfId="150" applyNumberFormat="1" applyFont="1" applyFill="1" applyBorder="1" applyAlignment="1" applyProtection="1">
      <alignment vertical="center"/>
      <protection locked="0"/>
    </xf>
    <xf numFmtId="167" fontId="41" fillId="28" borderId="100" xfId="4" applyNumberFormat="1" applyFont="1" applyFill="1" applyBorder="1" applyAlignment="1" applyProtection="1">
      <alignment horizontal="center" vertical="center" wrapText="1"/>
      <protection locked="0"/>
    </xf>
    <xf numFmtId="0" fontId="32" fillId="28" borderId="100" xfId="4" applyFont="1" applyFill="1" applyBorder="1" applyAlignment="1" applyProtection="1">
      <alignment horizontal="left" vertical="center" wrapText="1"/>
      <protection locked="0"/>
    </xf>
    <xf numFmtId="167" fontId="41" fillId="28" borderId="100" xfId="4" applyNumberFormat="1" applyFont="1" applyFill="1" applyBorder="1" applyAlignment="1" applyProtection="1">
      <alignment horizontal="center" vertical="center"/>
      <protection locked="0"/>
    </xf>
    <xf numFmtId="49" fontId="52" fillId="0" borderId="94" xfId="150" applyNumberFormat="1" applyFont="1" applyFill="1" applyBorder="1" applyAlignment="1" applyProtection="1">
      <alignment horizontal="center" vertical="center" wrapText="1"/>
      <protection locked="0"/>
    </xf>
    <xf numFmtId="0" fontId="32" fillId="0" borderId="94" xfId="4" applyFont="1" applyFill="1" applyBorder="1" applyAlignment="1" applyProtection="1">
      <alignment horizontal="center" vertical="center" wrapText="1"/>
      <protection locked="0"/>
    </xf>
    <xf numFmtId="0" fontId="40" fillId="0" borderId="94" xfId="4" applyFont="1" applyFill="1" applyBorder="1" applyAlignment="1" applyProtection="1">
      <alignment horizontal="center" vertical="center" wrapText="1"/>
      <protection locked="0"/>
    </xf>
    <xf numFmtId="3" fontId="40" fillId="0" borderId="94" xfId="4" applyNumberFormat="1" applyFont="1" applyFill="1" applyBorder="1" applyAlignment="1" applyProtection="1">
      <alignment horizontal="center" vertical="center" wrapText="1"/>
      <protection locked="0"/>
    </xf>
    <xf numFmtId="0" fontId="32" fillId="0" borderId="94" xfId="4" applyFont="1" applyFill="1" applyBorder="1" applyAlignment="1" applyProtection="1">
      <alignment horizontal="left" vertical="center" wrapText="1"/>
      <protection locked="0"/>
    </xf>
    <xf numFmtId="14" fontId="32" fillId="0" borderId="94" xfId="4" applyNumberFormat="1" applyFont="1" applyFill="1" applyBorder="1" applyAlignment="1" applyProtection="1">
      <alignment horizontal="center" vertical="center" wrapText="1"/>
      <protection locked="0"/>
    </xf>
    <xf numFmtId="167" fontId="32" fillId="0" borderId="94" xfId="4" applyNumberFormat="1" applyFont="1" applyFill="1" applyBorder="1" applyAlignment="1" applyProtection="1">
      <alignment horizontal="center" vertical="center" wrapText="1"/>
      <protection locked="0"/>
    </xf>
    <xf numFmtId="0" fontId="57" fillId="0" borderId="100" xfId="4" applyFont="1" applyFill="1" applyBorder="1" applyAlignment="1" applyProtection="1">
      <alignment horizontal="center" vertical="center"/>
      <protection locked="0"/>
    </xf>
    <xf numFmtId="2" fontId="38" fillId="0" borderId="100" xfId="4" applyNumberFormat="1" applyFont="1" applyFill="1" applyBorder="1" applyAlignment="1" applyProtection="1">
      <protection locked="0"/>
    </xf>
    <xf numFmtId="175" fontId="58" fillId="0" borderId="100" xfId="4" applyNumberFormat="1" applyFont="1" applyFill="1" applyBorder="1" applyAlignment="1" applyProtection="1">
      <alignment horizontal="center"/>
      <protection locked="0"/>
    </xf>
    <xf numFmtId="176" fontId="58" fillId="0" borderId="100" xfId="4" applyNumberFormat="1" applyFont="1" applyFill="1" applyBorder="1" applyAlignment="1" applyProtection="1">
      <alignment horizontal="center"/>
      <protection locked="0"/>
    </xf>
    <xf numFmtId="0" fontId="110" fillId="0" borderId="0" xfId="0" applyFont="1"/>
    <xf numFmtId="0" fontId="11" fillId="0" borderId="100" xfId="0" applyFont="1" applyBorder="1" applyAlignment="1">
      <alignment horizontal="left" vertical="center" wrapText="1"/>
    </xf>
    <xf numFmtId="44" fontId="0" fillId="0" borderId="100" xfId="218" applyFont="1" applyBorder="1" applyAlignment="1">
      <alignment vertical="center" wrapText="1"/>
    </xf>
    <xf numFmtId="0" fontId="0" fillId="0" borderId="100" xfId="0" applyBorder="1" applyAlignment="1">
      <alignment horizontal="left" vertical="center" wrapText="1"/>
    </xf>
    <xf numFmtId="194" fontId="0" fillId="0" borderId="100" xfId="0" applyNumberFormat="1" applyBorder="1" applyAlignment="1">
      <alignment vertical="center" wrapText="1"/>
    </xf>
    <xf numFmtId="194" fontId="0" fillId="0" borderId="0" xfId="0" pivotButton="1" applyNumberFormat="1"/>
    <xf numFmtId="194" fontId="0" fillId="0" borderId="0" xfId="0" applyNumberFormat="1" applyAlignment="1">
      <alignment horizontal="left"/>
    </xf>
    <xf numFmtId="10" fontId="11" fillId="0" borderId="0" xfId="1" applyNumberFormat="1"/>
    <xf numFmtId="0" fontId="12" fillId="0" borderId="0" xfId="0" applyFont="1" applyAlignment="1">
      <alignment horizontal="center"/>
    </xf>
    <xf numFmtId="190" fontId="0" fillId="0" borderId="102" xfId="0" applyNumberFormat="1" applyBorder="1" applyAlignment="1">
      <alignment vertical="center" wrapText="1"/>
    </xf>
    <xf numFmtId="0" fontId="110" fillId="0" borderId="100" xfId="0" applyFont="1" applyBorder="1" applyAlignment="1">
      <alignment horizontal="center"/>
    </xf>
    <xf numFmtId="190" fontId="141" fillId="0" borderId="100" xfId="0" applyNumberFormat="1" applyFont="1" applyBorder="1" applyAlignment="1">
      <alignment vertical="center" wrapText="1"/>
    </xf>
    <xf numFmtId="0" fontId="0" fillId="0" borderId="0" xfId="0" applyAlignment="1">
      <alignment vertical="center"/>
    </xf>
    <xf numFmtId="190" fontId="12" fillId="0" borderId="0" xfId="0" applyNumberFormat="1" applyFont="1" applyAlignment="1">
      <alignment vertical="center"/>
    </xf>
    <xf numFmtId="0" fontId="90" fillId="0" borderId="0" xfId="217" applyFont="1" applyAlignment="1">
      <alignment horizontal="center" vertical="center"/>
    </xf>
    <xf numFmtId="0" fontId="5" fillId="0" borderId="0" xfId="217" applyAlignment="1">
      <alignment horizontal="center" vertical="center"/>
    </xf>
    <xf numFmtId="194" fontId="90" fillId="0" borderId="100" xfId="0" applyNumberFormat="1" applyFont="1" applyBorder="1" applyAlignment="1">
      <alignment horizontal="center" vertical="center"/>
    </xf>
    <xf numFmtId="0" fontId="5" fillId="0" borderId="100" xfId="217" applyBorder="1" applyAlignment="1">
      <alignment horizontal="center" vertical="center"/>
    </xf>
    <xf numFmtId="0" fontId="5" fillId="27" borderId="100" xfId="217" applyFill="1" applyBorder="1" applyAlignment="1">
      <alignment horizontal="center" vertical="center"/>
    </xf>
    <xf numFmtId="194" fontId="5" fillId="0" borderId="100" xfId="217" applyNumberFormat="1" applyBorder="1" applyAlignment="1">
      <alignment horizontal="center" vertical="center"/>
    </xf>
    <xf numFmtId="0" fontId="5" fillId="36" borderId="100" xfId="217" applyFill="1" applyBorder="1" applyAlignment="1">
      <alignment horizontal="center" vertical="center"/>
    </xf>
    <xf numFmtId="0" fontId="4" fillId="0" borderId="100" xfId="217" applyFont="1" applyBorder="1" applyAlignment="1">
      <alignment horizontal="center" vertical="center"/>
    </xf>
    <xf numFmtId="194" fontId="5" fillId="36" borderId="100" xfId="217" applyNumberFormat="1" applyFill="1" applyBorder="1" applyAlignment="1">
      <alignment horizontal="center" vertical="center"/>
    </xf>
    <xf numFmtId="194" fontId="90" fillId="0" borderId="0" xfId="217" applyNumberFormat="1" applyFont="1" applyAlignment="1">
      <alignment horizontal="center" vertical="center"/>
    </xf>
    <xf numFmtId="194" fontId="5" fillId="0" borderId="0" xfId="217" applyNumberFormat="1" applyAlignment="1">
      <alignment horizontal="center" vertical="center"/>
    </xf>
    <xf numFmtId="194" fontId="90" fillId="0" borderId="100" xfId="217" applyNumberFormat="1" applyFont="1" applyBorder="1" applyAlignment="1">
      <alignment horizontal="center" vertical="center"/>
    </xf>
    <xf numFmtId="10" fontId="5" fillId="0" borderId="100" xfId="1" applyNumberFormat="1" applyFont="1" applyBorder="1" applyAlignment="1">
      <alignment horizontal="center" vertical="center"/>
    </xf>
    <xf numFmtId="0" fontId="90" fillId="0" borderId="0" xfId="217" applyFont="1" applyAlignment="1">
      <alignment horizontal="left" vertical="center"/>
    </xf>
    <xf numFmtId="0" fontId="3" fillId="0" borderId="100" xfId="217" applyFont="1" applyBorder="1" applyAlignment="1">
      <alignment horizontal="center" vertical="center" wrapText="1"/>
    </xf>
    <xf numFmtId="0" fontId="90" fillId="0" borderId="5" xfId="217" applyFont="1" applyBorder="1" applyAlignment="1">
      <alignment horizontal="center" vertical="center"/>
    </xf>
    <xf numFmtId="9" fontId="5" fillId="0" borderId="6" xfId="1" applyFont="1" applyBorder="1" applyAlignment="1">
      <alignment horizontal="center" vertical="center"/>
    </xf>
    <xf numFmtId="0" fontId="4" fillId="0" borderId="94" xfId="217" applyFont="1" applyBorder="1" applyAlignment="1">
      <alignment horizontal="center" vertical="center"/>
    </xf>
    <xf numFmtId="194" fontId="5" fillId="0" borderId="94" xfId="217" applyNumberFormat="1" applyBorder="1" applyAlignment="1">
      <alignment horizontal="center" vertical="center"/>
    </xf>
    <xf numFmtId="9" fontId="5" fillId="0" borderId="56" xfId="217" applyNumberFormat="1" applyBorder="1" applyAlignment="1">
      <alignment horizontal="center" vertical="center"/>
    </xf>
    <xf numFmtId="0" fontId="5" fillId="0" borderId="79" xfId="217" applyBorder="1" applyAlignment="1">
      <alignment horizontal="center" vertical="center"/>
    </xf>
    <xf numFmtId="0" fontId="90" fillId="0" borderId="71" xfId="217" applyFont="1" applyBorder="1" applyAlignment="1">
      <alignment horizontal="center" vertical="center"/>
    </xf>
    <xf numFmtId="194" fontId="90" fillId="0" borderId="71" xfId="217" applyNumberFormat="1" applyFont="1" applyBorder="1" applyAlignment="1">
      <alignment horizontal="center" vertical="center"/>
    </xf>
    <xf numFmtId="0" fontId="4" fillId="0" borderId="67" xfId="217" applyFont="1" applyBorder="1" applyAlignment="1">
      <alignment horizontal="center" vertical="center"/>
    </xf>
    <xf numFmtId="194" fontId="5" fillId="0" borderId="67" xfId="217" applyNumberFormat="1" applyBorder="1" applyAlignment="1">
      <alignment horizontal="center" vertical="center"/>
    </xf>
    <xf numFmtId="0" fontId="3" fillId="0" borderId="23" xfId="217" applyFont="1" applyBorder="1" applyAlignment="1">
      <alignment horizontal="center" vertical="center"/>
    </xf>
    <xf numFmtId="9" fontId="90" fillId="0" borderId="56" xfId="1" applyFont="1" applyBorder="1" applyAlignment="1">
      <alignment horizontal="center" vertical="center"/>
    </xf>
    <xf numFmtId="0" fontId="90" fillId="0" borderId="64" xfId="217" applyFont="1" applyBorder="1" applyAlignment="1">
      <alignment horizontal="center" vertical="center"/>
    </xf>
    <xf numFmtId="0" fontId="90" fillId="0" borderId="58" xfId="217" applyFont="1" applyBorder="1" applyAlignment="1">
      <alignment horizontal="center" vertical="center"/>
    </xf>
    <xf numFmtId="0" fontId="90" fillId="0" borderId="61" xfId="217" applyFont="1" applyBorder="1" applyAlignment="1">
      <alignment horizontal="center" vertical="center"/>
    </xf>
    <xf numFmtId="0" fontId="4" fillId="0" borderId="17" xfId="217" applyFont="1" applyBorder="1" applyAlignment="1">
      <alignment horizontal="center" vertical="center"/>
    </xf>
    <xf numFmtId="194" fontId="5" fillId="0" borderId="17" xfId="217" applyNumberFormat="1" applyBorder="1" applyAlignment="1">
      <alignment horizontal="center" vertical="center"/>
    </xf>
    <xf numFmtId="0" fontId="4" fillId="0" borderId="67" xfId="217" applyFont="1" applyBorder="1" applyAlignment="1">
      <alignment horizontal="center" vertical="center" wrapText="1"/>
    </xf>
    <xf numFmtId="0" fontId="3" fillId="0" borderId="94" xfId="217" applyFont="1" applyBorder="1" applyAlignment="1">
      <alignment horizontal="center" vertical="center" wrapText="1"/>
    </xf>
    <xf numFmtId="0" fontId="90" fillId="0" borderId="100" xfId="217" applyFont="1" applyBorder="1" applyAlignment="1">
      <alignment horizontal="left" vertical="center"/>
    </xf>
    <xf numFmtId="0" fontId="11" fillId="0" borderId="100" xfId="0" applyFont="1" applyBorder="1" applyAlignment="1">
      <alignment horizontal="center" vertical="center" wrapText="1"/>
    </xf>
    <xf numFmtId="0" fontId="0" fillId="0" borderId="113" xfId="0" applyBorder="1"/>
    <xf numFmtId="14" fontId="0" fillId="0" borderId="0" xfId="0" applyNumberFormat="1"/>
    <xf numFmtId="0" fontId="0" fillId="0" borderId="105" xfId="0" applyBorder="1" applyAlignment="1">
      <alignment horizontal="center"/>
    </xf>
    <xf numFmtId="0" fontId="116" fillId="0" borderId="80" xfId="153" applyFont="1" applyFill="1" applyBorder="1" applyAlignment="1">
      <alignment horizontal="center" vertical="center" wrapText="1"/>
    </xf>
    <xf numFmtId="0" fontId="0" fillId="0" borderId="100" xfId="0" applyBorder="1" applyAlignment="1">
      <alignment horizontal="center" vertical="center" wrapText="1"/>
    </xf>
    <xf numFmtId="0" fontId="142" fillId="0" borderId="100" xfId="0" pivotButton="1" applyFont="1" applyBorder="1" applyAlignment="1">
      <alignment horizontal="center" vertical="center" wrapText="1"/>
    </xf>
    <xf numFmtId="0" fontId="143" fillId="0" borderId="89" xfId="0" pivotButton="1" applyFont="1" applyBorder="1" applyAlignment="1">
      <alignment horizontal="center" vertical="center" wrapText="1"/>
    </xf>
    <xf numFmtId="0" fontId="143" fillId="0" borderId="90" xfId="0" applyFont="1" applyBorder="1" applyAlignment="1">
      <alignment horizontal="center" vertical="center" wrapText="1"/>
    </xf>
    <xf numFmtId="0" fontId="142" fillId="0" borderId="101" xfId="0" pivotButton="1" applyFont="1" applyBorder="1" applyAlignment="1">
      <alignment horizontal="center" vertical="center" wrapText="1"/>
    </xf>
    <xf numFmtId="0" fontId="142" fillId="0" borderId="105" xfId="0" pivotButton="1" applyFont="1" applyBorder="1" applyAlignment="1">
      <alignment horizontal="center" vertical="center" wrapText="1"/>
    </xf>
    <xf numFmtId="0" fontId="142" fillId="0" borderId="102" xfId="0" applyFont="1" applyBorder="1" applyAlignment="1">
      <alignment horizontal="center" vertical="center" wrapText="1"/>
    </xf>
    <xf numFmtId="0" fontId="6" fillId="0" borderId="107" xfId="153" applyFill="1" applyBorder="1" applyAlignment="1">
      <alignment vertical="center" wrapText="1"/>
    </xf>
    <xf numFmtId="0" fontId="6" fillId="0" borderId="103" xfId="153" applyFill="1" applyBorder="1" applyAlignment="1">
      <alignment vertical="center" wrapText="1"/>
    </xf>
    <xf numFmtId="1" fontId="27" fillId="0" borderId="5" xfId="3" applyNumberFormat="1" applyFont="1" applyFill="1" applyBorder="1" applyAlignment="1">
      <alignment horizontal="center" vertical="center"/>
    </xf>
    <xf numFmtId="1" fontId="27" fillId="0" borderId="0" xfId="3" applyNumberFormat="1" applyFont="1" applyFill="1" applyBorder="1"/>
    <xf numFmtId="0" fontId="33" fillId="0" borderId="0" xfId="4" applyFont="1" applyFill="1" applyBorder="1" applyAlignment="1" applyProtection="1">
      <alignment horizontal="left" vertical="center"/>
      <protection locked="0"/>
    </xf>
    <xf numFmtId="0" fontId="27" fillId="0" borderId="0" xfId="3" applyFont="1" applyFill="1" applyBorder="1"/>
    <xf numFmtId="2" fontId="52" fillId="0" borderId="0" xfId="3" applyNumberFormat="1" applyFont="1" applyFill="1" applyBorder="1"/>
    <xf numFmtId="0" fontId="27" fillId="0" borderId="0" xfId="3" applyFont="1" applyFill="1" applyBorder="1" applyAlignment="1"/>
    <xf numFmtId="0" fontId="35" fillId="0" borderId="0" xfId="4" applyFont="1" applyFill="1" applyBorder="1" applyAlignment="1" applyProtection="1">
      <alignment horizontal="left" vertical="center"/>
      <protection locked="0"/>
    </xf>
    <xf numFmtId="0" fontId="35" fillId="0" borderId="0" xfId="4" applyFont="1" applyFill="1" applyBorder="1" applyAlignment="1" applyProtection="1">
      <alignment horizontal="center" vertical="center"/>
      <protection locked="0"/>
    </xf>
    <xf numFmtId="4" fontId="35" fillId="0" borderId="0" xfId="4" applyNumberFormat="1" applyFont="1" applyFill="1" applyBorder="1" applyAlignment="1" applyProtection="1">
      <alignment horizontal="center" vertical="center"/>
      <protection locked="0"/>
    </xf>
    <xf numFmtId="167" fontId="36" fillId="0" borderId="6" xfId="4" applyNumberFormat="1" applyFont="1" applyFill="1" applyBorder="1" applyAlignment="1" applyProtection="1">
      <alignment horizontal="left" vertical="center"/>
      <protection locked="0"/>
    </xf>
    <xf numFmtId="0" fontId="37" fillId="0" borderId="0" xfId="4" applyFont="1" applyFill="1" applyBorder="1" applyAlignment="1" applyProtection="1">
      <alignment horizontal="center" vertical="center"/>
      <protection locked="0"/>
    </xf>
    <xf numFmtId="0" fontId="37" fillId="0" borderId="6" xfId="4" applyNumberFormat="1" applyFont="1" applyFill="1" applyBorder="1" applyAlignment="1" applyProtection="1">
      <alignment horizontal="center" vertical="center"/>
      <protection locked="0"/>
    </xf>
    <xf numFmtId="0" fontId="32" fillId="0" borderId="0" xfId="4" applyFont="1" applyFill="1" applyAlignment="1" applyProtection="1">
      <alignment vertical="center"/>
      <protection locked="0"/>
    </xf>
    <xf numFmtId="49" fontId="33" fillId="0" borderId="0" xfId="4" applyNumberFormat="1" applyFont="1" applyFill="1" applyBorder="1" applyAlignment="1" applyProtection="1">
      <alignment horizontal="left" vertical="center"/>
      <protection locked="0"/>
    </xf>
    <xf numFmtId="49" fontId="84" fillId="0" borderId="0" xfId="4" applyNumberFormat="1" applyFont="1" applyFill="1" applyBorder="1" applyAlignment="1" applyProtection="1">
      <alignment horizontal="left" vertical="center"/>
      <protection locked="0"/>
    </xf>
    <xf numFmtId="2" fontId="134" fillId="0" borderId="0" xfId="4" applyNumberFormat="1" applyFont="1" applyFill="1" applyBorder="1" applyAlignment="1" applyProtection="1">
      <alignment horizontal="center" vertical="center"/>
      <protection locked="0"/>
    </xf>
    <xf numFmtId="0" fontId="40" fillId="0" borderId="0" xfId="4" applyFont="1" applyFill="1" applyBorder="1" applyAlignment="1" applyProtection="1">
      <protection locked="0"/>
    </xf>
    <xf numFmtId="0" fontId="41" fillId="0" borderId="0" xfId="4" applyFont="1" applyFill="1" applyBorder="1" applyAlignment="1" applyProtection="1">
      <protection locked="0"/>
    </xf>
    <xf numFmtId="167" fontId="42" fillId="0" borderId="6" xfId="4" applyNumberFormat="1" applyFont="1" applyFill="1" applyBorder="1" applyAlignment="1" applyProtection="1">
      <alignment horizontal="center" vertical="center"/>
      <protection locked="0"/>
    </xf>
    <xf numFmtId="170" fontId="32" fillId="0" borderId="0" xfId="4" applyNumberFormat="1" applyFont="1" applyFill="1" applyBorder="1" applyAlignment="1" applyProtection="1">
      <alignment horizontal="center"/>
      <protection locked="0"/>
    </xf>
    <xf numFmtId="170" fontId="43" fillId="0" borderId="0" xfId="4" applyNumberFormat="1" applyFont="1" applyFill="1" applyBorder="1" applyAlignment="1" applyProtection="1">
      <alignment horizontal="center" vertical="center"/>
      <protection locked="0"/>
    </xf>
    <xf numFmtId="0" fontId="43" fillId="0" borderId="6" xfId="4" applyNumberFormat="1" applyFont="1" applyFill="1" applyBorder="1" applyAlignment="1" applyProtection="1">
      <alignment horizontal="center" vertical="center"/>
      <protection locked="0"/>
    </xf>
    <xf numFmtId="169" fontId="38" fillId="0" borderId="0" xfId="4" applyNumberFormat="1" applyFont="1" applyFill="1" applyBorder="1" applyAlignment="1" applyProtection="1">
      <alignment horizontal="right" vertical="center"/>
      <protection locked="0"/>
    </xf>
    <xf numFmtId="2" fontId="134" fillId="0" borderId="0" xfId="4" applyNumberFormat="1" applyFont="1" applyFill="1" applyBorder="1" applyAlignment="1" applyProtection="1">
      <alignment horizontal="right" vertical="center"/>
      <protection locked="0"/>
    </xf>
    <xf numFmtId="169" fontId="38" fillId="0" borderId="0" xfId="4" applyNumberFormat="1" applyFont="1" applyFill="1" applyBorder="1" applyAlignment="1" applyProtection="1">
      <alignment horizontal="center" vertical="center"/>
      <protection locked="0"/>
    </xf>
    <xf numFmtId="1" fontId="46" fillId="0" borderId="9" xfId="4" applyNumberFormat="1" applyFont="1" applyFill="1" applyBorder="1" applyAlignment="1" applyProtection="1">
      <alignment horizontal="center" vertical="center"/>
      <protection locked="0"/>
    </xf>
    <xf numFmtId="2" fontId="135" fillId="0" borderId="0" xfId="4" applyNumberFormat="1" applyFont="1" applyFill="1" applyBorder="1" applyAlignment="1" applyProtection="1">
      <alignment horizontal="center" vertical="center"/>
      <protection locked="0"/>
    </xf>
    <xf numFmtId="171" fontId="32" fillId="0" borderId="0" xfId="4" applyNumberFormat="1" applyFont="1" applyFill="1" applyBorder="1" applyAlignment="1" applyProtection="1">
      <protection locked="0"/>
    </xf>
    <xf numFmtId="1" fontId="44" fillId="0" borderId="5" xfId="3" applyNumberFormat="1" applyFont="1" applyFill="1" applyBorder="1" applyAlignment="1">
      <alignment vertical="center" textRotation="45"/>
    </xf>
    <xf numFmtId="1" fontId="46" fillId="0" borderId="11" xfId="4" applyNumberFormat="1" applyFont="1" applyFill="1" applyBorder="1" applyAlignment="1" applyProtection="1">
      <alignment horizontal="center" vertical="center"/>
      <protection locked="0"/>
    </xf>
    <xf numFmtId="0" fontId="42" fillId="0" borderId="0" xfId="4" applyFont="1" applyFill="1" applyBorder="1" applyAlignment="1" applyProtection="1">
      <protection locked="0"/>
    </xf>
    <xf numFmtId="169" fontId="42" fillId="0" borderId="0" xfId="4" applyNumberFormat="1" applyFont="1" applyFill="1" applyBorder="1" applyAlignment="1" applyProtection="1">
      <alignment horizontal="left" vertical="center"/>
      <protection locked="0"/>
    </xf>
    <xf numFmtId="0" fontId="2" fillId="0" borderId="0" xfId="146" applyNumberFormat="1" applyFont="1"/>
    <xf numFmtId="0" fontId="32" fillId="0" borderId="97" xfId="4" applyNumberFormat="1" applyFont="1" applyFill="1" applyBorder="1" applyAlignment="1" applyProtection="1">
      <alignment horizontal="center" vertical="center" wrapText="1"/>
      <protection locked="0"/>
    </xf>
    <xf numFmtId="0" fontId="32" fillId="0" borderId="114" xfId="4" applyNumberFormat="1" applyFont="1" applyFill="1" applyBorder="1" applyAlignment="1" applyProtection="1">
      <alignment horizontal="center" vertical="center" wrapText="1"/>
      <protection locked="0"/>
    </xf>
    <xf numFmtId="0" fontId="27" fillId="0" borderId="100" xfId="3" applyFont="1" applyFill="1" applyBorder="1" applyAlignment="1">
      <alignment vertical="center" wrapText="1"/>
    </xf>
    <xf numFmtId="0" fontId="145" fillId="37" borderId="0" xfId="222" applyFill="1">
      <alignment vertical="top"/>
    </xf>
    <xf numFmtId="0" fontId="145" fillId="38" borderId="0" xfId="222" applyFill="1">
      <alignment vertical="top"/>
    </xf>
    <xf numFmtId="0" fontId="149" fillId="41" borderId="0" xfId="223" applyFont="1" applyFill="1" applyAlignment="1">
      <alignment vertical="top" wrapText="1" readingOrder="1"/>
    </xf>
    <xf numFmtId="0" fontId="150" fillId="41" borderId="0" xfId="223" applyFont="1" applyFill="1" applyAlignment="1">
      <alignment vertical="top" wrapText="1" readingOrder="1"/>
    </xf>
    <xf numFmtId="0" fontId="150" fillId="41" borderId="0" xfId="223" applyFont="1" applyFill="1" applyAlignment="1">
      <alignment horizontal="left" vertical="top" wrapText="1" readingOrder="1"/>
    </xf>
    <xf numFmtId="0" fontId="150" fillId="40" borderId="0" xfId="223" applyFont="1" applyFill="1" applyAlignment="1">
      <alignment vertical="top" wrapText="1" readingOrder="1"/>
    </xf>
    <xf numFmtId="0" fontId="153" fillId="41" borderId="0" xfId="223" applyFont="1" applyFill="1" applyAlignment="1">
      <alignment horizontal="left" vertical="top" wrapText="1" readingOrder="1"/>
    </xf>
    <xf numFmtId="0" fontId="146" fillId="39" borderId="0" xfId="223" applyFont="1" applyFill="1" applyAlignment="1">
      <alignment vertical="top" wrapText="1" readingOrder="1"/>
    </xf>
    <xf numFmtId="0" fontId="146" fillId="40" borderId="0" xfId="223" applyFont="1" applyFill="1" applyAlignment="1">
      <alignment vertical="top" wrapText="1" readingOrder="1"/>
    </xf>
    <xf numFmtId="0" fontId="147" fillId="41" borderId="0" xfId="223" applyFont="1" applyFill="1" applyAlignment="1">
      <alignment vertical="top" wrapText="1" readingOrder="1"/>
    </xf>
    <xf numFmtId="0" fontId="148" fillId="41" borderId="0" xfId="223" applyFont="1" applyFill="1" applyAlignment="1">
      <alignment vertical="top" wrapText="1" readingOrder="1"/>
    </xf>
    <xf numFmtId="0" fontId="147" fillId="40" borderId="0" xfId="223" applyFont="1" applyFill="1" applyAlignment="1">
      <alignment vertical="top" wrapText="1" readingOrder="1"/>
    </xf>
    <xf numFmtId="14" fontId="149" fillId="41" borderId="0" xfId="223" applyNumberFormat="1" applyFont="1" applyFill="1" applyAlignment="1">
      <alignment vertical="top"/>
    </xf>
    <xf numFmtId="0" fontId="149" fillId="40" borderId="0" xfId="223" applyFont="1" applyFill="1" applyAlignment="1">
      <alignment vertical="top" wrapText="1" readingOrder="1"/>
    </xf>
    <xf numFmtId="0" fontId="151" fillId="41" borderId="0" xfId="223" applyFont="1" applyFill="1" applyAlignment="1">
      <alignment vertical="top" wrapText="1" readingOrder="1"/>
    </xf>
    <xf numFmtId="201" fontId="152" fillId="41" borderId="0" xfId="223" applyNumberFormat="1" applyFont="1" applyFill="1" applyAlignment="1">
      <alignment vertical="top"/>
    </xf>
    <xf numFmtId="0" fontId="153" fillId="41" borderId="0" xfId="223" applyFont="1" applyFill="1" applyAlignment="1">
      <alignment vertical="top" wrapText="1" readingOrder="1"/>
    </xf>
    <xf numFmtId="0" fontId="152" fillId="41" borderId="0" xfId="223" applyFont="1" applyFill="1" applyAlignment="1">
      <alignment vertical="top" wrapText="1" readingOrder="1"/>
    </xf>
    <xf numFmtId="201" fontId="149" fillId="41" borderId="0" xfId="223" applyNumberFormat="1" applyFont="1" applyFill="1" applyAlignment="1">
      <alignment vertical="top"/>
    </xf>
    <xf numFmtId="201" fontId="152" fillId="40" borderId="0" xfId="223" applyNumberFormat="1" applyFont="1" applyFill="1" applyAlignment="1">
      <alignment vertical="top"/>
    </xf>
    <xf numFmtId="0" fontId="153" fillId="40" borderId="0" xfId="223" applyFont="1" applyFill="1" applyAlignment="1">
      <alignment vertical="top" wrapText="1" readingOrder="1"/>
    </xf>
    <xf numFmtId="201" fontId="149" fillId="40" borderId="0" xfId="223" applyNumberFormat="1" applyFont="1" applyFill="1" applyAlignment="1">
      <alignment vertical="top"/>
    </xf>
    <xf numFmtId="198" fontId="0" fillId="0" borderId="0" xfId="0" applyNumberFormat="1"/>
    <xf numFmtId="0" fontId="1" fillId="0" borderId="0" xfId="146" applyNumberFormat="1" applyFont="1"/>
    <xf numFmtId="0" fontId="43" fillId="0" borderId="100" xfId="4" applyFont="1" applyFill="1" applyBorder="1" applyAlignment="1" applyProtection="1">
      <alignment horizontal="center" vertical="center" wrapText="1"/>
      <protection locked="0"/>
    </xf>
    <xf numFmtId="0" fontId="120" fillId="0" borderId="100" xfId="3" applyNumberFormat="1" applyFont="1" applyFill="1" applyBorder="1" applyAlignment="1">
      <alignment horizontal="center" vertical="center"/>
    </xf>
    <xf numFmtId="0" fontId="43" fillId="0" borderId="100" xfId="4" applyFont="1" applyFill="1" applyBorder="1" applyAlignment="1" applyProtection="1">
      <alignment horizontal="left" vertical="center" wrapText="1"/>
      <protection locked="0"/>
    </xf>
    <xf numFmtId="0" fontId="41" fillId="0" borderId="100" xfId="4" applyFont="1" applyFill="1" applyBorder="1" applyAlignment="1" applyProtection="1">
      <alignment horizontal="left" vertical="center" wrapText="1"/>
      <protection locked="0"/>
    </xf>
    <xf numFmtId="4" fontId="13" fillId="0" borderId="100" xfId="4" applyNumberFormat="1" applyFont="1" applyFill="1" applyBorder="1" applyAlignment="1">
      <alignment vertical="center" wrapText="1"/>
    </xf>
    <xf numFmtId="0" fontId="42" fillId="0" borderId="100" xfId="4" applyFont="1" applyFill="1" applyBorder="1" applyAlignment="1" applyProtection="1">
      <alignment horizontal="center" vertical="center" wrapText="1"/>
      <protection locked="0"/>
    </xf>
    <xf numFmtId="167" fontId="42" fillId="0" borderId="100" xfId="4" applyNumberFormat="1" applyFont="1" applyFill="1" applyBorder="1" applyAlignment="1" applyProtection="1">
      <alignment horizontal="center" vertical="center" wrapText="1"/>
      <protection locked="0"/>
    </xf>
    <xf numFmtId="167" fontId="42" fillId="0" borderId="100" xfId="4" applyNumberFormat="1" applyFont="1" applyFill="1" applyBorder="1" applyAlignment="1" applyProtection="1">
      <alignment horizontal="center" vertical="center"/>
      <protection locked="0"/>
    </xf>
    <xf numFmtId="166" fontId="156" fillId="0" borderId="100" xfId="195" applyFont="1" applyFill="1" applyBorder="1" applyAlignment="1">
      <alignment horizontal="center" vertical="center"/>
    </xf>
    <xf numFmtId="166" fontId="156" fillId="0" borderId="100" xfId="195" applyFont="1" applyFill="1" applyBorder="1" applyAlignment="1">
      <alignment vertical="center"/>
    </xf>
    <xf numFmtId="0" fontId="86" fillId="0" borderId="103" xfId="4" applyFont="1" applyFill="1" applyBorder="1" applyAlignment="1" applyProtection="1">
      <alignment horizontal="center" vertical="justify"/>
      <protection locked="0"/>
    </xf>
    <xf numFmtId="0" fontId="32" fillId="0" borderId="103" xfId="4" applyFont="1" applyFill="1" applyBorder="1" applyAlignment="1" applyProtection="1">
      <alignment vertical="center" wrapText="1"/>
      <protection locked="0"/>
    </xf>
    <xf numFmtId="1" fontId="46" fillId="0" borderId="118" xfId="4" applyNumberFormat="1" applyFont="1" applyFill="1" applyBorder="1" applyAlignment="1" applyProtection="1">
      <alignment horizontal="center" vertical="center"/>
      <protection locked="0"/>
    </xf>
    <xf numFmtId="171" fontId="89" fillId="0" borderId="67" xfId="4" applyNumberFormat="1" applyFont="1" applyFill="1" applyBorder="1" applyAlignment="1" applyProtection="1">
      <alignment horizontal="center" vertical="center"/>
      <protection locked="0"/>
    </xf>
    <xf numFmtId="2" fontId="136" fillId="0" borderId="67" xfId="4" applyNumberFormat="1" applyFont="1" applyFill="1" applyBorder="1" applyAlignment="1" applyProtection="1">
      <alignment horizontal="center" vertical="center"/>
      <protection locked="0"/>
    </xf>
    <xf numFmtId="2" fontId="86" fillId="0" borderId="67" xfId="4" applyNumberFormat="1" applyFont="1" applyFill="1" applyBorder="1" applyAlignment="1" applyProtection="1">
      <alignment horizontal="center" vertical="center" wrapText="1"/>
      <protection locked="0"/>
    </xf>
    <xf numFmtId="2" fontId="86" fillId="0" borderId="67" xfId="4" applyNumberFormat="1" applyFont="1" applyFill="1" applyBorder="1" applyAlignment="1" applyProtection="1">
      <alignment horizontal="center" vertical="center"/>
      <protection locked="0"/>
    </xf>
    <xf numFmtId="0" fontId="86" fillId="0" borderId="67" xfId="4" applyFont="1" applyFill="1" applyBorder="1" applyAlignment="1" applyProtection="1">
      <alignment horizontal="center" vertical="center" wrapText="1"/>
      <protection locked="0"/>
    </xf>
    <xf numFmtId="172" fontId="87" fillId="0" borderId="67" xfId="4" applyNumberFormat="1" applyFont="1" applyFill="1" applyBorder="1" applyAlignment="1" applyProtection="1">
      <alignment horizontal="center" vertical="center"/>
      <protection locked="0"/>
    </xf>
    <xf numFmtId="0" fontId="85" fillId="0" borderId="67" xfId="4" applyFont="1" applyFill="1" applyBorder="1" applyAlignment="1" applyProtection="1">
      <alignment horizontal="center"/>
      <protection locked="0"/>
    </xf>
    <xf numFmtId="4" fontId="85" fillId="0" borderId="67" xfId="4" applyNumberFormat="1" applyFont="1" applyFill="1" applyBorder="1" applyAlignment="1" applyProtection="1">
      <alignment horizontal="center"/>
      <protection locked="0"/>
    </xf>
    <xf numFmtId="167" fontId="86" fillId="0" borderId="70" xfId="4" applyNumberFormat="1" applyFont="1" applyFill="1" applyBorder="1" applyAlignment="1" applyProtection="1">
      <alignment vertical="center"/>
      <protection locked="0"/>
    </xf>
    <xf numFmtId="0" fontId="120" fillId="0" borderId="100" xfId="3" applyNumberFormat="1" applyFont="1" applyFill="1" applyBorder="1" applyAlignment="1">
      <alignment horizontal="center" vertical="center" wrapText="1"/>
    </xf>
    <xf numFmtId="0" fontId="120" fillId="0" borderId="0" xfId="146" applyNumberFormat="1" applyFont="1" applyBorder="1"/>
    <xf numFmtId="174" fontId="155" fillId="0" borderId="100" xfId="9" applyNumberFormat="1" applyFont="1" applyFill="1" applyBorder="1" applyAlignment="1" applyProtection="1">
      <alignment horizontal="center" vertical="center" wrapText="1"/>
    </xf>
    <xf numFmtId="174" fontId="84" fillId="0" borderId="100" xfId="9" applyNumberFormat="1" applyFont="1" applyFill="1" applyBorder="1" applyAlignment="1" applyProtection="1">
      <alignment horizontal="center" vertical="center" wrapText="1"/>
    </xf>
    <xf numFmtId="174" fontId="155" fillId="0" borderId="100" xfId="9" applyNumberFormat="1" applyFont="1" applyFill="1" applyBorder="1" applyAlignment="1" applyProtection="1">
      <alignment horizontal="left" vertical="center"/>
    </xf>
    <xf numFmtId="0" fontId="32" fillId="0" borderId="5" xfId="4" applyFont="1" applyFill="1" applyBorder="1" applyAlignment="1" applyProtection="1">
      <alignment vertical="center" wrapText="1"/>
      <protection locked="0"/>
    </xf>
    <xf numFmtId="0" fontId="43" fillId="0" borderId="0" xfId="4" applyFont="1" applyFill="1" applyBorder="1" applyAlignment="1" applyProtection="1">
      <alignment vertical="center" wrapText="1"/>
      <protection locked="0"/>
    </xf>
    <xf numFmtId="167" fontId="144" fillId="0" borderId="6" xfId="4" applyNumberFormat="1" applyFont="1" applyFill="1" applyBorder="1" applyAlignment="1" applyProtection="1">
      <alignment vertical="center" wrapText="1"/>
      <protection locked="0"/>
    </xf>
    <xf numFmtId="167" fontId="144" fillId="0" borderId="19" xfId="4" applyNumberFormat="1" applyFont="1" applyFill="1" applyBorder="1" applyAlignment="1" applyProtection="1">
      <alignment vertical="center" wrapText="1"/>
      <protection locked="0"/>
    </xf>
    <xf numFmtId="167" fontId="144" fillId="0" borderId="20" xfId="4" applyNumberFormat="1" applyFont="1" applyFill="1" applyBorder="1" applyAlignment="1" applyProtection="1">
      <alignment vertical="center" wrapText="1"/>
      <protection locked="0"/>
    </xf>
    <xf numFmtId="4" fontId="42" fillId="0" borderId="100" xfId="4" applyNumberFormat="1" applyFont="1" applyFill="1" applyBorder="1" applyAlignment="1" applyProtection="1">
      <alignment horizontal="center" vertical="center" wrapText="1"/>
      <protection locked="0"/>
    </xf>
    <xf numFmtId="0" fontId="120" fillId="0" borderId="0" xfId="146" applyNumberFormat="1" applyFont="1" applyFill="1" applyBorder="1" applyAlignment="1">
      <alignment horizontal="center" vertical="center"/>
    </xf>
    <xf numFmtId="0" fontId="43" fillId="0" borderId="94" xfId="4" applyFont="1" applyFill="1" applyBorder="1" applyAlignment="1" applyProtection="1">
      <alignment horizontal="center" vertical="center" wrapText="1"/>
      <protection locked="0"/>
    </xf>
    <xf numFmtId="0" fontId="41" fillId="0" borderId="94" xfId="4" applyFont="1" applyFill="1" applyBorder="1" applyAlignment="1" applyProtection="1">
      <alignment horizontal="left" vertical="center" wrapText="1"/>
      <protection locked="0"/>
    </xf>
    <xf numFmtId="0" fontId="42" fillId="0" borderId="94" xfId="4" applyFont="1" applyFill="1" applyBorder="1" applyAlignment="1" applyProtection="1">
      <alignment horizontal="center" vertical="center" wrapText="1"/>
      <protection locked="0"/>
    </xf>
    <xf numFmtId="167" fontId="42" fillId="0" borderId="94" xfId="4" applyNumberFormat="1" applyFont="1" applyFill="1" applyBorder="1" applyAlignment="1" applyProtection="1">
      <alignment horizontal="center" vertical="center" wrapText="1"/>
      <protection locked="0"/>
    </xf>
    <xf numFmtId="0" fontId="41" fillId="0" borderId="0" xfId="4" applyFont="1" applyFill="1" applyAlignment="1" applyProtection="1">
      <protection locked="0"/>
    </xf>
    <xf numFmtId="0" fontId="85" fillId="0" borderId="5" xfId="4" applyFont="1" applyFill="1" applyBorder="1" applyAlignment="1" applyProtection="1">
      <alignment horizontal="center" vertical="center"/>
      <protection locked="0"/>
    </xf>
    <xf numFmtId="0" fontId="85" fillId="0" borderId="0" xfId="4" applyFont="1" applyFill="1" applyBorder="1" applyAlignment="1" applyProtection="1">
      <protection locked="0"/>
    </xf>
    <xf numFmtId="2" fontId="159" fillId="0" borderId="0" xfId="4" applyNumberFormat="1" applyFont="1" applyFill="1" applyBorder="1" applyAlignment="1" applyProtection="1">
      <protection locked="0"/>
    </xf>
    <xf numFmtId="0" fontId="85" fillId="0" borderId="0" xfId="4" applyFont="1" applyFill="1" applyBorder="1" applyAlignment="1" applyProtection="1">
      <alignment horizontal="center"/>
      <protection locked="0"/>
    </xf>
    <xf numFmtId="4" fontId="85" fillId="0" borderId="0" xfId="4" applyNumberFormat="1" applyFont="1" applyFill="1" applyBorder="1" applyAlignment="1" applyProtection="1">
      <protection locked="0"/>
    </xf>
    <xf numFmtId="3" fontId="85" fillId="0" borderId="0" xfId="4" applyNumberFormat="1" applyFont="1" applyFill="1" applyBorder="1" applyAlignment="1" applyProtection="1">
      <protection locked="0"/>
    </xf>
    <xf numFmtId="167" fontId="157" fillId="0" borderId="0" xfId="4" applyNumberFormat="1" applyFont="1" applyFill="1" applyBorder="1" applyAlignment="1" applyProtection="1">
      <protection locked="0"/>
    </xf>
    <xf numFmtId="0" fontId="85" fillId="0" borderId="0" xfId="4" applyNumberFormat="1" applyFont="1" applyFill="1" applyAlignment="1" applyProtection="1">
      <protection locked="0"/>
    </xf>
    <xf numFmtId="0" fontId="160" fillId="0" borderId="0" xfId="3" applyFont="1" applyFill="1"/>
    <xf numFmtId="1" fontId="37" fillId="0" borderId="101" xfId="4" applyNumberFormat="1" applyFont="1" applyFill="1" applyBorder="1" applyAlignment="1" applyProtection="1">
      <alignment horizontal="center" vertical="center" wrapText="1"/>
      <protection locked="0"/>
    </xf>
    <xf numFmtId="1" fontId="37" fillId="0" borderId="100" xfId="4" applyNumberFormat="1" applyFont="1" applyFill="1" applyBorder="1" applyAlignment="1" applyProtection="1">
      <alignment horizontal="center" vertical="center" wrapText="1"/>
      <protection locked="0"/>
    </xf>
    <xf numFmtId="0" fontId="37" fillId="0" borderId="100" xfId="4" applyFont="1" applyFill="1" applyBorder="1" applyAlignment="1" applyProtection="1">
      <alignment horizontal="center" vertical="center"/>
      <protection locked="0"/>
    </xf>
    <xf numFmtId="2" fontId="33" fillId="0" borderId="100" xfId="4" applyNumberFormat="1" applyFont="1" applyFill="1" applyBorder="1" applyAlignment="1" applyProtection="1">
      <alignment horizontal="center" vertical="center"/>
      <protection locked="0"/>
    </xf>
    <xf numFmtId="0" fontId="37" fillId="0" borderId="100" xfId="4" applyFont="1" applyFill="1" applyBorder="1" applyAlignment="1" applyProtection="1">
      <alignment horizontal="center" vertical="center" wrapText="1"/>
      <protection locked="0"/>
    </xf>
    <xf numFmtId="4" fontId="37" fillId="0" borderId="100" xfId="4" applyNumberFormat="1" applyFont="1" applyFill="1" applyBorder="1" applyAlignment="1" applyProtection="1">
      <alignment horizontal="center" vertical="center" wrapText="1"/>
      <protection locked="0"/>
    </xf>
    <xf numFmtId="3" fontId="37" fillId="0" borderId="100" xfId="4" applyNumberFormat="1" applyFont="1" applyFill="1" applyBorder="1" applyAlignment="1" applyProtection="1">
      <alignment horizontal="center" vertical="center" wrapText="1"/>
      <protection locked="0"/>
    </xf>
    <xf numFmtId="167" fontId="37" fillId="0" borderId="102" xfId="4" applyNumberFormat="1" applyFont="1" applyFill="1" applyBorder="1" applyAlignment="1" applyProtection="1">
      <alignment horizontal="center" vertical="center"/>
      <protection locked="0"/>
    </xf>
    <xf numFmtId="0" fontId="37" fillId="0" borderId="103" xfId="4" applyFont="1" applyFill="1" applyBorder="1" applyAlignment="1" applyProtection="1">
      <alignment horizontal="center" vertical="justify"/>
      <protection locked="0"/>
    </xf>
    <xf numFmtId="194" fontId="161" fillId="0" borderId="116" xfId="0" applyNumberFormat="1" applyFont="1" applyFill="1" applyBorder="1"/>
    <xf numFmtId="194" fontId="0" fillId="0" borderId="0" xfId="0" applyNumberFormat="1" applyFill="1"/>
    <xf numFmtId="194" fontId="11" fillId="0" borderId="0" xfId="0" applyNumberFormat="1" applyFont="1" applyFill="1"/>
    <xf numFmtId="198" fontId="161" fillId="0" borderId="115" xfId="0" applyNumberFormat="1" applyFont="1" applyFill="1" applyBorder="1"/>
    <xf numFmtId="194" fontId="161" fillId="0" borderId="100" xfId="0" applyNumberFormat="1" applyFont="1" applyFill="1" applyBorder="1"/>
    <xf numFmtId="0" fontId="110" fillId="0" borderId="100" xfId="0" applyFont="1" applyFill="1" applyBorder="1" applyAlignment="1">
      <alignment horizontal="center"/>
    </xf>
    <xf numFmtId="194" fontId="111" fillId="0" borderId="100" xfId="0" applyNumberFormat="1" applyFont="1" applyFill="1" applyBorder="1"/>
    <xf numFmtId="194" fontId="161" fillId="42" borderId="116" xfId="0" applyNumberFormat="1" applyFont="1" applyFill="1" applyBorder="1" applyAlignment="1">
      <alignment horizontal="center"/>
    </xf>
    <xf numFmtId="194" fontId="11" fillId="0" borderId="0" xfId="0" applyNumberFormat="1" applyFont="1" applyAlignment="1">
      <alignment horizontal="center"/>
    </xf>
    <xf numFmtId="194" fontId="161" fillId="42" borderId="115" xfId="0" applyNumberFormat="1" applyFont="1" applyFill="1" applyBorder="1" applyAlignment="1">
      <alignment horizontal="center"/>
    </xf>
    <xf numFmtId="194" fontId="11" fillId="0" borderId="0" xfId="0" applyNumberFormat="1" applyFont="1"/>
    <xf numFmtId="198" fontId="161" fillId="0" borderId="0" xfId="0" applyNumberFormat="1" applyFont="1" applyFill="1" applyBorder="1"/>
    <xf numFmtId="194" fontId="161" fillId="0" borderId="100" xfId="0" applyNumberFormat="1" applyFont="1" applyFill="1" applyBorder="1" applyAlignment="1">
      <alignment wrapText="1"/>
    </xf>
    <xf numFmtId="194" fontId="13" fillId="0" borderId="0" xfId="0" pivotButton="1" applyNumberFormat="1" applyFont="1" applyAlignment="1">
      <alignment vertical="center"/>
    </xf>
    <xf numFmtId="194" fontId="13" fillId="0" borderId="0" xfId="0" applyNumberFormat="1" applyFont="1" applyAlignment="1">
      <alignment horizontal="center" vertical="center"/>
    </xf>
    <xf numFmtId="194" fontId="13" fillId="0" borderId="0" xfId="0" applyNumberFormat="1" applyFont="1" applyAlignment="1">
      <alignment horizontal="center" vertical="center" wrapText="1"/>
    </xf>
    <xf numFmtId="194" fontId="13" fillId="0" borderId="0" xfId="0" applyNumberFormat="1" applyFont="1" applyAlignment="1">
      <alignment horizontal="left"/>
    </xf>
    <xf numFmtId="194" fontId="13" fillId="0" borderId="0" xfId="0" applyNumberFormat="1" applyFont="1" applyAlignment="1">
      <alignment horizontal="center"/>
    </xf>
    <xf numFmtId="194" fontId="13" fillId="0" borderId="0" xfId="0" applyNumberFormat="1" applyFont="1"/>
    <xf numFmtId="194" fontId="13" fillId="0" borderId="0" xfId="0" pivotButton="1" applyNumberFormat="1" applyFont="1" applyAlignment="1">
      <alignment horizontal="center" vertical="center" wrapText="1"/>
    </xf>
    <xf numFmtId="194" fontId="13" fillId="0" borderId="0" xfId="0" pivotButton="1" applyNumberFormat="1" applyFont="1"/>
    <xf numFmtId="0" fontId="32" fillId="0" borderId="0" xfId="4" applyFont="1" applyFill="1" applyAlignment="1" applyProtection="1">
      <alignment horizontal="center"/>
      <protection locked="0"/>
    </xf>
    <xf numFmtId="49" fontId="52" fillId="0" borderId="101" xfId="150" applyNumberFormat="1" applyFont="1" applyFill="1" applyBorder="1" applyAlignment="1" applyProtection="1">
      <alignment horizontal="center" vertical="center" wrapText="1"/>
      <protection locked="0"/>
    </xf>
    <xf numFmtId="49" fontId="52" fillId="0" borderId="97" xfId="150" applyNumberFormat="1" applyFont="1" applyFill="1" applyBorder="1" applyAlignment="1" applyProtection="1">
      <alignment horizontal="center" vertical="center" wrapText="1"/>
      <protection locked="0"/>
    </xf>
    <xf numFmtId="167" fontId="53" fillId="0" borderId="102" xfId="150" applyNumberFormat="1" applyFont="1" applyFill="1" applyBorder="1" applyAlignment="1" applyProtection="1">
      <alignment horizontal="center" vertical="center" wrapText="1"/>
      <protection locked="0"/>
    </xf>
    <xf numFmtId="49" fontId="52" fillId="0" borderId="100" xfId="150" applyNumberFormat="1" applyFont="1" applyFill="1" applyBorder="1" applyAlignment="1" applyProtection="1">
      <alignment horizontal="center" vertical="center" wrapText="1"/>
      <protection locked="0"/>
    </xf>
    <xf numFmtId="14" fontId="52" fillId="0" borderId="100" xfId="150" applyNumberFormat="1" applyFont="1" applyFill="1" applyBorder="1" applyAlignment="1" applyProtection="1">
      <alignment horizontal="center" vertical="center" wrapText="1"/>
      <protection locked="0"/>
    </xf>
    <xf numFmtId="168" fontId="37" fillId="0" borderId="0" xfId="4" applyNumberFormat="1" applyFont="1" applyFill="1" applyBorder="1" applyAlignment="1" applyProtection="1">
      <alignment horizontal="center" vertical="center"/>
      <protection locked="0"/>
    </xf>
    <xf numFmtId="0" fontId="86" fillId="0" borderId="67" xfId="4" applyFont="1" applyFill="1" applyBorder="1" applyAlignment="1" applyProtection="1">
      <alignment horizontal="center" vertical="center"/>
      <protection locked="0"/>
    </xf>
    <xf numFmtId="1" fontId="27" fillId="0" borderId="89" xfId="3" applyNumberFormat="1" applyFont="1" applyFill="1" applyBorder="1" applyAlignment="1">
      <alignment horizontal="center" vertical="center"/>
    </xf>
    <xf numFmtId="1" fontId="27" fillId="0" borderId="90" xfId="3" applyNumberFormat="1" applyFont="1" applyFill="1" applyBorder="1"/>
    <xf numFmtId="0" fontId="158" fillId="0" borderId="90" xfId="4" applyFont="1" applyFill="1" applyBorder="1" applyAlignment="1" applyProtection="1">
      <alignment vertical="center"/>
      <protection locked="0"/>
    </xf>
    <xf numFmtId="0" fontId="29" fillId="0" borderId="90" xfId="4" applyFont="1" applyFill="1" applyBorder="1" applyAlignment="1" applyProtection="1">
      <alignment vertical="center"/>
      <protection locked="0"/>
    </xf>
    <xf numFmtId="2" fontId="29" fillId="0" borderId="90" xfId="4" applyNumberFormat="1" applyFont="1" applyFill="1" applyBorder="1" applyAlignment="1" applyProtection="1">
      <alignment vertical="center"/>
      <protection locked="0"/>
    </xf>
    <xf numFmtId="4" fontId="29" fillId="0" borderId="90" xfId="4" applyNumberFormat="1" applyFont="1" applyFill="1" applyBorder="1" applyAlignment="1" applyProtection="1">
      <alignment vertical="center"/>
      <protection locked="0"/>
    </xf>
    <xf numFmtId="0" fontId="29" fillId="0" borderId="91" xfId="4" applyFont="1" applyFill="1" applyBorder="1" applyAlignment="1" applyProtection="1">
      <alignment vertical="center"/>
      <protection locked="0"/>
    </xf>
    <xf numFmtId="0" fontId="31" fillId="0" borderId="91" xfId="150" applyNumberFormat="1" applyFont="1" applyFill="1" applyBorder="1"/>
    <xf numFmtId="49" fontId="30" fillId="0" borderId="117" xfId="207" applyNumberFormat="1" applyFont="1" applyFill="1" applyBorder="1" applyAlignment="1" applyProtection="1">
      <alignment horizontal="left"/>
      <protection locked="0"/>
    </xf>
    <xf numFmtId="0" fontId="86" fillId="0" borderId="100" xfId="4" applyFont="1" applyFill="1" applyBorder="1" applyAlignment="1" applyProtection="1">
      <alignment horizontal="center" vertical="center" wrapText="1"/>
      <protection locked="0"/>
    </xf>
    <xf numFmtId="49" fontId="154" fillId="0" borderId="100" xfId="150" applyNumberFormat="1" applyFont="1" applyFill="1" applyBorder="1" applyAlignment="1" applyProtection="1">
      <alignment horizontal="center" vertical="center" wrapText="1"/>
      <protection locked="0"/>
    </xf>
    <xf numFmtId="49" fontId="154" fillId="0" borderId="17" xfId="150" applyNumberFormat="1" applyFont="1" applyFill="1" applyBorder="1" applyAlignment="1" applyProtection="1">
      <alignment horizontal="center" vertical="center" wrapText="1"/>
      <protection locked="0"/>
    </xf>
    <xf numFmtId="2" fontId="52" fillId="0" borderId="100" xfId="150" applyNumberFormat="1" applyFont="1" applyFill="1" applyBorder="1" applyAlignment="1" applyProtection="1">
      <alignment vertical="center" wrapText="1"/>
      <protection locked="0"/>
    </xf>
    <xf numFmtId="49" fontId="154" fillId="0" borderId="97" xfId="150" applyNumberFormat="1" applyFont="1" applyFill="1" applyBorder="1" applyAlignment="1" applyProtection="1">
      <alignment vertical="center" wrapText="1"/>
      <protection locked="0"/>
    </xf>
    <xf numFmtId="49" fontId="154" fillId="0" borderId="17" xfId="150" applyNumberFormat="1" applyFont="1" applyFill="1" applyBorder="1" applyAlignment="1" applyProtection="1">
      <alignment vertical="center" wrapText="1"/>
      <protection locked="0"/>
    </xf>
    <xf numFmtId="49" fontId="154" fillId="0" borderId="16" xfId="150" applyNumberFormat="1" applyFont="1" applyFill="1" applyBorder="1" applyAlignment="1" applyProtection="1">
      <alignment vertical="center" wrapText="1"/>
      <protection locked="0"/>
    </xf>
    <xf numFmtId="49" fontId="84" fillId="0" borderId="100" xfId="150" applyNumberFormat="1" applyFont="1" applyFill="1" applyBorder="1" applyAlignment="1" applyProtection="1">
      <alignment vertical="center" wrapText="1"/>
      <protection locked="0"/>
    </xf>
    <xf numFmtId="167" fontId="53" fillId="0" borderId="99" xfId="150" applyNumberFormat="1" applyFont="1" applyFill="1" applyBorder="1" applyAlignment="1" applyProtection="1">
      <alignment vertical="center"/>
      <protection locked="0"/>
    </xf>
    <xf numFmtId="167" fontId="53" fillId="0" borderId="20" xfId="150" applyNumberFormat="1" applyFont="1" applyFill="1" applyBorder="1" applyAlignment="1" applyProtection="1">
      <alignment vertical="center"/>
      <protection locked="0"/>
    </xf>
    <xf numFmtId="2" fontId="154" fillId="0" borderId="100" xfId="150" applyNumberFormat="1" applyFont="1" applyFill="1" applyBorder="1" applyAlignment="1" applyProtection="1">
      <alignment vertical="center" wrapText="1"/>
      <protection locked="0"/>
    </xf>
    <xf numFmtId="0" fontId="156" fillId="0" borderId="100" xfId="150" applyFont="1" applyFill="1" applyBorder="1" applyAlignment="1">
      <alignment horizontal="center" vertical="center"/>
    </xf>
    <xf numFmtId="0" fontId="13" fillId="0" borderId="97" xfId="150" applyFont="1" applyFill="1" applyBorder="1" applyAlignment="1">
      <alignment vertical="center" wrapText="1"/>
    </xf>
    <xf numFmtId="49" fontId="52" fillId="0" borderId="79" xfId="150" applyNumberFormat="1" applyFont="1" applyFill="1" applyBorder="1" applyAlignment="1" applyProtection="1">
      <alignment vertical="center" wrapText="1"/>
      <protection locked="0"/>
    </xf>
    <xf numFmtId="49" fontId="52" fillId="0" borderId="71" xfId="150" applyNumberFormat="1" applyFont="1" applyFill="1" applyBorder="1" applyAlignment="1" applyProtection="1">
      <alignment vertical="center" wrapText="1"/>
      <protection locked="0"/>
    </xf>
    <xf numFmtId="2" fontId="52" fillId="0" borderId="71" xfId="150" applyNumberFormat="1" applyFont="1" applyFill="1" applyBorder="1" applyAlignment="1" applyProtection="1">
      <alignment vertical="center" wrapText="1"/>
      <protection locked="0"/>
    </xf>
    <xf numFmtId="167" fontId="53" fillId="0" borderId="104" xfId="150" applyNumberFormat="1" applyFont="1" applyFill="1" applyBorder="1" applyAlignment="1" applyProtection="1">
      <alignment vertical="center" wrapText="1"/>
      <protection locked="0"/>
    </xf>
    <xf numFmtId="0" fontId="87" fillId="0" borderId="100" xfId="4" applyFont="1" applyFill="1" applyBorder="1" applyAlignment="1" applyProtection="1">
      <alignment horizontal="center" vertical="center"/>
      <protection locked="0"/>
    </xf>
    <xf numFmtId="2" fontId="87" fillId="0" borderId="100" xfId="4" applyNumberFormat="1" applyFont="1" applyFill="1" applyBorder="1" applyAlignment="1" applyProtection="1">
      <protection locked="0"/>
    </xf>
    <xf numFmtId="202" fontId="157" fillId="0" borderId="0" xfId="4" applyNumberFormat="1" applyFont="1" applyFill="1" applyBorder="1" applyAlignment="1" applyProtection="1">
      <protection locked="0"/>
    </xf>
    <xf numFmtId="176" fontId="87" fillId="0" borderId="100" xfId="4" applyNumberFormat="1" applyFont="1" applyFill="1" applyBorder="1" applyAlignment="1" applyProtection="1">
      <alignment horizontal="center"/>
      <protection locked="0"/>
    </xf>
    <xf numFmtId="49" fontId="154" fillId="0" borderId="97" xfId="150" applyNumberFormat="1" applyFont="1" applyFill="1" applyBorder="1" applyAlignment="1" applyProtection="1">
      <alignment horizontal="center" vertical="center" wrapText="1"/>
      <protection locked="0"/>
    </xf>
    <xf numFmtId="168" fontId="40" fillId="0" borderId="100" xfId="4" applyNumberFormat="1" applyFont="1" applyFill="1" applyBorder="1" applyAlignment="1" applyProtection="1">
      <alignment horizontal="center" vertical="center" wrapText="1"/>
      <protection locked="0"/>
    </xf>
    <xf numFmtId="0" fontId="134" fillId="0" borderId="90" xfId="4" applyFont="1" applyFill="1" applyBorder="1" applyAlignment="1" applyProtection="1">
      <alignment vertical="center"/>
      <protection locked="0"/>
    </xf>
    <xf numFmtId="0" fontId="162" fillId="0" borderId="0" xfId="4" applyFont="1" applyFill="1" applyBorder="1" applyAlignment="1" applyProtection="1">
      <alignment horizontal="left" vertical="center"/>
      <protection locked="0"/>
    </xf>
    <xf numFmtId="0" fontId="40" fillId="0" borderId="0" xfId="4" applyFont="1" applyFill="1" applyBorder="1" applyAlignment="1" applyProtection="1">
      <alignment vertical="center"/>
      <protection locked="0"/>
    </xf>
    <xf numFmtId="0" fontId="38" fillId="0" borderId="100" xfId="4" applyFont="1" applyFill="1" applyBorder="1" applyAlignment="1" applyProtection="1">
      <alignment horizontal="center" vertical="center"/>
      <protection locked="0"/>
    </xf>
    <xf numFmtId="0" fontId="40" fillId="0" borderId="0" xfId="4" applyFont="1" applyFill="1" applyAlignment="1" applyProtection="1">
      <protection locked="0"/>
    </xf>
    <xf numFmtId="0" fontId="33" fillId="0" borderId="90" xfId="4" applyFont="1" applyFill="1" applyBorder="1" applyAlignment="1" applyProtection="1">
      <alignment vertical="center"/>
      <protection locked="0"/>
    </xf>
    <xf numFmtId="0" fontId="163" fillId="0" borderId="67" xfId="4" applyFont="1" applyFill="1" applyBorder="1" applyAlignment="1" applyProtection="1">
      <alignment horizontal="center" vertical="center"/>
      <protection locked="0"/>
    </xf>
    <xf numFmtId="14" fontId="41" fillId="0" borderId="94" xfId="4" applyNumberFormat="1" applyFont="1" applyFill="1" applyBorder="1" applyAlignment="1" applyProtection="1">
      <alignment horizontal="center" vertical="center" wrapText="1"/>
      <protection locked="0"/>
    </xf>
    <xf numFmtId="0" fontId="164" fillId="0" borderId="0" xfId="4" applyFont="1" applyFill="1" applyBorder="1" applyAlignment="1" applyProtection="1">
      <protection locked="0"/>
    </xf>
    <xf numFmtId="168" fontId="40" fillId="0" borderId="94" xfId="4" applyNumberFormat="1" applyFont="1" applyFill="1" applyBorder="1" applyAlignment="1" applyProtection="1">
      <alignment horizontal="center" vertical="center" wrapText="1"/>
      <protection locked="0"/>
    </xf>
    <xf numFmtId="168" fontId="40" fillId="3" borderId="100" xfId="4" applyNumberFormat="1" applyFont="1" applyFill="1" applyBorder="1" applyAlignment="1" applyProtection="1">
      <alignment horizontal="center" vertical="center" wrapText="1"/>
      <protection locked="0"/>
    </xf>
    <xf numFmtId="3" fontId="40" fillId="0" borderId="0" xfId="4" applyNumberFormat="1" applyFont="1" applyFill="1" applyBorder="1" applyAlignment="1" applyProtection="1">
      <protection locked="0"/>
    </xf>
    <xf numFmtId="3" fontId="40" fillId="0" borderId="0" xfId="4" applyNumberFormat="1" applyFont="1" applyFill="1" applyAlignment="1" applyProtection="1">
      <protection locked="0"/>
    </xf>
    <xf numFmtId="0" fontId="57" fillId="0" borderId="100" xfId="4" applyFont="1" applyFill="1" applyBorder="1" applyAlignment="1" applyProtection="1">
      <alignment horizontal="center" vertical="center" wrapText="1"/>
      <protection locked="0"/>
    </xf>
    <xf numFmtId="49" fontId="52" fillId="0" borderId="101" xfId="150" applyNumberFormat="1" applyFont="1" applyFill="1" applyBorder="1" applyAlignment="1" applyProtection="1">
      <alignment horizontal="center" vertical="center" wrapText="1"/>
      <protection locked="0"/>
    </xf>
    <xf numFmtId="49" fontId="52" fillId="0" borderId="100" xfId="150" applyNumberFormat="1" applyFont="1" applyFill="1" applyBorder="1" applyAlignment="1" applyProtection="1">
      <alignment horizontal="center" vertical="center" wrapText="1"/>
      <protection locked="0"/>
    </xf>
    <xf numFmtId="14" fontId="52" fillId="0" borderId="100" xfId="150" applyNumberFormat="1" applyFont="1" applyFill="1" applyBorder="1" applyAlignment="1" applyProtection="1">
      <alignment horizontal="center" vertical="center" wrapText="1"/>
      <protection locked="0"/>
    </xf>
    <xf numFmtId="0" fontId="52" fillId="0" borderId="100" xfId="150" applyNumberFormat="1" applyFont="1" applyFill="1" applyBorder="1" applyAlignment="1" applyProtection="1">
      <alignment horizontal="center" vertical="center" wrapText="1"/>
      <protection locked="0"/>
    </xf>
    <xf numFmtId="49" fontId="154" fillId="0" borderId="17" xfId="150" applyNumberFormat="1" applyFont="1" applyFill="1" applyBorder="1" applyAlignment="1" applyProtection="1">
      <alignment horizontal="center" vertical="center" wrapText="1"/>
      <protection locked="0"/>
    </xf>
    <xf numFmtId="0" fontId="42" fillId="27" borderId="100" xfId="4" applyFont="1" applyFill="1" applyBorder="1" applyAlignment="1" applyProtection="1">
      <alignment horizontal="center" vertical="center" wrapText="1"/>
      <protection locked="0"/>
    </xf>
    <xf numFmtId="167" fontId="53" fillId="0" borderId="102" xfId="150" applyNumberFormat="1" applyFont="1" applyFill="1" applyBorder="1" applyAlignment="1" applyProtection="1">
      <alignment horizontal="center" vertical="center" wrapText="1"/>
      <protection locked="0"/>
    </xf>
    <xf numFmtId="49" fontId="52" fillId="0" borderId="101" xfId="150" applyNumberFormat="1" applyFont="1" applyFill="1" applyBorder="1" applyAlignment="1" applyProtection="1">
      <alignment horizontal="center" vertical="center" wrapText="1"/>
      <protection locked="0"/>
    </xf>
    <xf numFmtId="49" fontId="52" fillId="0" borderId="100" xfId="150" applyNumberFormat="1" applyFont="1" applyFill="1" applyBorder="1" applyAlignment="1" applyProtection="1">
      <alignment horizontal="center" vertical="center" wrapText="1"/>
      <protection locked="0"/>
    </xf>
    <xf numFmtId="0" fontId="43" fillId="0" borderId="17" xfId="4" applyFont="1" applyFill="1" applyBorder="1" applyAlignment="1" applyProtection="1">
      <alignment horizontal="center" vertical="center" wrapText="1"/>
      <protection locked="0"/>
    </xf>
    <xf numFmtId="49" fontId="154" fillId="0" borderId="100" xfId="150" applyNumberFormat="1" applyFont="1" applyFill="1" applyBorder="1" applyAlignment="1" applyProtection="1">
      <alignment horizontal="center" vertical="center" wrapText="1"/>
      <protection locked="0"/>
    </xf>
    <xf numFmtId="49" fontId="52" fillId="0" borderId="101" xfId="150" applyNumberFormat="1" applyFont="1" applyFill="1" applyBorder="1" applyAlignment="1" applyProtection="1">
      <alignment horizontal="center" vertical="center" wrapText="1"/>
      <protection locked="0"/>
    </xf>
    <xf numFmtId="167" fontId="53" fillId="0" borderId="102" xfId="150" applyNumberFormat="1" applyFont="1" applyFill="1" applyBorder="1" applyAlignment="1" applyProtection="1">
      <alignment horizontal="center" vertical="center" wrapText="1"/>
      <protection locked="0"/>
    </xf>
    <xf numFmtId="49" fontId="52" fillId="0" borderId="100" xfId="150" applyNumberFormat="1" applyFont="1" applyFill="1" applyBorder="1" applyAlignment="1" applyProtection="1">
      <alignment horizontal="center" vertical="center" wrapText="1"/>
      <protection locked="0"/>
    </xf>
    <xf numFmtId="49" fontId="154" fillId="0" borderId="100" xfId="150" applyNumberFormat="1" applyFont="1" applyFill="1" applyBorder="1" applyAlignment="1" applyProtection="1">
      <alignment horizontal="center" vertical="center" wrapText="1"/>
      <protection locked="0"/>
    </xf>
    <xf numFmtId="167" fontId="53" fillId="0" borderId="102" xfId="150" applyNumberFormat="1" applyFont="1" applyFill="1" applyBorder="1" applyAlignment="1" applyProtection="1">
      <alignment horizontal="center" vertical="center" wrapText="1"/>
      <protection locked="0"/>
    </xf>
    <xf numFmtId="49" fontId="52" fillId="0" borderId="101" xfId="150" applyNumberFormat="1" applyFont="1" applyFill="1" applyBorder="1" applyAlignment="1" applyProtection="1">
      <alignment horizontal="center" vertical="center" wrapText="1"/>
      <protection locked="0"/>
    </xf>
    <xf numFmtId="49" fontId="52" fillId="0" borderId="100" xfId="150" applyNumberFormat="1" applyFont="1" applyFill="1" applyBorder="1" applyAlignment="1" applyProtection="1">
      <alignment horizontal="center" vertical="center" wrapText="1"/>
      <protection locked="0"/>
    </xf>
    <xf numFmtId="14" fontId="52" fillId="0" borderId="100" xfId="150" applyNumberFormat="1" applyFont="1" applyFill="1" applyBorder="1" applyAlignment="1" applyProtection="1">
      <alignment horizontal="center" vertical="center" wrapText="1"/>
      <protection locked="0"/>
    </xf>
    <xf numFmtId="49" fontId="154" fillId="0" borderId="100" xfId="150" applyNumberFormat="1" applyFont="1" applyFill="1" applyBorder="1" applyAlignment="1" applyProtection="1">
      <alignment horizontal="center" vertical="center" wrapText="1"/>
      <protection locked="0"/>
    </xf>
    <xf numFmtId="4" fontId="42" fillId="27" borderId="100" xfId="4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/>
    <xf numFmtId="49" fontId="154" fillId="0" borderId="100" xfId="150" applyNumberFormat="1" applyFont="1" applyFill="1" applyBorder="1" applyAlignment="1" applyProtection="1">
      <alignment horizontal="center" vertical="center" wrapText="1"/>
      <protection locked="0"/>
    </xf>
    <xf numFmtId="0" fontId="9" fillId="0" borderId="15" xfId="146" applyBorder="1" applyAlignment="1">
      <alignment horizontal="center" vertical="center" wrapText="1"/>
    </xf>
    <xf numFmtId="0" fontId="9" fillId="0" borderId="17" xfId="146" applyBorder="1" applyAlignment="1">
      <alignment horizontal="center" vertical="center" wrapText="1"/>
    </xf>
    <xf numFmtId="0" fontId="9" fillId="0" borderId="16" xfId="146" applyBorder="1" applyAlignment="1">
      <alignment horizontal="center" vertical="center" wrapText="1"/>
    </xf>
    <xf numFmtId="0" fontId="9" fillId="0" borderId="15" xfId="146" applyBorder="1" applyAlignment="1">
      <alignment horizontal="center" vertical="center"/>
    </xf>
    <xf numFmtId="0" fontId="9" fillId="0" borderId="17" xfId="146" applyBorder="1" applyAlignment="1">
      <alignment horizontal="center" vertical="center"/>
    </xf>
    <xf numFmtId="0" fontId="9" fillId="0" borderId="16" xfId="146" applyBorder="1" applyAlignment="1">
      <alignment horizontal="center" vertical="center"/>
    </xf>
    <xf numFmtId="0" fontId="11" fillId="0" borderId="108" xfId="150" applyBorder="1" applyAlignment="1">
      <alignment horizontal="center" vertical="center" wrapText="1"/>
    </xf>
    <xf numFmtId="0" fontId="11" fillId="0" borderId="109" xfId="150" applyBorder="1" applyAlignment="1">
      <alignment horizontal="left" vertical="center" wrapText="1"/>
    </xf>
    <xf numFmtId="0" fontId="11" fillId="0" borderId="103" xfId="150" applyBorder="1" applyAlignment="1">
      <alignment horizontal="left" vertical="center" wrapText="1"/>
    </xf>
    <xf numFmtId="0" fontId="130" fillId="0" borderId="0" xfId="219" applyFont="1" applyAlignment="1">
      <alignment horizontal="center" vertical="center" wrapText="1"/>
    </xf>
    <xf numFmtId="0" fontId="95" fillId="0" borderId="0" xfId="219" applyFont="1" applyAlignment="1">
      <alignment horizontal="center" vertical="center" wrapText="1"/>
    </xf>
    <xf numFmtId="0" fontId="4" fillId="0" borderId="0" xfId="219" applyFont="1" applyAlignment="1">
      <alignment horizontal="center" vertical="center" wrapText="1"/>
    </xf>
    <xf numFmtId="0" fontId="4" fillId="0" borderId="0" xfId="219" applyAlignment="1">
      <alignment horizontal="center" vertical="center" wrapText="1"/>
    </xf>
    <xf numFmtId="0" fontId="11" fillId="0" borderId="101" xfId="150" applyBorder="1" applyAlignment="1">
      <alignment horizontal="center" vertical="center" wrapText="1"/>
    </xf>
    <xf numFmtId="0" fontId="11" fillId="0" borderId="107" xfId="150" applyBorder="1" applyAlignment="1">
      <alignment horizontal="center" vertical="center" wrapText="1"/>
    </xf>
    <xf numFmtId="0" fontId="11" fillId="0" borderId="0" xfId="150" applyBorder="1" applyAlignment="1">
      <alignment horizontal="center" vertical="center" wrapText="1"/>
    </xf>
    <xf numFmtId="0" fontId="11" fillId="0" borderId="5" xfId="150" applyBorder="1" applyAlignment="1">
      <alignment horizontal="center" vertical="center" wrapText="1"/>
    </xf>
    <xf numFmtId="190" fontId="111" fillId="0" borderId="97" xfId="150" applyNumberFormat="1" applyFont="1" applyBorder="1" applyAlignment="1">
      <alignment horizontal="center" vertical="center" wrapText="1"/>
    </xf>
    <xf numFmtId="190" fontId="111" fillId="0" borderId="17" xfId="150" applyNumberFormat="1" applyFont="1" applyBorder="1" applyAlignment="1">
      <alignment horizontal="center" vertical="center" wrapText="1"/>
    </xf>
    <xf numFmtId="190" fontId="111" fillId="0" borderId="16" xfId="150" applyNumberFormat="1" applyFont="1" applyBorder="1" applyAlignment="1">
      <alignment horizontal="center" vertical="center" wrapText="1"/>
    </xf>
    <xf numFmtId="0" fontId="11" fillId="0" borderId="110" xfId="150" applyBorder="1" applyAlignment="1">
      <alignment horizontal="center" vertical="center" wrapText="1"/>
    </xf>
    <xf numFmtId="0" fontId="11" fillId="0" borderId="111" xfId="150" applyBorder="1" applyAlignment="1">
      <alignment horizontal="left" vertical="center" wrapText="1"/>
    </xf>
    <xf numFmtId="0" fontId="11" fillId="0" borderId="112" xfId="150" applyBorder="1" applyAlignment="1">
      <alignment horizontal="left" vertical="center" wrapText="1"/>
    </xf>
    <xf numFmtId="0" fontId="12" fillId="0" borderId="89" xfId="150" applyFont="1" applyBorder="1" applyAlignment="1">
      <alignment horizontal="center"/>
    </xf>
    <xf numFmtId="0" fontId="12" fillId="0" borderId="90" xfId="150" applyFont="1" applyBorder="1" applyAlignment="1">
      <alignment horizontal="center"/>
    </xf>
    <xf numFmtId="0" fontId="12" fillId="0" borderId="91" xfId="150" applyFont="1" applyBorder="1" applyAlignment="1">
      <alignment horizontal="center"/>
    </xf>
    <xf numFmtId="0" fontId="110" fillId="0" borderId="43" xfId="150" applyFont="1" applyBorder="1" applyAlignment="1">
      <alignment horizontal="center"/>
    </xf>
    <xf numFmtId="0" fontId="110" fillId="0" borderId="44" xfId="150" applyFont="1" applyBorder="1" applyAlignment="1">
      <alignment horizontal="center"/>
    </xf>
    <xf numFmtId="0" fontId="110" fillId="0" borderId="92" xfId="150" applyFont="1" applyBorder="1" applyAlignment="1">
      <alignment horizontal="center"/>
    </xf>
    <xf numFmtId="49" fontId="52" fillId="3" borderId="66" xfId="150" applyNumberFormat="1" applyFont="1" applyFill="1" applyBorder="1" applyAlignment="1" applyProtection="1">
      <alignment horizontal="center" vertical="center" wrapText="1"/>
      <protection locked="0"/>
    </xf>
    <xf numFmtId="49" fontId="52" fillId="3" borderId="12" xfId="150" applyNumberFormat="1" applyFont="1" applyFill="1" applyBorder="1" applyAlignment="1" applyProtection="1">
      <alignment horizontal="center" vertical="center" wrapText="1"/>
      <protection locked="0"/>
    </xf>
    <xf numFmtId="49" fontId="52" fillId="3" borderId="23" xfId="150" applyNumberFormat="1" applyFont="1" applyFill="1" applyBorder="1" applyAlignment="1" applyProtection="1">
      <alignment horizontal="center" vertical="center" wrapText="1"/>
      <protection locked="0"/>
    </xf>
    <xf numFmtId="49" fontId="52" fillId="3" borderId="67" xfId="150" applyNumberFormat="1" applyFont="1" applyFill="1" applyBorder="1" applyAlignment="1" applyProtection="1">
      <alignment horizontal="center" vertical="center" wrapText="1"/>
      <protection locked="0"/>
    </xf>
    <xf numFmtId="49" fontId="52" fillId="3" borderId="1" xfId="150" applyNumberFormat="1" applyFont="1" applyFill="1" applyBorder="1" applyAlignment="1" applyProtection="1">
      <alignment horizontal="center" vertical="center" wrapText="1"/>
      <protection locked="0"/>
    </xf>
    <xf numFmtId="49" fontId="52" fillId="3" borderId="24" xfId="150" applyNumberFormat="1" applyFont="1" applyFill="1" applyBorder="1" applyAlignment="1" applyProtection="1">
      <alignment horizontal="center" vertical="center" wrapText="1"/>
      <protection locked="0"/>
    </xf>
    <xf numFmtId="167" fontId="53" fillId="3" borderId="70" xfId="150" applyNumberFormat="1" applyFont="1" applyFill="1" applyBorder="1" applyAlignment="1" applyProtection="1">
      <alignment horizontal="center" vertical="center" wrapText="1"/>
      <protection locked="0"/>
    </xf>
    <xf numFmtId="167" fontId="53" fillId="3" borderId="13" xfId="150" applyNumberFormat="1" applyFont="1" applyFill="1" applyBorder="1" applyAlignment="1" applyProtection="1">
      <alignment horizontal="center" vertical="center" wrapText="1"/>
      <protection locked="0"/>
    </xf>
    <xf numFmtId="167" fontId="53" fillId="3" borderId="25" xfId="150" applyNumberFormat="1" applyFont="1" applyFill="1" applyBorder="1" applyAlignment="1" applyProtection="1">
      <alignment horizontal="center" vertical="center" wrapText="1"/>
      <protection locked="0"/>
    </xf>
    <xf numFmtId="0" fontId="29" fillId="0" borderId="3" xfId="4" applyFont="1" applyBorder="1" applyAlignment="1" applyProtection="1">
      <alignment horizontal="left" vertical="center"/>
      <protection locked="0"/>
    </xf>
    <xf numFmtId="169" fontId="38" fillId="0" borderId="0" xfId="4" applyNumberFormat="1" applyFont="1" applyBorder="1" applyAlignment="1" applyProtection="1">
      <alignment horizontal="center" vertical="center"/>
      <protection locked="0"/>
    </xf>
    <xf numFmtId="1" fontId="93" fillId="0" borderId="53" xfId="149" applyNumberFormat="1" applyFont="1" applyBorder="1" applyAlignment="1">
      <alignment horizontal="center" vertical="center"/>
    </xf>
    <xf numFmtId="1" fontId="93" fillId="0" borderId="8" xfId="149" applyNumberFormat="1" applyFont="1" applyBorder="1" applyAlignment="1">
      <alignment horizontal="center" vertical="center"/>
    </xf>
    <xf numFmtId="1" fontId="93" fillId="0" borderId="54" xfId="149" applyNumberFormat="1" applyFont="1" applyBorder="1" applyAlignment="1">
      <alignment horizontal="center" vertical="center"/>
    </xf>
    <xf numFmtId="1" fontId="93" fillId="0" borderId="10" xfId="149" applyNumberFormat="1" applyFont="1" applyBorder="1" applyAlignment="1">
      <alignment horizontal="center" vertical="center"/>
    </xf>
    <xf numFmtId="1" fontId="93" fillId="0" borderId="55" xfId="149" applyNumberFormat="1" applyFont="1" applyBorder="1" applyAlignment="1">
      <alignment horizontal="center" vertical="center"/>
    </xf>
    <xf numFmtId="1" fontId="93" fillId="0" borderId="49" xfId="149" applyNumberFormat="1" applyFont="1" applyBorder="1" applyAlignment="1">
      <alignment horizontal="center" vertical="center"/>
    </xf>
    <xf numFmtId="0" fontId="47" fillId="3" borderId="0" xfId="4" applyFont="1" applyFill="1" applyBorder="1" applyAlignment="1" applyProtection="1">
      <alignment horizontal="center" vertical="center"/>
      <protection locked="0"/>
    </xf>
    <xf numFmtId="0" fontId="47" fillId="4" borderId="59" xfId="4" applyFont="1" applyFill="1" applyBorder="1" applyAlignment="1" applyProtection="1">
      <alignment horizontal="center" vertical="center"/>
      <protection locked="0"/>
    </xf>
    <xf numFmtId="0" fontId="47" fillId="4" borderId="3" xfId="4" applyFont="1" applyFill="1" applyBorder="1" applyAlignment="1" applyProtection="1">
      <alignment horizontal="center" vertical="center"/>
      <protection locked="0"/>
    </xf>
    <xf numFmtId="3" fontId="47" fillId="4" borderId="2" xfId="4" applyNumberFormat="1" applyFont="1" applyFill="1" applyBorder="1" applyAlignment="1" applyProtection="1">
      <alignment horizontal="center" vertical="center" wrapText="1"/>
      <protection locked="0"/>
    </xf>
    <xf numFmtId="3" fontId="47" fillId="4" borderId="3" xfId="4" applyNumberFormat="1" applyFont="1" applyFill="1" applyBorder="1" applyAlignment="1" applyProtection="1">
      <alignment horizontal="center" vertical="center" wrapText="1"/>
      <protection locked="0"/>
    </xf>
    <xf numFmtId="3" fontId="47" fillId="4" borderId="4" xfId="4" applyNumberFormat="1" applyFont="1" applyFill="1" applyBorder="1" applyAlignment="1" applyProtection="1">
      <alignment horizontal="center" vertical="center" wrapText="1"/>
      <protection locked="0"/>
    </xf>
    <xf numFmtId="0" fontId="47" fillId="4" borderId="63" xfId="4" applyFont="1" applyFill="1" applyBorder="1" applyAlignment="1" applyProtection="1">
      <alignment horizontal="center" vertical="center" wrapText="1"/>
      <protection locked="0"/>
    </xf>
    <xf numFmtId="0" fontId="47" fillId="4" borderId="0" xfId="4" applyFont="1" applyFill="1" applyBorder="1" applyAlignment="1" applyProtection="1">
      <alignment horizontal="center" vertical="center" wrapText="1"/>
      <protection locked="0"/>
    </xf>
    <xf numFmtId="0" fontId="47" fillId="4" borderId="6" xfId="4" applyFont="1" applyFill="1" applyBorder="1" applyAlignment="1" applyProtection="1">
      <alignment horizontal="center" vertical="center" wrapText="1"/>
      <protection locked="0"/>
    </xf>
    <xf numFmtId="49" fontId="52" fillId="3" borderId="73" xfId="150" applyNumberFormat="1" applyFont="1" applyFill="1" applyBorder="1" applyAlignment="1" applyProtection="1">
      <alignment horizontal="center" vertical="center" wrapText="1"/>
      <protection locked="0"/>
    </xf>
    <xf numFmtId="49" fontId="52" fillId="3" borderId="58" xfId="150" applyNumberFormat="1" applyFont="1" applyFill="1" applyBorder="1" applyAlignment="1" applyProtection="1">
      <alignment horizontal="center" vertical="center" wrapText="1"/>
      <protection locked="0"/>
    </xf>
    <xf numFmtId="49" fontId="52" fillId="3" borderId="17" xfId="150" applyNumberFormat="1" applyFont="1" applyFill="1" applyBorder="1" applyAlignment="1" applyProtection="1">
      <alignment horizontal="center" vertical="center" wrapText="1"/>
      <protection locked="0"/>
    </xf>
    <xf numFmtId="49" fontId="52" fillId="3" borderId="71" xfId="150" applyNumberFormat="1" applyFont="1" applyFill="1" applyBorder="1" applyAlignment="1" applyProtection="1">
      <alignment horizontal="center" vertical="center" wrapText="1"/>
      <protection locked="0"/>
    </xf>
    <xf numFmtId="49" fontId="52" fillId="3" borderId="22" xfId="150" applyNumberFormat="1" applyFont="1" applyFill="1" applyBorder="1" applyAlignment="1" applyProtection="1">
      <alignment horizontal="center" vertical="center" wrapText="1"/>
      <protection locked="0"/>
    </xf>
    <xf numFmtId="49" fontId="52" fillId="3" borderId="16" xfId="150" applyNumberFormat="1" applyFont="1" applyFill="1" applyBorder="1" applyAlignment="1" applyProtection="1">
      <alignment horizontal="center" vertical="center" wrapText="1"/>
      <protection locked="0"/>
    </xf>
    <xf numFmtId="167" fontId="53" fillId="3" borderId="20" xfId="150" applyNumberFormat="1" applyFont="1" applyFill="1" applyBorder="1" applyAlignment="1" applyProtection="1">
      <alignment horizontal="center" vertical="center" wrapText="1"/>
      <protection locked="0"/>
    </xf>
    <xf numFmtId="49" fontId="52" fillId="3" borderId="64" xfId="150" applyNumberFormat="1" applyFont="1" applyFill="1" applyBorder="1" applyAlignment="1" applyProtection="1">
      <alignment horizontal="center" vertical="center" wrapText="1"/>
      <protection locked="0"/>
    </xf>
    <xf numFmtId="49" fontId="52" fillId="3" borderId="21" xfId="150" applyNumberFormat="1" applyFont="1" applyFill="1" applyBorder="1" applyAlignment="1" applyProtection="1">
      <alignment horizontal="center" vertical="center" wrapText="1"/>
      <protection locked="0"/>
    </xf>
    <xf numFmtId="49" fontId="52" fillId="3" borderId="79" xfId="150" applyNumberFormat="1" applyFont="1" applyFill="1" applyBorder="1" applyAlignment="1" applyProtection="1">
      <alignment horizontal="center" vertical="center" wrapText="1"/>
      <protection locked="0"/>
    </xf>
    <xf numFmtId="49" fontId="52" fillId="3" borderId="38" xfId="150" applyNumberFormat="1" applyFont="1" applyFill="1" applyBorder="1" applyAlignment="1" applyProtection="1">
      <alignment horizontal="center" vertical="center" wrapText="1"/>
      <protection locked="0"/>
    </xf>
    <xf numFmtId="49" fontId="52" fillId="3" borderId="63" xfId="150" applyNumberFormat="1" applyFont="1" applyFill="1" applyBorder="1" applyAlignment="1" applyProtection="1">
      <alignment horizontal="center" vertical="center" wrapText="1"/>
      <protection locked="0"/>
    </xf>
    <xf numFmtId="167" fontId="40" fillId="0" borderId="0" xfId="4" applyNumberFormat="1" applyFont="1" applyFill="1" applyAlignment="1" applyProtection="1">
      <alignment horizontal="center"/>
      <protection locked="0"/>
    </xf>
    <xf numFmtId="0" fontId="32" fillId="0" borderId="0" xfId="4" applyFont="1" applyFill="1" applyAlignment="1" applyProtection="1">
      <alignment horizontal="center"/>
      <protection locked="0"/>
    </xf>
    <xf numFmtId="0" fontId="24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68" fontId="38" fillId="0" borderId="0" xfId="4" applyNumberFormat="1" applyFont="1" applyBorder="1" applyAlignment="1" applyProtection="1">
      <alignment horizontal="center" vertical="center"/>
      <protection locked="0"/>
    </xf>
    <xf numFmtId="1" fontId="44" fillId="0" borderId="46" xfId="220" applyNumberFormat="1" applyFont="1" applyBorder="1" applyAlignment="1">
      <alignment horizontal="center" vertical="center" textRotation="45"/>
    </xf>
    <xf numFmtId="1" fontId="44" fillId="0" borderId="47" xfId="220" applyNumberFormat="1" applyFont="1" applyBorder="1" applyAlignment="1">
      <alignment horizontal="center" vertical="center" textRotation="45"/>
    </xf>
    <xf numFmtId="1" fontId="44" fillId="0" borderId="48" xfId="220" applyNumberFormat="1" applyFont="1" applyBorder="1" applyAlignment="1">
      <alignment horizontal="center" vertical="center" textRotation="45"/>
    </xf>
    <xf numFmtId="0" fontId="87" fillId="0" borderId="107" xfId="4" applyFont="1" applyFill="1" applyBorder="1" applyAlignment="1" applyProtection="1">
      <alignment horizontal="center" vertical="center"/>
      <protection locked="0"/>
    </xf>
    <xf numFmtId="0" fontId="87" fillId="0" borderId="44" xfId="4" applyFont="1" applyFill="1" applyBorder="1" applyAlignment="1" applyProtection="1">
      <alignment horizontal="center" vertical="center"/>
      <protection locked="0"/>
    </xf>
    <xf numFmtId="0" fontId="87" fillId="0" borderId="45" xfId="4" applyFont="1" applyFill="1" applyBorder="1" applyAlignment="1" applyProtection="1">
      <alignment horizontal="center" vertical="center"/>
      <protection locked="0"/>
    </xf>
    <xf numFmtId="0" fontId="86" fillId="3" borderId="100" xfId="4" applyFont="1" applyFill="1" applyBorder="1" applyAlignment="1" applyProtection="1">
      <alignment horizontal="center" vertical="center"/>
      <protection locked="0"/>
    </xf>
    <xf numFmtId="0" fontId="47" fillId="4" borderId="107" xfId="4" applyFont="1" applyFill="1" applyBorder="1" applyAlignment="1" applyProtection="1">
      <alignment horizontal="center" vertical="center" wrapText="1"/>
      <protection locked="0"/>
    </xf>
    <xf numFmtId="0" fontId="47" fillId="4" borderId="103" xfId="4" applyFont="1" applyFill="1" applyBorder="1" applyAlignment="1" applyProtection="1">
      <alignment horizontal="center" vertical="center" wrapText="1"/>
      <protection locked="0"/>
    </xf>
    <xf numFmtId="3" fontId="86" fillId="4" borderId="100" xfId="4" applyNumberFormat="1" applyFont="1" applyFill="1" applyBorder="1" applyAlignment="1" applyProtection="1">
      <alignment horizontal="center" vertical="center" wrapText="1"/>
      <protection locked="0"/>
    </xf>
    <xf numFmtId="49" fontId="52" fillId="0" borderId="101" xfId="150" applyNumberFormat="1" applyFont="1" applyFill="1" applyBorder="1" applyAlignment="1" applyProtection="1">
      <alignment horizontal="center" vertical="center" wrapText="1"/>
      <protection locked="0"/>
    </xf>
    <xf numFmtId="49" fontId="52" fillId="0" borderId="97" xfId="150" applyNumberFormat="1" applyFont="1" applyFill="1" applyBorder="1" applyAlignment="1" applyProtection="1">
      <alignment horizontal="center" vertical="center" wrapText="1"/>
      <protection locked="0"/>
    </xf>
    <xf numFmtId="49" fontId="52" fillId="0" borderId="17" xfId="150" applyNumberFormat="1" applyFont="1" applyFill="1" applyBorder="1" applyAlignment="1" applyProtection="1">
      <alignment horizontal="center" vertical="center" wrapText="1"/>
      <protection locked="0"/>
    </xf>
    <xf numFmtId="49" fontId="52" fillId="0" borderId="16" xfId="150" applyNumberFormat="1" applyFont="1" applyFill="1" applyBorder="1" applyAlignment="1" applyProtection="1">
      <alignment horizontal="center" vertical="center" wrapText="1"/>
      <protection locked="0"/>
    </xf>
    <xf numFmtId="167" fontId="53" fillId="0" borderId="102" xfId="150" applyNumberFormat="1" applyFont="1" applyFill="1" applyBorder="1" applyAlignment="1" applyProtection="1">
      <alignment horizontal="center" vertical="center" wrapText="1"/>
      <protection locked="0"/>
    </xf>
    <xf numFmtId="49" fontId="52" fillId="27" borderId="97" xfId="150" applyNumberFormat="1" applyFont="1" applyFill="1" applyBorder="1" applyAlignment="1" applyProtection="1">
      <alignment horizontal="center" vertical="center" wrapText="1"/>
      <protection locked="0"/>
    </xf>
    <xf numFmtId="49" fontId="52" fillId="27" borderId="16" xfId="150" applyNumberFormat="1" applyFont="1" applyFill="1" applyBorder="1" applyAlignment="1" applyProtection="1">
      <alignment horizontal="center" vertical="center" wrapText="1"/>
      <protection locked="0"/>
    </xf>
    <xf numFmtId="0" fontId="86" fillId="4" borderId="100" xfId="4" applyFont="1" applyFill="1" applyBorder="1" applyAlignment="1" applyProtection="1">
      <alignment horizontal="center" vertical="center" wrapText="1"/>
      <protection locked="0"/>
    </xf>
    <xf numFmtId="49" fontId="52" fillId="0" borderId="100" xfId="150" applyNumberFormat="1" applyFont="1" applyFill="1" applyBorder="1" applyAlignment="1" applyProtection="1">
      <alignment horizontal="center" vertical="center" wrapText="1"/>
      <protection locked="0"/>
    </xf>
    <xf numFmtId="167" fontId="53" fillId="0" borderId="100" xfId="150" applyNumberFormat="1" applyFont="1" applyFill="1" applyBorder="1" applyAlignment="1" applyProtection="1">
      <alignment horizontal="center" vertical="center" wrapText="1"/>
      <protection locked="0"/>
    </xf>
    <xf numFmtId="49" fontId="52" fillId="27" borderId="17" xfId="150" applyNumberFormat="1" applyFont="1" applyFill="1" applyBorder="1" applyAlignment="1" applyProtection="1">
      <alignment horizontal="center" vertical="center" wrapText="1"/>
      <protection locked="0"/>
    </xf>
    <xf numFmtId="167" fontId="53" fillId="27" borderId="102" xfId="150" applyNumberFormat="1" applyFont="1" applyFill="1" applyBorder="1" applyAlignment="1" applyProtection="1">
      <alignment horizontal="center" vertical="center" wrapText="1"/>
      <protection locked="0"/>
    </xf>
    <xf numFmtId="167" fontId="53" fillId="0" borderId="99" xfId="150" applyNumberFormat="1" applyFont="1" applyFill="1" applyBorder="1" applyAlignment="1" applyProtection="1">
      <alignment horizontal="center" vertical="center" wrapText="1"/>
      <protection locked="0"/>
    </xf>
    <xf numFmtId="167" fontId="53" fillId="0" borderId="19" xfId="150" applyNumberFormat="1" applyFont="1" applyFill="1" applyBorder="1" applyAlignment="1" applyProtection="1">
      <alignment horizontal="center" vertical="center" wrapText="1"/>
      <protection locked="0"/>
    </xf>
    <xf numFmtId="167" fontId="53" fillId="0" borderId="20" xfId="150" applyNumberFormat="1" applyFont="1" applyFill="1" applyBorder="1" applyAlignment="1" applyProtection="1">
      <alignment horizontal="center" vertical="center" wrapText="1"/>
      <protection locked="0"/>
    </xf>
    <xf numFmtId="14" fontId="52" fillId="0" borderId="97" xfId="150" applyNumberFormat="1" applyFont="1" applyFill="1" applyBorder="1" applyAlignment="1" applyProtection="1">
      <alignment horizontal="center" vertical="center" wrapText="1"/>
      <protection locked="0"/>
    </xf>
    <xf numFmtId="14" fontId="52" fillId="0" borderId="17" xfId="150" applyNumberFormat="1" applyFont="1" applyFill="1" applyBorder="1" applyAlignment="1" applyProtection="1">
      <alignment horizontal="center" vertical="center" wrapText="1"/>
      <protection locked="0"/>
    </xf>
    <xf numFmtId="14" fontId="52" fillId="0" borderId="16" xfId="150" applyNumberFormat="1" applyFont="1" applyFill="1" applyBorder="1" applyAlignment="1" applyProtection="1">
      <alignment horizontal="center" vertical="center" wrapText="1"/>
      <protection locked="0"/>
    </xf>
    <xf numFmtId="14" fontId="52" fillId="0" borderId="100" xfId="150" applyNumberFormat="1" applyFont="1" applyFill="1" applyBorder="1" applyAlignment="1" applyProtection="1">
      <alignment horizontal="center" vertical="center" wrapText="1"/>
      <protection locked="0"/>
    </xf>
    <xf numFmtId="0" fontId="52" fillId="0" borderId="100" xfId="150" applyNumberFormat="1" applyFont="1" applyFill="1" applyBorder="1" applyAlignment="1" applyProtection="1">
      <alignment horizontal="center" vertical="center" wrapText="1"/>
      <protection locked="0"/>
    </xf>
    <xf numFmtId="49" fontId="52" fillId="0" borderId="98" xfId="150" applyNumberFormat="1" applyFont="1" applyFill="1" applyBorder="1" applyAlignment="1" applyProtection="1">
      <alignment horizontal="center" vertical="center" wrapText="1"/>
      <protection locked="0"/>
    </xf>
    <xf numFmtId="49" fontId="52" fillId="0" borderId="21" xfId="150" applyNumberFormat="1" applyFont="1" applyFill="1" applyBorder="1" applyAlignment="1" applyProtection="1">
      <alignment horizontal="center" vertical="center" wrapText="1"/>
      <protection locked="0"/>
    </xf>
    <xf numFmtId="49" fontId="52" fillId="0" borderId="22" xfId="150" applyNumberFormat="1" applyFont="1" applyFill="1" applyBorder="1" applyAlignment="1" applyProtection="1">
      <alignment horizontal="center" vertical="center" wrapText="1"/>
      <protection locked="0"/>
    </xf>
    <xf numFmtId="49" fontId="52" fillId="28" borderId="97" xfId="150" applyNumberFormat="1" applyFont="1" applyFill="1" applyBorder="1" applyAlignment="1" applyProtection="1">
      <alignment horizontal="center" vertical="center" wrapText="1"/>
      <protection locked="0"/>
    </xf>
    <xf numFmtId="49" fontId="52" fillId="28" borderId="17" xfId="150" applyNumberFormat="1" applyFont="1" applyFill="1" applyBorder="1" applyAlignment="1" applyProtection="1">
      <alignment horizontal="center" vertical="center" wrapText="1"/>
      <protection locked="0"/>
    </xf>
    <xf numFmtId="49" fontId="52" fillId="28" borderId="16" xfId="150" applyNumberFormat="1" applyFont="1" applyFill="1" applyBorder="1" applyAlignment="1" applyProtection="1">
      <alignment horizontal="center" vertical="center" wrapText="1"/>
      <protection locked="0"/>
    </xf>
    <xf numFmtId="49" fontId="52" fillId="0" borderId="96" xfId="150" applyNumberFormat="1" applyFont="1" applyFill="1" applyBorder="1" applyAlignment="1" applyProtection="1">
      <alignment horizontal="center" vertical="center" wrapText="1"/>
      <protection locked="0"/>
    </xf>
    <xf numFmtId="49" fontId="52" fillId="0" borderId="94" xfId="150" applyNumberFormat="1" applyFont="1" applyFill="1" applyBorder="1" applyAlignment="1" applyProtection="1">
      <alignment horizontal="center" vertical="center" wrapText="1"/>
      <protection locked="0"/>
    </xf>
    <xf numFmtId="49" fontId="52" fillId="28" borderId="71" xfId="150" applyNumberFormat="1" applyFont="1" applyFill="1" applyBorder="1" applyAlignment="1" applyProtection="1">
      <alignment horizontal="center" vertical="center" wrapText="1"/>
      <protection locked="0"/>
    </xf>
    <xf numFmtId="167" fontId="53" fillId="0" borderId="95" xfId="150" applyNumberFormat="1" applyFont="1" applyFill="1" applyBorder="1" applyAlignment="1" applyProtection="1">
      <alignment horizontal="center" vertical="center" wrapText="1"/>
      <protection locked="0"/>
    </xf>
    <xf numFmtId="194" fontId="5" fillId="0" borderId="97" xfId="217" applyNumberFormat="1" applyBorder="1" applyAlignment="1">
      <alignment horizontal="center" vertical="center"/>
    </xf>
    <xf numFmtId="194" fontId="5" fillId="0" borderId="17" xfId="217" applyNumberFormat="1" applyBorder="1" applyAlignment="1">
      <alignment horizontal="center" vertical="center"/>
    </xf>
    <xf numFmtId="194" fontId="5" fillId="0" borderId="16" xfId="217" applyNumberFormat="1" applyBorder="1" applyAlignment="1">
      <alignment horizontal="center" vertical="center"/>
    </xf>
    <xf numFmtId="0" fontId="3" fillId="0" borderId="64" xfId="217" applyFont="1" applyBorder="1" applyAlignment="1">
      <alignment horizontal="center" vertical="center" wrapText="1"/>
    </xf>
    <xf numFmtId="0" fontId="3" fillId="0" borderId="21" xfId="217" applyFont="1" applyBorder="1" applyAlignment="1">
      <alignment horizontal="center" vertical="center" wrapText="1"/>
    </xf>
    <xf numFmtId="0" fontId="3" fillId="0" borderId="79" xfId="217" applyFont="1" applyBorder="1" applyAlignment="1">
      <alignment horizontal="center" vertical="center" wrapText="1"/>
    </xf>
    <xf numFmtId="0" fontId="3" fillId="0" borderId="64" xfId="217" applyFont="1" applyBorder="1" applyAlignment="1">
      <alignment horizontal="center" vertical="center"/>
    </xf>
    <xf numFmtId="0" fontId="3" fillId="0" borderId="22" xfId="217" applyFont="1" applyBorder="1" applyAlignment="1">
      <alignment horizontal="center" vertical="center"/>
    </xf>
    <xf numFmtId="194" fontId="5" fillId="36" borderId="97" xfId="217" applyNumberFormat="1" applyFill="1" applyBorder="1" applyAlignment="1">
      <alignment horizontal="center" vertical="center"/>
    </xf>
    <xf numFmtId="194" fontId="5" fillId="36" borderId="16" xfId="217" applyNumberFormat="1" applyFill="1" applyBorder="1" applyAlignment="1">
      <alignment horizontal="center" vertical="center"/>
    </xf>
    <xf numFmtId="0" fontId="3" fillId="0" borderId="100" xfId="217" applyFont="1" applyBorder="1" applyAlignment="1">
      <alignment horizontal="center" vertical="center"/>
    </xf>
    <xf numFmtId="9" fontId="90" fillId="0" borderId="61" xfId="1" applyFont="1" applyBorder="1" applyAlignment="1">
      <alignment horizontal="center" vertical="center"/>
    </xf>
    <xf numFmtId="9" fontId="90" fillId="0" borderId="19" xfId="1" applyFont="1" applyBorder="1" applyAlignment="1">
      <alignment horizontal="center" vertical="center"/>
    </xf>
    <xf numFmtId="9" fontId="90" fillId="0" borderId="104" xfId="1" applyFont="1" applyBorder="1" applyAlignment="1">
      <alignment horizontal="center" vertical="center"/>
    </xf>
    <xf numFmtId="9" fontId="90" fillId="0" borderId="20" xfId="1" applyFont="1" applyBorder="1" applyAlignment="1">
      <alignment horizontal="center" vertical="center"/>
    </xf>
    <xf numFmtId="194" fontId="90" fillId="0" borderId="58" xfId="217" applyNumberFormat="1" applyFont="1" applyBorder="1" applyAlignment="1">
      <alignment horizontal="center" vertical="center"/>
    </xf>
    <xf numFmtId="194" fontId="90" fillId="0" borderId="17" xfId="217" applyNumberFormat="1" applyFont="1" applyBorder="1" applyAlignment="1">
      <alignment horizontal="center" vertical="center"/>
    </xf>
    <xf numFmtId="194" fontId="90" fillId="0" borderId="71" xfId="217" applyNumberFormat="1" applyFont="1" applyBorder="1" applyAlignment="1">
      <alignment horizontal="center" vertical="center"/>
    </xf>
    <xf numFmtId="194" fontId="90" fillId="0" borderId="16" xfId="217" applyNumberFormat="1" applyFont="1" applyBorder="1" applyAlignment="1">
      <alignment horizontal="center" vertical="center"/>
    </xf>
    <xf numFmtId="49" fontId="154" fillId="0" borderId="97" xfId="150" applyNumberFormat="1" applyFont="1" applyFill="1" applyBorder="1" applyAlignment="1" applyProtection="1">
      <alignment horizontal="center" vertical="center" wrapText="1"/>
      <protection locked="0"/>
    </xf>
    <xf numFmtId="49" fontId="154" fillId="0" borderId="17" xfId="150" applyNumberFormat="1" applyFont="1" applyFill="1" applyBorder="1" applyAlignment="1" applyProtection="1">
      <alignment horizontal="center" vertical="center" wrapText="1"/>
      <protection locked="0"/>
    </xf>
    <xf numFmtId="49" fontId="154" fillId="0" borderId="71" xfId="150" applyNumberFormat="1" applyFont="1" applyFill="1" applyBorder="1" applyAlignment="1" applyProtection="1">
      <alignment horizontal="center" vertical="center" wrapText="1"/>
      <protection locked="0"/>
    </xf>
    <xf numFmtId="49" fontId="154" fillId="0" borderId="16" xfId="150" applyNumberFormat="1" applyFont="1" applyFill="1" applyBorder="1" applyAlignment="1" applyProtection="1">
      <alignment horizontal="center" vertical="center" wrapText="1"/>
      <protection locked="0"/>
    </xf>
    <xf numFmtId="49" fontId="154" fillId="0" borderId="100" xfId="150" applyNumberFormat="1" applyFont="1" applyFill="1" applyBorder="1" applyAlignment="1" applyProtection="1">
      <alignment horizontal="center" vertical="center" wrapText="1"/>
      <protection locked="0"/>
    </xf>
    <xf numFmtId="2" fontId="154" fillId="0" borderId="97" xfId="150" applyNumberFormat="1" applyFont="1" applyFill="1" applyBorder="1" applyAlignment="1" applyProtection="1">
      <alignment horizontal="center" vertical="center" wrapText="1"/>
      <protection locked="0"/>
    </xf>
    <xf numFmtId="2" fontId="154" fillId="0" borderId="17" xfId="150" applyNumberFormat="1" applyFont="1" applyFill="1" applyBorder="1" applyAlignment="1" applyProtection="1">
      <alignment horizontal="center" vertical="center" wrapText="1"/>
      <protection locked="0"/>
    </xf>
    <xf numFmtId="2" fontId="154" fillId="0" borderId="16" xfId="150" applyNumberFormat="1" applyFont="1" applyFill="1" applyBorder="1" applyAlignment="1" applyProtection="1">
      <alignment horizontal="center" vertical="center" wrapText="1"/>
      <protection locked="0"/>
    </xf>
    <xf numFmtId="0" fontId="43" fillId="0" borderId="17" xfId="4" applyFont="1" applyFill="1" applyBorder="1" applyAlignment="1" applyProtection="1">
      <alignment horizontal="center" vertical="center" wrapText="1"/>
      <protection locked="0"/>
    </xf>
    <xf numFmtId="0" fontId="52" fillId="0" borderId="97" xfId="150" applyNumberFormat="1" applyFont="1" applyFill="1" applyBorder="1" applyAlignment="1" applyProtection="1">
      <alignment horizontal="center" vertical="center" wrapText="1"/>
      <protection locked="0"/>
    </xf>
    <xf numFmtId="0" fontId="52" fillId="0" borderId="17" xfId="150" applyNumberFormat="1" applyFont="1" applyFill="1" applyBorder="1" applyAlignment="1" applyProtection="1">
      <alignment horizontal="center" vertical="center" wrapText="1"/>
      <protection locked="0"/>
    </xf>
    <xf numFmtId="0" fontId="52" fillId="0" borderId="16" xfId="150" applyNumberFormat="1" applyFont="1" applyFill="1" applyBorder="1" applyAlignment="1" applyProtection="1">
      <alignment horizontal="center" vertical="center" wrapText="1"/>
      <protection locked="0"/>
    </xf>
    <xf numFmtId="168" fontId="37" fillId="0" borderId="0" xfId="4" applyNumberFormat="1" applyFont="1" applyFill="1" applyBorder="1" applyAlignment="1" applyProtection="1">
      <alignment horizontal="center" vertical="center"/>
      <protection locked="0"/>
    </xf>
    <xf numFmtId="0" fontId="86" fillId="0" borderId="67" xfId="4" applyFont="1" applyFill="1" applyBorder="1" applyAlignment="1" applyProtection="1">
      <alignment horizontal="center" vertical="center"/>
      <protection locked="0"/>
    </xf>
    <xf numFmtId="0" fontId="38" fillId="0" borderId="119" xfId="4" applyFont="1" applyFill="1" applyBorder="1" applyAlignment="1" applyProtection="1">
      <alignment horizontal="left" vertical="center" wrapText="1"/>
      <protection locked="0"/>
    </xf>
    <xf numFmtId="0" fontId="38" fillId="0" borderId="120" xfId="4" applyFont="1" applyFill="1" applyBorder="1" applyAlignment="1" applyProtection="1">
      <alignment horizontal="left" vertical="center" wrapText="1"/>
      <protection locked="0"/>
    </xf>
    <xf numFmtId="0" fontId="38" fillId="0" borderId="69" xfId="4" applyFont="1" applyFill="1" applyBorder="1" applyAlignment="1" applyProtection="1">
      <alignment horizontal="left" vertical="center" wrapText="1"/>
      <protection locked="0"/>
    </xf>
    <xf numFmtId="0" fontId="47" fillId="0" borderId="68" xfId="4" applyFont="1" applyFill="1" applyBorder="1" applyAlignment="1" applyProtection="1">
      <alignment horizontal="center" vertical="center" wrapText="1"/>
      <protection locked="0"/>
    </xf>
    <xf numFmtId="0" fontId="47" fillId="0" borderId="69" xfId="4" applyFont="1" applyFill="1" applyBorder="1" applyAlignment="1" applyProtection="1">
      <alignment horizontal="center" vertical="center" wrapText="1"/>
      <protection locked="0"/>
    </xf>
    <xf numFmtId="3" fontId="86" fillId="0" borderId="67" xfId="4" applyNumberFormat="1" applyFont="1" applyFill="1" applyBorder="1" applyAlignment="1" applyProtection="1">
      <alignment horizontal="center" vertical="center" wrapText="1"/>
      <protection locked="0"/>
    </xf>
    <xf numFmtId="0" fontId="86" fillId="0" borderId="100" xfId="4" applyFont="1" applyFill="1" applyBorder="1" applyAlignment="1" applyProtection="1">
      <alignment horizontal="center" vertical="center" wrapText="1"/>
      <protection locked="0"/>
    </xf>
    <xf numFmtId="1" fontId="44" fillId="0" borderId="46" xfId="3" applyNumberFormat="1" applyFont="1" applyFill="1" applyBorder="1" applyAlignment="1">
      <alignment horizontal="center" vertical="center" textRotation="45"/>
    </xf>
    <xf numFmtId="1" fontId="44" fillId="0" borderId="47" xfId="3" applyNumberFormat="1" applyFont="1" applyFill="1" applyBorder="1" applyAlignment="1">
      <alignment horizontal="center" vertical="center" textRotation="45"/>
    </xf>
    <xf numFmtId="0" fontId="33" fillId="0" borderId="0" xfId="4" applyFont="1" applyBorder="1" applyAlignment="1" applyProtection="1">
      <alignment horizontal="center" vertical="center"/>
      <protection locked="0"/>
    </xf>
    <xf numFmtId="49" fontId="33" fillId="0" borderId="0" xfId="148" applyNumberFormat="1" applyFont="1" applyFill="1" applyBorder="1" applyAlignment="1" applyProtection="1">
      <alignment horizontal="center"/>
      <protection locked="0"/>
    </xf>
    <xf numFmtId="0" fontId="102" fillId="0" borderId="0" xfId="4" applyFont="1" applyFill="1" applyAlignment="1" applyProtection="1">
      <alignment horizontal="right"/>
      <protection locked="0"/>
    </xf>
    <xf numFmtId="0" fontId="6" fillId="0" borderId="80" xfId="153" applyBorder="1" applyAlignment="1">
      <alignment horizontal="center"/>
    </xf>
    <xf numFmtId="194" fontId="6" fillId="0" borderId="80" xfId="153" applyNumberFormat="1" applyBorder="1" applyAlignment="1">
      <alignment horizontal="center" vertical="center"/>
    </xf>
    <xf numFmtId="0" fontId="123" fillId="0" borderId="0" xfId="153" applyFont="1" applyAlignment="1">
      <alignment horizontal="center"/>
    </xf>
    <xf numFmtId="0" fontId="90" fillId="0" borderId="0" xfId="153" applyFont="1" applyAlignment="1">
      <alignment horizontal="center"/>
    </xf>
    <xf numFmtId="0" fontId="6" fillId="0" borderId="15" xfId="153" applyBorder="1" applyAlignment="1">
      <alignment horizontal="center" vertical="center"/>
    </xf>
    <xf numFmtId="0" fontId="6" fillId="0" borderId="16" xfId="153" applyBorder="1" applyAlignment="1">
      <alignment horizontal="center" vertical="center"/>
    </xf>
    <xf numFmtId="194" fontId="6" fillId="0" borderId="15" xfId="153" applyNumberFormat="1" applyBorder="1" applyAlignment="1">
      <alignment horizontal="center" vertical="center"/>
    </xf>
    <xf numFmtId="194" fontId="6" fillId="0" borderId="16" xfId="153" applyNumberFormat="1" applyBorder="1" applyAlignment="1">
      <alignment horizontal="center" vertical="center"/>
    </xf>
    <xf numFmtId="0" fontId="6" fillId="0" borderId="80" xfId="153" applyBorder="1" applyAlignment="1">
      <alignment horizontal="center" vertical="center"/>
    </xf>
    <xf numFmtId="0" fontId="131" fillId="0" borderId="80" xfId="153" applyFont="1" applyBorder="1" applyAlignment="1">
      <alignment horizontal="center" vertical="center" wrapText="1"/>
    </xf>
    <xf numFmtId="0" fontId="132" fillId="0" borderId="81" xfId="153" applyFont="1" applyBorder="1" applyAlignment="1">
      <alignment horizontal="center"/>
    </xf>
    <xf numFmtId="0" fontId="132" fillId="0" borderId="82" xfId="153" applyFont="1" applyBorder="1" applyAlignment="1">
      <alignment horizontal="center"/>
    </xf>
    <xf numFmtId="0" fontId="132" fillId="0" borderId="83" xfId="153" applyFont="1" applyBorder="1" applyAlignment="1">
      <alignment horizontal="center"/>
    </xf>
    <xf numFmtId="0" fontId="132" fillId="0" borderId="81" xfId="153" applyFont="1" applyBorder="1" applyAlignment="1">
      <alignment horizontal="center" vertical="center" wrapText="1"/>
    </xf>
    <xf numFmtId="0" fontId="132" fillId="0" borderId="82" xfId="153" applyFont="1" applyBorder="1" applyAlignment="1">
      <alignment horizontal="center" vertical="center" wrapText="1"/>
    </xf>
    <xf numFmtId="0" fontId="132" fillId="0" borderId="83" xfId="153" applyFont="1" applyBorder="1" applyAlignment="1">
      <alignment horizontal="center" vertical="center" wrapText="1"/>
    </xf>
    <xf numFmtId="0" fontId="117" fillId="31" borderId="80" xfId="153" applyFont="1" applyFill="1" applyBorder="1" applyAlignment="1">
      <alignment horizontal="center"/>
    </xf>
    <xf numFmtId="0" fontId="117" fillId="31" borderId="81" xfId="153" applyFont="1" applyFill="1" applyBorder="1" applyAlignment="1">
      <alignment horizontal="center"/>
    </xf>
    <xf numFmtId="0" fontId="117" fillId="31" borderId="82" xfId="153" applyFont="1" applyFill="1" applyBorder="1" applyAlignment="1">
      <alignment horizontal="center"/>
    </xf>
    <xf numFmtId="0" fontId="117" fillId="31" borderId="83" xfId="153" applyFont="1" applyFill="1" applyBorder="1" applyAlignment="1">
      <alignment horizontal="center"/>
    </xf>
    <xf numFmtId="0" fontId="131" fillId="0" borderId="15" xfId="153" applyFont="1" applyBorder="1" applyAlignment="1">
      <alignment horizontal="center" vertical="center" wrapText="1"/>
    </xf>
    <xf numFmtId="0" fontId="131" fillId="0" borderId="17" xfId="153" applyFont="1" applyBorder="1" applyAlignment="1">
      <alignment horizontal="center" vertical="center" wrapText="1"/>
    </xf>
    <xf numFmtId="0" fontId="131" fillId="0" borderId="16" xfId="153" applyFont="1" applyBorder="1" applyAlignment="1">
      <alignment horizontal="center" vertical="center" wrapText="1"/>
    </xf>
    <xf numFmtId="0" fontId="117" fillId="29" borderId="80" xfId="153" applyFont="1" applyFill="1" applyBorder="1" applyAlignment="1">
      <alignment horizontal="center"/>
    </xf>
    <xf numFmtId="0" fontId="90" fillId="30" borderId="15" xfId="153" applyFont="1" applyFill="1" applyBorder="1" applyAlignment="1">
      <alignment horizontal="center" vertical="center" wrapText="1"/>
    </xf>
    <xf numFmtId="0" fontId="90" fillId="30" borderId="16" xfId="153" applyFont="1" applyFill="1" applyBorder="1" applyAlignment="1">
      <alignment horizontal="center" vertical="center" wrapText="1"/>
    </xf>
    <xf numFmtId="200" fontId="131" fillId="0" borderId="80" xfId="153" applyNumberFormat="1" applyFont="1" applyBorder="1" applyAlignment="1">
      <alignment horizontal="center" vertical="center" wrapText="1"/>
    </xf>
    <xf numFmtId="0" fontId="6" fillId="0" borderId="80" xfId="153" applyFont="1" applyFill="1" applyBorder="1" applyAlignment="1">
      <alignment horizontal="center" vertical="center" wrapText="1"/>
    </xf>
    <xf numFmtId="0" fontId="6" fillId="0" borderId="80" xfId="153" applyFill="1" applyBorder="1" applyAlignment="1">
      <alignment horizontal="center" vertical="center" wrapText="1"/>
    </xf>
    <xf numFmtId="0" fontId="95" fillId="0" borderId="82" xfId="153" applyFont="1" applyFill="1" applyBorder="1" applyAlignment="1">
      <alignment horizontal="center" vertical="center" wrapText="1"/>
    </xf>
    <xf numFmtId="190" fontId="121" fillId="0" borderId="80" xfId="153" applyNumberFormat="1" applyFont="1" applyFill="1" applyBorder="1" applyAlignment="1">
      <alignment horizontal="center" vertical="center"/>
    </xf>
    <xf numFmtId="0" fontId="119" fillId="0" borderId="80" xfId="153" applyFont="1" applyFill="1" applyBorder="1" applyAlignment="1">
      <alignment horizontal="center" vertical="center"/>
    </xf>
    <xf numFmtId="0" fontId="120" fillId="0" borderId="80" xfId="153" applyFont="1" applyFill="1" applyBorder="1" applyAlignment="1">
      <alignment horizontal="center" vertical="center" wrapText="1"/>
    </xf>
    <xf numFmtId="0" fontId="116" fillId="0" borderId="80" xfId="153" applyFont="1" applyFill="1" applyBorder="1" applyAlignment="1">
      <alignment horizontal="center" vertical="center" wrapText="1"/>
    </xf>
    <xf numFmtId="0" fontId="119" fillId="0" borderId="80" xfId="153" applyFont="1" applyFill="1" applyBorder="1" applyAlignment="1">
      <alignment horizontal="center" vertical="center" wrapText="1"/>
    </xf>
    <xf numFmtId="0" fontId="114" fillId="0" borderId="0" xfId="153" applyFont="1" applyFill="1" applyAlignment="1">
      <alignment horizontal="center"/>
    </xf>
    <xf numFmtId="0" fontId="114" fillId="0" borderId="0" xfId="153" applyFont="1" applyFill="1" applyAlignment="1">
      <alignment horizontal="center" vertical="center"/>
    </xf>
    <xf numFmtId="0" fontId="115" fillId="0" borderId="0" xfId="153" applyFont="1" applyFill="1" applyAlignment="1">
      <alignment horizontal="center"/>
    </xf>
    <xf numFmtId="0" fontId="115" fillId="0" borderId="0" xfId="153" applyFont="1" applyFill="1" applyAlignment="1">
      <alignment horizontal="center" vertical="center"/>
    </xf>
    <xf numFmtId="0" fontId="116" fillId="0" borderId="0" xfId="153" applyFont="1" applyFill="1" applyAlignment="1">
      <alignment horizontal="center"/>
    </xf>
    <xf numFmtId="0" fontId="116" fillId="0" borderId="0" xfId="153" applyFont="1" applyFill="1" applyAlignment="1">
      <alignment horizontal="center" vertical="center"/>
    </xf>
    <xf numFmtId="0" fontId="95" fillId="0" borderId="44" xfId="153" applyFont="1" applyFill="1" applyBorder="1" applyAlignment="1">
      <alignment horizontal="center" vertical="center" wrapText="1"/>
    </xf>
    <xf numFmtId="0" fontId="12" fillId="0" borderId="89" xfId="0" applyFont="1" applyBorder="1" applyAlignment="1">
      <alignment horizontal="center"/>
    </xf>
    <xf numFmtId="0" fontId="12" fillId="0" borderId="90" xfId="0" applyFont="1" applyBorder="1" applyAlignment="1">
      <alignment horizontal="center"/>
    </xf>
    <xf numFmtId="0" fontId="12" fillId="0" borderId="91" xfId="0" applyFont="1" applyBorder="1" applyAlignment="1">
      <alignment horizontal="center"/>
    </xf>
    <xf numFmtId="0" fontId="110" fillId="0" borderId="43" xfId="0" applyFont="1" applyBorder="1" applyAlignment="1">
      <alignment horizontal="center"/>
    </xf>
    <xf numFmtId="0" fontId="110" fillId="0" borderId="44" xfId="0" applyFont="1" applyBorder="1" applyAlignment="1">
      <alignment horizontal="center"/>
    </xf>
    <xf numFmtId="0" fontId="110" fillId="0" borderId="92" xfId="0" applyFont="1" applyBorder="1" applyAlignment="1">
      <alignment horizontal="center"/>
    </xf>
    <xf numFmtId="0" fontId="130" fillId="0" borderId="0" xfId="146" applyFont="1" applyAlignment="1">
      <alignment horizontal="center" vertical="center" wrapText="1"/>
    </xf>
    <xf numFmtId="0" fontId="95" fillId="0" borderId="0" xfId="146" applyFont="1" applyAlignment="1">
      <alignment horizontal="center" vertical="center" wrapText="1"/>
    </xf>
    <xf numFmtId="0" fontId="9" fillId="0" borderId="0" xfId="146" applyAlignment="1">
      <alignment horizontal="center" vertical="center" wrapText="1"/>
    </xf>
    <xf numFmtId="0" fontId="6" fillId="0" borderId="0" xfId="146" applyFont="1" applyAlignment="1">
      <alignment horizontal="center" vertical="center" wrapText="1"/>
    </xf>
    <xf numFmtId="0" fontId="0" fillId="0" borderId="101" xfId="0" applyBorder="1" applyAlignment="1">
      <alignment horizontal="center" vertical="center" wrapText="1"/>
    </xf>
    <xf numFmtId="0" fontId="0" fillId="0" borderId="108" xfId="0" applyBorder="1" applyAlignment="1">
      <alignment horizontal="center" vertical="center" wrapText="1"/>
    </xf>
    <xf numFmtId="0" fontId="0" fillId="0" borderId="109" xfId="0" applyBorder="1" applyAlignment="1">
      <alignment horizontal="left" vertical="center" wrapText="1"/>
    </xf>
    <xf numFmtId="0" fontId="0" fillId="0" borderId="103" xfId="0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10" xfId="0" applyBorder="1" applyAlignment="1">
      <alignment horizontal="center" vertical="center" wrapText="1"/>
    </xf>
    <xf numFmtId="0" fontId="0" fillId="0" borderId="111" xfId="0" applyBorder="1" applyAlignment="1">
      <alignment horizontal="left" vertical="center" wrapText="1"/>
    </xf>
    <xf numFmtId="0" fontId="0" fillId="0" borderId="112" xfId="0" applyBorder="1" applyAlignment="1">
      <alignment horizontal="left" vertical="center" wrapText="1"/>
    </xf>
    <xf numFmtId="0" fontId="0" fillId="0" borderId="100" xfId="0" applyBorder="1" applyAlignment="1">
      <alignment horizontal="center" vertical="center" wrapText="1"/>
    </xf>
    <xf numFmtId="0" fontId="0" fillId="0" borderId="107" xfId="0" applyBorder="1" applyAlignment="1">
      <alignment horizontal="center" vertical="center" wrapText="1"/>
    </xf>
  </cellXfs>
  <cellStyles count="224">
    <cellStyle name="20% - Accent1" xfId="155"/>
    <cellStyle name="20% - Accent2" xfId="156"/>
    <cellStyle name="20% - Accent3" xfId="157"/>
    <cellStyle name="20% - Accent4" xfId="158"/>
    <cellStyle name="20% - Accent5" xfId="159"/>
    <cellStyle name="20% - Accent6" xfId="160"/>
    <cellStyle name="20% - Énfasis1 2" xfId="10"/>
    <cellStyle name="20% - Énfasis2 2" xfId="11"/>
    <cellStyle name="20% - Énfasis3 2" xfId="12"/>
    <cellStyle name="20% - Énfasis4 2" xfId="13"/>
    <cellStyle name="20% - Énfasis5 2" xfId="14"/>
    <cellStyle name="20% - Énfasis6 2" xfId="15"/>
    <cellStyle name="40% - Accent1" xfId="161"/>
    <cellStyle name="40% - Accent2" xfId="162"/>
    <cellStyle name="40% - Accent3" xfId="163"/>
    <cellStyle name="40% - Accent4" xfId="164"/>
    <cellStyle name="40% - Accent5" xfId="165"/>
    <cellStyle name="40% - Accent6" xfId="166"/>
    <cellStyle name="40% - Énfasis1 2" xfId="16"/>
    <cellStyle name="40% - Énfasis2 2" xfId="17"/>
    <cellStyle name="40% - Énfasis3 2" xfId="18"/>
    <cellStyle name="40% - Énfasis4 2" xfId="19"/>
    <cellStyle name="40% - Énfasis5 2" xfId="20"/>
    <cellStyle name="40% - Énfasis6 2" xfId="21"/>
    <cellStyle name="60% - Accent1" xfId="167"/>
    <cellStyle name="60% - Accent2" xfId="168"/>
    <cellStyle name="60% - Accent3" xfId="169"/>
    <cellStyle name="60% - Accent4" xfId="170"/>
    <cellStyle name="60% - Accent5" xfId="171"/>
    <cellStyle name="60% - Accent6" xfId="172"/>
    <cellStyle name="60% - Énfasis1 2" xfId="22"/>
    <cellStyle name="60% - Énfasis2 2" xfId="23"/>
    <cellStyle name="60% - Énfasis3 2" xfId="24"/>
    <cellStyle name="60% - Énfasis4 2" xfId="25"/>
    <cellStyle name="60% - Énfasis5 2" xfId="26"/>
    <cellStyle name="60% - Énfasis6 2" xfId="27"/>
    <cellStyle name="Accent1" xfId="173"/>
    <cellStyle name="Accent2" xfId="174"/>
    <cellStyle name="Accent3" xfId="175"/>
    <cellStyle name="Accent4" xfId="176"/>
    <cellStyle name="Accent5" xfId="177"/>
    <cellStyle name="Accent6" xfId="178"/>
    <cellStyle name="Bad" xfId="179"/>
    <cellStyle name="Buena 2" xfId="28"/>
    <cellStyle name="Calculation" xfId="180"/>
    <cellStyle name="Cálculo 2" xfId="29"/>
    <cellStyle name="Celda de comprobación 2" xfId="30"/>
    <cellStyle name="Celda vinculada 2" xfId="31"/>
    <cellStyle name="Check Cell" xfId="181"/>
    <cellStyle name="Comma" xfId="32"/>
    <cellStyle name="Currency" xfId="33"/>
    <cellStyle name="Date" xfId="34"/>
    <cellStyle name="Encabezado 4 2" xfId="35"/>
    <cellStyle name="Énfasis1 2" xfId="36"/>
    <cellStyle name="Énfasis2 2" xfId="37"/>
    <cellStyle name="Énfasis3 2" xfId="38"/>
    <cellStyle name="Énfasis4 2" xfId="39"/>
    <cellStyle name="Énfasis5 2" xfId="40"/>
    <cellStyle name="Énfasis6 2" xfId="41"/>
    <cellStyle name="Entrada 2" xfId="42"/>
    <cellStyle name="Entrada 2 2" xfId="182"/>
    <cellStyle name="Euro" xfId="43"/>
    <cellStyle name="Euro 2" xfId="44"/>
    <cellStyle name="Euro 2 2" xfId="45"/>
    <cellStyle name="Euro 3" xfId="46"/>
    <cellStyle name="Excel Built-in Normal" xfId="4"/>
    <cellStyle name="Excel Built-in Normal 2" xfId="47"/>
    <cellStyle name="Excel Built-in Normal 2 2" xfId="183"/>
    <cellStyle name="Excel Built-in Normal 2 3" xfId="184"/>
    <cellStyle name="Excel Built-in Normal 3" xfId="48"/>
    <cellStyle name="Excel Built-in Normal 4" xfId="185"/>
    <cellStyle name="Explanatory Text" xfId="186"/>
    <cellStyle name="F2" xfId="49"/>
    <cellStyle name="F3" xfId="50"/>
    <cellStyle name="F4" xfId="51"/>
    <cellStyle name="F5" xfId="52"/>
    <cellStyle name="F6" xfId="53"/>
    <cellStyle name="F7" xfId="54"/>
    <cellStyle name="F8" xfId="55"/>
    <cellStyle name="Fixed" xfId="56"/>
    <cellStyle name="Good" xfId="187"/>
    <cellStyle name="Heading" xfId="57"/>
    <cellStyle name="Heading 1" xfId="188"/>
    <cellStyle name="Heading 2" xfId="189"/>
    <cellStyle name="Heading 3" xfId="190"/>
    <cellStyle name="Heading 4" xfId="191"/>
    <cellStyle name="Heading1" xfId="58"/>
    <cellStyle name="HEADING1 2" xfId="59"/>
    <cellStyle name="HEADING2" xfId="60"/>
    <cellStyle name="Hipervínculo 2" xfId="192"/>
    <cellStyle name="Incorrecto 2" xfId="61"/>
    <cellStyle name="Input" xfId="193"/>
    <cellStyle name="Linked Cell" xfId="194"/>
    <cellStyle name="Millares [0] 2" xfId="62"/>
    <cellStyle name="Millares 10" xfId="195"/>
    <cellStyle name="Millares 11" xfId="196"/>
    <cellStyle name="Millares 12" xfId="223"/>
    <cellStyle name="Millares 13" xfId="63"/>
    <cellStyle name="Millares 2" xfId="2"/>
    <cellStyle name="Millares 2 2" xfId="64"/>
    <cellStyle name="Millares 2 2 2" xfId="65"/>
    <cellStyle name="Millares 2 2 2 2" xfId="197"/>
    <cellStyle name="Millares 2 2 3" xfId="66"/>
    <cellStyle name="Millares 2 3" xfId="67"/>
    <cellStyle name="Millares 2 3 2" xfId="198"/>
    <cellStyle name="Millares 2 4" xfId="68"/>
    <cellStyle name="Millares 2_INCIDENCIA RMU. RESOL.MRL.2012" xfId="199"/>
    <cellStyle name="Millares 3" xfId="69"/>
    <cellStyle name="Millares 3 2" xfId="70"/>
    <cellStyle name="Millares 3 2 2" xfId="71"/>
    <cellStyle name="Millares 3 2 3" xfId="72"/>
    <cellStyle name="Millares 3 2 4" xfId="73"/>
    <cellStyle name="Millares 3 2 5" xfId="74"/>
    <cellStyle name="Millares 3 2 9" xfId="75"/>
    <cellStyle name="Millares 3 3" xfId="76"/>
    <cellStyle name="Millares 3 4" xfId="200"/>
    <cellStyle name="Millares 4" xfId="77"/>
    <cellStyle name="Millares 4 2" xfId="78"/>
    <cellStyle name="Millares 4 2 2" xfId="201"/>
    <cellStyle name="Millares 4 3" xfId="202"/>
    <cellStyle name="Millares 5" xfId="79"/>
    <cellStyle name="Millares 5 2" xfId="203"/>
    <cellStyle name="Millares 5 3" xfId="204"/>
    <cellStyle name="Millares 6" xfId="80"/>
    <cellStyle name="Millares 6 2" xfId="205"/>
    <cellStyle name="Millares 6 3" xfId="206"/>
    <cellStyle name="Millares 7" xfId="81"/>
    <cellStyle name="Millares 7 2" xfId="82"/>
    <cellStyle name="Millares 8" xfId="83"/>
    <cellStyle name="Millares 9" xfId="154"/>
    <cellStyle name="Moneda" xfId="218" builtinId="4"/>
    <cellStyle name="Moneda 2" xfId="84"/>
    <cellStyle name="Moneda 2 2" xfId="85"/>
    <cellStyle name="Moneda 3" xfId="86"/>
    <cellStyle name="Moneda 3 2" xfId="87"/>
    <cellStyle name="Moneda 4" xfId="147"/>
    <cellStyle name="Neutral 2" xfId="88"/>
    <cellStyle name="Normal" xfId="0" builtinId="0"/>
    <cellStyle name="Normal 10" xfId="89"/>
    <cellStyle name="Normal 10 2" xfId="90"/>
    <cellStyle name="Normal 11" xfId="91"/>
    <cellStyle name="Normal 12" xfId="92"/>
    <cellStyle name="Normal 12 2" xfId="93"/>
    <cellStyle name="Normal 13" xfId="94"/>
    <cellStyle name="Normal 14" xfId="146"/>
    <cellStyle name="Normal 14 2" xfId="219"/>
    <cellStyle name="Normal 15" xfId="152"/>
    <cellStyle name="Normal 16" xfId="153"/>
    <cellStyle name="Normal 17" xfId="217"/>
    <cellStyle name="Normal 18" xfId="222"/>
    <cellStyle name="Normal 2" xfId="3"/>
    <cellStyle name="Normal 2 10" xfId="95"/>
    <cellStyle name="Normal 2 11" xfId="96"/>
    <cellStyle name="Normal 2 12" xfId="149"/>
    <cellStyle name="Normal 2 13" xfId="220"/>
    <cellStyle name="Normal 2 2" xfId="5"/>
    <cellStyle name="Normal 2 2 2" xfId="9"/>
    <cellStyle name="Normal 2 2 3" xfId="150"/>
    <cellStyle name="Normal 2 3" xfId="97"/>
    <cellStyle name="Normal 2 3 2" xfId="98"/>
    <cellStyle name="Normal 2 4" xfId="99"/>
    <cellStyle name="Normal 2 5" xfId="100"/>
    <cellStyle name="Normal 2 6" xfId="101"/>
    <cellStyle name="Normal 2 7" xfId="102"/>
    <cellStyle name="Normal 2 8" xfId="103"/>
    <cellStyle name="Normal 2 9" xfId="104"/>
    <cellStyle name="Normal 2_EMPLEADOS DE PLANTA NUEVO PRESUPUESTO ULTIMO" xfId="105"/>
    <cellStyle name="Normal 23" xfId="106"/>
    <cellStyle name="Normal 23 2" xfId="107"/>
    <cellStyle name="Normal 23 3" xfId="108"/>
    <cellStyle name="Normal 24" xfId="109"/>
    <cellStyle name="Normal 24 2" xfId="110"/>
    <cellStyle name="Normal 24 3" xfId="111"/>
    <cellStyle name="Normal 3" xfId="7"/>
    <cellStyle name="Normal 3 2" xfId="112"/>
    <cellStyle name="Normal 3 2 2" xfId="113"/>
    <cellStyle name="Normal 3 3" xfId="114"/>
    <cellStyle name="Normal 3 3 2" xfId="207"/>
    <cellStyle name="Normal 3 4" xfId="151"/>
    <cellStyle name="Normal 4" xfId="6"/>
    <cellStyle name="Normal 4 2" xfId="115"/>
    <cellStyle name="Normal 4 2 2" xfId="116"/>
    <cellStyle name="Normal 4 3" xfId="117"/>
    <cellStyle name="Normal 4 3 2" xfId="208"/>
    <cellStyle name="Normal 4 4" xfId="148"/>
    <cellStyle name="Normal 4 5" xfId="209"/>
    <cellStyle name="Normal 5" xfId="118"/>
    <cellStyle name="Normal 5 2" xfId="119"/>
    <cellStyle name="Normal 5 3" xfId="210"/>
    <cellStyle name="Normal 6" xfId="120"/>
    <cellStyle name="Normal 6 2" xfId="121"/>
    <cellStyle name="Normal 7" xfId="122"/>
    <cellStyle name="Normal 7 2" xfId="123"/>
    <cellStyle name="Normal 8" xfId="124"/>
    <cellStyle name="Normal 8 2" xfId="125"/>
    <cellStyle name="Normal 8 3" xfId="126"/>
    <cellStyle name="Normal 9" xfId="127"/>
    <cellStyle name="Notas 2" xfId="128"/>
    <cellStyle name="Notas 2 2" xfId="211"/>
    <cellStyle name="Note" xfId="212"/>
    <cellStyle name="Output" xfId="213"/>
    <cellStyle name="Percent" xfId="129"/>
    <cellStyle name="Porcentaje" xfId="1" builtinId="5"/>
    <cellStyle name="Porcentaje 2" xfId="8"/>
    <cellStyle name="Porcentaje 2 2" xfId="130"/>
    <cellStyle name="Porcentaje 2 3" xfId="221"/>
    <cellStyle name="Porcentaje 3" xfId="131"/>
    <cellStyle name="Porcentaje 4" xfId="132"/>
    <cellStyle name="Porcentual 2" xfId="133"/>
    <cellStyle name="Porcentual 4" xfId="134"/>
    <cellStyle name="Result" xfId="135"/>
    <cellStyle name="Result2" xfId="136"/>
    <cellStyle name="Salida 2" xfId="137"/>
    <cellStyle name="Texto de advertencia 2" xfId="138"/>
    <cellStyle name="Texto explicativo 2" xfId="139"/>
    <cellStyle name="Title" xfId="214"/>
    <cellStyle name="Título 1 2" xfId="140"/>
    <cellStyle name="Título 2 2" xfId="141"/>
    <cellStyle name="Título 3 2" xfId="142"/>
    <cellStyle name="Título 4" xfId="143"/>
    <cellStyle name="Total 2" xfId="144"/>
    <cellStyle name="Total 2 2" xfId="215"/>
    <cellStyle name="Total 3" xfId="145"/>
    <cellStyle name="Warning Text" xfId="216"/>
  </cellStyles>
  <dxfs count="1063">
    <dxf>
      <border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border>
        <left style="double">
          <color indexed="64"/>
        </left>
        <right style="double">
          <color indexed="64"/>
        </right>
      </border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/>
      </font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double">
          <color auto="1"/>
        </left>
        <right style="double">
          <color auto="1"/>
        </right>
        <top style="double">
          <color auto="1"/>
        </top>
        <bottom style="double">
          <color auto="1"/>
        </bottom>
      </border>
    </dxf>
    <dxf>
      <font>
        <color theme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border>
        <left style="thin">
          <color auto="1"/>
        </left>
        <right style="thin">
          <color auto="1"/>
        </right>
        <top style="thin">
          <color auto="1"/>
        </top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alignment vertical="center" readingOrder="0"/>
    </dxf>
    <dxf>
      <alignment vertical="center" readingOrder="0"/>
    </dxf>
    <dxf>
      <numFmt numFmtId="190" formatCode="&quot;$&quot;#,##0.00"/>
    </dxf>
    <dxf>
      <numFmt numFmtId="190" formatCode="&quot;$&quot;#,##0.00"/>
    </dxf>
    <dxf>
      <alignment wrapText="1" indent="0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167" formatCode="_([$$-300A]\ * #,##0.00_);_([$$-300A]\ * \(#,##0.00\);_([$$-300A]\ * &quot;-&quot;??_);_(@_)"/>
    </dxf>
    <dxf>
      <numFmt numFmtId="167" formatCode="_([$$-300A]\ * #,##0.00_);_([$$-300A]\ * \(#,##0.00\);_([$$-300A]\ * &quot;-&quot;??_);_(@_)"/>
    </dxf>
    <dxf>
      <font>
        <sz val="14"/>
      </font>
    </dxf>
    <dxf>
      <numFmt numFmtId="190" formatCode="&quot;$&quot;#,##0.00"/>
    </dxf>
    <dxf>
      <numFmt numFmtId="190" formatCode="&quot;$&quot;#,##0.00"/>
    </dxf>
    <dxf>
      <numFmt numFmtId="190" formatCode="&quot;$&quot;#,##0.00"/>
    </dxf>
    <dxf>
      <alignment wrapText="1" readingOrder="0"/>
    </dxf>
    <dxf>
      <font>
        <sz val="16"/>
      </font>
    </dxf>
    <dxf>
      <alignment horizontal="center" readingOrder="0"/>
    </dxf>
    <dxf>
      <alignment vertical="center" readingOrder="0"/>
    </dxf>
    <dxf>
      <alignment wrapText="1" readingOrder="0"/>
    </dxf>
    <dxf>
      <font>
        <sz val="14"/>
      </font>
    </dxf>
    <dxf>
      <numFmt numFmtId="190" formatCode="&quot;$&quot;#,##0.00"/>
    </dxf>
    <dxf>
      <numFmt numFmtId="190" formatCode="&quot;$&quot;#,##0.00"/>
    </dxf>
    <dxf>
      <numFmt numFmtId="203" formatCode="_(&quot;$&quot;* #,##0.00_);_(&quot;$&quot;* \(#,##0.00\);_(&quot;$&quot;* &quot;-&quot;??_);_(@_)"/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numFmt numFmtId="194" formatCode="&quot;$&quot;\ #,##0.00"/>
    </dxf>
    <dxf>
      <numFmt numFmtId="194" formatCode="&quot;$&quot;\ #,##0.00"/>
    </dxf>
    <dxf>
      <font>
        <sz val="14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94" formatCode="&quot;$&quot;\ #,##0.00"/>
    </dxf>
    <dxf>
      <numFmt numFmtId="194" formatCode="&quot;$&quot;\ #,##0.00"/>
    </dxf>
    <dxf>
      <numFmt numFmtId="198" formatCode="0.0&quot;Km&quot;"/>
    </dxf>
    <dxf>
      <numFmt numFmtId="198" formatCode="0.0&quot;Km&quot;"/>
    </dxf>
    <dxf>
      <numFmt numFmtId="198" formatCode="0.0&quot;Km&quot;"/>
    </dxf>
    <dxf>
      <numFmt numFmtId="194" formatCode="&quot;$&quot;\ #,##0.00"/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border>
        <left style="double">
          <color indexed="64"/>
        </left>
        <right style="double">
          <color indexed="64"/>
        </right>
      </border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/>
      </font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double">
          <color auto="1"/>
        </left>
        <right style="double">
          <color auto="1"/>
        </right>
        <top style="double">
          <color auto="1"/>
        </top>
        <bottom style="double">
          <color auto="1"/>
        </bottom>
      </border>
    </dxf>
    <dxf>
      <font>
        <color theme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border>
        <left style="thin">
          <color auto="1"/>
        </left>
        <right style="thin">
          <color auto="1"/>
        </right>
        <top style="thin">
          <color auto="1"/>
        </top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alignment vertical="center" readingOrder="0"/>
    </dxf>
    <dxf>
      <alignment vertical="center" readingOrder="0"/>
    </dxf>
    <dxf>
      <numFmt numFmtId="190" formatCode="&quot;$&quot;#,##0.00"/>
    </dxf>
    <dxf>
      <numFmt numFmtId="190" formatCode="&quot;$&quot;#,##0.00"/>
    </dxf>
    <dxf>
      <alignment wrapText="1" indent="0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pivotCacheDefinition" Target="pivotCache/pivotCacheDefinition4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pivotCacheDefinition" Target="pivotCache/pivotCacheDefinition3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pivotCacheDefinition" Target="pivotCache/pivotCacheDefinition1.xml"/><Relationship Id="rId35" Type="http://schemas.openxmlformats.org/officeDocument/2006/relationships/theme" Target="theme/them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EC" sz="1400"/>
              <a:t>PROYECTO: BACHEO Y RECAPEO DE LAS VIAS MACARA SAUCILLO Y CELICA POZUL PINDAL</a:t>
            </a:r>
          </a:p>
        </c:rich>
      </c:tx>
      <c:overlay val="0"/>
    </c:title>
    <c:autoTitleDeleted val="0"/>
    <c:view3D>
      <c:rotX val="2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flat">
              <a:bevelT w="152400" h="50800" prst="softRound"/>
              <a:bevelB w="152400" h="50800" prst="softRound"/>
            </a:sp3d>
          </c:spPr>
          <c:invertIfNegative val="0"/>
          <c:dPt>
            <c:idx val="4"/>
            <c:invertIfNegative val="0"/>
            <c:bubble3D val="0"/>
            <c:spPr>
              <a:solidFill>
                <a:srgbClr val="FF0000"/>
              </a:solidFill>
              <a:scene3d>
                <a:camera prst="orthographicFront"/>
                <a:lightRig rig="threePt" dir="t"/>
              </a:scene3d>
              <a:sp3d prstMaterial="flat">
                <a:bevelT w="152400" h="50800" prst="softRound"/>
                <a:bevelB w="152400" h="50800" prst="softRound"/>
              </a:sp3d>
            </c:spPr>
          </c:dPt>
          <c:dLbls>
            <c:dLbl>
              <c:idx val="0"/>
              <c:layout>
                <c:manualLayout>
                  <c:x val="1.0251904634361382E-2"/>
                  <c:y val="-2.9366896381523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2302285561233658E-2"/>
                  <c:y val="-3.7376049940120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251904634361382E-2"/>
                  <c:y val="-2.9366896381523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1.8688024970060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'macara y pindal'!$C$21:$C$25</c:f>
              <c:strCache>
                <c:ptCount val="5"/>
                <c:pt idx="0">
                  <c:v>MONTO EJECUTADO</c:v>
                </c:pt>
                <c:pt idx="1">
                  <c:v>MONTO DEL CONVENIO (-)</c:v>
                </c:pt>
                <c:pt idx="2">
                  <c:v>ADENDA AL CONVENIO</c:v>
                </c:pt>
                <c:pt idx="4">
                  <c:v>SALDO (EXCEDENTE DE OBRA FINAL)</c:v>
                </c:pt>
              </c:strCache>
            </c:strRef>
          </c:cat>
          <c:val>
            <c:numRef>
              <c:f>'macara y pindal'!$D$21:$D$25</c:f>
              <c:numCache>
                <c:formatCode>"$"#,##0.00</c:formatCode>
                <c:ptCount val="5"/>
                <c:pt idx="0">
                  <c:v>1474222.2599999998</c:v>
                </c:pt>
                <c:pt idx="1">
                  <c:v>619333.03</c:v>
                </c:pt>
                <c:pt idx="2">
                  <c:v>120000</c:v>
                </c:pt>
                <c:pt idx="4" formatCode="&quot;$&quot;\ #,##0.00">
                  <c:v>734889.22999999975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gapDepth val="7"/>
        <c:shape val="box"/>
        <c:axId val="189141760"/>
        <c:axId val="189143680"/>
        <c:axId val="0"/>
      </c:bar3DChart>
      <c:catAx>
        <c:axId val="189141760"/>
        <c:scaling>
          <c:orientation val="minMax"/>
        </c:scaling>
        <c:delete val="0"/>
        <c:axPos val="b"/>
        <c:majorTickMark val="none"/>
        <c:minorTickMark val="none"/>
        <c:tickLblPos val="nextTo"/>
        <c:crossAx val="189143680"/>
        <c:crosses val="autoZero"/>
        <c:auto val="1"/>
        <c:lblAlgn val="ctr"/>
        <c:lblOffset val="100"/>
        <c:noMultiLvlLbl val="0"/>
      </c:catAx>
      <c:valAx>
        <c:axId val="189143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INVERSION</a:t>
                </a:r>
              </a:p>
            </c:rich>
          </c:tx>
          <c:overlay val="0"/>
        </c:title>
        <c:numFmt formatCode="&quot;$&quot;#,##0.00" sourceLinked="1"/>
        <c:majorTickMark val="none"/>
        <c:minorTickMark val="none"/>
        <c:tickLblPos val="nextTo"/>
        <c:crossAx val="18914176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[resumen planillas DICIEMBRE 2014JRCORR.xlsx]inversion por cantones!Tabla dinámica3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INVERSION POR CANTONES</a:t>
            </a:r>
          </a:p>
        </c:rich>
      </c:tx>
      <c:overlay val="0"/>
    </c:title>
    <c:autoTitleDeleted val="0"/>
    <c:pivotFmts>
      <c:pivotFmt>
        <c:idx val="0"/>
        <c:marker>
          <c:symbol val="none"/>
        </c:marker>
        <c:dLbl>
          <c:idx val="0"/>
          <c:spPr/>
          <c:txPr>
            <a:bodyPr rot="-5400000" vert="horz"/>
            <a:lstStyle/>
            <a:p>
              <a:pPr>
                <a:defRPr sz="1400"/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dLbl>
          <c:idx val="0"/>
          <c:layout>
            <c:manualLayout>
              <c:x val="3.6307055918964938E-3"/>
              <c:y val="0.22077821264830066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dLbl>
          <c:idx val="0"/>
          <c:layout>
            <c:manualLayout>
              <c:x val="0"/>
              <c:y val="0.2317078271358403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1.2102351972988312E-3"/>
              <c:y val="0.20329082946823726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1.0892117813644178E-2"/>
              <c:y val="0.34537581780625254"/>
            </c:manualLayout>
          </c:layout>
          <c:spPr/>
          <c:txPr>
            <a:bodyPr rot="-5400000" vert="horz"/>
            <a:lstStyle/>
            <a:p>
              <a:pPr>
                <a:defRPr sz="2000"/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1.2102353126271282E-3"/>
              <c:y val="0.30821512854861777"/>
            </c:manualLayout>
          </c:layout>
          <c:spPr/>
          <c:txPr>
            <a:bodyPr rot="-5400000" vert="horz"/>
            <a:lstStyle/>
            <a:p>
              <a:pPr>
                <a:defRPr sz="2000"/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0"/>
              <c:y val="0.37597873837136353"/>
            </c:manualLayout>
          </c:layout>
          <c:spPr/>
          <c:txPr>
            <a:bodyPr rot="-5400000" vert="horz"/>
            <a:lstStyle/>
            <a:p>
              <a:pPr>
                <a:defRPr sz="2000"/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-7.2614118757627702E-3"/>
              <c:y val="0.33226028042120498"/>
            </c:manualLayout>
          </c:layout>
          <c:spPr/>
          <c:txPr>
            <a:bodyPr rot="-5400000" vert="horz"/>
            <a:lstStyle/>
            <a:p>
              <a:pPr>
                <a:defRPr sz="2000"/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view3D>
      <c:rotX val="2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'inversion por cantones'!$B$3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0892117813644178E-2"/>
                  <c:y val="0.34537581780625254"/>
                </c:manualLayout>
              </c:layout>
              <c:spPr/>
              <c:txPr>
                <a:bodyPr rot="-5400000" vert="horz"/>
                <a:lstStyle/>
                <a:p>
                  <a:pPr>
                    <a:defRPr sz="2000"/>
                  </a:pPr>
                  <a:endParaRPr lang="es-EC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2102353126271282E-3"/>
                  <c:y val="0.30821512854861777"/>
                </c:manualLayout>
              </c:layout>
              <c:spPr/>
              <c:txPr>
                <a:bodyPr rot="-5400000" vert="horz"/>
                <a:lstStyle/>
                <a:p>
                  <a:pPr>
                    <a:defRPr sz="2000"/>
                  </a:pPr>
                  <a:endParaRPr lang="es-EC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0.37597873837136353"/>
                </c:manualLayout>
              </c:layout>
              <c:spPr/>
              <c:txPr>
                <a:bodyPr rot="-5400000" vert="horz"/>
                <a:lstStyle/>
                <a:p>
                  <a:pPr>
                    <a:defRPr sz="2000"/>
                  </a:pPr>
                  <a:endParaRPr lang="es-EC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2614118757627702E-3"/>
                  <c:y val="0.33226028042120498"/>
                </c:manualLayout>
              </c:layout>
              <c:spPr/>
              <c:txPr>
                <a:bodyPr rot="-5400000" vert="horz"/>
                <a:lstStyle/>
                <a:p>
                  <a:pPr>
                    <a:defRPr sz="2000"/>
                  </a:pPr>
                  <a:endParaRPr lang="es-EC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/>
            <c:txPr>
              <a:bodyPr rot="-5400000" vert="horz"/>
              <a:lstStyle/>
              <a:p>
                <a:pPr>
                  <a:defRPr sz="1400"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'inversion por cantones'!$A$4:$A$8</c:f>
              <c:strCache>
                <c:ptCount val="4"/>
                <c:pt idx="0">
                  <c:v>ZONA1</c:v>
                </c:pt>
                <c:pt idx="1">
                  <c:v>ZONA2</c:v>
                </c:pt>
                <c:pt idx="2">
                  <c:v>ZONA3</c:v>
                </c:pt>
                <c:pt idx="3">
                  <c:v>ZONA4</c:v>
                </c:pt>
              </c:strCache>
            </c:strRef>
          </c:cat>
          <c:val>
            <c:numRef>
              <c:f>'inversion por cantones'!$B$4:$B$8</c:f>
              <c:numCache>
                <c:formatCode>"$"\ #,##0.00</c:formatCode>
                <c:ptCount val="4"/>
                <c:pt idx="0">
                  <c:v>1310149.1199999996</c:v>
                </c:pt>
                <c:pt idx="1">
                  <c:v>1134777.3499999999</c:v>
                </c:pt>
                <c:pt idx="2">
                  <c:v>1389440.1499999994</c:v>
                </c:pt>
                <c:pt idx="3">
                  <c:v>918194.38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0"/>
        <c:shape val="cylinder"/>
        <c:axId val="148312064"/>
        <c:axId val="148313600"/>
        <c:axId val="0"/>
      </c:bar3DChart>
      <c:catAx>
        <c:axId val="148312064"/>
        <c:scaling>
          <c:orientation val="minMax"/>
        </c:scaling>
        <c:delete val="0"/>
        <c:axPos val="b"/>
        <c:majorTickMark val="none"/>
        <c:minorTickMark val="none"/>
        <c:tickLblPos val="nextTo"/>
        <c:crossAx val="148313600"/>
        <c:crosses val="autoZero"/>
        <c:auto val="1"/>
        <c:lblAlgn val="ctr"/>
        <c:lblOffset val="100"/>
        <c:noMultiLvlLbl val="0"/>
      </c:catAx>
      <c:valAx>
        <c:axId val="148313600"/>
        <c:scaling>
          <c:orientation val="minMax"/>
        </c:scaling>
        <c:delete val="1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INVERSION</a:t>
                </a:r>
              </a:p>
            </c:rich>
          </c:tx>
          <c:overlay val="0"/>
        </c:title>
        <c:numFmt formatCode="&quot;$&quot;\ #,##0.00" sourceLinked="1"/>
        <c:majorTickMark val="out"/>
        <c:minorTickMark val="none"/>
        <c:tickLblPos val="nextTo"/>
        <c:crossAx val="148312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[resumen planillas DICIEMBRE 2014JRCORR.xlsx]INVERSION POR PROGRAMA!Tabla dinámica1</c:name>
    <c:fmtId val="12"/>
  </c:pivotSource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OBRAS POR ADMINISTRACION DIRECTA CONTRATOS Y CONVENIOS</a:t>
            </a:r>
          </a:p>
          <a:p>
            <a:pPr>
              <a:defRPr sz="1200"/>
            </a:pPr>
            <a:r>
              <a:rPr lang="en-US" sz="1200"/>
              <a:t>kilometros ejecutados</a:t>
            </a:r>
          </a:p>
        </c:rich>
      </c:tx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scene3d>
            <a:camera prst="orthographicFront"/>
            <a:lightRig rig="threePt" dir="t"/>
          </a:scene3d>
          <a:sp3d prstMaterial="metal">
            <a:bevelT/>
            <a:bevelB/>
          </a:sp3d>
        </c:spPr>
        <c:marker>
          <c:symbol val="none"/>
        </c:marker>
      </c:pivotFmt>
      <c:pivotFmt>
        <c:idx val="4"/>
        <c:spPr>
          <a:scene3d>
            <a:camera prst="orthographicFront"/>
            <a:lightRig rig="threePt" dir="t"/>
          </a:scene3d>
          <a:sp3d prstMaterial="metal">
            <a:bevelT/>
            <a:bevelB/>
          </a:sp3d>
        </c:spPr>
        <c:marker>
          <c:symbol val="none"/>
        </c:marker>
      </c:pivotFmt>
      <c:pivotFmt>
        <c:idx val="5"/>
        <c:spPr>
          <a:scene3d>
            <a:camera prst="orthographicFront"/>
            <a:lightRig rig="threePt" dir="t"/>
          </a:scene3d>
          <a:sp3d prstMaterial="flat">
            <a:bevelT/>
            <a:bevelB/>
          </a:sp3d>
        </c:spPr>
        <c:marker>
          <c:symbol val="none"/>
        </c:marker>
      </c:pivotFmt>
    </c:pivotFmts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'INVERSION POR PROGRAMA'!$B$15</c:f>
              <c:strCache>
                <c:ptCount val="1"/>
                <c:pt idx="0">
                  <c:v>Total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flat">
              <a:bevelT/>
              <a:bevelB/>
            </a:sp3d>
          </c:spPr>
          <c:invertIfNegative val="0"/>
          <c:cat>
            <c:strRef>
              <c:f>'INVERSION POR PROGRAMA'!$A$16:$A$19</c:f>
              <c:strCache>
                <c:ptCount val="3"/>
                <c:pt idx="0">
                  <c:v>ZONA2</c:v>
                </c:pt>
                <c:pt idx="1">
                  <c:v>ZONA4</c:v>
                </c:pt>
                <c:pt idx="2">
                  <c:v>ZONA4 - ST</c:v>
                </c:pt>
              </c:strCache>
            </c:strRef>
          </c:cat>
          <c:val>
            <c:numRef>
              <c:f>'INVERSION POR PROGRAMA'!$B$16:$B$19</c:f>
              <c:numCache>
                <c:formatCode>"$"#,##0.00</c:formatCode>
                <c:ptCount val="3"/>
                <c:pt idx="0">
                  <c:v>1090199.8799999999</c:v>
                </c:pt>
                <c:pt idx="1">
                  <c:v>118890</c:v>
                </c:pt>
                <c:pt idx="2">
                  <c:v>201551.69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8"/>
        <c:shape val="box"/>
        <c:axId val="118697984"/>
        <c:axId val="118699520"/>
        <c:axId val="0"/>
      </c:bar3DChart>
      <c:catAx>
        <c:axId val="118697984"/>
        <c:scaling>
          <c:orientation val="minMax"/>
        </c:scaling>
        <c:delete val="0"/>
        <c:axPos val="b"/>
        <c:majorTickMark val="none"/>
        <c:minorTickMark val="none"/>
        <c:tickLblPos val="nextTo"/>
        <c:crossAx val="118699520"/>
        <c:crosses val="autoZero"/>
        <c:auto val="1"/>
        <c:lblAlgn val="ctr"/>
        <c:lblOffset val="100"/>
        <c:noMultiLvlLbl val="0"/>
      </c:catAx>
      <c:valAx>
        <c:axId val="118699520"/>
        <c:scaling>
          <c:orientation val="minMax"/>
        </c:scaling>
        <c:delete val="1"/>
        <c:axPos val="l"/>
        <c:majorGridlines/>
        <c:numFmt formatCode="&quot;$&quot;#,##0.00" sourceLinked="1"/>
        <c:majorTickMark val="none"/>
        <c:minorTickMark val="none"/>
        <c:tickLblPos val="nextTo"/>
        <c:crossAx val="1186979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400"/>
            </a:pPr>
            <a:endParaRPr lang="es-EC"/>
          </a:p>
        </c:txPr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[resumen planillas DICIEMBRE 2014JRCORR.xlsx]INVERSION POR PROGRAMA!Tabla dinámica2</c:name>
    <c:fmtId val="11"/>
  </c:pivotSource>
  <c:chart>
    <c:autoTitleDeleted val="1"/>
    <c:pivotFmts>
      <c:pivotFmt>
        <c:idx val="0"/>
        <c:marker>
          <c:symbol val="none"/>
        </c:marker>
      </c:pivotFmt>
      <c:pivotFmt>
        <c:idx val="1"/>
        <c:spPr>
          <a:scene3d>
            <a:camera prst="orthographicFront"/>
            <a:lightRig rig="threePt" dir="t"/>
          </a:scene3d>
          <a:sp3d>
            <a:bevelT prst="angle"/>
          </a:sp3d>
        </c:spPr>
        <c:marker>
          <c:symbol val="none"/>
        </c:marker>
        <c:dLbl>
          <c:idx val="0"/>
          <c:delete val="1"/>
        </c:dLbl>
      </c:pivotFmt>
      <c:pivotFmt>
        <c:idx val="2"/>
        <c:spPr>
          <a:scene3d>
            <a:camera prst="orthographicFront"/>
            <a:lightRig rig="threePt" dir="t"/>
          </a:scene3d>
          <a:sp3d>
            <a:bevelT prst="angle"/>
          </a:sp3d>
        </c:spPr>
        <c:marker>
          <c:symbol val="none"/>
        </c:marker>
      </c:pivotFmt>
      <c:pivotFmt>
        <c:idx val="3"/>
        <c:spPr>
          <a:scene3d>
            <a:camera prst="orthographicFront"/>
            <a:lightRig rig="threePt" dir="t"/>
          </a:scene3d>
          <a:sp3d>
            <a:bevelT prst="angle"/>
          </a:sp3d>
        </c:spPr>
        <c:marker>
          <c:symbol val="none"/>
        </c:marker>
      </c:pivotFmt>
      <c:pivotFmt>
        <c:idx val="4"/>
        <c:spPr>
          <a:scene3d>
            <a:camera prst="orthographicFront"/>
            <a:lightRig rig="threePt" dir="t"/>
          </a:scene3d>
          <a:sp3d>
            <a:bevelT prst="angle"/>
          </a:sp3d>
        </c:spPr>
        <c:marker>
          <c:symbol val="none"/>
        </c:marker>
      </c:pivotFmt>
      <c:pivotFmt>
        <c:idx val="5"/>
        <c:marker>
          <c:symbol val="none"/>
        </c:marker>
        <c:dLbl>
          <c:idx val="0"/>
          <c:delete val="1"/>
        </c:dLbl>
      </c:pivotFmt>
      <c:pivotFmt>
        <c:idx val="6"/>
        <c:dLbl>
          <c:idx val="0"/>
          <c:layout>
            <c:manualLayout>
              <c:x val="1.4340805285417514E-2"/>
              <c:y val="-6.5622182790149433E-2"/>
            </c:manualLayout>
          </c:layout>
          <c:spPr/>
          <c:txPr>
            <a:bodyPr/>
            <a:lstStyle/>
            <a:p>
              <a:pPr>
                <a:defRPr sz="1100"/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1.0243432346726795E-2"/>
              <c:y val="-8.8782953186672703E-2"/>
            </c:manualLayout>
          </c:layout>
          <c:spPr/>
          <c:txPr>
            <a:bodyPr/>
            <a:lstStyle/>
            <a:p>
              <a:pPr>
                <a:defRPr sz="1100"/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4.0973729386907182E-3"/>
              <c:y val="-5.7901925991308327E-2"/>
            </c:manualLayout>
          </c:layout>
          <c:spPr/>
          <c:txPr>
            <a:bodyPr/>
            <a:lstStyle/>
            <a:p>
              <a:pPr>
                <a:defRPr sz="1100"/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7.591319690556291E-3"/>
              <c:y val="-4.0806525445385551E-2"/>
            </c:manualLayout>
          </c:layout>
          <c:spPr/>
          <c:txPr>
            <a:bodyPr/>
            <a:lstStyle/>
            <a:p>
              <a:pPr>
                <a:defRPr sz="1200"/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2.8847014824113906E-2"/>
              <c:y val="-2.9924785326616073E-2"/>
            </c:manualLayout>
          </c:layout>
          <c:spPr/>
          <c:txPr>
            <a:bodyPr/>
            <a:lstStyle/>
            <a:p>
              <a:pPr>
                <a:defRPr sz="1200"/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2.2773959071668872E-2"/>
              <c:y val="-3.2645220356308444E-2"/>
            </c:manualLayout>
          </c:layout>
          <c:spPr/>
          <c:txPr>
            <a:bodyPr/>
            <a:lstStyle/>
            <a:p>
              <a:pPr>
                <a:defRPr sz="1200"/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1.8219167257335099E-2"/>
              <c:y val="-3.536565538600081E-2"/>
            </c:manualLayout>
          </c:layout>
          <c:spPr/>
          <c:txPr>
            <a:bodyPr/>
            <a:lstStyle/>
            <a:p>
              <a:pPr>
                <a:defRPr sz="1200"/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7.591319690556291E-3"/>
              <c:y val="-3.2645220356308444E-2"/>
            </c:manualLayout>
          </c:layout>
          <c:spPr/>
          <c:txPr>
            <a:bodyPr/>
            <a:lstStyle/>
            <a:p>
              <a:pPr>
                <a:defRPr sz="1100"/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1.3664375443001323E-2"/>
              <c:y val="-2.1763480237538962E-2"/>
            </c:manualLayout>
          </c:layout>
          <c:spPr/>
          <c:txPr>
            <a:bodyPr/>
            <a:lstStyle/>
            <a:p>
              <a:pPr>
                <a:defRPr sz="1200"/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4.2511390267115229E-2"/>
              <c:y val="-5.4408700593847406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4.2511390267115229E-2"/>
              <c:y val="-2.720435029692370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3.0365278762225164E-2"/>
              <c:y val="2.720435029692370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2.8899861276331436E-2"/>
              <c:y val="-3.8086090415693184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5.5047354812059876E-3"/>
              <c:y val="-3.8086090415693184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1.7890390313919459E-2"/>
              <c:y val="-3.536565538600081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1.3761838703014969E-2"/>
              <c:y val="-2.9924785326616073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5.5047354812059876E-3"/>
              <c:y val="-3.8086090415693184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1.1009470962411875E-2"/>
              <c:y val="-3.264522035630834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</c:pivotFmts>
    <c:view3D>
      <c:rotX val="15"/>
      <c:rotY val="2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'INVERSION POR PROGRAMA'!$B$39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strRef>
              <c:f>'INVERSION POR PROGRAMA'!$A$40:$A$47</c:f>
              <c:strCache>
                <c:ptCount val="7"/>
                <c:pt idx="0">
                  <c:v>ASFALTO</c:v>
                </c:pt>
                <c:pt idx="1">
                  <c:v>MANTENIMIENTO</c:v>
                </c:pt>
                <c:pt idx="2">
                  <c:v>MEJORAMIENTO</c:v>
                </c:pt>
                <c:pt idx="3">
                  <c:v>PUENTES</c:v>
                </c:pt>
                <c:pt idx="4">
                  <c:v>HORMIGONES</c:v>
                </c:pt>
                <c:pt idx="5">
                  <c:v>SEÑALIZACION</c:v>
                </c:pt>
                <c:pt idx="6">
                  <c:v>ALCANTARILLA</c:v>
                </c:pt>
              </c:strCache>
            </c:strRef>
          </c:cat>
          <c:val>
            <c:numRef>
              <c:f>'INVERSION POR PROGRAMA'!$B$40:$B$47</c:f>
              <c:numCache>
                <c:formatCode>"$"#,##0.00</c:formatCode>
                <c:ptCount val="7"/>
                <c:pt idx="0">
                  <c:v>1410641.5699999998</c:v>
                </c:pt>
                <c:pt idx="1">
                  <c:v>1733772.5599999996</c:v>
                </c:pt>
                <c:pt idx="2">
                  <c:v>2669407.1800000011</c:v>
                </c:pt>
                <c:pt idx="3">
                  <c:v>10000</c:v>
                </c:pt>
                <c:pt idx="4">
                  <c:v>1044251.8400000001</c:v>
                </c:pt>
                <c:pt idx="5">
                  <c:v>225115.65000000002</c:v>
                </c:pt>
                <c:pt idx="6">
                  <c:v>23653.569999999996</c:v>
                </c:pt>
              </c:numCache>
            </c:numRef>
          </c:val>
          <c:shape val="cylinder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0"/>
        <c:shape val="box"/>
        <c:axId val="151609728"/>
        <c:axId val="151611264"/>
        <c:axId val="0"/>
      </c:bar3DChart>
      <c:catAx>
        <c:axId val="151609728"/>
        <c:scaling>
          <c:orientation val="minMax"/>
        </c:scaling>
        <c:delete val="0"/>
        <c:axPos val="b"/>
        <c:majorTickMark val="none"/>
        <c:minorTickMark val="none"/>
        <c:tickLblPos val="nextTo"/>
        <c:crossAx val="151611264"/>
        <c:crosses val="autoZero"/>
        <c:auto val="1"/>
        <c:lblAlgn val="ctr"/>
        <c:lblOffset val="100"/>
        <c:noMultiLvlLbl val="0"/>
      </c:catAx>
      <c:valAx>
        <c:axId val="151611264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extTo"/>
        <c:crossAx val="151609728"/>
        <c:crosses val="autoZero"/>
        <c:crossBetween val="between"/>
        <c:minorUnit val="80000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400"/>
            </a:pPr>
            <a:endParaRPr lang="es-EC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926269749629088"/>
          <c:y val="2.3220950467780235E-2"/>
          <c:w val="0.84073730250370915"/>
          <c:h val="0.69956419340702336"/>
        </c:manualLayout>
      </c:layout>
      <c:bar3DChart>
        <c:barDir val="col"/>
        <c:grouping val="stacked"/>
        <c:varyColors val="0"/>
        <c:ser>
          <c:idx val="0"/>
          <c:order val="0"/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'S-T'!$N$10:$V$11</c:f>
              <c:multiLvlStrCache>
                <c:ptCount val="8"/>
                <c:lvl>
                  <c:pt idx="0">
                    <c:v>1 194 138.93</c:v>
                  </c:pt>
                  <c:pt idx="1">
                    <c:v>0.00</c:v>
                  </c:pt>
                  <c:pt idx="2">
                    <c:v>1 194 138.93</c:v>
                  </c:pt>
                  <c:pt idx="3">
                    <c:v>441528,46</c:v>
                  </c:pt>
                  <c:pt idx="4">
                    <c:v>752 610.47</c:v>
                  </c:pt>
                  <c:pt idx="5">
                    <c:v>301 336.98</c:v>
                  </c:pt>
                  <c:pt idx="6">
                    <c:v>301 356.10</c:v>
                  </c:pt>
                  <c:pt idx="7">
                    <c:v>892 801.95</c:v>
                  </c:pt>
                </c:lvl>
                <c:lvl>
                  <c:pt idx="0">
                    <c:v>PRESUP</c:v>
                  </c:pt>
                  <c:pt idx="1">
                    <c:v>REFOR</c:v>
                  </c:pt>
                  <c:pt idx="2">
                    <c:v>CODIFIC</c:v>
                  </c:pt>
                  <c:pt idx="3">
                    <c:v>COMPROM</c:v>
                  </c:pt>
                  <c:pt idx="4">
                    <c:v>SALDO POR COMP</c:v>
                  </c:pt>
                  <c:pt idx="5">
                    <c:v>DEVENG</c:v>
                  </c:pt>
                  <c:pt idx="6">
                    <c:v>PAGADO</c:v>
                  </c:pt>
                  <c:pt idx="7">
                    <c:v>SALDO POR DEV</c:v>
                  </c:pt>
                </c:lvl>
              </c:multiLvlStrCache>
            </c:multiLvlStrRef>
          </c:cat>
          <c:val>
            <c:numRef>
              <c:f>'S-T'!$N$12:$V$12</c:f>
              <c:numCache>
                <c:formatCode>#,##0.00</c:formatCode>
                <c:ptCount val="9"/>
                <c:pt idx="0">
                  <c:v>1194138.9300000002</c:v>
                </c:pt>
                <c:pt idx="1">
                  <c:v>0</c:v>
                </c:pt>
                <c:pt idx="2">
                  <c:v>1194138.9300000002</c:v>
                </c:pt>
                <c:pt idx="3">
                  <c:v>441528.45999999996</c:v>
                </c:pt>
                <c:pt idx="4">
                  <c:v>752610.4700000002</c:v>
                </c:pt>
                <c:pt idx="5">
                  <c:v>301336.98000000004</c:v>
                </c:pt>
                <c:pt idx="6">
                  <c:v>301356.10000000003</c:v>
                </c:pt>
                <c:pt idx="7">
                  <c:v>892801.95000000019</c:v>
                </c:pt>
              </c:numCache>
            </c:numRef>
          </c:val>
        </c:ser>
        <c:ser>
          <c:idx val="1"/>
          <c:order val="1"/>
          <c:tx>
            <c:strRef>
              <c:f>'S-T'!$N$12</c:f>
              <c:strCache>
                <c:ptCount val="1"/>
                <c:pt idx="0">
                  <c:v>1 194 138.93</c:v>
                </c:pt>
              </c:strCache>
            </c:strRef>
          </c:tx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ser>
          <c:idx val="2"/>
          <c:order val="2"/>
          <c:tx>
            <c:strRef>
              <c:f>'S-T'!$P$12</c:f>
              <c:strCache>
                <c:ptCount val="1"/>
                <c:pt idx="0">
                  <c:v>1 194 138.93</c:v>
                </c:pt>
              </c:strCache>
            </c:strRef>
          </c:tx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ser>
          <c:idx val="3"/>
          <c:order val="3"/>
          <c:tx>
            <c:strRef>
              <c:f>'S-T'!$Q$12</c:f>
              <c:strCache>
                <c:ptCount val="1"/>
                <c:pt idx="0">
                  <c:v>441 528.46</c:v>
                </c:pt>
              </c:strCache>
            </c:strRef>
          </c:tx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5859968"/>
        <c:axId val="45861504"/>
        <c:axId val="0"/>
      </c:bar3DChart>
      <c:catAx>
        <c:axId val="45859968"/>
        <c:scaling>
          <c:orientation val="minMax"/>
        </c:scaling>
        <c:delete val="0"/>
        <c:axPos val="b"/>
        <c:numFmt formatCode="#\,##0.00" sourceLinked="1"/>
        <c:majorTickMark val="out"/>
        <c:minorTickMark val="none"/>
        <c:tickLblPos val="nextTo"/>
        <c:crossAx val="45861504"/>
        <c:crosses val="autoZero"/>
        <c:auto val="1"/>
        <c:lblAlgn val="ctr"/>
        <c:lblOffset val="100"/>
        <c:noMultiLvlLbl val="0"/>
      </c:catAx>
      <c:valAx>
        <c:axId val="45861504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4585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EJECUCION DEL PRESUPUESTO DE GASTOS ENE-JULIO 09 2013</a:t>
            </a:r>
          </a:p>
        </c:rich>
      </c:tx>
      <c:layout>
        <c:manualLayout>
          <c:xMode val="edge"/>
          <c:yMode val="edge"/>
          <c:x val="0.19243421052631579"/>
          <c:y val="9.23379314427801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986842105263158"/>
          <c:y val="0.3850687622789784"/>
          <c:w val="0.26480263157894735"/>
          <c:h val="0.31630648330058941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</c:dLbls>
          <c:cat>
            <c:numRef>
              <c:f>(Hoja4!#¡REF!,Hoja4!#¡REF!,Hoja4!#¡REF!,Hoja4!#¡REF!)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(VIALSUR!$C$119,VIALSUR!$I$119,VIALSUR!$J$119,VIALSUR!$M$119)</c:f>
              <c:numCache>
                <c:formatCode>#,##0.00</c:formatCode>
                <c:ptCount val="4"/>
                <c:pt idx="0">
                  <c:v>6000000</c:v>
                </c:pt>
                <c:pt idx="1">
                  <c:v>3582148.0349388886</c:v>
                </c:pt>
                <c:pt idx="2">
                  <c:v>3477556.9699999997</c:v>
                </c:pt>
                <c:pt idx="3">
                  <c:v>548518.40000000002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7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7796052631578949"/>
          <c:y val="0.46561890290029534"/>
          <c:w val="0.98684210526315796"/>
          <c:h val="0.6247545372617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explosion val="25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VIALSUR!$C$10:$J$10</c:f>
              <c:strCache>
                <c:ptCount val="8"/>
                <c:pt idx="0">
                  <c:v>PRESUPUES</c:v>
                </c:pt>
                <c:pt idx="1">
                  <c:v>REFORMAS</c:v>
                </c:pt>
                <c:pt idx="2">
                  <c:v>TOTAL</c:v>
                </c:pt>
                <c:pt idx="3">
                  <c:v>COMPRO</c:v>
                </c:pt>
                <c:pt idx="4">
                  <c:v>SALDO</c:v>
                </c:pt>
                <c:pt idx="5">
                  <c:v>Presu</c:v>
                </c:pt>
                <c:pt idx="6">
                  <c:v>DEVENGADO</c:v>
                </c:pt>
                <c:pt idx="7">
                  <c:v>PAGADO</c:v>
                </c:pt>
              </c:strCache>
            </c:strRef>
          </c:cat>
          <c:val>
            <c:numRef>
              <c:f>VIALSUR!$C$119:$J$119</c:f>
              <c:numCache>
                <c:formatCode>#,##0.00</c:formatCode>
                <c:ptCount val="8"/>
                <c:pt idx="0">
                  <c:v>6000000</c:v>
                </c:pt>
                <c:pt idx="1">
                  <c:v>-1356629.96</c:v>
                </c:pt>
                <c:pt idx="2">
                  <c:v>7356629.96</c:v>
                </c:pt>
                <c:pt idx="3" formatCode="General">
                  <c:v>3915745.35</c:v>
                </c:pt>
                <c:pt idx="4">
                  <c:v>3440884.61</c:v>
                </c:pt>
                <c:pt idx="5">
                  <c:v>53.227433910513014</c:v>
                </c:pt>
                <c:pt idx="6">
                  <c:v>3582148.0349388886</c:v>
                </c:pt>
                <c:pt idx="7">
                  <c:v>3477556.9699999997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PROYECTO : ASFALTADO A NIVEL DE DTSB DE LA VIA SARAGURO TENTA 6.17 KM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1"/>
        <c:ser>
          <c:idx val="0"/>
          <c:order val="0"/>
          <c:invertIfNegative val="0"/>
          <c:dPt>
            <c:idx val="2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6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Lbls>
            <c:dLbl>
              <c:idx val="0"/>
              <c:layout>
                <c:manualLayout>
                  <c:x val="2.0284911269017588E-4"/>
                  <c:y val="-0.42180422495903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4.9212753701296241E-3"/>
                  <c:y val="-0.34797390550336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3.2490138901739504E-2"/>
                  <c:y val="-0.16235920383502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'SARAGURO TENTA'!$C$15:$C$26</c:f>
              <c:strCache>
                <c:ptCount val="12"/>
                <c:pt idx="0">
                  <c:v> Contrato Original</c:v>
                </c:pt>
                <c:pt idx="2">
                  <c:v>Planillado Octubre</c:v>
                </c:pt>
                <c:pt idx="3">
                  <c:v>Mat. Mejoram. (600 m) POR EJECUTAR</c:v>
                </c:pt>
                <c:pt idx="4">
                  <c:v>Material Base(3.87 km) POR EJECUTAR</c:v>
                </c:pt>
                <c:pt idx="5">
                  <c:v>DTSB (6.17 KM) POR EJECUTAR</c:v>
                </c:pt>
                <c:pt idx="7">
                  <c:v>Señalización</c:v>
                </c:pt>
                <c:pt idx="8">
                  <c:v>CUNETAS</c:v>
                </c:pt>
                <c:pt idx="10">
                  <c:v>SUBTOTAL</c:v>
                </c:pt>
                <c:pt idx="11">
                  <c:v>SALDO</c:v>
                </c:pt>
              </c:strCache>
            </c:strRef>
          </c:cat>
          <c:val>
            <c:numRef>
              <c:f>'SARAGURO TENTA'!$D$15:$D$26</c:f>
              <c:numCache>
                <c:formatCode>General</c:formatCode>
                <c:ptCount val="12"/>
                <c:pt idx="0" formatCode="&quot;$&quot;\ #,##0.00">
                  <c:v>1707368.9000000001</c:v>
                </c:pt>
                <c:pt idx="1">
                  <c:v>0</c:v>
                </c:pt>
                <c:pt idx="2" formatCode="&quot;$&quot;\ #,##0.00">
                  <c:v>456264.82</c:v>
                </c:pt>
                <c:pt idx="3" formatCode="&quot;$&quot;\ #,##0.00">
                  <c:v>31292.351999999999</c:v>
                </c:pt>
                <c:pt idx="4" formatCode="&quot;$&quot;\ #,##0.00">
                  <c:v>235994.14800000004</c:v>
                </c:pt>
                <c:pt idx="5" formatCode="&quot;$&quot;\ #,##0.00">
                  <c:v>197242.56</c:v>
                </c:pt>
                <c:pt idx="7" formatCode="&quot;$&quot;\ #,##0.00">
                  <c:v>183550.72727999999</c:v>
                </c:pt>
                <c:pt idx="8" formatCode="&quot;$&quot;\ #,##0.00">
                  <c:v>267291.90272000001</c:v>
                </c:pt>
                <c:pt idx="10" formatCode="&quot;$&quot;\ #,##0.00">
                  <c:v>1371636.5100000002</c:v>
                </c:pt>
                <c:pt idx="11" formatCode="&quot;$&quot;\ #,##0.00">
                  <c:v>335732.3899999999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gapDepth val="43"/>
        <c:shape val="box"/>
        <c:axId val="94674304"/>
        <c:axId val="94688384"/>
        <c:axId val="0"/>
      </c:bar3DChart>
      <c:catAx>
        <c:axId val="94674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94688384"/>
        <c:crosses val="autoZero"/>
        <c:auto val="1"/>
        <c:lblAlgn val="ctr"/>
        <c:lblOffset val="100"/>
        <c:noMultiLvlLbl val="0"/>
      </c:catAx>
      <c:valAx>
        <c:axId val="94688384"/>
        <c:scaling>
          <c:orientation val="minMax"/>
        </c:scaling>
        <c:delete val="1"/>
        <c:axPos val="l"/>
        <c:majorGridlines/>
        <c:numFmt formatCode="&quot;$&quot;\ #,##0.00" sourceLinked="1"/>
        <c:majorTickMark val="none"/>
        <c:minorTickMark val="none"/>
        <c:tickLblPos val="nextTo"/>
        <c:crossAx val="94674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/>
            </a:pPr>
            <a:endParaRPr lang="es-EC"/>
          </a:p>
        </c:txPr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47367346708141567"/>
          <c:y val="6.4814814814814811E-2"/>
          <c:w val="0.46456014849596977"/>
          <c:h val="0.86743073782443858"/>
        </c:manualLayout>
      </c:layout>
      <c:bar3DChart>
        <c:barDir val="bar"/>
        <c:grouping val="clustered"/>
        <c:varyColors val="1"/>
        <c:ser>
          <c:idx val="0"/>
          <c:order val="0"/>
          <c:invertIfNegative val="0"/>
          <c:dLbls>
            <c:dLbl>
              <c:idx val="0"/>
              <c:layout>
                <c:manualLayout>
                  <c:x val="-0.2733964248159832"/>
                  <c:y val="-3.61532899493853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26813880126182965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24360322467577994"/>
                  <c:y val="-3.61532899493860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1857693655800911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2.979320014020329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EMBLEMATICOS!$B$2:$B$6</c:f>
              <c:strCache>
                <c:ptCount val="5"/>
                <c:pt idx="0">
                  <c:v>TERMINACION PROYECTO VIAL VILCABAMBA-LINDEROS-MOYOCOCHA obras de arte y cunetas L=12.26 km</c:v>
                </c:pt>
                <c:pt idx="1">
                  <c:v>REHABILITACION DE LA VIA Y CELICA - POZUL - PINDAL L= 27 KM. (CONVENIO GPL - VIALSUR.EP RECURSOS)</c:v>
                </c:pt>
                <c:pt idx="2">
                  <c:v>MEJORAMIENTO A NIVEL DE DOBLE TRATAMIENTO SUPERFICIAL BITUMINOSO DE LA VIA SARAGURO TENTA L= 6.17 KM</c:v>
                </c:pt>
                <c:pt idx="3">
                  <c:v>REHABILITACION DE LA VÍA MACARÁ - SAUCILLO
(CONVENIO GPL - VIALSUR.EP RECURSOS) L=42 KM.</c:v>
                </c:pt>
                <c:pt idx="4">
                  <c:v>TERMINACION DEL ASFALTADO DE LA VIA MALACATOS-YEE DE CEIBOPAMBA-TANQUE DE COLA L=4 KM</c:v>
                </c:pt>
              </c:strCache>
            </c:strRef>
          </c:cat>
          <c:val>
            <c:numRef>
              <c:f>EMBLEMATICOS!$C$2:$C$6</c:f>
              <c:numCache>
                <c:formatCode>_("$"* #,##0.00_);_("$"* \(#,##0.00\);_("$"* "-"??_);_(@_)</c:formatCode>
                <c:ptCount val="5"/>
                <c:pt idx="0">
                  <c:v>954535.4099999998</c:v>
                </c:pt>
                <c:pt idx="1">
                  <c:v>883751.8</c:v>
                </c:pt>
                <c:pt idx="2">
                  <c:v>723551.32000000007</c:v>
                </c:pt>
                <c:pt idx="3">
                  <c:v>590470.46</c:v>
                </c:pt>
                <c:pt idx="4" formatCode="&quot;$&quot;\ #,##0.00">
                  <c:v>250759.43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10"/>
        <c:gapDepth val="44"/>
        <c:shape val="box"/>
        <c:axId val="94743552"/>
        <c:axId val="95168384"/>
        <c:axId val="0"/>
      </c:bar3DChart>
      <c:catAx>
        <c:axId val="9474355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es-EC"/>
          </a:p>
        </c:txPr>
        <c:crossAx val="95168384"/>
        <c:crossesAt val="0"/>
        <c:auto val="1"/>
        <c:lblAlgn val="l"/>
        <c:lblOffset val="100"/>
        <c:noMultiLvlLbl val="0"/>
      </c:catAx>
      <c:valAx>
        <c:axId val="95168384"/>
        <c:scaling>
          <c:orientation val="minMax"/>
        </c:scaling>
        <c:delete val="1"/>
        <c:axPos val="b"/>
        <c:numFmt formatCode="_(&quot;$&quot;* #,##0.00_);_(&quot;$&quot;* \(#,##0.00\);_(&quot;$&quot;* &quot;-&quot;??_);_(@_)" sourceLinked="1"/>
        <c:majorTickMark val="none"/>
        <c:minorTickMark val="none"/>
        <c:tickLblPos val="nextTo"/>
        <c:crossAx val="94743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 horizontalDpi="300" verticalDpi="300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pivotSource>
    <c:name>[resumen planillas DICIEMBRE 2014JRCORR.xlsx]PROGRAMAS KM!Tabla dinámica1</c:name>
    <c:fmtId val="9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  <c:dLbl>
          <c:idx val="0"/>
          <c:delete val="1"/>
        </c:dLbl>
      </c:pivotFmt>
      <c:pivotFmt>
        <c:idx val="9"/>
        <c:dLbl>
          <c:idx val="0"/>
          <c:delete val="1"/>
        </c:dLbl>
      </c:pivotFmt>
      <c:pivotFmt>
        <c:idx val="10"/>
        <c:dLbl>
          <c:idx val="0"/>
          <c:delete val="1"/>
        </c:dLbl>
      </c:pivotFmt>
      <c:pivotFmt>
        <c:idx val="11"/>
        <c:dLbl>
          <c:idx val="0"/>
          <c:delete val="1"/>
        </c:dLbl>
      </c:pivotFmt>
      <c:pivotFmt>
        <c:idx val="12"/>
        <c:dLbl>
          <c:idx val="0"/>
          <c:delete val="1"/>
        </c:dLbl>
      </c:pivotFmt>
      <c:pivotFmt>
        <c:idx val="13"/>
        <c:dLbl>
          <c:idx val="0"/>
          <c:delete val="1"/>
        </c:dLbl>
      </c:pivotFmt>
      <c:pivotFmt>
        <c:idx val="14"/>
        <c:dLbl>
          <c:idx val="0"/>
          <c:delete val="1"/>
        </c:dLbl>
      </c:pivotFmt>
      <c:pivotFmt>
        <c:idx val="15"/>
        <c:dLbl>
          <c:idx val="0"/>
          <c:layout>
            <c:manualLayout>
              <c:x val="0.24340525739494648"/>
              <c:y val="1.1652684668443502E-2"/>
            </c:manualLayout>
          </c:layout>
          <c:showLegendKey val="0"/>
          <c:showVal val="1"/>
          <c:showCatName val="0"/>
          <c:showSerName val="1"/>
          <c:showPercent val="0"/>
          <c:showBubbleSize val="0"/>
        </c:dLbl>
      </c:pivotFmt>
      <c:pivotFmt>
        <c:idx val="16"/>
        <c:dLbl>
          <c:idx val="0"/>
          <c:showLegendKey val="0"/>
          <c:showVal val="1"/>
          <c:showCatName val="0"/>
          <c:showSerName val="1"/>
          <c:showPercent val="0"/>
          <c:showBubbleSize val="0"/>
          <c:separator>
</c:separator>
        </c:dLbl>
      </c:pivotFmt>
      <c:pivotFmt>
        <c:idx val="17"/>
        <c:dLbl>
          <c:idx val="0"/>
          <c:showLegendKey val="0"/>
          <c:showVal val="1"/>
          <c:showCatName val="0"/>
          <c:showSerName val="1"/>
          <c:showPercent val="0"/>
          <c:showBubbleSize val="0"/>
          <c:separator>
</c:separator>
        </c:dLbl>
      </c:pivotFmt>
      <c:pivotFmt>
        <c:idx val="18"/>
        <c:dLbl>
          <c:idx val="0"/>
          <c:showLegendKey val="0"/>
          <c:showVal val="1"/>
          <c:showCatName val="0"/>
          <c:showSerName val="1"/>
          <c:showPercent val="0"/>
          <c:showBubbleSize val="0"/>
          <c:separator>
</c:separator>
        </c:dLbl>
      </c:pivotFmt>
      <c:pivotFmt>
        <c:idx val="19"/>
        <c:dLbl>
          <c:idx val="0"/>
          <c:showLegendKey val="0"/>
          <c:showVal val="1"/>
          <c:showCatName val="0"/>
          <c:showSerName val="1"/>
          <c:showPercent val="0"/>
          <c:showBubbleSize val="0"/>
          <c:separator>
</c:separator>
        </c:dLbl>
      </c:pivotFmt>
      <c:pivotFmt>
        <c:idx val="20"/>
        <c:dLbl>
          <c:idx val="0"/>
          <c:layout>
            <c:manualLayout>
              <c:x val="-0.28201436718862766"/>
              <c:y val="2.0974832403198303E-2"/>
            </c:manualLayout>
          </c:layout>
          <c:showLegendKey val="0"/>
          <c:showVal val="1"/>
          <c:showCatName val="0"/>
          <c:showSerName val="1"/>
          <c:showPercent val="0"/>
          <c:showBubbleSize val="0"/>
          <c:separator>
</c:separator>
        </c:dLbl>
      </c:pivotFmt>
      <c:pivotFmt>
        <c:idx val="21"/>
        <c:dLbl>
          <c:idx val="0"/>
          <c:layout>
            <c:manualLayout>
              <c:x val="0.28213425237377954"/>
              <c:y val="2.3305369336887004E-2"/>
            </c:manualLayout>
          </c:layout>
          <c:showLegendKey val="0"/>
          <c:showVal val="1"/>
          <c:showCatName val="0"/>
          <c:showSerName val="1"/>
          <c:showPercent val="0"/>
          <c:showBubbleSize val="0"/>
          <c:separator>
</c:separator>
        </c:dLbl>
      </c:pivotFmt>
      <c:pivotFmt>
        <c:idx val="22"/>
        <c:dLbl>
          <c:idx val="0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delete val="1"/>
        </c:dLbl>
      </c:pivotFmt>
      <c:pivotFmt>
        <c:idx val="24"/>
        <c:dLbl>
          <c:idx val="0"/>
          <c:layout>
            <c:manualLayout>
              <c:x val="0.24340525739494648"/>
              <c:y val="1.1652684668443502E-2"/>
            </c:manualLayout>
          </c:layout>
          <c:showLegendKey val="0"/>
          <c:showVal val="1"/>
          <c:showCatName val="0"/>
          <c:showSerName val="1"/>
          <c:showPercent val="0"/>
          <c:showBubbleSize val="0"/>
        </c:dLbl>
      </c:pivotFmt>
      <c:pivotFmt>
        <c:idx val="25"/>
        <c:dLbl>
          <c:idx val="0"/>
          <c:delete val="1"/>
        </c:dLbl>
      </c:pivotFmt>
      <c:pivotFmt>
        <c:idx val="26"/>
        <c:dLbl>
          <c:idx val="0"/>
          <c:showLegendKey val="0"/>
          <c:showVal val="1"/>
          <c:showCatName val="0"/>
          <c:showSerName val="1"/>
          <c:showPercent val="0"/>
          <c:showBubbleSize val="0"/>
          <c:separator>
</c:separator>
        </c:dLbl>
      </c:pivotFmt>
      <c:pivotFmt>
        <c:idx val="27"/>
        <c:dLbl>
          <c:idx val="0"/>
          <c:delete val="1"/>
        </c:dLbl>
      </c:pivotFmt>
      <c:pivotFmt>
        <c:idx val="28"/>
        <c:dLbl>
          <c:idx val="0"/>
          <c:showLegendKey val="0"/>
          <c:showVal val="1"/>
          <c:showCatName val="0"/>
          <c:showSerName val="1"/>
          <c:showPercent val="0"/>
          <c:showBubbleSize val="0"/>
          <c:separator>
</c:separator>
        </c:dLbl>
      </c:pivotFmt>
      <c:pivotFmt>
        <c:idx val="29"/>
        <c:dLbl>
          <c:idx val="0"/>
          <c:delete val="1"/>
        </c:dLbl>
      </c:pivotFmt>
      <c:pivotFmt>
        <c:idx val="30"/>
        <c:dLbl>
          <c:idx val="0"/>
          <c:showLegendKey val="0"/>
          <c:showVal val="1"/>
          <c:showCatName val="0"/>
          <c:showSerName val="1"/>
          <c:showPercent val="0"/>
          <c:showBubbleSize val="0"/>
          <c:separator>
</c:separator>
        </c:dLbl>
      </c:pivotFmt>
      <c:pivotFmt>
        <c:idx val="31"/>
        <c:dLbl>
          <c:idx val="0"/>
          <c:delete val="1"/>
        </c:dLbl>
      </c:pivotFmt>
      <c:pivotFmt>
        <c:idx val="32"/>
        <c:dLbl>
          <c:idx val="0"/>
          <c:showLegendKey val="0"/>
          <c:showVal val="1"/>
          <c:showCatName val="0"/>
          <c:showSerName val="1"/>
          <c:showPercent val="0"/>
          <c:showBubbleSize val="0"/>
          <c:separator>
</c:separator>
        </c:dLbl>
      </c:pivotFmt>
      <c:pivotFmt>
        <c:idx val="33"/>
        <c:dLbl>
          <c:idx val="0"/>
          <c:delete val="1"/>
        </c:dLbl>
      </c:pivotFmt>
      <c:pivotFmt>
        <c:idx val="34"/>
        <c:dLbl>
          <c:idx val="0"/>
          <c:layout>
            <c:manualLayout>
              <c:x val="-0.28201436718862766"/>
              <c:y val="2.0974832403198303E-2"/>
            </c:manualLayout>
          </c:layout>
          <c:showLegendKey val="0"/>
          <c:showVal val="1"/>
          <c:showCatName val="0"/>
          <c:showSerName val="1"/>
          <c:showPercent val="0"/>
          <c:showBubbleSize val="0"/>
          <c:separator>
</c:separator>
        </c:dLbl>
      </c:pivotFmt>
      <c:pivotFmt>
        <c:idx val="35"/>
        <c:dLbl>
          <c:idx val="0"/>
          <c:delete val="1"/>
        </c:dLbl>
      </c:pivotFmt>
      <c:pivotFmt>
        <c:idx val="36"/>
        <c:dLbl>
          <c:idx val="0"/>
          <c:layout>
            <c:manualLayout>
              <c:x val="0.28213425237377954"/>
              <c:y val="2.3305369336887004E-2"/>
            </c:manualLayout>
          </c:layout>
          <c:showLegendKey val="0"/>
          <c:showVal val="1"/>
          <c:showCatName val="0"/>
          <c:showSerName val="1"/>
          <c:showPercent val="0"/>
          <c:showBubbleSize val="0"/>
          <c:separator>
</c:separator>
        </c:dLbl>
      </c:pivotFmt>
      <c:pivotFmt>
        <c:idx val="37"/>
        <c:dLbl>
          <c:idx val="0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8"/>
      </c:pivotFmt>
      <c:pivotFmt>
        <c:idx val="39"/>
      </c:pivotFmt>
      <c:pivotFmt>
        <c:idx val="40"/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C"/>
            </a:p>
          </c:txPr>
          <c:showLegendKey val="0"/>
          <c:showVal val="1"/>
          <c:showCatName val="0"/>
          <c:showSerName val="1"/>
          <c:showPercent val="0"/>
          <c:showBubbleSize val="0"/>
        </c:dLbl>
      </c:pivotFmt>
      <c:pivotFmt>
        <c:idx val="47"/>
        <c:dLbl>
          <c:idx val="0"/>
          <c:showLegendKey val="0"/>
          <c:showVal val="1"/>
          <c:showCatName val="0"/>
          <c:showSerName val="1"/>
          <c:showPercent val="0"/>
          <c:showBubbleSize val="0"/>
        </c:dLbl>
      </c:pivotFmt>
      <c:pivotFmt>
        <c:idx val="4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C"/>
            </a:p>
          </c:txPr>
          <c:showLegendKey val="0"/>
          <c:showVal val="1"/>
          <c:showCatName val="0"/>
          <c:showSerName val="1"/>
          <c:showPercent val="0"/>
          <c:showBubbleSize val="0"/>
        </c:dLbl>
      </c:pivotFmt>
      <c:pivotFmt>
        <c:idx val="49"/>
      </c:pivotFmt>
      <c:pivotFmt>
        <c:idx val="5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dLbl>
          <c:idx val="0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C"/>
            </a:p>
          </c:txPr>
          <c:showLegendKey val="0"/>
          <c:showVal val="1"/>
          <c:showCatName val="0"/>
          <c:showSerName val="1"/>
          <c:showPercent val="0"/>
          <c:showBubbleSize val="0"/>
        </c:dLbl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dLbl>
          <c:idx val="0"/>
          <c:layout>
            <c:manualLayout>
              <c:x val="0.29829543601023545"/>
              <c:y val="9.6416829547253339E-3"/>
            </c:manualLayout>
          </c:layout>
          <c:showLegendKey val="0"/>
          <c:showVal val="1"/>
          <c:showCatName val="0"/>
          <c:showSerName val="1"/>
          <c:showPercent val="0"/>
          <c:showBubbleSize val="0"/>
        </c:dLbl>
      </c:pivotFmt>
      <c:pivotFmt>
        <c:idx val="56"/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C"/>
            </a:p>
          </c:txPr>
          <c:showLegendKey val="0"/>
          <c:showVal val="1"/>
          <c:showCatName val="0"/>
          <c:showSerName val="1"/>
          <c:showPercent val="0"/>
          <c:showBubbleSize val="0"/>
        </c:dLbl>
      </c:pivotFmt>
    </c:pivotFmts>
    <c:view3D>
      <c:rotX val="0"/>
      <c:rotY val="0"/>
      <c:rAngAx val="0"/>
      <c:perspective val="5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'PROGRAMAS KM'!$B$4:$B$5</c:f>
              <c:strCache>
                <c:ptCount val="1"/>
                <c:pt idx="0">
                  <c:v>MANTENIMIENTO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'PROGRAMAS KM'!$A$6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'PROGRAMAS KM'!$B$6</c:f>
              <c:numCache>
                <c:formatCode>0.0"Km"</c:formatCode>
                <c:ptCount val="1"/>
                <c:pt idx="0">
                  <c:v>1881.5800000000002</c:v>
                </c:pt>
              </c:numCache>
            </c:numRef>
          </c:val>
        </c:ser>
        <c:ser>
          <c:idx val="1"/>
          <c:order val="1"/>
          <c:tx>
            <c:strRef>
              <c:f>'PROGRAMAS KM'!$C$4:$C$5</c:f>
              <c:strCache>
                <c:ptCount val="1"/>
                <c:pt idx="0">
                  <c:v>PUENTES</c:v>
                </c:pt>
              </c:strCache>
            </c:strRef>
          </c:tx>
          <c:invertIfNegative val="0"/>
          <c:cat>
            <c:strRef>
              <c:f>'PROGRAMAS KM'!$A$6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'PROGRAMAS KM'!$C$6</c:f>
              <c:numCache>
                <c:formatCode>0.0"Km"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'PROGRAMAS KM'!$D$4:$D$5</c:f>
              <c:strCache>
                <c:ptCount val="1"/>
                <c:pt idx="0">
                  <c:v>ESTUDIOS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'PROGRAMAS KM'!$A$6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'PROGRAMAS KM'!$D$6</c:f>
              <c:numCache>
                <c:formatCode>0.0"Km"</c:formatCode>
                <c:ptCount val="1"/>
                <c:pt idx="0">
                  <c:v>30.63</c:v>
                </c:pt>
              </c:numCache>
            </c:numRef>
          </c:val>
        </c:ser>
        <c:ser>
          <c:idx val="3"/>
          <c:order val="3"/>
          <c:tx>
            <c:strRef>
              <c:f>'PROGRAMAS KM'!$E$4:$E$5</c:f>
              <c:strCache>
                <c:ptCount val="1"/>
                <c:pt idx="0">
                  <c:v>CARPETA ASFALTICA</c:v>
                </c:pt>
              </c:strCache>
            </c:strRef>
          </c:tx>
          <c:invertIfNegative val="0"/>
          <c:cat>
            <c:strRef>
              <c:f>'PROGRAMAS KM'!$A$6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'PROGRAMAS KM'!$E$6</c:f>
              <c:numCache>
                <c:formatCode>"$"\ #,##0.00</c:formatCode>
                <c:ptCount val="1"/>
              </c:numCache>
            </c:numRef>
          </c:val>
        </c:ser>
        <c:ser>
          <c:idx val="4"/>
          <c:order val="4"/>
          <c:tx>
            <c:strRef>
              <c:f>'PROGRAMAS KM'!$F$4:$F$5</c:f>
              <c:strCache>
                <c:ptCount val="1"/>
                <c:pt idx="0">
                  <c:v>REHABILITACION BACHEO ASFALTICO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.29829543601023545"/>
                  <c:y val="9.6416829547253339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spPr/>
            <c:txPr>
              <a:bodyPr/>
              <a:lstStyle/>
              <a:p>
                <a:pPr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'PROGRAMAS KM'!$A$6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'PROGRAMAS KM'!$F$6</c:f>
              <c:numCache>
                <c:formatCode>0.0"Km"</c:formatCode>
                <c:ptCount val="1"/>
                <c:pt idx="0">
                  <c:v>92.03</c:v>
                </c:pt>
              </c:numCache>
            </c:numRef>
          </c:val>
        </c:ser>
        <c:ser>
          <c:idx val="5"/>
          <c:order val="5"/>
          <c:tx>
            <c:strRef>
              <c:f>'PROGRAMAS KM'!$G$4:$G$5</c:f>
              <c:strCache>
                <c:ptCount val="1"/>
                <c:pt idx="0">
                  <c:v>ASFALTADO DTSB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'PROGRAMAS KM'!$A$6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'PROGRAMAS KM'!$G$6</c:f>
              <c:numCache>
                <c:formatCode>0.0"Km"</c:formatCode>
                <c:ptCount val="1"/>
                <c:pt idx="0">
                  <c:v>10.48</c:v>
                </c:pt>
              </c:numCache>
            </c:numRef>
          </c:val>
        </c:ser>
        <c:ser>
          <c:idx val="6"/>
          <c:order val="6"/>
          <c:tx>
            <c:strRef>
              <c:f>'PROGRAMAS KM'!$H$4:$H$5</c:f>
              <c:strCache>
                <c:ptCount val="1"/>
                <c:pt idx="0">
                  <c:v>OBRAS DE ARTE Y SEÑALIZACION</c:v>
                </c:pt>
              </c:strCache>
            </c:strRef>
          </c:tx>
          <c:invertIfNegative val="0"/>
          <c:cat>
            <c:strRef>
              <c:f>'PROGRAMAS KM'!$A$6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'PROGRAMAS KM'!$H$6</c:f>
              <c:numCache>
                <c:formatCode>0.0"Km"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gapDepth val="0"/>
        <c:shape val="cylinder"/>
        <c:axId val="104134912"/>
        <c:axId val="110449024"/>
        <c:axId val="0"/>
      </c:bar3DChart>
      <c:catAx>
        <c:axId val="104134912"/>
        <c:scaling>
          <c:orientation val="minMax"/>
        </c:scaling>
        <c:delete val="0"/>
        <c:axPos val="b"/>
        <c:title>
          <c:overlay val="0"/>
        </c:title>
        <c:majorTickMark val="none"/>
        <c:minorTickMark val="none"/>
        <c:tickLblPos val="nextTo"/>
        <c:crossAx val="110449024"/>
        <c:crosses val="autoZero"/>
        <c:auto val="1"/>
        <c:lblAlgn val="ctr"/>
        <c:lblOffset val="100"/>
        <c:noMultiLvlLbl val="0"/>
      </c:catAx>
      <c:valAx>
        <c:axId val="110449024"/>
        <c:scaling>
          <c:orientation val="minMax"/>
        </c:scaling>
        <c:delete val="0"/>
        <c:axPos val="l"/>
        <c:majorGridlines/>
        <c:minorGridlines/>
        <c:title>
          <c:overlay val="0"/>
        </c:title>
        <c:numFmt formatCode="0%" sourceLinked="1"/>
        <c:majorTickMark val="out"/>
        <c:minorTickMark val="none"/>
        <c:tickLblPos val="nextTo"/>
        <c:crossAx val="104134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[resumen planillas DICIEMBRE 2014JRCORR.xlsx]programa inversion!Tabla dinámica1</c:name>
    <c:fmtId val="1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INVERSION POR PROGRAMA </a:t>
            </a:r>
            <a:r>
              <a:rPr lang="es-EC" sz="1800" b="1" i="0" u="none" strike="noStrike" baseline="0">
                <a:effectLst/>
              </a:rPr>
              <a:t> $ 10 064 341.50 </a:t>
            </a:r>
            <a:endParaRPr lang="en-US"/>
          </a:p>
        </c:rich>
      </c:tx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  <c:dLbl>
          <c:idx val="0"/>
          <c:showLegendKey val="0"/>
          <c:showVal val="0"/>
          <c:showCatName val="0"/>
          <c:showSerName val="1"/>
          <c:showPercent val="0"/>
          <c:showBubbleSize val="0"/>
          <c:separator>
</c:separator>
        </c:dLbl>
      </c:pivotFmt>
      <c:pivotFmt>
        <c:idx val="9"/>
        <c:marker>
          <c:symbol val="none"/>
        </c:marker>
        <c:dLbl>
          <c:idx val="0"/>
          <c:delete val="1"/>
        </c:dLbl>
      </c:pivotFmt>
      <c:pivotFmt>
        <c:idx val="10"/>
        <c:marker>
          <c:symbol val="none"/>
        </c:marker>
        <c:dLbl>
          <c:idx val="0"/>
          <c:delete val="1"/>
        </c:dLbl>
      </c:pivotFmt>
      <c:pivotFmt>
        <c:idx val="11"/>
        <c:marker>
          <c:symbol val="none"/>
        </c:marker>
        <c:dLbl>
          <c:idx val="0"/>
          <c:delete val="1"/>
        </c:dLbl>
      </c:pivotFmt>
      <c:pivotFmt>
        <c:idx val="12"/>
        <c:marker>
          <c:symbol val="none"/>
        </c:marker>
        <c:dLbl>
          <c:idx val="0"/>
          <c:delete val="1"/>
        </c:dLbl>
      </c:pivotFmt>
      <c:pivotFmt>
        <c:idx val="13"/>
        <c:marker>
          <c:symbol val="none"/>
        </c:marker>
        <c:dLbl>
          <c:idx val="0"/>
          <c:delete val="1"/>
        </c:dLbl>
      </c:pivotFmt>
      <c:pivotFmt>
        <c:idx val="14"/>
        <c:marker>
          <c:symbol val="none"/>
        </c:marker>
        <c:dLbl>
          <c:idx val="0"/>
          <c:delete val="1"/>
        </c:dLbl>
      </c:pivotFmt>
      <c:pivotFmt>
        <c:idx val="15"/>
        <c:dLbl>
          <c:idx val="0"/>
          <c:layout>
            <c:manualLayout>
              <c:x val="0.24340525739494648"/>
              <c:y val="1.1652684668443502E-2"/>
            </c:manualLayout>
          </c:layout>
          <c:showLegendKey val="0"/>
          <c:showVal val="1"/>
          <c:showCatName val="0"/>
          <c:showSerName val="1"/>
          <c:showPercent val="0"/>
          <c:showBubbleSize val="0"/>
          <c:separator>
</c:separator>
        </c:dLbl>
      </c:pivotFmt>
      <c:pivotFmt>
        <c:idx val="16"/>
        <c:dLbl>
          <c:idx val="0"/>
          <c:spPr/>
          <c:txPr>
            <a:bodyPr/>
            <a:lstStyle/>
            <a:p>
              <a:pPr>
                <a:defRPr sz="1050"/>
              </a:pPr>
              <a:endParaRPr lang="es-EC"/>
            </a:p>
          </c:txPr>
          <c:showLegendKey val="0"/>
          <c:showVal val="1"/>
          <c:showCatName val="0"/>
          <c:showSerName val="1"/>
          <c:showPercent val="0"/>
          <c:showBubbleSize val="0"/>
          <c:separator>
</c:separator>
        </c:dLbl>
      </c:pivotFmt>
      <c:pivotFmt>
        <c:idx val="17"/>
        <c:dLbl>
          <c:idx val="0"/>
          <c:showLegendKey val="0"/>
          <c:showVal val="1"/>
          <c:showCatName val="0"/>
          <c:showSerName val="1"/>
          <c:showPercent val="0"/>
          <c:showBubbleSize val="0"/>
          <c:separator>
</c:separator>
        </c:dLbl>
      </c:pivotFmt>
      <c:pivotFmt>
        <c:idx val="18"/>
        <c:dLbl>
          <c:idx val="0"/>
          <c:spPr/>
          <c:txPr>
            <a:bodyPr/>
            <a:lstStyle/>
            <a:p>
              <a:pPr>
                <a:defRPr sz="1050"/>
              </a:pPr>
              <a:endParaRPr lang="es-EC"/>
            </a:p>
          </c:txPr>
          <c:showLegendKey val="0"/>
          <c:showVal val="1"/>
          <c:showCatName val="0"/>
          <c:showSerName val="1"/>
          <c:showPercent val="0"/>
          <c:showBubbleSize val="0"/>
          <c:separator>
</c:separator>
        </c:dLbl>
      </c:pivotFmt>
      <c:pivotFmt>
        <c:idx val="19"/>
        <c:dLbl>
          <c:idx val="0"/>
          <c:spPr/>
          <c:txPr>
            <a:bodyPr/>
            <a:lstStyle/>
            <a:p>
              <a:pPr>
                <a:defRPr sz="1100"/>
              </a:pPr>
              <a:endParaRPr lang="es-EC"/>
            </a:p>
          </c:txPr>
          <c:showLegendKey val="0"/>
          <c:showVal val="1"/>
          <c:showCatName val="0"/>
          <c:showSerName val="1"/>
          <c:showPercent val="0"/>
          <c:showBubbleSize val="0"/>
          <c:separator>
</c:separator>
        </c:dLbl>
      </c:pivotFmt>
      <c:pivotFmt>
        <c:idx val="20"/>
        <c:dLbl>
          <c:idx val="0"/>
          <c:layout>
            <c:manualLayout>
              <c:x val="-0.28201436718862766"/>
              <c:y val="2.0974832403198303E-2"/>
            </c:manualLayout>
          </c:layout>
          <c:showLegendKey val="0"/>
          <c:showVal val="1"/>
          <c:showCatName val="0"/>
          <c:showSerName val="1"/>
          <c:showPercent val="0"/>
          <c:showBubbleSize val="0"/>
          <c:separator>
</c:separator>
        </c:dLbl>
      </c:pivotFmt>
      <c:pivotFmt>
        <c:idx val="21"/>
        <c:dLbl>
          <c:idx val="0"/>
          <c:layout>
            <c:manualLayout>
              <c:x val="0.28213425237377954"/>
              <c:y val="2.3305369336887004E-2"/>
            </c:manualLayout>
          </c:layout>
          <c:showLegendKey val="0"/>
          <c:showVal val="1"/>
          <c:showCatName val="0"/>
          <c:showSerName val="1"/>
          <c:showPercent val="0"/>
          <c:showBubbleSize val="0"/>
          <c:separator>
</c:separator>
        </c:dLbl>
      </c:pivotFmt>
      <c:pivotFmt>
        <c:idx val="2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C"/>
            </a:p>
          </c:txPr>
          <c:showLegendKey val="0"/>
          <c:showVal val="1"/>
          <c:showCatName val="0"/>
          <c:showSerName val="1"/>
          <c:showPercent val="0"/>
          <c:showBubbleSize val="0"/>
        </c:dLbl>
      </c:pivotFmt>
      <c:pivotFmt>
        <c:idx val="2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C"/>
            </a:p>
          </c:txPr>
          <c:showLegendKey val="0"/>
          <c:showVal val="1"/>
          <c:showCatName val="0"/>
          <c:showSerName val="1"/>
          <c:showPercent val="0"/>
          <c:showBubbleSize val="0"/>
          <c:separator>
</c:separator>
        </c:dLbl>
      </c:pivotFmt>
      <c:pivotFmt>
        <c:idx val="2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C"/>
            </a:p>
          </c:txPr>
          <c:showLegendKey val="0"/>
          <c:showVal val="1"/>
          <c:showCatName val="0"/>
          <c:showSerName val="1"/>
          <c:showPercent val="0"/>
          <c:showBubbleSize val="0"/>
        </c:dLbl>
      </c:pivotFmt>
      <c:pivotFmt>
        <c:idx val="2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C"/>
            </a:p>
          </c:txPr>
          <c:showLegendKey val="0"/>
          <c:showVal val="1"/>
          <c:showCatName val="0"/>
          <c:showSerName val="1"/>
          <c:showPercent val="0"/>
          <c:showBubbleSize val="0"/>
          <c:separator>
</c:separator>
        </c:dLbl>
      </c:pivotFmt>
      <c:pivotFmt>
        <c:idx val="26"/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es-EC"/>
            </a:p>
          </c:txPr>
          <c:showLegendKey val="0"/>
          <c:showVal val="1"/>
          <c:showCatName val="0"/>
          <c:showSerName val="1"/>
          <c:showPercent val="0"/>
          <c:showBubbleSize val="0"/>
          <c:separator>
</c:separator>
        </c:dLbl>
      </c:pivotFmt>
      <c:pivotFmt>
        <c:idx val="2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C"/>
            </a:p>
          </c:txPr>
          <c:showLegendKey val="0"/>
          <c:showVal val="1"/>
          <c:showCatName val="0"/>
          <c:showSerName val="1"/>
          <c:showPercent val="0"/>
          <c:showBubbleSize val="0"/>
          <c:separator>
</c:separator>
        </c:dLbl>
      </c:pivotFmt>
      <c:pivotFmt>
        <c:idx val="28"/>
      </c:pivotFmt>
      <c:pivotFmt>
        <c:idx val="29"/>
        <c:dLbl>
          <c:idx val="0"/>
          <c:layout>
            <c:manualLayout>
              <c:x val="0.32558949089416478"/>
              <c:y val="9.3221477347548449E-3"/>
            </c:manualLayout>
          </c:layout>
          <c:showLegendKey val="0"/>
          <c:showVal val="1"/>
          <c:showCatName val="0"/>
          <c:showSerName val="1"/>
          <c:showPercent val="0"/>
          <c:showBubbleSize val="0"/>
        </c:dLbl>
      </c:pivotFmt>
    </c:pivotFmts>
    <c:view3D>
      <c:rotX val="0"/>
      <c:rotY val="0"/>
      <c:rAngAx val="0"/>
      <c:perspective val="5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'programa inversion'!$B$4:$B$5</c:f>
              <c:strCache>
                <c:ptCount val="1"/>
                <c:pt idx="0">
                  <c:v>MANTENIMIENTO</c:v>
                </c:pt>
              </c:strCache>
            </c:strRef>
          </c:tx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050"/>
                  </a:pPr>
                  <a:endParaRPr lang="es-EC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</c:dLbl>
            <c:spPr/>
            <c:txPr>
              <a:bodyPr/>
              <a:lstStyle/>
              <a:p>
                <a:pPr>
                  <a:defRPr/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'programa inversion'!$A$6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'programa inversion'!$B$6</c:f>
              <c:numCache>
                <c:formatCode>"$"\ #,##0.00</c:formatCode>
                <c:ptCount val="1"/>
                <c:pt idx="0">
                  <c:v>4778421.2200000007</c:v>
                </c:pt>
              </c:numCache>
            </c:numRef>
          </c:val>
        </c:ser>
        <c:ser>
          <c:idx val="1"/>
          <c:order val="1"/>
          <c:tx>
            <c:strRef>
              <c:f>'programa inversion'!$C$4:$C$5</c:f>
              <c:strCache>
                <c:ptCount val="1"/>
                <c:pt idx="0">
                  <c:v>PUENTES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0.28201436718862766"/>
                  <c:y val="2.0974832403198303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</c:dLbl>
            <c:spPr/>
            <c:txPr>
              <a:bodyPr/>
              <a:lstStyle/>
              <a:p>
                <a:pPr>
                  <a:defRPr/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'programa inversion'!$A$6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'programa inversion'!$C$6</c:f>
              <c:numCache>
                <c:formatCode>"$"\ #,##0.00</c:formatCode>
                <c:ptCount val="1"/>
                <c:pt idx="0">
                  <c:v>26019</c:v>
                </c:pt>
              </c:numCache>
            </c:numRef>
          </c:val>
        </c:ser>
        <c:ser>
          <c:idx val="2"/>
          <c:order val="2"/>
          <c:tx>
            <c:strRef>
              <c:f>'programa inversion'!$D$4:$D$5</c:f>
              <c:strCache>
                <c:ptCount val="1"/>
                <c:pt idx="0">
                  <c:v>ESTUDIOS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'programa inversion'!$A$6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'programa inversion'!$D$6</c:f>
              <c:numCache>
                <c:formatCode>"$"\ #,##0.00</c:formatCode>
                <c:ptCount val="1"/>
                <c:pt idx="0">
                  <c:v>403723.66000000003</c:v>
                </c:pt>
              </c:numCache>
            </c:numRef>
          </c:val>
        </c:ser>
        <c:ser>
          <c:idx val="3"/>
          <c:order val="3"/>
          <c:tx>
            <c:strRef>
              <c:f>'programa inversion'!$E$4:$E$5</c:f>
              <c:strCache>
                <c:ptCount val="1"/>
                <c:pt idx="0">
                  <c:v>CARPETA ASFALTICA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cat>
            <c:strRef>
              <c:f>'programa inversion'!$A$6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'programa inversion'!$E$6</c:f>
              <c:numCache>
                <c:formatCode>"$"\ #,##0.00</c:formatCode>
                <c:ptCount val="1"/>
                <c:pt idx="0">
                  <c:v>843163.44</c:v>
                </c:pt>
              </c:numCache>
            </c:numRef>
          </c:val>
        </c:ser>
        <c:ser>
          <c:idx val="4"/>
          <c:order val="4"/>
          <c:tx>
            <c:strRef>
              <c:f>'programa inversion'!$F$4:$F$5</c:f>
              <c:strCache>
                <c:ptCount val="1"/>
                <c:pt idx="0">
                  <c:v>REHABILITACION BACHEO ASFALTICO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cat>
            <c:strRef>
              <c:f>'programa inversion'!$A$6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'programa inversion'!$F$6</c:f>
              <c:numCache>
                <c:formatCode>"$"\ #,##0.00</c:formatCode>
                <c:ptCount val="1"/>
                <c:pt idx="0">
                  <c:v>1474222.26</c:v>
                </c:pt>
              </c:numCache>
            </c:numRef>
          </c:val>
        </c:ser>
        <c:ser>
          <c:idx val="5"/>
          <c:order val="5"/>
          <c:tx>
            <c:strRef>
              <c:f>'programa inversion'!$G$4:$G$5</c:f>
              <c:strCache>
                <c:ptCount val="1"/>
                <c:pt idx="0">
                  <c:v>ASFALTADO DTSB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cat>
            <c:strRef>
              <c:f>'programa inversion'!$A$6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'programa inversion'!$G$6</c:f>
              <c:numCache>
                <c:formatCode>"$"\ #,##0.00</c:formatCode>
                <c:ptCount val="1"/>
                <c:pt idx="0">
                  <c:v>1711569.4300000002</c:v>
                </c:pt>
              </c:numCache>
            </c:numRef>
          </c:val>
        </c:ser>
        <c:ser>
          <c:idx val="6"/>
          <c:order val="6"/>
          <c:tx>
            <c:strRef>
              <c:f>'programa inversion'!$H$4:$H$5</c:f>
              <c:strCache>
                <c:ptCount val="1"/>
                <c:pt idx="0">
                  <c:v>OBRAS DE ARTE Y SEÑALIZACION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 sz="800"/>
                </a:pPr>
                <a:endParaRPr lang="es-EC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</c:dLbls>
          <c:cat>
            <c:strRef>
              <c:f>'programa inversion'!$A$6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'programa inversion'!$H$6</c:f>
              <c:numCache>
                <c:formatCode>"$"\ #,##0.00</c:formatCode>
                <c:ptCount val="1"/>
                <c:pt idx="0">
                  <c:v>827222.48999999987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5"/>
        <c:gapDepth val="55"/>
        <c:shape val="cylinder"/>
        <c:axId val="126505344"/>
        <c:axId val="126506880"/>
        <c:axId val="0"/>
      </c:bar3DChart>
      <c:catAx>
        <c:axId val="1265053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506880"/>
        <c:crosses val="autoZero"/>
        <c:auto val="1"/>
        <c:lblAlgn val="ctr"/>
        <c:lblOffset val="100"/>
        <c:noMultiLvlLbl val="0"/>
      </c:catAx>
      <c:valAx>
        <c:axId val="126506880"/>
        <c:scaling>
          <c:orientation val="minMax"/>
        </c:scaling>
        <c:delete val="0"/>
        <c:axPos val="l"/>
        <c:majorGridlines/>
        <c:numFmt formatCode="&quot;$&quot;\ #,##0.00" sourceLinked="1"/>
        <c:majorTickMark val="none"/>
        <c:minorTickMark val="none"/>
        <c:tickLblPos val="nextTo"/>
        <c:crossAx val="1265053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pivotSource>
    <c:name>[resumen planillas DICIEMBRE 2014JRCORR.xlsx]PROGRAMAS POR ZONA!Tabla dinámica1</c:name>
    <c:fmtId val="0"/>
  </c:pivotSource>
  <c:chart>
    <c:autoTitleDeleted val="0"/>
    <c:pivotFmts>
      <c:pivotFmt>
        <c:idx val="0"/>
      </c:pivotFmt>
      <c:pivotFmt>
        <c:idx val="1"/>
        <c:marker>
          <c:symbol val="none"/>
        </c:marker>
      </c:pivotFmt>
      <c:pivotFmt>
        <c:idx val="2"/>
      </c:pivotFmt>
      <c:pivotFmt>
        <c:idx val="3"/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spPr>
          <a:solidFill>
            <a:srgbClr val="FFFF00"/>
          </a:solidFill>
        </c:spPr>
        <c:marker>
          <c:symbol val="none"/>
        </c:marker>
      </c:pivotFmt>
      <c:pivotFmt>
        <c:idx val="12"/>
        <c:spPr>
          <a:solidFill>
            <a:schemeClr val="accent1"/>
          </a:solidFill>
        </c:spPr>
        <c:marker>
          <c:symbol val="none"/>
        </c:marker>
      </c:pivotFmt>
    </c:pivotFmts>
    <c:view3D>
      <c:rotX val="0"/>
      <c:rotY val="0"/>
      <c:rAngAx val="0"/>
      <c:perspective val="5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'PROGRAMAS POR ZONA'!$B$4:$B$5</c:f>
              <c:strCache>
                <c:ptCount val="1"/>
                <c:pt idx="0">
                  <c:v>MANTENIMIENTO</c:v>
                </c:pt>
              </c:strCache>
            </c:strRef>
          </c:tx>
          <c:invertIfNegative val="0"/>
          <c:cat>
            <c:strRef>
              <c:f>'PROGRAMAS POR ZONA'!$A$6:$A$11</c:f>
              <c:strCache>
                <c:ptCount val="5"/>
                <c:pt idx="0">
                  <c:v>ZONA1</c:v>
                </c:pt>
                <c:pt idx="1">
                  <c:v>ZONA2</c:v>
                </c:pt>
                <c:pt idx="2">
                  <c:v>ZONA3</c:v>
                </c:pt>
                <c:pt idx="3">
                  <c:v>ZONA4</c:v>
                </c:pt>
                <c:pt idx="4">
                  <c:v>ZONA4 - ST</c:v>
                </c:pt>
              </c:strCache>
            </c:strRef>
          </c:cat>
          <c:val>
            <c:numRef>
              <c:f>'PROGRAMAS POR ZONA'!$B$6:$B$11</c:f>
              <c:numCache>
                <c:formatCode>"$"\ #,##0.00</c:formatCode>
                <c:ptCount val="5"/>
                <c:pt idx="0">
                  <c:v>1324661.6099999996</c:v>
                </c:pt>
                <c:pt idx="1">
                  <c:v>1134777.3499999999</c:v>
                </c:pt>
                <c:pt idx="2">
                  <c:v>1392360.1299999994</c:v>
                </c:pt>
                <c:pt idx="3">
                  <c:v>926622.12999999977</c:v>
                </c:pt>
              </c:numCache>
            </c:numRef>
          </c:val>
        </c:ser>
        <c:ser>
          <c:idx val="1"/>
          <c:order val="1"/>
          <c:tx>
            <c:strRef>
              <c:f>'PROGRAMAS POR ZONA'!$C$4:$C$5</c:f>
              <c:strCache>
                <c:ptCount val="1"/>
                <c:pt idx="0">
                  <c:v>PUENTES</c:v>
                </c:pt>
              </c:strCache>
            </c:strRef>
          </c:tx>
          <c:invertIfNegative val="0"/>
          <c:cat>
            <c:strRef>
              <c:f>'PROGRAMAS POR ZONA'!$A$6:$A$11</c:f>
              <c:strCache>
                <c:ptCount val="5"/>
                <c:pt idx="0">
                  <c:v>ZONA1</c:v>
                </c:pt>
                <c:pt idx="1">
                  <c:v>ZONA2</c:v>
                </c:pt>
                <c:pt idx="2">
                  <c:v>ZONA3</c:v>
                </c:pt>
                <c:pt idx="3">
                  <c:v>ZONA4</c:v>
                </c:pt>
                <c:pt idx="4">
                  <c:v>ZONA4 - ST</c:v>
                </c:pt>
              </c:strCache>
            </c:strRef>
          </c:cat>
          <c:val>
            <c:numRef>
              <c:f>'PROGRAMAS POR ZONA'!$C$6:$C$11</c:f>
              <c:numCache>
                <c:formatCode>"$"\ #,##0.00</c:formatCode>
                <c:ptCount val="5"/>
                <c:pt idx="1">
                  <c:v>10000</c:v>
                </c:pt>
                <c:pt idx="3">
                  <c:v>16019</c:v>
                </c:pt>
              </c:numCache>
            </c:numRef>
          </c:val>
        </c:ser>
        <c:ser>
          <c:idx val="2"/>
          <c:order val="2"/>
          <c:tx>
            <c:strRef>
              <c:f>'PROGRAMAS POR ZONA'!$D$4:$D$5</c:f>
              <c:strCache>
                <c:ptCount val="1"/>
                <c:pt idx="0">
                  <c:v>ESTUDIOS</c:v>
                </c:pt>
              </c:strCache>
            </c:strRef>
          </c:tx>
          <c:invertIfNegative val="0"/>
          <c:cat>
            <c:strRef>
              <c:f>'PROGRAMAS POR ZONA'!$A$6:$A$11</c:f>
              <c:strCache>
                <c:ptCount val="5"/>
                <c:pt idx="0">
                  <c:v>ZONA1</c:v>
                </c:pt>
                <c:pt idx="1">
                  <c:v>ZONA2</c:v>
                </c:pt>
                <c:pt idx="2">
                  <c:v>ZONA3</c:v>
                </c:pt>
                <c:pt idx="3">
                  <c:v>ZONA4</c:v>
                </c:pt>
                <c:pt idx="4">
                  <c:v>ZONA4 - ST</c:v>
                </c:pt>
              </c:strCache>
            </c:strRef>
          </c:cat>
          <c:val>
            <c:numRef>
              <c:f>'PROGRAMAS POR ZONA'!$D$6:$D$11</c:f>
              <c:numCache>
                <c:formatCode>"$"\ #,##0.00</c:formatCode>
                <c:ptCount val="5"/>
                <c:pt idx="0">
                  <c:v>6250</c:v>
                </c:pt>
                <c:pt idx="1">
                  <c:v>6400</c:v>
                </c:pt>
                <c:pt idx="2">
                  <c:v>288159.45</c:v>
                </c:pt>
                <c:pt idx="3">
                  <c:v>102914.20999999999</c:v>
                </c:pt>
              </c:numCache>
            </c:numRef>
          </c:val>
        </c:ser>
        <c:ser>
          <c:idx val="3"/>
          <c:order val="3"/>
          <c:tx>
            <c:strRef>
              <c:f>'PROGRAMAS POR ZONA'!$E$4:$E$5</c:f>
              <c:strCache>
                <c:ptCount val="1"/>
                <c:pt idx="0">
                  <c:v>CARPETA ASFALTICA</c:v>
                </c:pt>
              </c:strCache>
            </c:strRef>
          </c:tx>
          <c:invertIfNegative val="0"/>
          <c:cat>
            <c:strRef>
              <c:f>'PROGRAMAS POR ZONA'!$A$6:$A$11</c:f>
              <c:strCache>
                <c:ptCount val="5"/>
                <c:pt idx="0">
                  <c:v>ZONA1</c:v>
                </c:pt>
                <c:pt idx="1">
                  <c:v>ZONA2</c:v>
                </c:pt>
                <c:pt idx="2">
                  <c:v>ZONA3</c:v>
                </c:pt>
                <c:pt idx="3">
                  <c:v>ZONA4</c:v>
                </c:pt>
                <c:pt idx="4">
                  <c:v>ZONA4 - ST</c:v>
                </c:pt>
              </c:strCache>
            </c:strRef>
          </c:cat>
          <c:val>
            <c:numRef>
              <c:f>'PROGRAMAS POR ZONA'!$E$6:$E$11</c:f>
              <c:numCache>
                <c:formatCode>"$"\ #,##0.00</c:formatCode>
                <c:ptCount val="5"/>
                <c:pt idx="0">
                  <c:v>843163.44</c:v>
                </c:pt>
              </c:numCache>
            </c:numRef>
          </c:val>
        </c:ser>
        <c:ser>
          <c:idx val="4"/>
          <c:order val="4"/>
          <c:tx>
            <c:strRef>
              <c:f>'PROGRAMAS POR ZONA'!$F$4:$F$5</c:f>
              <c:strCache>
                <c:ptCount val="1"/>
                <c:pt idx="0">
                  <c:v>REHABILITACION BACHEO ASFALTICO</c:v>
                </c:pt>
              </c:strCache>
            </c:strRef>
          </c:tx>
          <c:invertIfNegative val="0"/>
          <c:cat>
            <c:strRef>
              <c:f>'PROGRAMAS POR ZONA'!$A$6:$A$11</c:f>
              <c:strCache>
                <c:ptCount val="5"/>
                <c:pt idx="0">
                  <c:v>ZONA1</c:v>
                </c:pt>
                <c:pt idx="1">
                  <c:v>ZONA2</c:v>
                </c:pt>
                <c:pt idx="2">
                  <c:v>ZONA3</c:v>
                </c:pt>
                <c:pt idx="3">
                  <c:v>ZONA4</c:v>
                </c:pt>
                <c:pt idx="4">
                  <c:v>ZONA4 - ST</c:v>
                </c:pt>
              </c:strCache>
            </c:strRef>
          </c:cat>
          <c:val>
            <c:numRef>
              <c:f>'PROGRAMAS POR ZONA'!$F$6:$F$11</c:f>
              <c:numCache>
                <c:formatCode>"$"\ #,##0.00</c:formatCode>
                <c:ptCount val="5"/>
                <c:pt idx="1">
                  <c:v>1474222.26</c:v>
                </c:pt>
              </c:numCache>
            </c:numRef>
          </c:val>
        </c:ser>
        <c:ser>
          <c:idx val="5"/>
          <c:order val="5"/>
          <c:tx>
            <c:strRef>
              <c:f>'PROGRAMAS POR ZONA'!$G$4:$G$5</c:f>
              <c:strCache>
                <c:ptCount val="1"/>
                <c:pt idx="0">
                  <c:v>ASFALTADO DTSB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'PROGRAMAS POR ZONA'!$A$6:$A$11</c:f>
              <c:strCache>
                <c:ptCount val="5"/>
                <c:pt idx="0">
                  <c:v>ZONA1</c:v>
                </c:pt>
                <c:pt idx="1">
                  <c:v>ZONA2</c:v>
                </c:pt>
                <c:pt idx="2">
                  <c:v>ZONA3</c:v>
                </c:pt>
                <c:pt idx="3">
                  <c:v>ZONA4</c:v>
                </c:pt>
                <c:pt idx="4">
                  <c:v>ZONA4 - ST</c:v>
                </c:pt>
              </c:strCache>
            </c:strRef>
          </c:cat>
          <c:val>
            <c:numRef>
              <c:f>'PROGRAMAS POR ZONA'!$G$6:$G$11</c:f>
              <c:numCache>
                <c:formatCode>"$"\ #,##0.00</c:formatCode>
                <c:ptCount val="5"/>
                <c:pt idx="3">
                  <c:v>505662.16</c:v>
                </c:pt>
                <c:pt idx="4">
                  <c:v>1205907.27</c:v>
                </c:pt>
              </c:numCache>
            </c:numRef>
          </c:val>
        </c:ser>
        <c:ser>
          <c:idx val="6"/>
          <c:order val="6"/>
          <c:tx>
            <c:strRef>
              <c:f>'PROGRAMAS POR ZONA'!$H$4:$H$5</c:f>
              <c:strCache>
                <c:ptCount val="1"/>
                <c:pt idx="0">
                  <c:v>OBRAS DE ARTE Y SEÑALIZACION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'PROGRAMAS POR ZONA'!$A$6:$A$11</c:f>
              <c:strCache>
                <c:ptCount val="5"/>
                <c:pt idx="0">
                  <c:v>ZONA1</c:v>
                </c:pt>
                <c:pt idx="1">
                  <c:v>ZONA2</c:v>
                </c:pt>
                <c:pt idx="2">
                  <c:v>ZONA3</c:v>
                </c:pt>
                <c:pt idx="3">
                  <c:v>ZONA4</c:v>
                </c:pt>
                <c:pt idx="4">
                  <c:v>ZONA4 - ST</c:v>
                </c:pt>
              </c:strCache>
            </c:strRef>
          </c:cat>
          <c:val>
            <c:numRef>
              <c:f>'PROGRAMAS POR ZONA'!$H$6:$H$11</c:f>
              <c:numCache>
                <c:formatCode>"$"\ #,##0.00</c:formatCode>
                <c:ptCount val="5"/>
                <c:pt idx="0">
                  <c:v>17934.11</c:v>
                </c:pt>
                <c:pt idx="3">
                  <c:v>809288.37999999989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gapDepth val="95"/>
        <c:shape val="pyramid"/>
        <c:axId val="126603264"/>
        <c:axId val="126604800"/>
        <c:axId val="0"/>
      </c:bar3DChart>
      <c:catAx>
        <c:axId val="1266032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2400"/>
            </a:pPr>
            <a:endParaRPr lang="es-EC"/>
          </a:p>
        </c:txPr>
        <c:crossAx val="126604800"/>
        <c:crosses val="autoZero"/>
        <c:auto val="1"/>
        <c:lblAlgn val="ctr"/>
        <c:lblOffset val="100"/>
        <c:noMultiLvlLbl val="0"/>
      </c:catAx>
      <c:valAx>
        <c:axId val="126604800"/>
        <c:scaling>
          <c:orientation val="minMax"/>
        </c:scaling>
        <c:delete val="0"/>
        <c:axPos val="l"/>
        <c:majorGridlines/>
        <c:numFmt formatCode="&quot;$&quot;\ #,##0.00" sourceLinked="1"/>
        <c:majorTickMark val="none"/>
        <c:minorTickMark val="none"/>
        <c:tickLblPos val="nextTo"/>
        <c:crossAx val="1266032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600"/>
            </a:pPr>
            <a:endParaRPr lang="es-EC"/>
          </a:p>
        </c:txPr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  <c:userShapes r:id="rId1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7.png"/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332</xdr:row>
      <xdr:rowOff>71717</xdr:rowOff>
    </xdr:from>
    <xdr:to>
      <xdr:col>2</xdr:col>
      <xdr:colOff>672352</xdr:colOff>
      <xdr:row>337</xdr:row>
      <xdr:rowOff>10886</xdr:rowOff>
    </xdr:to>
    <xdr:sp macro="" textlink="">
      <xdr:nvSpPr>
        <xdr:cNvPr id="2" name="1 CuadroTexto"/>
        <xdr:cNvSpPr txBox="1"/>
      </xdr:nvSpPr>
      <xdr:spPr>
        <a:xfrm>
          <a:off x="0" y="64719797"/>
          <a:ext cx="3522232" cy="8535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C" sz="900"/>
            <a:t>elaboro:</a:t>
          </a:r>
        </a:p>
        <a:p>
          <a:r>
            <a:rPr lang="es-EC" sz="900"/>
            <a:t>Ing. Jorge M.</a:t>
          </a:r>
          <a:r>
            <a:rPr lang="es-EC" sz="900" baseline="0"/>
            <a:t> Ordóñez Orellana</a:t>
          </a:r>
        </a:p>
        <a:p>
          <a:r>
            <a:rPr lang="es-EC" sz="900" baseline="0"/>
            <a:t>Técnico especialista en Proyectos de la Gerencia Técnica </a:t>
          </a:r>
        </a:p>
        <a:p>
          <a:r>
            <a:rPr lang="es-EC" sz="900" baseline="0"/>
            <a:t>VIALSUR.EP</a:t>
          </a:r>
          <a:r>
            <a:rPr lang="es-EC" sz="900"/>
            <a:t> </a:t>
          </a:r>
        </a:p>
        <a:p>
          <a:endParaRPr lang="es-EC" sz="900"/>
        </a:p>
        <a:p>
          <a:endParaRPr lang="es-EC" sz="900"/>
        </a:p>
      </xdr:txBody>
    </xdr:sp>
    <xdr:clientData/>
  </xdr:twoCellAnchor>
  <xdr:twoCellAnchor editAs="oneCell">
    <xdr:from>
      <xdr:col>0</xdr:col>
      <xdr:colOff>195943</xdr:colOff>
      <xdr:row>1</xdr:row>
      <xdr:rowOff>119743</xdr:rowOff>
    </xdr:from>
    <xdr:to>
      <xdr:col>0</xdr:col>
      <xdr:colOff>990600</xdr:colOff>
      <xdr:row>5</xdr:row>
      <xdr:rowOff>239848</xdr:rowOff>
    </xdr:to>
    <xdr:pic>
      <xdr:nvPicPr>
        <xdr:cNvPr id="3" name="2 Imagen" descr="C:\Users\vialidad - prefect\Downloads\Vialidad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943" y="302623"/>
          <a:ext cx="794657" cy="12631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962890</xdr:colOff>
      <xdr:row>181</xdr:row>
      <xdr:rowOff>83127</xdr:rowOff>
    </xdr:from>
    <xdr:to>
      <xdr:col>3</xdr:col>
      <xdr:colOff>668975</xdr:colOff>
      <xdr:row>207</xdr:row>
      <xdr:rowOff>31666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54428</xdr:colOff>
      <xdr:row>6</xdr:row>
      <xdr:rowOff>15241</xdr:rowOff>
    </xdr:from>
    <xdr:to>
      <xdr:col>3</xdr:col>
      <xdr:colOff>1163684</xdr:colOff>
      <xdr:row>44</xdr:row>
      <xdr:rowOff>76199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220979</xdr:colOff>
      <xdr:row>12</xdr:row>
      <xdr:rowOff>91440</xdr:rowOff>
    </xdr:from>
    <xdr:to>
      <xdr:col>10</xdr:col>
      <xdr:colOff>1466850</xdr:colOff>
      <xdr:row>64</xdr:row>
      <xdr:rowOff>76200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0.27938</cdr:x>
      <cdr:y>0.02916</cdr:y>
    </cdr:from>
    <cdr:to>
      <cdr:x>0.82612</cdr:x>
      <cdr:y>0.27287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172223" y="158931"/>
          <a:ext cx="6207997" cy="13280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C" sz="1600" b="1"/>
            <a:t>EJECUCION DE OBRAS VIALSUR </a:t>
          </a:r>
        </a:p>
        <a:p xmlns:a="http://schemas.openxmlformats.org/drawingml/2006/main">
          <a:pPr algn="ctr"/>
          <a:r>
            <a:rPr lang="es-EC" sz="1600" b="1"/>
            <a:t>ENERO A NOVIEMBRE/2014 $ 9 494 465.80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144780</xdr:colOff>
      <xdr:row>4</xdr:row>
      <xdr:rowOff>76200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83820"/>
          <a:ext cx="624840" cy="5257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144780</xdr:colOff>
      <xdr:row>66</xdr:row>
      <xdr:rowOff>76200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2072640"/>
          <a:ext cx="6248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2</xdr:col>
      <xdr:colOff>144780</xdr:colOff>
      <xdr:row>132</xdr:row>
      <xdr:rowOff>76200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2072640"/>
          <a:ext cx="6248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2</xdr:col>
      <xdr:colOff>144780</xdr:colOff>
      <xdr:row>202</xdr:row>
      <xdr:rowOff>76200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2072640"/>
          <a:ext cx="6248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2</xdr:col>
      <xdr:colOff>144780</xdr:colOff>
      <xdr:row>260</xdr:row>
      <xdr:rowOff>76200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2453640"/>
          <a:ext cx="6248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2</xdr:col>
      <xdr:colOff>144780</xdr:colOff>
      <xdr:row>306</xdr:row>
      <xdr:rowOff>76200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4739640"/>
          <a:ext cx="6248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332</xdr:row>
      <xdr:rowOff>0</xdr:rowOff>
    </xdr:from>
    <xdr:to>
      <xdr:col>2</xdr:col>
      <xdr:colOff>144780</xdr:colOff>
      <xdr:row>335</xdr:row>
      <xdr:rowOff>76200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5882640"/>
          <a:ext cx="6248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364</xdr:row>
      <xdr:rowOff>0</xdr:rowOff>
    </xdr:from>
    <xdr:to>
      <xdr:col>2</xdr:col>
      <xdr:colOff>144780</xdr:colOff>
      <xdr:row>367</xdr:row>
      <xdr:rowOff>76200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7406640"/>
          <a:ext cx="6248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399</xdr:row>
      <xdr:rowOff>0</xdr:rowOff>
    </xdr:from>
    <xdr:to>
      <xdr:col>2</xdr:col>
      <xdr:colOff>144780</xdr:colOff>
      <xdr:row>402</xdr:row>
      <xdr:rowOff>76200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8930640"/>
          <a:ext cx="6248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431</xdr:row>
      <xdr:rowOff>0</xdr:rowOff>
    </xdr:from>
    <xdr:to>
      <xdr:col>2</xdr:col>
      <xdr:colOff>144780</xdr:colOff>
      <xdr:row>434</xdr:row>
      <xdr:rowOff>76200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10454640"/>
          <a:ext cx="6248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458</xdr:row>
      <xdr:rowOff>0</xdr:rowOff>
    </xdr:from>
    <xdr:to>
      <xdr:col>2</xdr:col>
      <xdr:colOff>144780</xdr:colOff>
      <xdr:row>461</xdr:row>
      <xdr:rowOff>76200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10835640"/>
          <a:ext cx="6248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515</xdr:row>
      <xdr:rowOff>0</xdr:rowOff>
    </xdr:from>
    <xdr:to>
      <xdr:col>2</xdr:col>
      <xdr:colOff>144780</xdr:colOff>
      <xdr:row>518</xdr:row>
      <xdr:rowOff>76200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11216640"/>
          <a:ext cx="6248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539</xdr:row>
      <xdr:rowOff>0</xdr:rowOff>
    </xdr:from>
    <xdr:to>
      <xdr:col>2</xdr:col>
      <xdr:colOff>144780</xdr:colOff>
      <xdr:row>542</xdr:row>
      <xdr:rowOff>76200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11216640"/>
          <a:ext cx="6248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564</xdr:row>
      <xdr:rowOff>0</xdr:rowOff>
    </xdr:from>
    <xdr:to>
      <xdr:col>2</xdr:col>
      <xdr:colOff>144780</xdr:colOff>
      <xdr:row>567</xdr:row>
      <xdr:rowOff>76200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11216640"/>
          <a:ext cx="6248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599</xdr:row>
      <xdr:rowOff>0</xdr:rowOff>
    </xdr:from>
    <xdr:to>
      <xdr:col>2</xdr:col>
      <xdr:colOff>144780</xdr:colOff>
      <xdr:row>602</xdr:row>
      <xdr:rowOff>76200</xdr:rowOff>
    </xdr:to>
    <xdr:pic>
      <xdr:nvPicPr>
        <xdr:cNvPr id="16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11597640"/>
          <a:ext cx="6248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624</xdr:row>
      <xdr:rowOff>0</xdr:rowOff>
    </xdr:from>
    <xdr:to>
      <xdr:col>2</xdr:col>
      <xdr:colOff>144780</xdr:colOff>
      <xdr:row>627</xdr:row>
      <xdr:rowOff>76200</xdr:rowOff>
    </xdr:to>
    <xdr:pic>
      <xdr:nvPicPr>
        <xdr:cNvPr id="17" name="Imagen 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11978640"/>
          <a:ext cx="6248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652</xdr:row>
      <xdr:rowOff>0</xdr:rowOff>
    </xdr:from>
    <xdr:to>
      <xdr:col>2</xdr:col>
      <xdr:colOff>144780</xdr:colOff>
      <xdr:row>655</xdr:row>
      <xdr:rowOff>76200</xdr:rowOff>
    </xdr:to>
    <xdr:pic>
      <xdr:nvPicPr>
        <xdr:cNvPr id="18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12359640"/>
          <a:ext cx="6248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680</xdr:row>
      <xdr:rowOff>0</xdr:rowOff>
    </xdr:from>
    <xdr:to>
      <xdr:col>2</xdr:col>
      <xdr:colOff>144780</xdr:colOff>
      <xdr:row>683</xdr:row>
      <xdr:rowOff>76200</xdr:rowOff>
    </xdr:to>
    <xdr:pic>
      <xdr:nvPicPr>
        <xdr:cNvPr id="19" name="Imagen 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12740640"/>
          <a:ext cx="6248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708</xdr:row>
      <xdr:rowOff>0</xdr:rowOff>
    </xdr:from>
    <xdr:to>
      <xdr:col>2</xdr:col>
      <xdr:colOff>144780</xdr:colOff>
      <xdr:row>711</xdr:row>
      <xdr:rowOff>76200</xdr:rowOff>
    </xdr:to>
    <xdr:pic>
      <xdr:nvPicPr>
        <xdr:cNvPr id="20" name="Imagen 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13121640"/>
          <a:ext cx="6248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739</xdr:row>
      <xdr:rowOff>0</xdr:rowOff>
    </xdr:from>
    <xdr:to>
      <xdr:col>2</xdr:col>
      <xdr:colOff>144780</xdr:colOff>
      <xdr:row>742</xdr:row>
      <xdr:rowOff>76200</xdr:rowOff>
    </xdr:to>
    <xdr:pic>
      <xdr:nvPicPr>
        <xdr:cNvPr id="21" name="Imagen 2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13502640"/>
          <a:ext cx="6248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775</xdr:row>
      <xdr:rowOff>0</xdr:rowOff>
    </xdr:from>
    <xdr:to>
      <xdr:col>2</xdr:col>
      <xdr:colOff>144780</xdr:colOff>
      <xdr:row>778</xdr:row>
      <xdr:rowOff>76200</xdr:rowOff>
    </xdr:to>
    <xdr:pic>
      <xdr:nvPicPr>
        <xdr:cNvPr id="22" name="Imagen 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19103340"/>
          <a:ext cx="624840" cy="5257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844</xdr:row>
      <xdr:rowOff>0</xdr:rowOff>
    </xdr:from>
    <xdr:to>
      <xdr:col>2</xdr:col>
      <xdr:colOff>144780</xdr:colOff>
      <xdr:row>847</xdr:row>
      <xdr:rowOff>76200</xdr:rowOff>
    </xdr:to>
    <xdr:pic>
      <xdr:nvPicPr>
        <xdr:cNvPr id="23" name="Imagen 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27439620"/>
          <a:ext cx="624840" cy="5257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900</xdr:row>
      <xdr:rowOff>0</xdr:rowOff>
    </xdr:from>
    <xdr:to>
      <xdr:col>2</xdr:col>
      <xdr:colOff>144780</xdr:colOff>
      <xdr:row>903</xdr:row>
      <xdr:rowOff>76200</xdr:rowOff>
    </xdr:to>
    <xdr:pic>
      <xdr:nvPicPr>
        <xdr:cNvPr id="24" name="Imagen 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35585400"/>
          <a:ext cx="624840" cy="5257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369126</xdr:colOff>
      <xdr:row>1</xdr:row>
      <xdr:rowOff>78277</xdr:rowOff>
    </xdr:from>
    <xdr:to>
      <xdr:col>15</xdr:col>
      <xdr:colOff>596735</xdr:colOff>
      <xdr:row>36</xdr:row>
      <xdr:rowOff>69271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571500</xdr:colOff>
      <xdr:row>3</xdr:row>
      <xdr:rowOff>522255</xdr:rowOff>
    </xdr:from>
    <xdr:to>
      <xdr:col>20</xdr:col>
      <xdr:colOff>1314450</xdr:colOff>
      <xdr:row>3</xdr:row>
      <xdr:rowOff>876300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1100" y="1436655"/>
          <a:ext cx="2228850" cy="354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391886</xdr:colOff>
      <xdr:row>0</xdr:row>
      <xdr:rowOff>206827</xdr:rowOff>
    </xdr:from>
    <xdr:to>
      <xdr:col>23</xdr:col>
      <xdr:colOff>1676400</xdr:colOff>
      <xdr:row>9</xdr:row>
      <xdr:rowOff>366155</xdr:rowOff>
    </xdr:to>
    <xdr:pic>
      <xdr:nvPicPr>
        <xdr:cNvPr id="6" name="7 Imagen" descr="C:\Users\vialidad - prefect\Downloads\Vialidad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13515" y="206827"/>
          <a:ext cx="1284514" cy="176348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16</xdr:col>
      <xdr:colOff>571500</xdr:colOff>
      <xdr:row>3</xdr:row>
      <xdr:rowOff>522255</xdr:rowOff>
    </xdr:from>
    <xdr:to>
      <xdr:col>20</xdr:col>
      <xdr:colOff>1314450</xdr:colOff>
      <xdr:row>3</xdr:row>
      <xdr:rowOff>876300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3480" y="1307115"/>
          <a:ext cx="2236470" cy="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11</xdr:row>
      <xdr:rowOff>142875</xdr:rowOff>
    </xdr:from>
    <xdr:to>
      <xdr:col>10</xdr:col>
      <xdr:colOff>57150</xdr:colOff>
      <xdr:row>32</xdr:row>
      <xdr:rowOff>175932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661044</xdr:colOff>
      <xdr:row>14</xdr:row>
      <xdr:rowOff>121739</xdr:rowOff>
    </xdr:from>
    <xdr:to>
      <xdr:col>15</xdr:col>
      <xdr:colOff>18440</xdr:colOff>
      <xdr:row>16</xdr:row>
      <xdr:rowOff>200248</xdr:rowOff>
    </xdr:to>
    <xdr:sp macro="" textlink="$B$13">
      <xdr:nvSpPr>
        <xdr:cNvPr id="3" name="2 CuadroTexto"/>
        <xdr:cNvSpPr txBox="1"/>
      </xdr:nvSpPr>
      <xdr:spPr>
        <a:xfrm>
          <a:off x="18206094" y="3093539"/>
          <a:ext cx="1757696" cy="53570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fld id="{FDDC7377-88BB-4E8D-98F7-242D217C1848}" type="TxLink">
            <a:rPr lang="en-US" sz="1200" b="1" i="0" u="none" strike="noStrike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/>
              <a:latin typeface="Calibri"/>
              <a:cs typeface="Arial"/>
            </a:rPr>
            <a:pPr algn="ctr"/>
            <a:t>ASFALTO</a:t>
          </a:fld>
          <a:endParaRPr lang="en-US" sz="10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/>
          </a:endParaRPr>
        </a:p>
      </xdr:txBody>
    </xdr:sp>
    <xdr:clientData/>
  </xdr:twoCellAnchor>
  <xdr:twoCellAnchor editAs="oneCell">
    <xdr:from>
      <xdr:col>5</xdr:col>
      <xdr:colOff>561975</xdr:colOff>
      <xdr:row>13</xdr:row>
      <xdr:rowOff>28575</xdr:rowOff>
    </xdr:from>
    <xdr:to>
      <xdr:col>6</xdr:col>
      <xdr:colOff>681110</xdr:colOff>
      <xdr:row>13</xdr:row>
      <xdr:rowOff>182852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43875" y="2367915"/>
          <a:ext cx="1071636" cy="157048"/>
        </a:xfrm>
        <a:prstGeom prst="rect">
          <a:avLst/>
        </a:prstGeom>
      </xdr:spPr>
    </xdr:pic>
    <xdr:clientData/>
  </xdr:twoCellAnchor>
  <xdr:twoCellAnchor>
    <xdr:from>
      <xdr:col>2</xdr:col>
      <xdr:colOff>124689</xdr:colOff>
      <xdr:row>36</xdr:row>
      <xdr:rowOff>138544</xdr:rowOff>
    </xdr:from>
    <xdr:to>
      <xdr:col>16</xdr:col>
      <xdr:colOff>360218</xdr:colOff>
      <xdr:row>61</xdr:row>
      <xdr:rowOff>69273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388620</xdr:colOff>
      <xdr:row>0</xdr:row>
      <xdr:rowOff>53340</xdr:rowOff>
    </xdr:from>
    <xdr:to>
      <xdr:col>1</xdr:col>
      <xdr:colOff>452718</xdr:colOff>
      <xdr:row>4</xdr:row>
      <xdr:rowOff>296988</xdr:rowOff>
    </xdr:to>
    <xdr:pic>
      <xdr:nvPicPr>
        <xdr:cNvPr id="2" name="1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35" t="8452" r="28427" b="40924"/>
        <a:stretch/>
      </xdr:blipFill>
      <xdr:spPr bwMode="auto">
        <a:xfrm>
          <a:off x="0" y="53340"/>
          <a:ext cx="684584" cy="118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290</xdr:row>
      <xdr:rowOff>71717</xdr:rowOff>
    </xdr:from>
    <xdr:to>
      <xdr:col>2</xdr:col>
      <xdr:colOff>672352</xdr:colOff>
      <xdr:row>295</xdr:row>
      <xdr:rowOff>10886</xdr:rowOff>
    </xdr:to>
    <xdr:sp macro="" textlink="">
      <xdr:nvSpPr>
        <xdr:cNvPr id="2" name="1 CuadroTexto"/>
        <xdr:cNvSpPr txBox="1"/>
      </xdr:nvSpPr>
      <xdr:spPr>
        <a:xfrm>
          <a:off x="0" y="98652746"/>
          <a:ext cx="3317581" cy="8644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C" sz="900"/>
            <a:t>elaboro:</a:t>
          </a:r>
        </a:p>
        <a:p>
          <a:r>
            <a:rPr lang="es-EC" sz="900"/>
            <a:t>Ing. Jorge M.</a:t>
          </a:r>
          <a:r>
            <a:rPr lang="es-EC" sz="900" baseline="0"/>
            <a:t> Ordóñez Orellana</a:t>
          </a:r>
        </a:p>
        <a:p>
          <a:r>
            <a:rPr lang="es-EC" sz="900" baseline="0"/>
            <a:t>Técnico especialista en Proyectos de la Gerencia Técnica </a:t>
          </a:r>
        </a:p>
        <a:p>
          <a:r>
            <a:rPr lang="es-EC" sz="900" baseline="0"/>
            <a:t>VIALSUR.EP</a:t>
          </a:r>
          <a:r>
            <a:rPr lang="es-EC" sz="900"/>
            <a:t> </a:t>
          </a:r>
        </a:p>
        <a:p>
          <a:endParaRPr lang="es-EC" sz="900"/>
        </a:p>
        <a:p>
          <a:endParaRPr lang="es-EC" sz="900"/>
        </a:p>
      </xdr:txBody>
    </xdr:sp>
    <xdr:clientData/>
  </xdr:twoCellAnchor>
  <xdr:twoCellAnchor editAs="oneCell">
    <xdr:from>
      <xdr:col>0</xdr:col>
      <xdr:colOff>54428</xdr:colOff>
      <xdr:row>1</xdr:row>
      <xdr:rowOff>130629</xdr:rowOff>
    </xdr:from>
    <xdr:to>
      <xdr:col>0</xdr:col>
      <xdr:colOff>609599</xdr:colOff>
      <xdr:row>4</xdr:row>
      <xdr:rowOff>76200</xdr:rowOff>
    </xdr:to>
    <xdr:pic>
      <xdr:nvPicPr>
        <xdr:cNvPr id="4" name="3 Imagen" descr="C:\Users\vialidad - prefect\Downloads\Vialidad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" y="315686"/>
          <a:ext cx="555171" cy="914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62434</xdr:colOff>
      <xdr:row>0</xdr:row>
      <xdr:rowOff>220116</xdr:rowOff>
    </xdr:from>
    <xdr:to>
      <xdr:col>1</xdr:col>
      <xdr:colOff>17318</xdr:colOff>
      <xdr:row>4</xdr:row>
      <xdr:rowOff>225137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34" y="220116"/>
          <a:ext cx="457804" cy="1201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603717</xdr:colOff>
      <xdr:row>7</xdr:row>
      <xdr:rowOff>267138</xdr:rowOff>
    </xdr:from>
    <xdr:to>
      <xdr:col>11</xdr:col>
      <xdr:colOff>200305</xdr:colOff>
      <xdr:row>8</xdr:row>
      <xdr:rowOff>185328</xdr:rowOff>
    </xdr:to>
    <xdr:pic>
      <xdr:nvPicPr>
        <xdr:cNvPr id="3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9820" y="2415978"/>
          <a:ext cx="0" cy="24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79</xdr:row>
      <xdr:rowOff>0</xdr:rowOff>
    </xdr:from>
    <xdr:to>
      <xdr:col>7</xdr:col>
      <xdr:colOff>66675</xdr:colOff>
      <xdr:row>82</xdr:row>
      <xdr:rowOff>28575</xdr:rowOff>
    </xdr:to>
    <xdr:sp macro="" textlink="">
      <xdr:nvSpPr>
        <xdr:cNvPr id="2" name="37 Cuadro de texto"/>
        <xdr:cNvSpPr txBox="1">
          <a:spLocks/>
        </xdr:cNvSpPr>
      </xdr:nvSpPr>
      <xdr:spPr bwMode="auto">
        <a:xfrm>
          <a:off x="0" y="13449300"/>
          <a:ext cx="5648325" cy="514350"/>
        </a:xfrm>
        <a:prstGeom prst="rect">
          <a:avLst/>
        </a:prstGeom>
        <a:solidFill>
          <a:srgbClr val="FFFFFF"/>
        </a:solidFill>
        <a:ln w="63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000"/>
            </a:lnSpc>
            <a:defRPr sz="1000"/>
          </a:pPr>
          <a:r>
            <a:rPr lang="es-EC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ELABORADO POR:</a:t>
          </a:r>
          <a:r>
            <a:rPr lang="es-EC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LA AUTORA</a:t>
          </a:r>
          <a:endParaRPr lang="es-EC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s-EC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FUENTE:</a:t>
          </a:r>
          <a:r>
            <a:rPr lang="es-EC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ESTADOS FINANCIEROS</a:t>
          </a:r>
        </a:p>
      </xdr:txBody>
    </xdr:sp>
    <xdr:clientData/>
  </xdr:twoCellAnchor>
  <xdr:twoCellAnchor>
    <xdr:from>
      <xdr:col>12</xdr:col>
      <xdr:colOff>323850</xdr:colOff>
      <xdr:row>15</xdr:row>
      <xdr:rowOff>0</xdr:rowOff>
    </xdr:from>
    <xdr:to>
      <xdr:col>22</xdr:col>
      <xdr:colOff>542925</xdr:colOff>
      <xdr:row>45</xdr:row>
      <xdr:rowOff>142875</xdr:rowOff>
    </xdr:to>
    <xdr:graphicFrame macro="">
      <xdr:nvGraphicFramePr>
        <xdr:cNvPr id="3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47625</xdr:colOff>
      <xdr:row>157</xdr:row>
      <xdr:rowOff>161925</xdr:rowOff>
    </xdr:from>
    <xdr:to>
      <xdr:col>20</xdr:col>
      <xdr:colOff>504825</xdr:colOff>
      <xdr:row>175</xdr:row>
      <xdr:rowOff>190500</xdr:rowOff>
    </xdr:to>
    <xdr:graphicFrame macro="">
      <xdr:nvGraphicFramePr>
        <xdr:cNvPr id="2" name="Chart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742950</xdr:colOff>
      <xdr:row>21</xdr:row>
      <xdr:rowOff>38100</xdr:rowOff>
    </xdr:from>
    <xdr:to>
      <xdr:col>21</xdr:col>
      <xdr:colOff>742950</xdr:colOff>
      <xdr:row>32</xdr:row>
      <xdr:rowOff>38100</xdr:rowOff>
    </xdr:to>
    <xdr:graphicFrame macro="">
      <xdr:nvGraphicFramePr>
        <xdr:cNvPr id="3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720435</xdr:colOff>
      <xdr:row>4</xdr:row>
      <xdr:rowOff>160305</xdr:rowOff>
    </xdr:from>
    <xdr:to>
      <xdr:col>21</xdr:col>
      <xdr:colOff>1330036</xdr:colOff>
      <xdr:row>5</xdr:row>
      <xdr:rowOff>224121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9215" y="1356645"/>
          <a:ext cx="1729741" cy="368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653142</xdr:colOff>
      <xdr:row>13</xdr:row>
      <xdr:rowOff>114300</xdr:rowOff>
    </xdr:from>
    <xdr:to>
      <xdr:col>21</xdr:col>
      <xdr:colOff>457199</xdr:colOff>
      <xdr:row>26</xdr:row>
      <xdr:rowOff>163286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555714</xdr:colOff>
      <xdr:row>19</xdr:row>
      <xdr:rowOff>96345</xdr:rowOff>
    </xdr:from>
    <xdr:to>
      <xdr:col>11</xdr:col>
      <xdr:colOff>653142</xdr:colOff>
      <xdr:row>19</xdr:row>
      <xdr:rowOff>587830</xdr:rowOff>
    </xdr:to>
    <xdr:sp macro="" textlink="">
      <xdr:nvSpPr>
        <xdr:cNvPr id="3" name="2 Abrir llave"/>
        <xdr:cNvSpPr/>
      </xdr:nvSpPr>
      <xdr:spPr>
        <a:xfrm rot="5400000">
          <a:off x="9279528" y="4903474"/>
          <a:ext cx="491485" cy="248140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>
    <xdr:from>
      <xdr:col>8</xdr:col>
      <xdr:colOff>599794</xdr:colOff>
      <xdr:row>18</xdr:row>
      <xdr:rowOff>157843</xdr:rowOff>
    </xdr:from>
    <xdr:to>
      <xdr:col>11</xdr:col>
      <xdr:colOff>767434</xdr:colOff>
      <xdr:row>18</xdr:row>
      <xdr:rowOff>847998</xdr:rowOff>
    </xdr:to>
    <xdr:sp macro="" textlink="">
      <xdr:nvSpPr>
        <xdr:cNvPr id="4" name="3 CuadroTexto"/>
        <xdr:cNvSpPr txBox="1"/>
      </xdr:nvSpPr>
      <xdr:spPr>
        <a:xfrm>
          <a:off x="8328651" y="5078186"/>
          <a:ext cx="2551612" cy="6901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C" sz="1400"/>
            <a:t>avance fisico 85 % previsto</a:t>
          </a:r>
          <a:r>
            <a:rPr lang="es-EC" sz="1400" baseline="0"/>
            <a:t> hasta el 20 de diciembre/2014</a:t>
          </a:r>
          <a:endParaRPr lang="es-EC" sz="14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7</xdr:row>
      <xdr:rowOff>0</xdr:rowOff>
    </xdr:from>
    <xdr:to>
      <xdr:col>3</xdr:col>
      <xdr:colOff>205740</xdr:colOff>
      <xdr:row>24</xdr:row>
      <xdr:rowOff>160020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0.06099</cdr:x>
      <cdr:y>0.01952</cdr:y>
    </cdr:from>
    <cdr:to>
      <cdr:x>0.57939</cdr:x>
      <cdr:y>0.08894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41960" y="68580"/>
          <a:ext cx="3756660" cy="243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C" sz="1400" b="1"/>
            <a:t>PROYECTOS EMBLEMATICOS AÑO 2014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380999</xdr:colOff>
      <xdr:row>13</xdr:row>
      <xdr:rowOff>65315</xdr:rowOff>
    </xdr:from>
    <xdr:to>
      <xdr:col>5</xdr:col>
      <xdr:colOff>6531</xdr:colOff>
      <xdr:row>45</xdr:row>
      <xdr:rowOff>108858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ALENTO%20HUMANO%20VIALSUR%20EP/VIVIANA%20TALENTO%20HUMANO%20VIALSUR%20EP/Users/usuario/Documents/Jorge%20M%20%20Ord&#243;&#241;ez%20O/Desktop/agenda%201798/para%20alcantarillas/PRRESUPUESTO%20VIALSUR%20EP%20BDE%20ALCANTARILL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AONA\jorge\Mis%20documentos\tesi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alidad%20-%20prefect/Desktop/VIALIDAD%20FR/planillas%202014/noviembre/resumen%20planillas%20MACARA%20SAUCILLO%20Y%20CELICA%20POZUL%20PIND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alidad%20-%20prefect/Desktop/VIALIDAD%20FR/planillas%202014/abril/Planilla%20VIALSUR.EP%20abril%2020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alidad%20-%20prefect/Desktop/VIALIDAD%20FR/planillas%202014/agosto/PLANILLA%20JULI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alidad%20-%20prefect/Desktop/VIALIDAD%20FR/presupuesto%20poa/poa2015/CONSOLIDADO%20APORTE%20DE%20LAS%20JUNTA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alidad%20-%20prefect/Desktop/VIALIDAD%20FR/presentaciones%20juntas%20parroquiales/APORTES%20PERSONAL%20COMBUSTIBLE%20Y%20SUPLEMENTARIAS/PARA%20SOCIALIZACION/LOJA/CONSOLIDADOgrupo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U.HCPL"/>
      <sheetName val="RUBROS"/>
      <sheetName val="ANALISIS"/>
      <sheetName val="PRESUPUESTO"/>
      <sheetName val="CRONOGRAMA"/>
      <sheetName val="MAT"/>
      <sheetName val="SALARIOS EN DOLARES"/>
      <sheetName val="EQUIPO"/>
      <sheetName val="LISTMAT"/>
      <sheetName val="LIST_M.OBRA"/>
      <sheetName val="LIST_EQUIPO"/>
      <sheetName val="LISTA_TRANSPORTE"/>
      <sheetName val="SIMBOLOS POLINÓMICA "/>
      <sheetName val="COSTO-ANEXOS"/>
      <sheetName val="TRANSPORTE"/>
      <sheetName val="JUSTIFICATIVO1"/>
      <sheetName val="JUSTIFICATIVO2"/>
      <sheetName val="RESUMEN"/>
      <sheetName val="Informe de compatibilidad"/>
    </sheetNames>
    <sheetDataSet>
      <sheetData sheetId="0"/>
      <sheetData sheetId="1">
        <row r="6">
          <cell r="A6">
            <v>1</v>
          </cell>
          <cell r="E6" t="str">
            <v>ACABADO DE LA OBRA BASICA EXISTENTE</v>
          </cell>
          <cell r="F6">
            <v>0</v>
          </cell>
          <cell r="G6" t="str">
            <v>M2</v>
          </cell>
          <cell r="H6">
            <v>600</v>
          </cell>
          <cell r="I6">
            <v>3202</v>
          </cell>
          <cell r="J6">
            <v>5.0000000000000001E-4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52</v>
          </cell>
          <cell r="AX6">
            <v>1</v>
          </cell>
          <cell r="AY6">
            <v>73</v>
          </cell>
          <cell r="AZ6">
            <v>1</v>
          </cell>
          <cell r="BA6">
            <v>98</v>
          </cell>
          <cell r="BB6">
            <v>1</v>
          </cell>
          <cell r="BC6">
            <v>94</v>
          </cell>
          <cell r="BD6">
            <v>2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52</v>
          </cell>
          <cell r="CL6">
            <v>1</v>
          </cell>
          <cell r="CM6">
            <v>53</v>
          </cell>
          <cell r="CN6">
            <v>1</v>
          </cell>
          <cell r="CO6">
            <v>54</v>
          </cell>
          <cell r="CP6">
            <v>1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</row>
        <row r="7">
          <cell r="A7">
            <v>2</v>
          </cell>
          <cell r="E7" t="str">
            <v>ACERA e=25 cm.</v>
          </cell>
          <cell r="F7">
            <v>0</v>
          </cell>
          <cell r="G7" t="str">
            <v>M</v>
          </cell>
          <cell r="H7">
            <v>0.8</v>
          </cell>
          <cell r="I7">
            <v>1</v>
          </cell>
          <cell r="J7">
            <v>3.9E-2</v>
          </cell>
          <cell r="K7">
            <v>2</v>
          </cell>
          <cell r="L7">
            <v>5.6999999999999995E-2</v>
          </cell>
          <cell r="M7">
            <v>4</v>
          </cell>
          <cell r="N7">
            <v>1.3559999999999999E-2</v>
          </cell>
          <cell r="O7">
            <v>5</v>
          </cell>
          <cell r="P7">
            <v>20.07</v>
          </cell>
          <cell r="Q7">
            <v>104</v>
          </cell>
          <cell r="R7">
            <v>3.2941176470588234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W7">
            <v>1</v>
          </cell>
          <cell r="AX7">
            <v>4</v>
          </cell>
          <cell r="AY7">
            <v>3</v>
          </cell>
          <cell r="AZ7">
            <v>1</v>
          </cell>
          <cell r="BA7">
            <v>13</v>
          </cell>
          <cell r="BB7">
            <v>1</v>
          </cell>
          <cell r="BC7">
            <v>37</v>
          </cell>
          <cell r="BD7">
            <v>0.25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CK7">
            <v>1</v>
          </cell>
          <cell r="CL7">
            <v>0</v>
          </cell>
          <cell r="CM7">
            <v>3</v>
          </cell>
          <cell r="CN7">
            <v>0.5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DY7">
            <v>1</v>
          </cell>
          <cell r="DZ7">
            <v>3.9E-2</v>
          </cell>
          <cell r="EA7">
            <v>60</v>
          </cell>
          <cell r="EB7">
            <v>24</v>
          </cell>
          <cell r="EC7">
            <v>2</v>
          </cell>
          <cell r="ED7">
            <v>5.7000000000000002E-2</v>
          </cell>
          <cell r="EE7">
            <v>20</v>
          </cell>
          <cell r="EF7">
            <v>24</v>
          </cell>
          <cell r="EG7">
            <v>5</v>
          </cell>
          <cell r="EH7">
            <v>20.07</v>
          </cell>
          <cell r="EI7">
            <v>17</v>
          </cell>
          <cell r="EJ7">
            <v>10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</row>
        <row r="8">
          <cell r="A8">
            <v>3</v>
          </cell>
          <cell r="E8" t="str">
            <v>ACERO DE REFUERZO fy=4200 Kg/cm2</v>
          </cell>
          <cell r="F8">
            <v>0</v>
          </cell>
          <cell r="G8" t="str">
            <v>Kg</v>
          </cell>
          <cell r="H8">
            <v>12.5</v>
          </cell>
          <cell r="I8">
            <v>62</v>
          </cell>
          <cell r="J8">
            <v>1.05</v>
          </cell>
          <cell r="K8">
            <v>63</v>
          </cell>
          <cell r="L8">
            <v>0.05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5</v>
          </cell>
          <cell r="AX8">
            <v>1</v>
          </cell>
          <cell r="AY8">
            <v>16</v>
          </cell>
          <cell r="AZ8">
            <v>1</v>
          </cell>
          <cell r="BA8">
            <v>30</v>
          </cell>
          <cell r="BB8">
            <v>0.1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1</v>
          </cell>
          <cell r="CL8">
            <v>0</v>
          </cell>
          <cell r="CM8">
            <v>27</v>
          </cell>
          <cell r="CN8">
            <v>1</v>
          </cell>
          <cell r="CO8">
            <v>26</v>
          </cell>
          <cell r="CP8">
            <v>1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</row>
        <row r="9">
          <cell r="A9">
            <v>4</v>
          </cell>
          <cell r="E9" t="str">
            <v>ADITIVO SIKATUR 32 (PERMITE PEGAR H°S° VIEJO CON NUEVO)</v>
          </cell>
          <cell r="F9">
            <v>0</v>
          </cell>
          <cell r="G9" t="str">
            <v>M2</v>
          </cell>
          <cell r="H9">
            <v>2</v>
          </cell>
          <cell r="I9">
            <v>2950</v>
          </cell>
          <cell r="J9">
            <v>0.5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3</v>
          </cell>
          <cell r="AX9">
            <v>1</v>
          </cell>
          <cell r="AY9">
            <v>35</v>
          </cell>
          <cell r="AZ9">
            <v>0.1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1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</row>
        <row r="10">
          <cell r="A10">
            <v>5</v>
          </cell>
          <cell r="E10" t="str">
            <v>AFICHAS INFORMATIVOS</v>
          </cell>
          <cell r="F10">
            <v>0</v>
          </cell>
          <cell r="G10" t="str">
            <v>U.</v>
          </cell>
          <cell r="H10">
            <v>1</v>
          </cell>
          <cell r="I10">
            <v>3203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1</v>
          </cell>
          <cell r="AX10">
            <v>0.1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</row>
        <row r="11">
          <cell r="A11">
            <v>6</v>
          </cell>
          <cell r="E11" t="str">
            <v>AGUA PARA CONTROL DE POLVO</v>
          </cell>
          <cell r="F11">
            <v>0</v>
          </cell>
          <cell r="G11" t="str">
            <v>M3</v>
          </cell>
          <cell r="H11">
            <v>10</v>
          </cell>
          <cell r="I11">
            <v>4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1</v>
          </cell>
          <cell r="AX11">
            <v>1</v>
          </cell>
          <cell r="AY11">
            <v>99</v>
          </cell>
          <cell r="AZ11">
            <v>1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54</v>
          </cell>
          <cell r="CL11">
            <v>1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</row>
        <row r="12">
          <cell r="A12">
            <v>7</v>
          </cell>
          <cell r="E12" t="str">
            <v>ALCANTANTARILLA METÁLICA GALVANIZADA CORRUGADA.PP-68, Ø=1.20 M e=2 mm (INC. SUMINISTRO, TRANSPORTE, INSTALACION, PERNOS, RECUBRIMIENTO ASFALTICO INTERIOR EXTERIOR)</v>
          </cell>
          <cell r="F12">
            <v>0</v>
          </cell>
          <cell r="G12" t="str">
            <v>M</v>
          </cell>
          <cell r="H12">
            <v>1</v>
          </cell>
          <cell r="I12">
            <v>3225</v>
          </cell>
          <cell r="J12">
            <v>1</v>
          </cell>
          <cell r="K12">
            <v>2904</v>
          </cell>
          <cell r="L12">
            <v>2.5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1</v>
          </cell>
          <cell r="AX12">
            <v>5</v>
          </cell>
          <cell r="AY12">
            <v>13</v>
          </cell>
          <cell r="AZ12">
            <v>1</v>
          </cell>
          <cell r="BA12">
            <v>35</v>
          </cell>
          <cell r="BB12">
            <v>0.1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</row>
        <row r="13">
          <cell r="A13">
            <v>8</v>
          </cell>
          <cell r="E13" t="str">
            <v>ALCANTANTARILLA METÁLICA GALVANIZADA CORRUGADA. PP-68, Ø=1.60 M e=3 mm (INC. SUMINISTRO, TRANSPORTE, PERNOS, RECUBRIMIENTO ASFALTICO INTERIOR EXTERIOR, INST. EN OBRA)</v>
          </cell>
          <cell r="F13">
            <v>0</v>
          </cell>
          <cell r="G13" t="str">
            <v>M</v>
          </cell>
          <cell r="H13">
            <v>1</v>
          </cell>
          <cell r="I13">
            <v>3196</v>
          </cell>
          <cell r="J13">
            <v>1</v>
          </cell>
          <cell r="K13">
            <v>2904</v>
          </cell>
          <cell r="L13">
            <v>3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1</v>
          </cell>
          <cell r="AX13">
            <v>6</v>
          </cell>
          <cell r="AY13">
            <v>13</v>
          </cell>
          <cell r="AZ13">
            <v>1</v>
          </cell>
          <cell r="BA13">
            <v>35</v>
          </cell>
          <cell r="BB13">
            <v>0.1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</row>
        <row r="14">
          <cell r="A14">
            <v>9</v>
          </cell>
          <cell r="E14" t="str">
            <v>ALCANTANTARILLA METÁLICA GALVANIZADA CORRUGADA. MP-100, Ø=1.80 M e=2.00 mm (INC. SUMINISTRO, TRANSPORTE, PERNOS, RECUBRIMIENTO ASFALTICO INTERIOR EXTERIOR, INST. EN OBRA)</v>
          </cell>
          <cell r="F14">
            <v>0</v>
          </cell>
          <cell r="G14" t="str">
            <v>M</v>
          </cell>
          <cell r="H14">
            <v>1</v>
          </cell>
          <cell r="I14">
            <v>3221</v>
          </cell>
          <cell r="J14">
            <v>1</v>
          </cell>
          <cell r="K14">
            <v>2904</v>
          </cell>
          <cell r="L14">
            <v>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1</v>
          </cell>
          <cell r="AX14">
            <v>6</v>
          </cell>
          <cell r="AY14">
            <v>13</v>
          </cell>
          <cell r="AZ14">
            <v>1</v>
          </cell>
          <cell r="BA14">
            <v>35</v>
          </cell>
          <cell r="BB14">
            <v>0.1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1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</row>
        <row r="15">
          <cell r="A15">
            <v>10</v>
          </cell>
          <cell r="E15" t="str">
            <v>ÁRBOLES Y ARBUSTOS</v>
          </cell>
          <cell r="F15">
            <v>0</v>
          </cell>
          <cell r="G15" t="str">
            <v>U.</v>
          </cell>
          <cell r="H15">
            <v>6.25</v>
          </cell>
          <cell r="I15">
            <v>2703</v>
          </cell>
          <cell r="J15">
            <v>0.5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</v>
          </cell>
          <cell r="AX15">
            <v>1</v>
          </cell>
          <cell r="AY15">
            <v>35</v>
          </cell>
          <cell r="AZ15">
            <v>0.1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1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</row>
        <row r="16">
          <cell r="A16">
            <v>11</v>
          </cell>
          <cell r="E16" t="str">
            <v>ÁREA SEMBRADA</v>
          </cell>
          <cell r="F16">
            <v>0</v>
          </cell>
          <cell r="G16" t="str">
            <v>M2</v>
          </cell>
          <cell r="H16">
            <v>13</v>
          </cell>
          <cell r="I16">
            <v>2971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1</v>
          </cell>
          <cell r="AX16">
            <v>1</v>
          </cell>
          <cell r="AY16">
            <v>35</v>
          </cell>
          <cell r="AZ16">
            <v>0.1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1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</row>
        <row r="17">
          <cell r="A17">
            <v>12</v>
          </cell>
          <cell r="E17" t="str">
            <v>ARENA DE MINA</v>
          </cell>
          <cell r="F17">
            <v>0</v>
          </cell>
          <cell r="G17" t="str">
            <v>M3</v>
          </cell>
          <cell r="H17">
            <v>8</v>
          </cell>
          <cell r="I17">
            <v>375</v>
          </cell>
          <cell r="J17">
            <v>1.05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1</v>
          </cell>
          <cell r="AX17">
            <v>6</v>
          </cell>
          <cell r="AY17">
            <v>99</v>
          </cell>
          <cell r="AZ17">
            <v>1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8</v>
          </cell>
          <cell r="CN17">
            <v>1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</row>
        <row r="18">
          <cell r="A18">
            <v>13</v>
          </cell>
          <cell r="E18" t="str">
            <v>ARENA DE SECADO</v>
          </cell>
          <cell r="F18">
            <v>0</v>
          </cell>
          <cell r="G18" t="str">
            <v>M3</v>
          </cell>
          <cell r="H18">
            <v>24</v>
          </cell>
          <cell r="I18">
            <v>3209</v>
          </cell>
          <cell r="J18">
            <v>1.03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1</v>
          </cell>
          <cell r="AX18">
            <v>6</v>
          </cell>
          <cell r="AY18">
            <v>94</v>
          </cell>
          <cell r="AZ18">
            <v>1</v>
          </cell>
          <cell r="BA18">
            <v>75</v>
          </cell>
          <cell r="BB18">
            <v>1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69</v>
          </cell>
          <cell r="CL18">
            <v>1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</row>
        <row r="19">
          <cell r="A19">
            <v>14</v>
          </cell>
          <cell r="E19" t="str">
            <v>ASFALTO PARA RIEGO DE IMPRIMACIÓN</v>
          </cell>
          <cell r="F19">
            <v>0</v>
          </cell>
          <cell r="G19" t="str">
            <v>Lit.</v>
          </cell>
          <cell r="H19">
            <v>1810</v>
          </cell>
          <cell r="I19">
            <v>1803</v>
          </cell>
          <cell r="J19">
            <v>1.02</v>
          </cell>
          <cell r="K19">
            <v>1806</v>
          </cell>
          <cell r="L19">
            <v>8.0000000000000002E-3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1</v>
          </cell>
          <cell r="AX19">
            <v>6</v>
          </cell>
          <cell r="AY19">
            <v>74</v>
          </cell>
          <cell r="AZ19">
            <v>1</v>
          </cell>
          <cell r="BA19">
            <v>84</v>
          </cell>
          <cell r="BB19">
            <v>1</v>
          </cell>
          <cell r="BC19">
            <v>94</v>
          </cell>
          <cell r="BD19">
            <v>2</v>
          </cell>
          <cell r="BE19">
            <v>99</v>
          </cell>
          <cell r="BF19">
            <v>1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57</v>
          </cell>
          <cell r="CL19">
            <v>1</v>
          </cell>
          <cell r="CM19">
            <v>67</v>
          </cell>
          <cell r="CN19">
            <v>1</v>
          </cell>
          <cell r="CO19">
            <v>68</v>
          </cell>
          <cell r="CP19">
            <v>1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</row>
        <row r="20">
          <cell r="A20">
            <v>15</v>
          </cell>
          <cell r="E20" t="str">
            <v xml:space="preserve">BARANDAS REFLECTIVAS </v>
          </cell>
          <cell r="F20">
            <v>0</v>
          </cell>
          <cell r="G20" t="str">
            <v>U.</v>
          </cell>
          <cell r="H20">
            <v>2</v>
          </cell>
          <cell r="I20">
            <v>3189</v>
          </cell>
          <cell r="J20">
            <v>1</v>
          </cell>
          <cell r="K20">
            <v>5</v>
          </cell>
          <cell r="L20">
            <v>9.4499999999999993</v>
          </cell>
          <cell r="M20">
            <v>1</v>
          </cell>
          <cell r="N20">
            <v>1.7600000000000001E-2</v>
          </cell>
          <cell r="O20">
            <v>2</v>
          </cell>
          <cell r="P20">
            <v>2.5700000000000001E-2</v>
          </cell>
          <cell r="Q20">
            <v>4</v>
          </cell>
          <cell r="R20">
            <v>1.0800000000000001E-2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</v>
          </cell>
          <cell r="AX20">
            <v>1</v>
          </cell>
          <cell r="AY20">
            <v>13</v>
          </cell>
          <cell r="AZ20">
            <v>1</v>
          </cell>
          <cell r="BA20">
            <v>35</v>
          </cell>
          <cell r="BB20">
            <v>0.1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</row>
        <row r="21">
          <cell r="A21">
            <v>16</v>
          </cell>
          <cell r="E21" t="str">
            <v>BASE CLASE 2 (NO INC. TRANSPORTE)</v>
          </cell>
          <cell r="F21">
            <v>0</v>
          </cell>
          <cell r="G21" t="str">
            <v>M3</v>
          </cell>
          <cell r="H21">
            <v>95</v>
          </cell>
          <cell r="I21">
            <v>3194</v>
          </cell>
          <cell r="J21">
            <v>1.25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1</v>
          </cell>
          <cell r="AX21">
            <v>2</v>
          </cell>
          <cell r="AY21">
            <v>52</v>
          </cell>
          <cell r="AZ21">
            <v>1</v>
          </cell>
          <cell r="BA21">
            <v>73</v>
          </cell>
          <cell r="BB21">
            <v>1</v>
          </cell>
          <cell r="BC21">
            <v>98</v>
          </cell>
          <cell r="BD21">
            <v>1</v>
          </cell>
          <cell r="BE21">
            <v>94</v>
          </cell>
          <cell r="BF21">
            <v>2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1</v>
          </cell>
          <cell r="CL21">
            <v>0</v>
          </cell>
          <cell r="CM21">
            <v>52</v>
          </cell>
          <cell r="CN21">
            <v>1</v>
          </cell>
          <cell r="CO21">
            <v>53</v>
          </cell>
          <cell r="CP21">
            <v>1</v>
          </cell>
          <cell r="CQ21">
            <v>54</v>
          </cell>
          <cell r="CR21">
            <v>1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</row>
        <row r="22">
          <cell r="A22">
            <v>17</v>
          </cell>
          <cell r="E22" t="str">
            <v>BASE CLASE 3 (NO INC. TRANSPORTE)</v>
          </cell>
          <cell r="F22">
            <v>0</v>
          </cell>
          <cell r="G22" t="str">
            <v>M3</v>
          </cell>
          <cell r="H22">
            <v>60</v>
          </cell>
          <cell r="I22">
            <v>2938</v>
          </cell>
          <cell r="J22">
            <v>1.25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1</v>
          </cell>
          <cell r="AX22">
            <v>2</v>
          </cell>
          <cell r="AY22">
            <v>52</v>
          </cell>
          <cell r="AZ22">
            <v>1</v>
          </cell>
          <cell r="BA22">
            <v>73</v>
          </cell>
          <cell r="BB22">
            <v>1</v>
          </cell>
          <cell r="BC22">
            <v>98</v>
          </cell>
          <cell r="BD22">
            <v>1</v>
          </cell>
          <cell r="BE22">
            <v>94</v>
          </cell>
          <cell r="BF22">
            <v>2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1</v>
          </cell>
          <cell r="CL22">
            <v>0</v>
          </cell>
          <cell r="CM22">
            <v>52</v>
          </cell>
          <cell r="CN22">
            <v>1</v>
          </cell>
          <cell r="CO22">
            <v>53</v>
          </cell>
          <cell r="CP22">
            <v>1</v>
          </cell>
          <cell r="CQ22">
            <v>54</v>
          </cell>
          <cell r="CR22">
            <v>1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</row>
        <row r="23">
          <cell r="A23">
            <v>18</v>
          </cell>
          <cell r="E23" t="str">
            <v>CARGADA DE MATERIAL DE MEJORAMIENTO</v>
          </cell>
          <cell r="F23">
            <v>0</v>
          </cell>
          <cell r="G23" t="str">
            <v>M3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94</v>
          </cell>
          <cell r="AX23">
            <v>1</v>
          </cell>
          <cell r="AY23">
            <v>62</v>
          </cell>
          <cell r="AZ23">
            <v>1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1</v>
          </cell>
          <cell r="CL23">
            <v>0</v>
          </cell>
          <cell r="CM23">
            <v>20</v>
          </cell>
          <cell r="CN23">
            <v>1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</row>
        <row r="24">
          <cell r="A24">
            <v>19</v>
          </cell>
          <cell r="E24" t="str">
            <v>CHARLAS AMBIENTALES</v>
          </cell>
          <cell r="F24">
            <v>0</v>
          </cell>
          <cell r="G24" t="str">
            <v>U.</v>
          </cell>
          <cell r="H24">
            <v>4.1700000000000001E-2</v>
          </cell>
          <cell r="I24">
            <v>3207</v>
          </cell>
          <cell r="J24">
            <v>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38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</v>
          </cell>
          <cell r="CL24">
            <v>1</v>
          </cell>
          <cell r="CM24">
            <v>34</v>
          </cell>
          <cell r="CN24">
            <v>1</v>
          </cell>
          <cell r="CO24">
            <v>75</v>
          </cell>
          <cell r="CP24">
            <v>1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</row>
        <row r="25">
          <cell r="A25">
            <v>20</v>
          </cell>
          <cell r="E25" t="str">
            <v>COLOCACIÓN DE ALCANTANTARILLA METÁLICA GALVANIZADA CORRUGADA.  (INC. PERNOS, RECUBRIMIENTO ASFALTICO INTERIOR EXTERIOR, INST. EN OBRA)</v>
          </cell>
          <cell r="F25">
            <v>0</v>
          </cell>
          <cell r="G25" t="str">
            <v>M</v>
          </cell>
          <cell r="H25">
            <v>1</v>
          </cell>
          <cell r="I25">
            <v>2904</v>
          </cell>
          <cell r="J25">
            <v>2.5</v>
          </cell>
          <cell r="K25">
            <v>2905</v>
          </cell>
          <cell r="L25">
            <v>2.5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1</v>
          </cell>
          <cell r="AX25">
            <v>2</v>
          </cell>
          <cell r="AY25">
            <v>13</v>
          </cell>
          <cell r="AZ25">
            <v>1</v>
          </cell>
          <cell r="BA25">
            <v>35</v>
          </cell>
          <cell r="BB25">
            <v>0.1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</row>
        <row r="26">
          <cell r="A26">
            <v>21</v>
          </cell>
          <cell r="E26" t="str">
            <v>COMPACTACIÓN DE LIMPIEZA DE SUB-RAZANTE PARA VÍAS DE ANCHOS MENORES O IGUALES A 10 m.  N/M</v>
          </cell>
          <cell r="F26" t="str">
            <v>ESPECIFICACIONES: Se compactara el material movido por la nivelación de la vía.</v>
          </cell>
          <cell r="G26" t="str">
            <v>M2</v>
          </cell>
          <cell r="H26">
            <v>1000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73</v>
          </cell>
          <cell r="AX26">
            <v>1</v>
          </cell>
          <cell r="AY26">
            <v>94</v>
          </cell>
          <cell r="AZ26">
            <v>1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53</v>
          </cell>
          <cell r="CL26">
            <v>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</row>
        <row r="27">
          <cell r="A27">
            <v>22</v>
          </cell>
          <cell r="E27" t="str">
            <v>COMPACTACIÓN VÍAS DE ANCHOS MENORES O IGUALES A 10 m.  N/M</v>
          </cell>
          <cell r="F27" t="str">
            <v xml:space="preserve">ESPECIFICACIONES: El material levatado será apisonado </v>
          </cell>
          <cell r="G27" t="str">
            <v>M2</v>
          </cell>
          <cell r="H27">
            <v>1500</v>
          </cell>
          <cell r="I27">
            <v>4</v>
          </cell>
          <cell r="J27">
            <v>1E-3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73</v>
          </cell>
          <cell r="AX27">
            <v>1</v>
          </cell>
          <cell r="AY27">
            <v>94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53</v>
          </cell>
          <cell r="CL27">
            <v>1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</row>
        <row r="28">
          <cell r="A28">
            <v>23</v>
          </cell>
          <cell r="E28" t="str">
            <v xml:space="preserve">CONFORMACIÓN DE CUNETAS, CORRECCIÓN DE LA PENDIENTE Y RASANTEO DE LA CALZADA CON SUELOS A MOVER HASTA e=30 cm. CON TRACTOR </v>
          </cell>
          <cell r="F28" t="str">
            <v xml:space="preserve">ESPECIFICACIONES: Se reabrira la vía limpiado todo el material sedimentado de las cunetas,  determinando la pendientela calazada. </v>
          </cell>
          <cell r="G28" t="str">
            <v>M2</v>
          </cell>
          <cell r="H28">
            <v>650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52</v>
          </cell>
          <cell r="AX28">
            <v>1</v>
          </cell>
          <cell r="AY28">
            <v>94</v>
          </cell>
          <cell r="AZ28">
            <v>1</v>
          </cell>
          <cell r="BA28">
            <v>35</v>
          </cell>
          <cell r="BB28">
            <v>0.1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52</v>
          </cell>
          <cell r="CL28">
            <v>1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</row>
        <row r="29">
          <cell r="A29">
            <v>24</v>
          </cell>
          <cell r="E29" t="str">
            <v>CONOS DE SEGURIDAD</v>
          </cell>
          <cell r="F29">
            <v>0</v>
          </cell>
          <cell r="G29" t="str">
            <v>U.</v>
          </cell>
          <cell r="H29">
            <v>50</v>
          </cell>
          <cell r="I29">
            <v>3201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</row>
        <row r="30">
          <cell r="A30">
            <v>25</v>
          </cell>
          <cell r="E30" t="str">
            <v>CONTROL Y RECONFORMACION ÁREAS DISPOSICIÓN MATERIAL EXCEDENTES</v>
          </cell>
          <cell r="F30">
            <v>0</v>
          </cell>
          <cell r="G30" t="str">
            <v>M3</v>
          </cell>
          <cell r="H30">
            <v>150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52</v>
          </cell>
          <cell r="AX30">
            <v>1</v>
          </cell>
          <cell r="AY30">
            <v>73</v>
          </cell>
          <cell r="AZ30">
            <v>1</v>
          </cell>
          <cell r="BA30">
            <v>98</v>
          </cell>
          <cell r="BB30">
            <v>1</v>
          </cell>
          <cell r="BC30">
            <v>94</v>
          </cell>
          <cell r="BD30">
            <v>1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52</v>
          </cell>
          <cell r="CL30">
            <v>1</v>
          </cell>
          <cell r="CM30">
            <v>53</v>
          </cell>
          <cell r="CN30">
            <v>1</v>
          </cell>
          <cell r="CO30">
            <v>54</v>
          </cell>
          <cell r="CP30">
            <v>1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</row>
        <row r="31">
          <cell r="A31">
            <v>26</v>
          </cell>
          <cell r="E31" t="str">
            <v>CUNETAS DE HORMIGON SIMPLE  f'c=180 Kg/cm2,  e=0.05 m. S/E</v>
          </cell>
          <cell r="F31">
            <v>0</v>
          </cell>
          <cell r="G31" t="str">
            <v>M2</v>
          </cell>
          <cell r="H31">
            <v>12</v>
          </cell>
          <cell r="I31">
            <v>5</v>
          </cell>
          <cell r="J31">
            <v>17.5</v>
          </cell>
          <cell r="K31">
            <v>2</v>
          </cell>
          <cell r="L31">
            <v>4.7500000000000001E-2</v>
          </cell>
          <cell r="M31">
            <v>1</v>
          </cell>
          <cell r="N31">
            <v>3.2500000000000001E-2</v>
          </cell>
          <cell r="O31">
            <v>4</v>
          </cell>
          <cell r="P31">
            <v>0.02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1</v>
          </cell>
          <cell r="AX31">
            <v>5</v>
          </cell>
          <cell r="AY31">
            <v>3</v>
          </cell>
          <cell r="AZ31">
            <v>1</v>
          </cell>
          <cell r="BA31">
            <v>13</v>
          </cell>
          <cell r="BB31">
            <v>1</v>
          </cell>
          <cell r="BC31">
            <v>30</v>
          </cell>
          <cell r="BD31">
            <v>0.1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</v>
          </cell>
          <cell r="CL31">
            <v>0</v>
          </cell>
          <cell r="CM31">
            <v>3</v>
          </cell>
          <cell r="CN31">
            <v>1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</row>
        <row r="32">
          <cell r="A32">
            <v>27</v>
          </cell>
          <cell r="E32" t="str">
            <v>CURSILLOS DE CAPACITACIÓN</v>
          </cell>
          <cell r="F32">
            <v>0</v>
          </cell>
          <cell r="G32" t="str">
            <v>U.</v>
          </cell>
          <cell r="H32">
            <v>0.125</v>
          </cell>
          <cell r="I32">
            <v>3204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38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1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</row>
        <row r="33">
          <cell r="A33">
            <v>28</v>
          </cell>
          <cell r="E33" t="str">
            <v>DERROCAMIENTO DE HORMIGON CICLOPEO</v>
          </cell>
          <cell r="F33">
            <v>0</v>
          </cell>
          <cell r="G33" t="str">
            <v>M3</v>
          </cell>
          <cell r="H33">
            <v>0.4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</v>
          </cell>
          <cell r="AX33">
            <v>2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1</v>
          </cell>
          <cell r="CL33">
            <v>0</v>
          </cell>
          <cell r="CM33">
            <v>61</v>
          </cell>
          <cell r="CN33">
            <v>1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</row>
        <row r="34">
          <cell r="A34">
            <v>29</v>
          </cell>
          <cell r="E34" t="str">
            <v>DERROCAMIENTO DE HORMIGON CICLOPEO (DEACUERDO A ESTRUCTURA A DEMOLER)</v>
          </cell>
          <cell r="F34">
            <v>0</v>
          </cell>
          <cell r="G34" t="str">
            <v>GLOB.</v>
          </cell>
          <cell r="H34">
            <v>4.3999999999999997E-2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1</v>
          </cell>
          <cell r="AX34">
            <v>10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0</v>
          </cell>
          <cell r="CM34">
            <v>61</v>
          </cell>
          <cell r="CN34">
            <v>1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</row>
        <row r="35">
          <cell r="A35">
            <v>30</v>
          </cell>
          <cell r="E35" t="str">
            <v>DERROCAMIENTO DE HORMIGON SIMPLE</v>
          </cell>
          <cell r="F35">
            <v>0</v>
          </cell>
          <cell r="G35" t="str">
            <v>M3</v>
          </cell>
          <cell r="H35">
            <v>4.5999999999999999E-2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1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1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</row>
        <row r="36">
          <cell r="A36">
            <v>31</v>
          </cell>
          <cell r="E36" t="str">
            <v>DESALOJO  DE MATERIAL  NO  INCLUYE CARGADA</v>
          </cell>
          <cell r="F36">
            <v>0</v>
          </cell>
          <cell r="G36" t="str">
            <v>M3*KM</v>
          </cell>
          <cell r="H36">
            <v>110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96</v>
          </cell>
          <cell r="AZ36">
            <v>1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8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A37">
            <v>32</v>
          </cell>
          <cell r="E37" t="str">
            <v>DESALOJO  DE MATERIAL A MAQUINA (INC. CARGADA)</v>
          </cell>
          <cell r="F37">
            <v>0</v>
          </cell>
          <cell r="G37" t="str">
            <v>M3/KM.</v>
          </cell>
          <cell r="H37">
            <v>90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96</v>
          </cell>
          <cell r="AX37">
            <v>1</v>
          </cell>
          <cell r="AY37">
            <v>61</v>
          </cell>
          <cell r="AZ37">
            <v>0.5</v>
          </cell>
          <cell r="BA37">
            <v>94</v>
          </cell>
          <cell r="BB37">
            <v>0.5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1</v>
          </cell>
          <cell r="CL37">
            <v>0</v>
          </cell>
          <cell r="CM37">
            <v>8</v>
          </cell>
          <cell r="CN37">
            <v>1</v>
          </cell>
          <cell r="CO37">
            <v>20</v>
          </cell>
          <cell r="CP37">
            <v>0.5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</row>
        <row r="38">
          <cell r="A38">
            <v>33</v>
          </cell>
          <cell r="E38" t="str">
            <v>DESALOJO  DE MATERIAL D. max= 6 Km.</v>
          </cell>
          <cell r="F38" t="str">
            <v>En vehículo, carga manual</v>
          </cell>
          <cell r="G38" t="str">
            <v>M3</v>
          </cell>
          <cell r="H38">
            <v>16.7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1</v>
          </cell>
          <cell r="AX38">
            <v>4</v>
          </cell>
          <cell r="AY38">
            <v>96</v>
          </cell>
          <cell r="AZ38">
            <v>1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1</v>
          </cell>
          <cell r="CL38">
            <v>0</v>
          </cell>
          <cell r="CM38">
            <v>8</v>
          </cell>
          <cell r="CN38">
            <v>1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</row>
        <row r="39">
          <cell r="A39">
            <v>34</v>
          </cell>
          <cell r="E39" t="str">
            <v>DESALOJO  DE MATERIAL DISTANCIA MAYOR A 200 m. Y MENOR A 6 Km.</v>
          </cell>
          <cell r="F39" t="str">
            <v>En vehículo, carga manual</v>
          </cell>
          <cell r="G39" t="str">
            <v>M3</v>
          </cell>
          <cell r="H39">
            <v>26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4</v>
          </cell>
          <cell r="AY39">
            <v>96</v>
          </cell>
          <cell r="AZ39">
            <v>1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1</v>
          </cell>
          <cell r="CL39">
            <v>0</v>
          </cell>
          <cell r="CM39">
            <v>8</v>
          </cell>
          <cell r="CN39">
            <v>1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</row>
        <row r="40">
          <cell r="A40">
            <v>35</v>
          </cell>
          <cell r="E40" t="str">
            <v xml:space="preserve">DESALOJO  DE MATERIAL EN VEHICULO (INC. CARGADA MANUAL)  </v>
          </cell>
          <cell r="F40" t="str">
            <v>En vehículo, carga manual</v>
          </cell>
          <cell r="G40" t="str">
            <v>M3</v>
          </cell>
          <cell r="H40">
            <v>6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1</v>
          </cell>
          <cell r="AX40">
            <v>4</v>
          </cell>
          <cell r="AY40">
            <v>96</v>
          </cell>
          <cell r="AZ40">
            <v>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1</v>
          </cell>
          <cell r="CL40">
            <v>0</v>
          </cell>
          <cell r="CM40">
            <v>8</v>
          </cell>
          <cell r="CN40">
            <v>1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</row>
        <row r="41">
          <cell r="A41">
            <v>36</v>
          </cell>
          <cell r="E41" t="str">
            <v>DESBROCE, DESBOSQUE Y LIMPIEZA (Ha.)</v>
          </cell>
          <cell r="F41">
            <v>0</v>
          </cell>
          <cell r="G41" t="str">
            <v>Ha.</v>
          </cell>
          <cell r="H41">
            <v>0.23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94</v>
          </cell>
          <cell r="AX41">
            <v>1</v>
          </cell>
          <cell r="AY41">
            <v>58</v>
          </cell>
          <cell r="AZ41">
            <v>1</v>
          </cell>
          <cell r="BA41">
            <v>14</v>
          </cell>
          <cell r="BB41">
            <v>1</v>
          </cell>
          <cell r="BC41">
            <v>1</v>
          </cell>
          <cell r="BD41">
            <v>2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1</v>
          </cell>
          <cell r="CL41">
            <v>0</v>
          </cell>
          <cell r="CM41">
            <v>15</v>
          </cell>
          <cell r="CN41">
            <v>1</v>
          </cell>
          <cell r="CO41">
            <v>65</v>
          </cell>
          <cell r="CP41">
            <v>1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</row>
        <row r="42">
          <cell r="A42">
            <v>37</v>
          </cell>
          <cell r="E42" t="str">
            <v>DESBROCE, DESBOSQUE Y LIMPIEZA (M2)</v>
          </cell>
          <cell r="F42">
            <v>0</v>
          </cell>
          <cell r="G42" t="str">
            <v>M2</v>
          </cell>
          <cell r="H42">
            <v>6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1</v>
          </cell>
          <cell r="AX42">
            <v>1</v>
          </cell>
          <cell r="AY42">
            <v>13</v>
          </cell>
          <cell r="AZ42">
            <v>0.5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1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</row>
        <row r="43">
          <cell r="A43">
            <v>38</v>
          </cell>
          <cell r="E43" t="str">
            <v>DOBLE TRATAMIENTO SUPERFICIAL BITUMINOSO</v>
          </cell>
          <cell r="F43">
            <v>0</v>
          </cell>
          <cell r="G43" t="str">
            <v>M2</v>
          </cell>
          <cell r="H43">
            <v>200</v>
          </cell>
          <cell r="I43">
            <v>1803</v>
          </cell>
          <cell r="J43">
            <v>3.1</v>
          </cell>
          <cell r="K43">
            <v>2943</v>
          </cell>
          <cell r="L43">
            <v>2.4E-2</v>
          </cell>
          <cell r="M43">
            <v>2944</v>
          </cell>
          <cell r="N43">
            <v>1.4E-2</v>
          </cell>
          <cell r="O43">
            <v>2942</v>
          </cell>
          <cell r="P43">
            <v>0.05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73</v>
          </cell>
          <cell r="AX43">
            <v>1</v>
          </cell>
          <cell r="AY43">
            <v>74</v>
          </cell>
          <cell r="AZ43">
            <v>1</v>
          </cell>
          <cell r="BA43">
            <v>75</v>
          </cell>
          <cell r="BB43">
            <v>1</v>
          </cell>
          <cell r="BC43">
            <v>82</v>
          </cell>
          <cell r="BD43">
            <v>1</v>
          </cell>
          <cell r="BE43">
            <v>94</v>
          </cell>
          <cell r="BF43">
            <v>3</v>
          </cell>
          <cell r="BG43">
            <v>99</v>
          </cell>
          <cell r="BH43">
            <v>0.5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57</v>
          </cell>
          <cell r="CL43">
            <v>1</v>
          </cell>
          <cell r="CM43">
            <v>68</v>
          </cell>
          <cell r="CN43">
            <v>0.5</v>
          </cell>
          <cell r="CO43">
            <v>69</v>
          </cell>
          <cell r="CP43">
            <v>1</v>
          </cell>
          <cell r="CQ43">
            <v>53</v>
          </cell>
          <cell r="CR43">
            <v>1</v>
          </cell>
          <cell r="CS43">
            <v>70</v>
          </cell>
          <cell r="CT43">
            <v>1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</row>
        <row r="44">
          <cell r="A44">
            <v>39</v>
          </cell>
          <cell r="E44" t="str">
            <v>DRENES CON TUBERÍA PVC  Ø=200mm</v>
          </cell>
          <cell r="F44">
            <v>0</v>
          </cell>
          <cell r="G44" t="str">
            <v>M</v>
          </cell>
          <cell r="H44">
            <v>5</v>
          </cell>
          <cell r="I44">
            <v>3178</v>
          </cell>
          <cell r="J44">
            <v>1</v>
          </cell>
          <cell r="K44">
            <v>2</v>
          </cell>
          <cell r="L44">
            <v>0.54</v>
          </cell>
          <cell r="M44">
            <v>1</v>
          </cell>
          <cell r="N44">
            <v>0.06</v>
          </cell>
          <cell r="O44">
            <v>2879</v>
          </cell>
          <cell r="P44">
            <v>2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1</v>
          </cell>
          <cell r="AX44">
            <v>3</v>
          </cell>
          <cell r="AY44">
            <v>13</v>
          </cell>
          <cell r="AZ44">
            <v>1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</row>
        <row r="45">
          <cell r="A45">
            <v>40</v>
          </cell>
          <cell r="E45" t="str">
            <v>EXCAVACION  A MAQUINA PARA ESTRUCTURAS MENORES (INC. DESALOJO)</v>
          </cell>
          <cell r="F45">
            <v>0</v>
          </cell>
          <cell r="G45" t="str">
            <v>M3</v>
          </cell>
          <cell r="H45">
            <v>25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1</v>
          </cell>
          <cell r="AX45">
            <v>1</v>
          </cell>
          <cell r="AY45">
            <v>13</v>
          </cell>
          <cell r="AZ45">
            <v>1</v>
          </cell>
          <cell r="BA45">
            <v>62</v>
          </cell>
          <cell r="BB45">
            <v>1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1</v>
          </cell>
          <cell r="CL45">
            <v>0</v>
          </cell>
          <cell r="CM45">
            <v>5</v>
          </cell>
          <cell r="CN45">
            <v>1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</row>
        <row r="46">
          <cell r="A46">
            <v>41</v>
          </cell>
          <cell r="E46" t="str">
            <v>EXCAVACION A MAQUINA EN ROCA CON EXPLOSIVOS PARA ESTRUCTURAS MENORES (INC. DESALOJO)</v>
          </cell>
          <cell r="F46">
            <v>0</v>
          </cell>
          <cell r="G46" t="str">
            <v>M3</v>
          </cell>
          <cell r="H46">
            <v>2.2530000000000001</v>
          </cell>
          <cell r="I46">
            <v>9</v>
          </cell>
          <cell r="J46">
            <v>0.53500000000000003</v>
          </cell>
          <cell r="K46">
            <v>11</v>
          </cell>
          <cell r="L46">
            <v>0.34</v>
          </cell>
          <cell r="M46">
            <v>10</v>
          </cell>
          <cell r="N46">
            <v>0.91</v>
          </cell>
          <cell r="O46">
            <v>12</v>
          </cell>
          <cell r="P46">
            <v>0.26</v>
          </cell>
          <cell r="Q46">
            <v>3180</v>
          </cell>
          <cell r="R46">
            <v>0.01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62</v>
          </cell>
          <cell r="AX46">
            <v>0.5</v>
          </cell>
          <cell r="AY46">
            <v>4</v>
          </cell>
          <cell r="AZ46">
            <v>0.5</v>
          </cell>
          <cell r="BA46">
            <v>1</v>
          </cell>
          <cell r="BB46">
            <v>2</v>
          </cell>
          <cell r="BC46">
            <v>14</v>
          </cell>
          <cell r="BD46">
            <v>0.5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1</v>
          </cell>
          <cell r="CL46">
            <v>0</v>
          </cell>
          <cell r="CM46">
            <v>5</v>
          </cell>
          <cell r="CN46">
            <v>0.5</v>
          </cell>
          <cell r="CO46">
            <v>61</v>
          </cell>
          <cell r="CP46">
            <v>0.5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</row>
        <row r="47">
          <cell r="A47">
            <v>42</v>
          </cell>
          <cell r="E47" t="str">
            <v>EXCAVACION A MAQUINA SIN CLASIFICAR EN PRESENCIA DE AGUA</v>
          </cell>
          <cell r="F47">
            <v>0</v>
          </cell>
          <cell r="G47" t="str">
            <v>M3</v>
          </cell>
          <cell r="H47">
            <v>10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62</v>
          </cell>
          <cell r="AX47">
            <v>1</v>
          </cell>
          <cell r="AY47">
            <v>4</v>
          </cell>
          <cell r="AZ47">
            <v>1</v>
          </cell>
          <cell r="BA47">
            <v>1</v>
          </cell>
          <cell r="BB47">
            <v>1</v>
          </cell>
          <cell r="BC47">
            <v>14</v>
          </cell>
          <cell r="BD47">
            <v>1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1</v>
          </cell>
          <cell r="CL47">
            <v>0</v>
          </cell>
          <cell r="CM47">
            <v>5</v>
          </cell>
          <cell r="CN47">
            <v>1</v>
          </cell>
          <cell r="CO47">
            <v>18</v>
          </cell>
          <cell r="CP47">
            <v>1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</row>
        <row r="48">
          <cell r="A48">
            <v>43</v>
          </cell>
          <cell r="E48" t="str">
            <v>EXCAVACION EN ROCA A MANO</v>
          </cell>
          <cell r="F48">
            <v>0</v>
          </cell>
          <cell r="G48" t="str">
            <v>M3</v>
          </cell>
          <cell r="H48">
            <v>0.8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1</v>
          </cell>
          <cell r="AX48">
            <v>2</v>
          </cell>
          <cell r="AY48">
            <v>14</v>
          </cell>
          <cell r="AZ48">
            <v>1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1</v>
          </cell>
          <cell r="CL48">
            <v>0</v>
          </cell>
          <cell r="CM48">
            <v>61</v>
          </cell>
          <cell r="CN48">
            <v>1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</row>
        <row r="49">
          <cell r="A49">
            <v>44</v>
          </cell>
          <cell r="E49" t="str">
            <v>EXCAVACION EN ROCA A MANO (CON PRESENCIA DE AGUA)</v>
          </cell>
          <cell r="F49">
            <v>0</v>
          </cell>
          <cell r="G49" t="str">
            <v>M3</v>
          </cell>
          <cell r="H49">
            <v>0.9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1</v>
          </cell>
          <cell r="AX49">
            <v>2</v>
          </cell>
          <cell r="AY49">
            <v>14</v>
          </cell>
          <cell r="AZ49">
            <v>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1</v>
          </cell>
          <cell r="CL49">
            <v>0</v>
          </cell>
          <cell r="CM49">
            <v>61</v>
          </cell>
          <cell r="CN49">
            <v>1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</row>
        <row r="50">
          <cell r="A50">
            <v>45</v>
          </cell>
          <cell r="E50" t="str">
            <v xml:space="preserve">EXCAVACION EN ROCA A MAQUINA </v>
          </cell>
          <cell r="F50">
            <v>0</v>
          </cell>
          <cell r="G50" t="str">
            <v>M3</v>
          </cell>
          <cell r="H50">
            <v>20</v>
          </cell>
          <cell r="I50">
            <v>9</v>
          </cell>
          <cell r="J50">
            <v>0.53500000000000003</v>
          </cell>
          <cell r="K50">
            <v>11</v>
          </cell>
          <cell r="L50">
            <v>0.34</v>
          </cell>
          <cell r="M50">
            <v>10</v>
          </cell>
          <cell r="N50">
            <v>0.91</v>
          </cell>
          <cell r="O50">
            <v>12</v>
          </cell>
          <cell r="P50">
            <v>0.26</v>
          </cell>
          <cell r="Q50">
            <v>3180</v>
          </cell>
          <cell r="R50">
            <v>0.01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53</v>
          </cell>
          <cell r="AX50">
            <v>1</v>
          </cell>
          <cell r="AY50">
            <v>4</v>
          </cell>
          <cell r="AZ50">
            <v>1</v>
          </cell>
          <cell r="BA50">
            <v>1</v>
          </cell>
          <cell r="BB50">
            <v>2</v>
          </cell>
          <cell r="BC50">
            <v>32</v>
          </cell>
          <cell r="BD50">
            <v>1</v>
          </cell>
          <cell r="BE50">
            <v>23</v>
          </cell>
          <cell r="BF50">
            <v>1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1</v>
          </cell>
          <cell r="CL50">
            <v>0</v>
          </cell>
          <cell r="CM50">
            <v>74</v>
          </cell>
          <cell r="CN50">
            <v>1</v>
          </cell>
          <cell r="CO50">
            <v>2</v>
          </cell>
          <cell r="CP50">
            <v>1</v>
          </cell>
          <cell r="CQ50">
            <v>17</v>
          </cell>
          <cell r="CR50">
            <v>1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</row>
        <row r="51">
          <cell r="A51">
            <v>46</v>
          </cell>
          <cell r="E51" t="str">
            <v>EXCAVACION EN ROCA A MAQUINA CON EXPLOSIVOS PARA ESTRUCTURAS MENORES. (INC. DESALOJO)</v>
          </cell>
          <cell r="F51">
            <v>0</v>
          </cell>
          <cell r="G51" t="str">
            <v>M3</v>
          </cell>
          <cell r="H51">
            <v>2.581</v>
          </cell>
          <cell r="I51">
            <v>9</v>
          </cell>
          <cell r="J51">
            <v>0.04</v>
          </cell>
          <cell r="K51">
            <v>11</v>
          </cell>
          <cell r="L51">
            <v>0.08</v>
          </cell>
          <cell r="M51">
            <v>10</v>
          </cell>
          <cell r="N51">
            <v>0.1</v>
          </cell>
          <cell r="O51">
            <v>12</v>
          </cell>
          <cell r="P51">
            <v>0.24</v>
          </cell>
          <cell r="Q51">
            <v>3180</v>
          </cell>
          <cell r="R51">
            <v>0.05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62</v>
          </cell>
          <cell r="AX51">
            <v>1</v>
          </cell>
          <cell r="AY51">
            <v>94</v>
          </cell>
          <cell r="AZ51">
            <v>2</v>
          </cell>
          <cell r="BA51">
            <v>1</v>
          </cell>
          <cell r="BB51">
            <v>1</v>
          </cell>
          <cell r="BC51">
            <v>4</v>
          </cell>
          <cell r="BD51">
            <v>1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1</v>
          </cell>
          <cell r="CL51">
            <v>0</v>
          </cell>
          <cell r="CM51">
            <v>5</v>
          </cell>
          <cell r="CN51">
            <v>0.5</v>
          </cell>
          <cell r="CO51">
            <v>73</v>
          </cell>
          <cell r="CP51">
            <v>1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</row>
        <row r="52">
          <cell r="A52">
            <v>47</v>
          </cell>
          <cell r="E52" t="str">
            <v>EXCAVACION EN ROCA A MAQUINA EN ZANJA</v>
          </cell>
          <cell r="F52">
            <v>0</v>
          </cell>
          <cell r="G52" t="str">
            <v>M3</v>
          </cell>
          <cell r="H52">
            <v>35</v>
          </cell>
          <cell r="I52">
            <v>9</v>
          </cell>
          <cell r="J52">
            <v>0.53500000000000003</v>
          </cell>
          <cell r="K52">
            <v>11</v>
          </cell>
          <cell r="L52">
            <v>0.34</v>
          </cell>
          <cell r="M52">
            <v>10</v>
          </cell>
          <cell r="N52">
            <v>0.91</v>
          </cell>
          <cell r="O52">
            <v>12</v>
          </cell>
          <cell r="P52">
            <v>0.26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62</v>
          </cell>
          <cell r="AX52">
            <v>1</v>
          </cell>
          <cell r="AY52">
            <v>4</v>
          </cell>
          <cell r="AZ52">
            <v>1</v>
          </cell>
          <cell r="BA52">
            <v>1</v>
          </cell>
          <cell r="BB52">
            <v>1</v>
          </cell>
          <cell r="BC52">
            <v>14</v>
          </cell>
          <cell r="BD52">
            <v>1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1</v>
          </cell>
          <cell r="CL52">
            <v>0</v>
          </cell>
          <cell r="CM52">
            <v>5</v>
          </cell>
          <cell r="CN52">
            <v>1</v>
          </cell>
          <cell r="CO52">
            <v>61</v>
          </cell>
          <cell r="CP52">
            <v>1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</row>
        <row r="53">
          <cell r="A53">
            <v>48</v>
          </cell>
          <cell r="E53" t="str">
            <v xml:space="preserve">EXCAVACION EN ROCA CON EXPLOSIVOS CON PRESENCIA DE AGUA  (INC. DESALOJO.) </v>
          </cell>
          <cell r="F53">
            <v>0</v>
          </cell>
          <cell r="G53" t="str">
            <v>M3</v>
          </cell>
          <cell r="H53">
            <v>0.85</v>
          </cell>
          <cell r="I53">
            <v>9</v>
          </cell>
          <cell r="J53">
            <v>0.53500000000000003</v>
          </cell>
          <cell r="K53">
            <v>11</v>
          </cell>
          <cell r="L53">
            <v>0.34</v>
          </cell>
          <cell r="M53">
            <v>10</v>
          </cell>
          <cell r="N53">
            <v>0.91</v>
          </cell>
          <cell r="O53">
            <v>12</v>
          </cell>
          <cell r="P53">
            <v>0.26</v>
          </cell>
          <cell r="Q53">
            <v>3180</v>
          </cell>
          <cell r="R53">
            <v>0.05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1</v>
          </cell>
          <cell r="AX53">
            <v>3</v>
          </cell>
          <cell r="AY53">
            <v>4</v>
          </cell>
          <cell r="AZ53">
            <v>1</v>
          </cell>
          <cell r="BA53">
            <v>14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1</v>
          </cell>
          <cell r="CL53">
            <v>0</v>
          </cell>
          <cell r="CM53">
            <v>2</v>
          </cell>
          <cell r="CN53">
            <v>0.4</v>
          </cell>
          <cell r="CO53">
            <v>17</v>
          </cell>
          <cell r="CP53">
            <v>0.4</v>
          </cell>
          <cell r="CQ53">
            <v>18</v>
          </cell>
          <cell r="CR53">
            <v>0.5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</row>
        <row r="54">
          <cell r="A54">
            <v>49</v>
          </cell>
          <cell r="E54" t="str">
            <v xml:space="preserve">EXCAVACION EN ROCA CON EXPLOSIVOS PARA ESTRUCTURAS MENORES (INC. DESALOJO.) </v>
          </cell>
          <cell r="F54">
            <v>0</v>
          </cell>
          <cell r="G54" t="str">
            <v>M3</v>
          </cell>
          <cell r="H54">
            <v>1</v>
          </cell>
          <cell r="I54">
            <v>9</v>
          </cell>
          <cell r="J54">
            <v>0.53500000000000003</v>
          </cell>
          <cell r="K54">
            <v>11</v>
          </cell>
          <cell r="L54">
            <v>0.34</v>
          </cell>
          <cell r="M54">
            <v>10</v>
          </cell>
          <cell r="N54">
            <v>0.91</v>
          </cell>
          <cell r="O54">
            <v>12</v>
          </cell>
          <cell r="P54">
            <v>0.26</v>
          </cell>
          <cell r="Q54">
            <v>3180</v>
          </cell>
          <cell r="R54">
            <v>0.05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1</v>
          </cell>
          <cell r="AX54">
            <v>3</v>
          </cell>
          <cell r="AY54">
            <v>4</v>
          </cell>
          <cell r="AZ54">
            <v>1</v>
          </cell>
          <cell r="BA54">
            <v>14</v>
          </cell>
          <cell r="BB54">
            <v>1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0</v>
          </cell>
          <cell r="CM54">
            <v>2</v>
          </cell>
          <cell r="CN54">
            <v>0.2</v>
          </cell>
          <cell r="CO54">
            <v>17</v>
          </cell>
          <cell r="CP54">
            <v>0.2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</row>
        <row r="55">
          <cell r="A55">
            <v>50</v>
          </cell>
          <cell r="E55" t="str">
            <v>EXCAVACIÓN PARA CUNETAS Y ENCAUZAMIENTO A MANO</v>
          </cell>
          <cell r="F55">
            <v>0</v>
          </cell>
          <cell r="G55" t="str">
            <v>M3</v>
          </cell>
          <cell r="H55">
            <v>0.4375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1</v>
          </cell>
          <cell r="AX55">
            <v>1</v>
          </cell>
          <cell r="AY55">
            <v>35</v>
          </cell>
          <cell r="AZ55">
            <v>0.1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</row>
        <row r="56">
          <cell r="A56">
            <v>51</v>
          </cell>
          <cell r="B56" t="str">
            <v>MT004</v>
          </cell>
          <cell r="E56" t="str">
            <v>EXCAVACION PARA OBRAS DE CIMENTACION EN MARGINAL</v>
          </cell>
          <cell r="F56">
            <v>0</v>
          </cell>
          <cell r="G56" t="str">
            <v>M3</v>
          </cell>
          <cell r="H56">
            <v>8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1</v>
          </cell>
          <cell r="AX56">
            <v>1</v>
          </cell>
          <cell r="AY56">
            <v>4</v>
          </cell>
          <cell r="AZ56">
            <v>1</v>
          </cell>
          <cell r="BA56">
            <v>62</v>
          </cell>
          <cell r="BB56">
            <v>1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1</v>
          </cell>
          <cell r="CL56">
            <v>0</v>
          </cell>
          <cell r="CM56">
            <v>5</v>
          </cell>
          <cell r="CN56">
            <v>1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</row>
        <row r="57">
          <cell r="A57">
            <v>52</v>
          </cell>
          <cell r="E57" t="str">
            <v>EXCAVACION SIN CLASIFICAR A MANO</v>
          </cell>
          <cell r="F57">
            <v>0</v>
          </cell>
          <cell r="G57" t="str">
            <v>M3</v>
          </cell>
          <cell r="H57">
            <v>0.4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1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1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</row>
        <row r="58">
          <cell r="A58">
            <v>53</v>
          </cell>
          <cell r="E58" t="str">
            <v>EXCAVACION SIN CLASIFICAR A MANO (CON PRESENCIA DE AGUA)</v>
          </cell>
          <cell r="F58">
            <v>0</v>
          </cell>
          <cell r="G58" t="str">
            <v>M3</v>
          </cell>
          <cell r="H58">
            <v>0.52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1</v>
          </cell>
          <cell r="AX58">
            <v>2</v>
          </cell>
          <cell r="AY58">
            <v>14</v>
          </cell>
          <cell r="AZ58">
            <v>1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1</v>
          </cell>
          <cell r="CL58">
            <v>0</v>
          </cell>
          <cell r="CM58">
            <v>18</v>
          </cell>
          <cell r="CN58">
            <v>0.5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</row>
        <row r="59">
          <cell r="A59">
            <v>54</v>
          </cell>
          <cell r="E59" t="str">
            <v>EXCAVACION SIN CLASIFICAR A MANO CON PRESENCIA DE AGUA (INC. ENTIBADOS CON SAQUILLOS DE YUTE)</v>
          </cell>
          <cell r="F59">
            <v>0</v>
          </cell>
          <cell r="G59" t="str">
            <v>M3</v>
          </cell>
          <cell r="H59">
            <v>0.35</v>
          </cell>
          <cell r="I59">
            <v>2507</v>
          </cell>
          <cell r="J59">
            <v>10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1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1</v>
          </cell>
          <cell r="CL59">
            <v>0</v>
          </cell>
          <cell r="CM59">
            <v>18</v>
          </cell>
          <cell r="CN59">
            <v>0.3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</row>
        <row r="60">
          <cell r="A60">
            <v>55</v>
          </cell>
          <cell r="E60" t="str">
            <v>EXCAVACION SIN CLASIFICAR A MANO EN ESTRUCTURAS MENORES</v>
          </cell>
          <cell r="F60">
            <v>0</v>
          </cell>
          <cell r="G60" t="str">
            <v>M3</v>
          </cell>
          <cell r="H60">
            <v>0.4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1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1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</row>
        <row r="61">
          <cell r="A61">
            <v>56</v>
          </cell>
          <cell r="E61" t="str">
            <v>EXCAVACION SIN CLASIFICAR A MAQUINA (INC. DESALOJO)</v>
          </cell>
          <cell r="F61">
            <v>0</v>
          </cell>
          <cell r="G61" t="str">
            <v>M3</v>
          </cell>
          <cell r="H61">
            <v>25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53</v>
          </cell>
          <cell r="AX61">
            <v>1</v>
          </cell>
          <cell r="AY61">
            <v>94</v>
          </cell>
          <cell r="AZ61">
            <v>1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1</v>
          </cell>
          <cell r="CL61">
            <v>0</v>
          </cell>
          <cell r="CM61">
            <v>74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</row>
        <row r="62">
          <cell r="A62">
            <v>57</v>
          </cell>
          <cell r="E62" t="str">
            <v>EXCAVACION SIN CLASIFICAR A MAQUINA (INC. ENTIBADOS CON SAQUILLOS DE YUTE)</v>
          </cell>
          <cell r="F62">
            <v>0</v>
          </cell>
          <cell r="G62" t="str">
            <v>M3</v>
          </cell>
          <cell r="H62">
            <v>6</v>
          </cell>
          <cell r="I62">
            <v>2507</v>
          </cell>
          <cell r="J62">
            <v>10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62</v>
          </cell>
          <cell r="AX62">
            <v>0.3</v>
          </cell>
          <cell r="AY62">
            <v>94</v>
          </cell>
          <cell r="AZ62">
            <v>0.3</v>
          </cell>
          <cell r="BA62">
            <v>1</v>
          </cell>
          <cell r="BB62">
            <v>7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1</v>
          </cell>
          <cell r="CL62">
            <v>0</v>
          </cell>
          <cell r="CM62">
            <v>5</v>
          </cell>
          <cell r="CN62">
            <v>0.3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</row>
        <row r="63">
          <cell r="A63">
            <v>58</v>
          </cell>
          <cell r="E63" t="str">
            <v>EXCAVACION SIN CLASIFICAR A MAQUINA PARA ESTABILIZACIÓN DE TALUDES</v>
          </cell>
          <cell r="F63">
            <v>0</v>
          </cell>
          <cell r="G63" t="str">
            <v>M3</v>
          </cell>
          <cell r="H63">
            <v>43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62</v>
          </cell>
          <cell r="AX63">
            <v>1</v>
          </cell>
          <cell r="AY63">
            <v>94</v>
          </cell>
          <cell r="AZ63">
            <v>1</v>
          </cell>
          <cell r="BA63">
            <v>1</v>
          </cell>
          <cell r="BB63">
            <v>1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1</v>
          </cell>
          <cell r="CL63">
            <v>0</v>
          </cell>
          <cell r="CM63">
            <v>5</v>
          </cell>
          <cell r="CN63">
            <v>1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</row>
        <row r="64">
          <cell r="A64">
            <v>59</v>
          </cell>
          <cell r="E64" t="str">
            <v>EXCAVACION SIN CLASIFICAR A MAQUINA Y DESALOJO</v>
          </cell>
          <cell r="F64">
            <v>0</v>
          </cell>
          <cell r="G64" t="str">
            <v>M3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62</v>
          </cell>
          <cell r="AX64">
            <v>1</v>
          </cell>
          <cell r="AY64">
            <v>98</v>
          </cell>
          <cell r="AZ64">
            <v>2</v>
          </cell>
          <cell r="BA64">
            <v>94</v>
          </cell>
          <cell r="BB64">
            <v>2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5</v>
          </cell>
          <cell r="CN64">
            <v>1</v>
          </cell>
          <cell r="CO64">
            <v>8</v>
          </cell>
          <cell r="CP64">
            <v>2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</row>
        <row r="65">
          <cell r="A65">
            <v>60</v>
          </cell>
          <cell r="E65" t="str">
            <v>EXCAVACION SIN CLASIFICAR A MAQUINA Y RELLENO PARA ESTRUCTURAS MENORES. (INC. DESALOJO)</v>
          </cell>
          <cell r="F65">
            <v>0</v>
          </cell>
          <cell r="G65" t="str">
            <v>M3</v>
          </cell>
          <cell r="H65">
            <v>10</v>
          </cell>
          <cell r="I65">
            <v>9</v>
          </cell>
          <cell r="J65">
            <v>0.04</v>
          </cell>
          <cell r="K65">
            <v>11</v>
          </cell>
          <cell r="L65">
            <v>0.08</v>
          </cell>
          <cell r="M65">
            <v>10</v>
          </cell>
          <cell r="N65">
            <v>0.1</v>
          </cell>
          <cell r="O65">
            <v>12</v>
          </cell>
          <cell r="P65">
            <v>0.24</v>
          </cell>
          <cell r="Q65">
            <v>3180</v>
          </cell>
          <cell r="R65">
            <v>0.05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62</v>
          </cell>
          <cell r="AX65">
            <v>1</v>
          </cell>
          <cell r="AY65">
            <v>94</v>
          </cell>
          <cell r="AZ65">
            <v>1</v>
          </cell>
          <cell r="BA65">
            <v>1</v>
          </cell>
          <cell r="BB65">
            <v>1</v>
          </cell>
          <cell r="BC65">
            <v>4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0</v>
          </cell>
          <cell r="CM65">
            <v>5</v>
          </cell>
          <cell r="CN65">
            <v>0.9</v>
          </cell>
          <cell r="CO65">
            <v>73</v>
          </cell>
          <cell r="CP65">
            <v>0.2</v>
          </cell>
          <cell r="CQ65">
            <v>23</v>
          </cell>
          <cell r="CR65">
            <v>0.2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</row>
        <row r="66">
          <cell r="A66">
            <v>61</v>
          </cell>
          <cell r="E66" t="str">
            <v xml:space="preserve">EXCAVACION SIN CLASIFICAR Y RELLENO COMPACTADO CON VIBROAPISONADOR (INC. MATERIAL DE SITIO) </v>
          </cell>
          <cell r="F66">
            <v>0</v>
          </cell>
          <cell r="G66" t="str">
            <v>M3</v>
          </cell>
          <cell r="H66">
            <v>0.63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1</v>
          </cell>
          <cell r="AX66">
            <v>2</v>
          </cell>
          <cell r="AY66">
            <v>14</v>
          </cell>
          <cell r="AZ66">
            <v>0.2</v>
          </cell>
          <cell r="BA66">
            <v>30</v>
          </cell>
          <cell r="BB66">
            <v>0.1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1</v>
          </cell>
          <cell r="CM66">
            <v>23</v>
          </cell>
          <cell r="CN66">
            <v>0.5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</row>
        <row r="67">
          <cell r="A67">
            <v>62</v>
          </cell>
          <cell r="E67" t="str">
            <v>EXCAVACION Y RELLENO DE ESTRUCTURAS MENORAS A MAQUINA</v>
          </cell>
          <cell r="F67">
            <v>0</v>
          </cell>
          <cell r="G67" t="str">
            <v>M3</v>
          </cell>
          <cell r="H67">
            <v>15</v>
          </cell>
          <cell r="I67">
            <v>24</v>
          </cell>
          <cell r="J67">
            <v>0.75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1</v>
          </cell>
          <cell r="AX67">
            <v>2</v>
          </cell>
          <cell r="AY67">
            <v>30</v>
          </cell>
          <cell r="AZ67">
            <v>0.2</v>
          </cell>
          <cell r="BA67">
            <v>62</v>
          </cell>
          <cell r="BB67">
            <v>0.5</v>
          </cell>
          <cell r="BC67">
            <v>14</v>
          </cell>
          <cell r="BD67">
            <v>0.5</v>
          </cell>
          <cell r="BE67">
            <v>94</v>
          </cell>
          <cell r="BF67">
            <v>1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0</v>
          </cell>
          <cell r="CM67">
            <v>5</v>
          </cell>
          <cell r="CN67">
            <v>1</v>
          </cell>
          <cell r="CO67">
            <v>6</v>
          </cell>
          <cell r="CP67">
            <v>1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</row>
        <row r="68">
          <cell r="A68">
            <v>63</v>
          </cell>
          <cell r="E68" t="str">
            <v>EXCAVACION Y RELLENO PARA ESTRUCTURAS MENORES EN ROCA</v>
          </cell>
          <cell r="F68">
            <v>0</v>
          </cell>
          <cell r="G68" t="str">
            <v>M3</v>
          </cell>
          <cell r="H68">
            <v>15.6</v>
          </cell>
          <cell r="I68">
            <v>9</v>
          </cell>
          <cell r="J68">
            <v>0.53500000000000003</v>
          </cell>
          <cell r="K68">
            <v>11</v>
          </cell>
          <cell r="L68">
            <v>0.34</v>
          </cell>
          <cell r="M68">
            <v>10</v>
          </cell>
          <cell r="N68">
            <v>0.91</v>
          </cell>
          <cell r="O68">
            <v>12</v>
          </cell>
          <cell r="P68">
            <v>0.26</v>
          </cell>
          <cell r="Q68">
            <v>3180</v>
          </cell>
          <cell r="R68">
            <v>0.01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1</v>
          </cell>
          <cell r="AX68">
            <v>2</v>
          </cell>
          <cell r="AY68">
            <v>30</v>
          </cell>
          <cell r="AZ68">
            <v>0.2</v>
          </cell>
          <cell r="BA68">
            <v>62</v>
          </cell>
          <cell r="BB68">
            <v>1</v>
          </cell>
          <cell r="BC68">
            <v>14</v>
          </cell>
          <cell r="BD68">
            <v>1</v>
          </cell>
          <cell r="BE68">
            <v>32</v>
          </cell>
          <cell r="BF68">
            <v>1</v>
          </cell>
          <cell r="BG68">
            <v>23</v>
          </cell>
          <cell r="BH68">
            <v>1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1</v>
          </cell>
          <cell r="CL68">
            <v>0</v>
          </cell>
          <cell r="CM68">
            <v>5</v>
          </cell>
          <cell r="CN68">
            <v>0.5</v>
          </cell>
          <cell r="CO68">
            <v>2</v>
          </cell>
          <cell r="CP68">
            <v>1</v>
          </cell>
          <cell r="CQ68">
            <v>17</v>
          </cell>
          <cell r="CR68">
            <v>1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</row>
        <row r="69">
          <cell r="A69">
            <v>64</v>
          </cell>
          <cell r="E69" t="str">
            <v>EXPLOTACIÓN DE MATERIAL DE MEJORAMIENTO</v>
          </cell>
          <cell r="F69">
            <v>0</v>
          </cell>
          <cell r="G69" t="str">
            <v>M3</v>
          </cell>
          <cell r="H69">
            <v>50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94</v>
          </cell>
          <cell r="AX69">
            <v>1</v>
          </cell>
          <cell r="AY69">
            <v>58</v>
          </cell>
          <cell r="AZ69">
            <v>1</v>
          </cell>
          <cell r="BA69">
            <v>62</v>
          </cell>
          <cell r="BB69">
            <v>0.2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1</v>
          </cell>
          <cell r="CL69">
            <v>0</v>
          </cell>
          <cell r="CM69">
            <v>15</v>
          </cell>
          <cell r="CN69">
            <v>1</v>
          </cell>
          <cell r="CO69">
            <v>20</v>
          </cell>
          <cell r="CP69">
            <v>0.2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</row>
        <row r="70">
          <cell r="A70">
            <v>65</v>
          </cell>
          <cell r="E70" t="str">
            <v>EXPLOTACIÓN, CARGADA Y TRANSPORTE DE MATERIAL DE MEJORAMIENTO</v>
          </cell>
          <cell r="F70">
            <v>0</v>
          </cell>
          <cell r="G70" t="str">
            <v>M3</v>
          </cell>
          <cell r="H70">
            <v>12.65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96</v>
          </cell>
          <cell r="AX70">
            <v>1</v>
          </cell>
          <cell r="AY70">
            <v>58</v>
          </cell>
          <cell r="AZ70">
            <v>1</v>
          </cell>
          <cell r="BA70">
            <v>61</v>
          </cell>
          <cell r="BB70">
            <v>1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1</v>
          </cell>
          <cell r="CL70">
            <v>0</v>
          </cell>
          <cell r="CM70">
            <v>8</v>
          </cell>
          <cell r="CN70">
            <v>1</v>
          </cell>
          <cell r="CO70">
            <v>15</v>
          </cell>
          <cell r="CP70">
            <v>1</v>
          </cell>
          <cell r="CQ70">
            <v>20</v>
          </cell>
          <cell r="CR70">
            <v>1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</row>
        <row r="71">
          <cell r="A71">
            <v>66</v>
          </cell>
          <cell r="E71" t="str">
            <v xml:space="preserve">EXPLOTADA, CLASIFICACIÓN, CARGADA, TENDIDA Y COMPACTACIÓN DE BASE CLASE 4 (INC. TRASPORTE HASTA 10 Km.) </v>
          </cell>
          <cell r="F71">
            <v>0</v>
          </cell>
          <cell r="G71" t="str">
            <v>M3</v>
          </cell>
          <cell r="H71">
            <v>50</v>
          </cell>
          <cell r="I71">
            <v>2936</v>
          </cell>
          <cell r="J71">
            <v>1.25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1</v>
          </cell>
          <cell r="AX71">
            <v>3</v>
          </cell>
          <cell r="AY71">
            <v>52</v>
          </cell>
          <cell r="AZ71">
            <v>1</v>
          </cell>
          <cell r="BA71">
            <v>61</v>
          </cell>
          <cell r="BB71">
            <v>1</v>
          </cell>
          <cell r="BC71">
            <v>62</v>
          </cell>
          <cell r="BD71">
            <v>1</v>
          </cell>
          <cell r="BE71">
            <v>73</v>
          </cell>
          <cell r="BF71">
            <v>1</v>
          </cell>
          <cell r="BG71">
            <v>94</v>
          </cell>
          <cell r="BH71">
            <v>2</v>
          </cell>
          <cell r="BI71">
            <v>98</v>
          </cell>
          <cell r="BJ71">
            <v>5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74</v>
          </cell>
          <cell r="CL71">
            <v>1</v>
          </cell>
          <cell r="CM71">
            <v>20</v>
          </cell>
          <cell r="CN71">
            <v>1</v>
          </cell>
          <cell r="CO71">
            <v>8</v>
          </cell>
          <cell r="CP71">
            <v>4</v>
          </cell>
          <cell r="CQ71">
            <v>52</v>
          </cell>
          <cell r="CR71">
            <v>1</v>
          </cell>
          <cell r="CS71">
            <v>54</v>
          </cell>
          <cell r="CT71">
            <v>1</v>
          </cell>
          <cell r="CU71">
            <v>53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</row>
        <row r="72">
          <cell r="A72">
            <v>67</v>
          </cell>
          <cell r="E72" t="str">
            <v xml:space="preserve">GAVION CON MALLA TRIPLETORSIÓN EN MUROS </v>
          </cell>
          <cell r="F72" t="str">
            <v>Especif: La piedra tiene que ser de río</v>
          </cell>
          <cell r="G72" t="str">
            <v>M3</v>
          </cell>
          <cell r="H72">
            <v>0.43</v>
          </cell>
          <cell r="I72">
            <v>1799</v>
          </cell>
          <cell r="J72">
            <v>0.5</v>
          </cell>
          <cell r="K72">
            <v>376</v>
          </cell>
          <cell r="L72">
            <v>0.7</v>
          </cell>
          <cell r="M72">
            <v>3</v>
          </cell>
          <cell r="N72">
            <v>1.1000000000000001</v>
          </cell>
          <cell r="O72">
            <v>54</v>
          </cell>
          <cell r="P72">
            <v>0.25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1</v>
          </cell>
          <cell r="AX72">
            <v>3</v>
          </cell>
          <cell r="AY72">
            <v>13</v>
          </cell>
          <cell r="AZ72">
            <v>1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1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</row>
        <row r="73">
          <cell r="A73">
            <v>68</v>
          </cell>
          <cell r="E73" t="str">
            <v xml:space="preserve">GAVION TRIPLETORSIÓN </v>
          </cell>
          <cell r="F73" t="str">
            <v>Especif: La piedra tiene que ser de río</v>
          </cell>
          <cell r="G73" t="str">
            <v>M3</v>
          </cell>
          <cell r="H73">
            <v>0.75</v>
          </cell>
          <cell r="I73">
            <v>1799</v>
          </cell>
          <cell r="J73">
            <v>0.5</v>
          </cell>
          <cell r="K73">
            <v>376</v>
          </cell>
          <cell r="L73">
            <v>0.7</v>
          </cell>
          <cell r="M73">
            <v>3</v>
          </cell>
          <cell r="N73">
            <v>1</v>
          </cell>
          <cell r="O73">
            <v>54</v>
          </cell>
          <cell r="P73">
            <v>0.25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1</v>
          </cell>
          <cell r="AX73">
            <v>4</v>
          </cell>
          <cell r="AY73">
            <v>13</v>
          </cell>
          <cell r="AZ73">
            <v>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1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</row>
        <row r="74">
          <cell r="A74">
            <v>69</v>
          </cell>
          <cell r="E74" t="str">
            <v>GEOTEXTIL 3000 NT</v>
          </cell>
          <cell r="F74">
            <v>0</v>
          </cell>
          <cell r="G74" t="str">
            <v>M2</v>
          </cell>
          <cell r="H74">
            <v>22.5</v>
          </cell>
          <cell r="I74">
            <v>3183</v>
          </cell>
          <cell r="J74">
            <v>1.1000000000000001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1</v>
          </cell>
          <cell r="AX74">
            <v>2</v>
          </cell>
          <cell r="AY74">
            <v>13</v>
          </cell>
          <cell r="AZ74">
            <v>1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</row>
        <row r="75">
          <cell r="A75">
            <v>70</v>
          </cell>
          <cell r="E75" t="str">
            <v>GEOTEXTIL NO TEJIDO, PERMIABILIDAD MINIMA 45X10 E-² cm/seg</v>
          </cell>
          <cell r="F75">
            <v>0</v>
          </cell>
          <cell r="G75" t="str">
            <v>M2</v>
          </cell>
          <cell r="H75">
            <v>38</v>
          </cell>
          <cell r="I75">
            <v>3182</v>
          </cell>
          <cell r="J75">
            <v>1.05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1</v>
          </cell>
          <cell r="AX75">
            <v>3</v>
          </cell>
          <cell r="AY75">
            <v>13</v>
          </cell>
          <cell r="AZ75">
            <v>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1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</row>
        <row r="76">
          <cell r="A76">
            <v>71</v>
          </cell>
          <cell r="E76" t="str">
            <v>GEOTEXTIL NT-1600 PARA DRENES</v>
          </cell>
          <cell r="F76">
            <v>0</v>
          </cell>
          <cell r="G76" t="str">
            <v>M2</v>
          </cell>
          <cell r="H76">
            <v>38.5</v>
          </cell>
          <cell r="I76">
            <v>3208</v>
          </cell>
          <cell r="J76">
            <v>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1</v>
          </cell>
          <cell r="AX76">
            <v>1</v>
          </cell>
          <cell r="AY76">
            <v>13</v>
          </cell>
          <cell r="AZ76">
            <v>1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1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</row>
        <row r="77">
          <cell r="A77">
            <v>72</v>
          </cell>
          <cell r="E77" t="str">
            <v>GEOTEXTIL PAVCO T-1700 (3.85X100) m. PARA DRENES</v>
          </cell>
          <cell r="F77">
            <v>0</v>
          </cell>
          <cell r="G77" t="str">
            <v>M2</v>
          </cell>
          <cell r="H77">
            <v>38.5</v>
          </cell>
          <cell r="I77">
            <v>2879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1</v>
          </cell>
          <cell r="AX77">
            <v>1</v>
          </cell>
          <cell r="AY77">
            <v>13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1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</row>
        <row r="78">
          <cell r="A78">
            <v>73</v>
          </cell>
          <cell r="E78" t="str">
            <v>GRAVA SELECCIONADA PARA DREN (NO INC. TRANSPORTE)</v>
          </cell>
          <cell r="F78">
            <v>0</v>
          </cell>
          <cell r="G78" t="str">
            <v>M3</v>
          </cell>
          <cell r="H78">
            <v>0.752</v>
          </cell>
          <cell r="I78">
            <v>1755</v>
          </cell>
          <cell r="J78">
            <v>1.05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1</v>
          </cell>
          <cell r="AX78">
            <v>1</v>
          </cell>
          <cell r="AY78">
            <v>13</v>
          </cell>
          <cell r="AZ78">
            <v>0.2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</row>
        <row r="79">
          <cell r="A79">
            <v>74</v>
          </cell>
          <cell r="E79" t="str">
            <v>GUARDAVÍAS VIGA MATÁLICA SIMPLE (INC. CINTA REFLECTIVA)</v>
          </cell>
          <cell r="F79">
            <v>0</v>
          </cell>
          <cell r="G79" t="str">
            <v>M.</v>
          </cell>
          <cell r="H79">
            <v>1.9</v>
          </cell>
          <cell r="I79">
            <v>3184</v>
          </cell>
          <cell r="J79">
            <v>0.27779999999999999</v>
          </cell>
          <cell r="K79">
            <v>3185</v>
          </cell>
          <cell r="L79">
            <v>6.6699999999999995E-2</v>
          </cell>
          <cell r="M79">
            <v>3186</v>
          </cell>
          <cell r="N79">
            <v>0.55559999999999998</v>
          </cell>
          <cell r="O79">
            <v>3187</v>
          </cell>
          <cell r="P79">
            <v>6.6699999999999995E-2</v>
          </cell>
          <cell r="Q79">
            <v>3188</v>
          </cell>
          <cell r="R79">
            <v>5.5599999999999997E-2</v>
          </cell>
          <cell r="S79">
            <v>704</v>
          </cell>
          <cell r="T79">
            <v>1.036</v>
          </cell>
          <cell r="U79">
            <v>5</v>
          </cell>
          <cell r="V79">
            <v>13</v>
          </cell>
          <cell r="W79">
            <v>1</v>
          </cell>
          <cell r="X79">
            <v>3.5000000000000003E-2</v>
          </cell>
          <cell r="Y79">
            <v>4</v>
          </cell>
          <cell r="Z79">
            <v>0.01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98</v>
          </cell>
          <cell r="AX79">
            <v>0.5</v>
          </cell>
          <cell r="AY79">
            <v>1</v>
          </cell>
          <cell r="AZ79">
            <v>2</v>
          </cell>
          <cell r="BA79">
            <v>13</v>
          </cell>
          <cell r="BB79">
            <v>1</v>
          </cell>
          <cell r="BC79">
            <v>5</v>
          </cell>
          <cell r="BD79">
            <v>2</v>
          </cell>
          <cell r="BE79">
            <v>16</v>
          </cell>
          <cell r="BF79">
            <v>1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1</v>
          </cell>
          <cell r="CL79">
            <v>0</v>
          </cell>
          <cell r="CM79">
            <v>8</v>
          </cell>
          <cell r="CN79">
            <v>0.5</v>
          </cell>
          <cell r="CO79">
            <v>13</v>
          </cell>
          <cell r="CP79">
            <v>1</v>
          </cell>
          <cell r="CQ79">
            <v>24</v>
          </cell>
          <cell r="CR79">
            <v>1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</row>
        <row r="80">
          <cell r="A80">
            <v>75</v>
          </cell>
          <cell r="E80" t="str">
            <v xml:space="preserve">HORMIGON  CICLOPEO (60% H.S. f'c=180 Kg/cm2) </v>
          </cell>
          <cell r="F80">
            <v>0</v>
          </cell>
          <cell r="G80" t="str">
            <v>M3</v>
          </cell>
          <cell r="H80">
            <v>1</v>
          </cell>
          <cell r="I80">
            <v>5</v>
          </cell>
          <cell r="J80">
            <v>210</v>
          </cell>
          <cell r="K80">
            <v>3</v>
          </cell>
          <cell r="L80">
            <v>0.4</v>
          </cell>
          <cell r="M80">
            <v>2</v>
          </cell>
          <cell r="N80">
            <v>0.56999999999999995</v>
          </cell>
          <cell r="O80">
            <v>1</v>
          </cell>
          <cell r="P80">
            <v>0.39</v>
          </cell>
          <cell r="Q80">
            <v>4</v>
          </cell>
          <cell r="R80">
            <v>0.4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1</v>
          </cell>
          <cell r="AX80">
            <v>12</v>
          </cell>
          <cell r="AY80">
            <v>13</v>
          </cell>
          <cell r="AZ80">
            <v>3</v>
          </cell>
          <cell r="BA80">
            <v>30</v>
          </cell>
          <cell r="BB80">
            <v>2.5</v>
          </cell>
          <cell r="BC80">
            <v>18</v>
          </cell>
          <cell r="BD80">
            <v>1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1</v>
          </cell>
          <cell r="CL80">
            <v>0</v>
          </cell>
          <cell r="CM80">
            <v>3</v>
          </cell>
          <cell r="CN80">
            <v>1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</row>
        <row r="81">
          <cell r="A81">
            <v>76</v>
          </cell>
          <cell r="E81" t="str">
            <v>HORMIGON  CICLOPEO (60% H.S. f'c=180 Kg/cm2) + ENCOFRADO</v>
          </cell>
          <cell r="F81">
            <v>0</v>
          </cell>
          <cell r="G81" t="str">
            <v>M3</v>
          </cell>
          <cell r="H81">
            <v>0.9</v>
          </cell>
          <cell r="I81">
            <v>5</v>
          </cell>
          <cell r="J81">
            <v>210</v>
          </cell>
          <cell r="K81">
            <v>3</v>
          </cell>
          <cell r="L81">
            <v>0.4</v>
          </cell>
          <cell r="M81">
            <v>2</v>
          </cell>
          <cell r="N81">
            <v>0.56999999999999995</v>
          </cell>
          <cell r="O81">
            <v>1</v>
          </cell>
          <cell r="P81">
            <v>0.39</v>
          </cell>
          <cell r="Q81">
            <v>4</v>
          </cell>
          <cell r="R81">
            <v>0.22</v>
          </cell>
          <cell r="S81">
            <v>53</v>
          </cell>
          <cell r="T81">
            <v>1</v>
          </cell>
          <cell r="U81">
            <v>52</v>
          </cell>
          <cell r="V81">
            <v>1</v>
          </cell>
          <cell r="W81">
            <v>51</v>
          </cell>
          <cell r="X81">
            <v>1</v>
          </cell>
          <cell r="Y81">
            <v>61</v>
          </cell>
          <cell r="Z81">
            <v>0.25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1</v>
          </cell>
          <cell r="AX81">
            <v>10</v>
          </cell>
          <cell r="AY81">
            <v>13</v>
          </cell>
          <cell r="AZ81">
            <v>1</v>
          </cell>
          <cell r="BA81">
            <v>17</v>
          </cell>
          <cell r="BB81">
            <v>1</v>
          </cell>
          <cell r="BC81">
            <v>30</v>
          </cell>
          <cell r="BD81">
            <v>1</v>
          </cell>
          <cell r="BE81">
            <v>3</v>
          </cell>
          <cell r="BF81">
            <v>1</v>
          </cell>
          <cell r="BG81">
            <v>7</v>
          </cell>
          <cell r="BH81">
            <v>1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1</v>
          </cell>
          <cell r="CL81">
            <v>0</v>
          </cell>
          <cell r="CM81">
            <v>3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</row>
        <row r="82">
          <cell r="A82">
            <v>77</v>
          </cell>
          <cell r="E82" t="str">
            <v>HORMIGON SIMPLE  f'c=180 Kg/cm2, S/E</v>
          </cell>
          <cell r="F82">
            <v>0</v>
          </cell>
          <cell r="G82" t="str">
            <v>M3</v>
          </cell>
          <cell r="H82">
            <v>1</v>
          </cell>
          <cell r="I82">
            <v>5</v>
          </cell>
          <cell r="J82">
            <v>350</v>
          </cell>
          <cell r="K82">
            <v>2</v>
          </cell>
          <cell r="L82">
            <v>0.95</v>
          </cell>
          <cell r="M82">
            <v>1</v>
          </cell>
          <cell r="N82">
            <v>0.65</v>
          </cell>
          <cell r="O82">
            <v>4</v>
          </cell>
          <cell r="P82">
            <v>0.4</v>
          </cell>
          <cell r="Q82">
            <v>54</v>
          </cell>
          <cell r="R82">
            <v>0.33300000000000002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1</v>
          </cell>
          <cell r="AX82">
            <v>12</v>
          </cell>
          <cell r="AY82">
            <v>3</v>
          </cell>
          <cell r="AZ82">
            <v>3</v>
          </cell>
          <cell r="BA82">
            <v>13</v>
          </cell>
          <cell r="BB82">
            <v>3</v>
          </cell>
          <cell r="BC82">
            <v>30</v>
          </cell>
          <cell r="BD82">
            <v>1</v>
          </cell>
          <cell r="BE82">
            <v>18</v>
          </cell>
          <cell r="BF82">
            <v>1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1</v>
          </cell>
          <cell r="CL82">
            <v>0</v>
          </cell>
          <cell r="CM82">
            <v>3</v>
          </cell>
          <cell r="CN82">
            <v>1</v>
          </cell>
          <cell r="CO82">
            <v>4</v>
          </cell>
          <cell r="CP82">
            <v>1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</row>
        <row r="83">
          <cell r="A83">
            <v>78</v>
          </cell>
          <cell r="E83" t="str">
            <v>HORMIGON SIMPLE F'c=180 Kg/cm2  (INC. ENCOFRADO)</v>
          </cell>
          <cell r="F83">
            <v>0</v>
          </cell>
          <cell r="G83" t="str">
            <v>M3</v>
          </cell>
          <cell r="H83">
            <v>1</v>
          </cell>
          <cell r="I83">
            <v>5</v>
          </cell>
          <cell r="J83">
            <v>350</v>
          </cell>
          <cell r="K83">
            <v>2</v>
          </cell>
          <cell r="L83">
            <v>0.95</v>
          </cell>
          <cell r="M83">
            <v>1</v>
          </cell>
          <cell r="N83">
            <v>0.65</v>
          </cell>
          <cell r="O83">
            <v>4</v>
          </cell>
          <cell r="P83">
            <v>0.22</v>
          </cell>
          <cell r="Q83">
            <v>53</v>
          </cell>
          <cell r="R83">
            <v>1</v>
          </cell>
          <cell r="S83">
            <v>52</v>
          </cell>
          <cell r="T83">
            <v>1</v>
          </cell>
          <cell r="U83">
            <v>51</v>
          </cell>
          <cell r="V83">
            <v>1</v>
          </cell>
          <cell r="W83">
            <v>61</v>
          </cell>
          <cell r="X83">
            <v>0.25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8</v>
          </cell>
          <cell r="AY83">
            <v>3</v>
          </cell>
          <cell r="AZ83">
            <v>2</v>
          </cell>
          <cell r="BA83">
            <v>7</v>
          </cell>
          <cell r="BB83">
            <v>2</v>
          </cell>
          <cell r="BC83">
            <v>13</v>
          </cell>
          <cell r="BD83">
            <v>1</v>
          </cell>
          <cell r="BE83">
            <v>18</v>
          </cell>
          <cell r="BF83">
            <v>1</v>
          </cell>
          <cell r="BG83">
            <v>30</v>
          </cell>
          <cell r="BH83">
            <v>1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0</v>
          </cell>
          <cell r="CM83">
            <v>3</v>
          </cell>
          <cell r="CN83">
            <v>1</v>
          </cell>
          <cell r="CO83">
            <v>4</v>
          </cell>
          <cell r="CP83">
            <v>1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</row>
        <row r="84">
          <cell r="A84">
            <v>79</v>
          </cell>
          <cell r="E84" t="str">
            <v>HORMIGÓN SIMPLE f'c=180 Kg/cm2 EN REPLANTILLO</v>
          </cell>
          <cell r="F84">
            <v>0</v>
          </cell>
          <cell r="G84" t="str">
            <v>M3</v>
          </cell>
          <cell r="H84">
            <v>1</v>
          </cell>
          <cell r="I84">
            <v>5</v>
          </cell>
          <cell r="J84">
            <v>350</v>
          </cell>
          <cell r="K84">
            <v>2</v>
          </cell>
          <cell r="L84">
            <v>0.95</v>
          </cell>
          <cell r="M84">
            <v>1</v>
          </cell>
          <cell r="N84">
            <v>0.65</v>
          </cell>
          <cell r="O84">
            <v>4</v>
          </cell>
          <cell r="P84">
            <v>0.22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1</v>
          </cell>
          <cell r="AX84">
            <v>8</v>
          </cell>
          <cell r="AY84">
            <v>3</v>
          </cell>
          <cell r="AZ84">
            <v>1</v>
          </cell>
          <cell r="BA84">
            <v>13</v>
          </cell>
          <cell r="BB84">
            <v>1</v>
          </cell>
          <cell r="BC84">
            <v>30</v>
          </cell>
          <cell r="BD84">
            <v>1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3</v>
          </cell>
          <cell r="CN84">
            <v>1</v>
          </cell>
          <cell r="CO84">
            <v>4</v>
          </cell>
          <cell r="CP84">
            <v>1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</row>
        <row r="85">
          <cell r="A85">
            <v>80</v>
          </cell>
          <cell r="E85" t="str">
            <v>HORMIGON SIMPLE F'c=210 Kg/cm2  (INC. ENCOFRADO)</v>
          </cell>
          <cell r="F85">
            <v>0</v>
          </cell>
          <cell r="G85" t="str">
            <v>M3</v>
          </cell>
          <cell r="H85">
            <v>1</v>
          </cell>
          <cell r="I85">
            <v>5</v>
          </cell>
          <cell r="J85">
            <v>375</v>
          </cell>
          <cell r="K85">
            <v>2</v>
          </cell>
          <cell r="L85">
            <v>0.95</v>
          </cell>
          <cell r="M85">
            <v>1</v>
          </cell>
          <cell r="N85">
            <v>0.65</v>
          </cell>
          <cell r="O85">
            <v>4</v>
          </cell>
          <cell r="P85">
            <v>0.4</v>
          </cell>
          <cell r="Q85">
            <v>53</v>
          </cell>
          <cell r="R85">
            <v>4</v>
          </cell>
          <cell r="S85">
            <v>52</v>
          </cell>
          <cell r="T85">
            <v>3</v>
          </cell>
          <cell r="U85">
            <v>51</v>
          </cell>
          <cell r="V85">
            <v>3</v>
          </cell>
          <cell r="W85">
            <v>61</v>
          </cell>
          <cell r="X85">
            <v>1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1</v>
          </cell>
          <cell r="AX85">
            <v>12</v>
          </cell>
          <cell r="AY85">
            <v>3</v>
          </cell>
          <cell r="AZ85">
            <v>2</v>
          </cell>
          <cell r="BA85">
            <v>13</v>
          </cell>
          <cell r="BB85">
            <v>2</v>
          </cell>
          <cell r="BC85">
            <v>18</v>
          </cell>
          <cell r="BD85">
            <v>1</v>
          </cell>
          <cell r="BE85">
            <v>30</v>
          </cell>
          <cell r="BF85">
            <v>1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3</v>
          </cell>
          <cell r="CN85">
            <v>1</v>
          </cell>
          <cell r="CO85">
            <v>4</v>
          </cell>
          <cell r="CP85">
            <v>1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</row>
        <row r="86">
          <cell r="A86">
            <v>81</v>
          </cell>
          <cell r="E86" t="str">
            <v>HORMIGON SIMPLE F'c=210 Kg/cm2, S/E</v>
          </cell>
          <cell r="F86">
            <v>0</v>
          </cell>
          <cell r="G86" t="str">
            <v>M3</v>
          </cell>
          <cell r="H86">
            <v>1</v>
          </cell>
          <cell r="I86">
            <v>5</v>
          </cell>
          <cell r="J86">
            <v>375</v>
          </cell>
          <cell r="K86">
            <v>2</v>
          </cell>
          <cell r="L86">
            <v>0.95</v>
          </cell>
          <cell r="M86">
            <v>1</v>
          </cell>
          <cell r="N86">
            <v>0.65</v>
          </cell>
          <cell r="O86">
            <v>4</v>
          </cell>
          <cell r="P86">
            <v>0.4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1</v>
          </cell>
          <cell r="AX86">
            <v>12</v>
          </cell>
          <cell r="AY86">
            <v>3</v>
          </cell>
          <cell r="AZ86">
            <v>2</v>
          </cell>
          <cell r="BA86">
            <v>13</v>
          </cell>
          <cell r="BB86">
            <v>4</v>
          </cell>
          <cell r="BC86">
            <v>30</v>
          </cell>
          <cell r="BD86">
            <v>1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0</v>
          </cell>
          <cell r="CM86">
            <v>3</v>
          </cell>
          <cell r="CN86">
            <v>1</v>
          </cell>
          <cell r="CO86">
            <v>4</v>
          </cell>
          <cell r="CP86">
            <v>1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</row>
        <row r="87">
          <cell r="A87">
            <v>82</v>
          </cell>
          <cell r="E87" t="str">
            <v>HORMIGON SIMPLE f'c=240 Kg/cm2 EN CAPA DE RODADURA</v>
          </cell>
          <cell r="F87">
            <v>0</v>
          </cell>
          <cell r="G87" t="str">
            <v>M3</v>
          </cell>
          <cell r="H87">
            <v>0.9</v>
          </cell>
          <cell r="I87">
            <v>1</v>
          </cell>
          <cell r="J87">
            <v>0.65</v>
          </cell>
          <cell r="K87">
            <v>2</v>
          </cell>
          <cell r="L87">
            <v>0.95</v>
          </cell>
          <cell r="M87">
            <v>4</v>
          </cell>
          <cell r="N87">
            <v>0.35</v>
          </cell>
          <cell r="O87">
            <v>5</v>
          </cell>
          <cell r="P87">
            <v>410</v>
          </cell>
          <cell r="Q87">
            <v>3211</v>
          </cell>
          <cell r="R87">
            <v>2.0499999999999998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12</v>
          </cell>
          <cell r="AY87">
            <v>3</v>
          </cell>
          <cell r="AZ87">
            <v>2</v>
          </cell>
          <cell r="BA87">
            <v>13</v>
          </cell>
          <cell r="BB87">
            <v>2</v>
          </cell>
          <cell r="BC87">
            <v>14</v>
          </cell>
          <cell r="BD87">
            <v>2</v>
          </cell>
          <cell r="BE87">
            <v>30</v>
          </cell>
          <cell r="BF87">
            <v>1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0</v>
          </cell>
          <cell r="CM87">
            <v>3</v>
          </cell>
          <cell r="CN87">
            <v>1</v>
          </cell>
          <cell r="CO87">
            <v>4</v>
          </cell>
          <cell r="CP87">
            <v>1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</row>
        <row r="88">
          <cell r="A88">
            <v>83</v>
          </cell>
          <cell r="E88" t="str">
            <v>HORMIGON SIMPLE f'c=240 Kg/cm2 EN VIGAS Y LOSA, (INC. ENCOFRADO)</v>
          </cell>
          <cell r="F88">
            <v>0</v>
          </cell>
          <cell r="G88" t="str">
            <v>M3</v>
          </cell>
          <cell r="H88">
            <v>0.4</v>
          </cell>
          <cell r="I88">
            <v>1</v>
          </cell>
          <cell r="J88">
            <v>0.65</v>
          </cell>
          <cell r="K88">
            <v>2</v>
          </cell>
          <cell r="L88">
            <v>0.95</v>
          </cell>
          <cell r="M88">
            <v>4</v>
          </cell>
          <cell r="N88">
            <v>0.3</v>
          </cell>
          <cell r="O88">
            <v>5</v>
          </cell>
          <cell r="P88">
            <v>410</v>
          </cell>
          <cell r="Q88">
            <v>53</v>
          </cell>
          <cell r="R88">
            <v>10</v>
          </cell>
          <cell r="S88">
            <v>52</v>
          </cell>
          <cell r="T88">
            <v>5</v>
          </cell>
          <cell r="U88">
            <v>51</v>
          </cell>
          <cell r="V88">
            <v>8</v>
          </cell>
          <cell r="W88">
            <v>61</v>
          </cell>
          <cell r="X88">
            <v>1.5</v>
          </cell>
          <cell r="Y88">
            <v>63</v>
          </cell>
          <cell r="Z88">
            <v>1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1</v>
          </cell>
          <cell r="AX88">
            <v>10</v>
          </cell>
          <cell r="AY88">
            <v>3</v>
          </cell>
          <cell r="AZ88">
            <v>2</v>
          </cell>
          <cell r="BA88">
            <v>6</v>
          </cell>
          <cell r="BB88">
            <v>2</v>
          </cell>
          <cell r="BC88">
            <v>13</v>
          </cell>
          <cell r="BD88">
            <v>1</v>
          </cell>
          <cell r="BE88">
            <v>17</v>
          </cell>
          <cell r="BF88">
            <v>2</v>
          </cell>
          <cell r="BG88">
            <v>30</v>
          </cell>
          <cell r="BH88">
            <v>0.2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1</v>
          </cell>
          <cell r="CL88">
            <v>0</v>
          </cell>
          <cell r="CM88">
            <v>3</v>
          </cell>
          <cell r="CN88">
            <v>1</v>
          </cell>
          <cell r="CO88">
            <v>4</v>
          </cell>
          <cell r="CP88">
            <v>1</v>
          </cell>
          <cell r="CQ88">
            <v>25</v>
          </cell>
          <cell r="CR88">
            <v>1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</row>
        <row r="89">
          <cell r="A89">
            <v>84</v>
          </cell>
          <cell r="E89" t="str">
            <v>INSTRUCTIVOS AMBIENTALES</v>
          </cell>
          <cell r="F89">
            <v>0</v>
          </cell>
          <cell r="G89" t="str">
            <v>U.</v>
          </cell>
          <cell r="H89">
            <v>1.25</v>
          </cell>
          <cell r="I89">
            <v>3206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38</v>
          </cell>
          <cell r="AX89">
            <v>0.2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</row>
        <row r="90">
          <cell r="A90">
            <v>85</v>
          </cell>
          <cell r="E90" t="str">
            <v>LACADO SOBRE PIEDRA VISTA (INC.  ANDAMIOS+2 MANOS)</v>
          </cell>
          <cell r="F90">
            <v>0</v>
          </cell>
          <cell r="G90" t="str">
            <v>M2</v>
          </cell>
          <cell r="H90">
            <v>10</v>
          </cell>
          <cell r="I90">
            <v>3179</v>
          </cell>
          <cell r="J90">
            <v>0.1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1</v>
          </cell>
          <cell r="AX90">
            <v>1</v>
          </cell>
          <cell r="AY90">
            <v>11</v>
          </cell>
          <cell r="AZ90">
            <v>1</v>
          </cell>
          <cell r="BA90">
            <v>22</v>
          </cell>
          <cell r="BB90">
            <v>1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1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</row>
        <row r="91">
          <cell r="A91">
            <v>86</v>
          </cell>
          <cell r="E91" t="str">
            <v>LETRERO DE IDENTIFICACIÓN METALICO TOOL 1/32  DE 1.22X2.44 m. (INC. COLOCA. +PEDESTALES TUB. GALVANIZADO 2")</v>
          </cell>
          <cell r="F91">
            <v>0</v>
          </cell>
          <cell r="G91" t="str">
            <v>U.</v>
          </cell>
          <cell r="H91">
            <v>0.2</v>
          </cell>
          <cell r="I91">
            <v>3198</v>
          </cell>
          <cell r="J91">
            <v>1</v>
          </cell>
          <cell r="K91">
            <v>5</v>
          </cell>
          <cell r="L91">
            <v>18.899999999999999</v>
          </cell>
          <cell r="M91">
            <v>1</v>
          </cell>
          <cell r="N91">
            <v>3.5999999999999997E-2</v>
          </cell>
          <cell r="O91">
            <v>2</v>
          </cell>
          <cell r="P91">
            <v>5.1999999999999998E-2</v>
          </cell>
          <cell r="Q91">
            <v>4</v>
          </cell>
          <cell r="R91">
            <v>2.1999999999999999E-2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1</v>
          </cell>
          <cell r="AX91">
            <v>4</v>
          </cell>
          <cell r="AY91">
            <v>13</v>
          </cell>
          <cell r="AZ91">
            <v>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1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</row>
        <row r="92">
          <cell r="A92">
            <v>87</v>
          </cell>
          <cell r="E92" t="str">
            <v>LETRERO DE IDENTIFICACIÓN METALICO TOOL 1/32  DE 2.40X2.80 m. (INC. COLOCA. +PEDESTALES TUB. GALVANIZADO 2")</v>
          </cell>
          <cell r="F92">
            <v>0</v>
          </cell>
          <cell r="G92" t="str">
            <v>U.</v>
          </cell>
          <cell r="H92">
            <v>0.15</v>
          </cell>
          <cell r="I92">
            <v>3199</v>
          </cell>
          <cell r="J92">
            <v>1</v>
          </cell>
          <cell r="K92">
            <v>5</v>
          </cell>
          <cell r="L92">
            <v>18.899999999999999</v>
          </cell>
          <cell r="M92">
            <v>1</v>
          </cell>
          <cell r="N92">
            <v>3.5999999999999997E-2</v>
          </cell>
          <cell r="O92">
            <v>2</v>
          </cell>
          <cell r="P92">
            <v>5.1999999999999998E-2</v>
          </cell>
          <cell r="Q92">
            <v>4</v>
          </cell>
          <cell r="R92">
            <v>2.1999999999999999E-2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</v>
          </cell>
          <cell r="AX92">
            <v>4</v>
          </cell>
          <cell r="AY92">
            <v>13</v>
          </cell>
          <cell r="AZ92">
            <v>1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1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</row>
        <row r="93">
          <cell r="A93">
            <v>88</v>
          </cell>
          <cell r="E93" t="str">
            <v>LETRERO DE SEÑALIZACIÓN VIAL, METALICO TOOL 1/32  DE 0.75X0.75 m. (INC. COLOCA. + PEDESTAL TUB. GALVANIZADO 2")</v>
          </cell>
          <cell r="F93">
            <v>0</v>
          </cell>
          <cell r="G93" t="str">
            <v>U.</v>
          </cell>
          <cell r="H93">
            <v>0.5</v>
          </cell>
          <cell r="I93">
            <v>2973</v>
          </cell>
          <cell r="J93">
            <v>1</v>
          </cell>
          <cell r="K93">
            <v>5</v>
          </cell>
          <cell r="L93">
            <v>9.4499999999999993</v>
          </cell>
          <cell r="M93">
            <v>1</v>
          </cell>
          <cell r="N93">
            <v>1.7999999999999999E-2</v>
          </cell>
          <cell r="O93">
            <v>2</v>
          </cell>
          <cell r="P93">
            <v>2.5999999999999999E-2</v>
          </cell>
          <cell r="Q93">
            <v>4</v>
          </cell>
          <cell r="R93">
            <v>1.0999999999999999E-2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1</v>
          </cell>
          <cell r="AX93">
            <v>2</v>
          </cell>
          <cell r="AY93">
            <v>13</v>
          </cell>
          <cell r="AZ93">
            <v>1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1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</row>
        <row r="94">
          <cell r="A94">
            <v>89</v>
          </cell>
          <cell r="E94" t="str">
            <v>LETREROS PROVISIONALES PREVENTIVOS</v>
          </cell>
          <cell r="F94">
            <v>0</v>
          </cell>
          <cell r="G94" t="str">
            <v>U.</v>
          </cell>
          <cell r="H94">
            <v>20</v>
          </cell>
          <cell r="I94">
            <v>3202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1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</row>
        <row r="95">
          <cell r="A95">
            <v>90</v>
          </cell>
          <cell r="E95" t="str">
            <v>LEVANTAMIENTO DE ALCANTARILLAS DE TUBO Ø= Variable</v>
          </cell>
          <cell r="F95">
            <v>0</v>
          </cell>
          <cell r="G95" t="str">
            <v>M</v>
          </cell>
          <cell r="H95">
            <v>6.5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1</v>
          </cell>
          <cell r="AX95">
            <v>2</v>
          </cell>
          <cell r="AY95">
            <v>13</v>
          </cell>
          <cell r="AZ95">
            <v>1</v>
          </cell>
          <cell r="BA95">
            <v>53</v>
          </cell>
          <cell r="BB95">
            <v>1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1</v>
          </cell>
          <cell r="CL95">
            <v>0</v>
          </cell>
          <cell r="CM95">
            <v>5</v>
          </cell>
          <cell r="CN95">
            <v>1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</row>
        <row r="96">
          <cell r="A96">
            <v>91</v>
          </cell>
          <cell r="E96" t="str">
            <v>LIMPIEZA DE ALCANTARILLAS</v>
          </cell>
          <cell r="F96">
            <v>0</v>
          </cell>
          <cell r="G96" t="str">
            <v>M3</v>
          </cell>
          <cell r="H96">
            <v>0.4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1</v>
          </cell>
          <cell r="AX96">
            <v>1</v>
          </cell>
          <cell r="AY96">
            <v>30</v>
          </cell>
          <cell r="AZ96">
            <v>0.1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1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</row>
        <row r="97">
          <cell r="A97">
            <v>92</v>
          </cell>
          <cell r="E97" t="str">
            <v>LIMPIEZA DE CUNETAS Y ENCAUZAMIENTOS A MÁQUINA</v>
          </cell>
          <cell r="F97">
            <v>0</v>
          </cell>
          <cell r="G97" t="str">
            <v>M3</v>
          </cell>
          <cell r="H97">
            <v>50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2</v>
          </cell>
          <cell r="AY97">
            <v>62</v>
          </cell>
          <cell r="AZ97">
            <v>1</v>
          </cell>
          <cell r="BA97">
            <v>94</v>
          </cell>
          <cell r="BB97">
            <v>1</v>
          </cell>
          <cell r="BC97">
            <v>98</v>
          </cell>
          <cell r="BD97">
            <v>0.3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5</v>
          </cell>
          <cell r="CN97">
            <v>1</v>
          </cell>
          <cell r="CO97">
            <v>8</v>
          </cell>
          <cell r="CP97">
            <v>0.3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</row>
        <row r="98">
          <cell r="A98">
            <v>93</v>
          </cell>
          <cell r="E98" t="str">
            <v>LIMPIEZA DE DERRUMBES</v>
          </cell>
          <cell r="F98">
            <v>0</v>
          </cell>
          <cell r="G98" t="str">
            <v>M3</v>
          </cell>
          <cell r="H98">
            <v>65</v>
          </cell>
          <cell r="I98">
            <v>3202</v>
          </cell>
          <cell r="J98">
            <v>1E-3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53</v>
          </cell>
          <cell r="AX98">
            <v>1</v>
          </cell>
          <cell r="AY98">
            <v>94</v>
          </cell>
          <cell r="AZ98">
            <v>1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1</v>
          </cell>
          <cell r="CL98">
            <v>0</v>
          </cell>
          <cell r="CM98">
            <v>74</v>
          </cell>
          <cell r="CN98">
            <v>1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</row>
        <row r="99">
          <cell r="A99">
            <v>94</v>
          </cell>
          <cell r="E99" t="str">
            <v>LOCALIZACIÓN DEL EJE DE LA VÍA, REGENERACIÓN, NIVELACIÓN Y COLOCACIÓN DE LATERALES.</v>
          </cell>
          <cell r="F99" t="str">
            <v>Se utilizará aparatos topográficos de precisión</v>
          </cell>
          <cell r="G99" t="str">
            <v>Km</v>
          </cell>
          <cell r="H99">
            <v>2.58E-2</v>
          </cell>
          <cell r="I99">
            <v>71</v>
          </cell>
          <cell r="J99">
            <v>120</v>
          </cell>
          <cell r="K99">
            <v>2816</v>
          </cell>
          <cell r="L99">
            <v>120</v>
          </cell>
          <cell r="M99">
            <v>352</v>
          </cell>
          <cell r="N99">
            <v>0.1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24</v>
          </cell>
          <cell r="AX99">
            <v>5</v>
          </cell>
          <cell r="AY99">
            <v>44</v>
          </cell>
          <cell r="AZ99">
            <v>1</v>
          </cell>
          <cell r="BA99">
            <v>48</v>
          </cell>
          <cell r="BB99">
            <v>1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7</v>
          </cell>
          <cell r="CN99">
            <v>1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</row>
        <row r="100">
          <cell r="A100">
            <v>95</v>
          </cell>
          <cell r="E100" t="str">
            <v>LOSA CON PLACA COLABORANTE + f'c=240 Kg/cm2 EN CAPA DE RODADURA, (INC. MALLA 10X10X6 mm.)</v>
          </cell>
          <cell r="F100">
            <v>0</v>
          </cell>
          <cell r="G100" t="str">
            <v>M3</v>
          </cell>
          <cell r="H100">
            <v>1</v>
          </cell>
          <cell r="I100">
            <v>1</v>
          </cell>
          <cell r="J100">
            <v>0.65</v>
          </cell>
          <cell r="K100">
            <v>2</v>
          </cell>
          <cell r="L100">
            <v>0.95</v>
          </cell>
          <cell r="M100">
            <v>4</v>
          </cell>
          <cell r="N100">
            <v>0.03</v>
          </cell>
          <cell r="O100">
            <v>5</v>
          </cell>
          <cell r="P100">
            <v>410</v>
          </cell>
          <cell r="Q100">
            <v>2797</v>
          </cell>
          <cell r="R100">
            <v>8</v>
          </cell>
          <cell r="S100">
            <v>69</v>
          </cell>
          <cell r="T100">
            <v>0.16</v>
          </cell>
          <cell r="U100">
            <v>370</v>
          </cell>
          <cell r="V100">
            <v>0.08</v>
          </cell>
          <cell r="W100">
            <v>364</v>
          </cell>
          <cell r="X100">
            <v>0.08</v>
          </cell>
          <cell r="Y100">
            <v>3210</v>
          </cell>
          <cell r="Z100">
            <v>8</v>
          </cell>
          <cell r="AA100">
            <v>64</v>
          </cell>
          <cell r="AB100">
            <v>62.16</v>
          </cell>
          <cell r="AC100">
            <v>704</v>
          </cell>
          <cell r="AD100">
            <v>2.48</v>
          </cell>
          <cell r="AE100">
            <v>63</v>
          </cell>
          <cell r="AF100">
            <v>0.5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1</v>
          </cell>
          <cell r="AX100">
            <v>10</v>
          </cell>
          <cell r="AY100">
            <v>3</v>
          </cell>
          <cell r="AZ100">
            <v>2</v>
          </cell>
          <cell r="BA100">
            <v>13</v>
          </cell>
          <cell r="BB100">
            <v>2</v>
          </cell>
          <cell r="BC100">
            <v>5</v>
          </cell>
          <cell r="BD100">
            <v>0.2</v>
          </cell>
          <cell r="BE100">
            <v>28</v>
          </cell>
          <cell r="BF100">
            <v>0.2</v>
          </cell>
          <cell r="BG100">
            <v>35</v>
          </cell>
          <cell r="BH100">
            <v>0.2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1</v>
          </cell>
          <cell r="CL100">
            <v>0</v>
          </cell>
          <cell r="CM100">
            <v>3</v>
          </cell>
          <cell r="CN100">
            <v>1</v>
          </cell>
          <cell r="CO100">
            <v>4</v>
          </cell>
          <cell r="CP100">
            <v>1</v>
          </cell>
          <cell r="CQ100">
            <v>10</v>
          </cell>
          <cell r="CR100">
            <v>1</v>
          </cell>
          <cell r="CS100">
            <v>13</v>
          </cell>
          <cell r="CT100">
            <v>0.2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</row>
        <row r="101">
          <cell r="A101">
            <v>96</v>
          </cell>
          <cell r="E101" t="str">
            <v>MALLA ELECTROSOLDADA 4 mm. @ 10 cm. XY</v>
          </cell>
          <cell r="F101">
            <v>0</v>
          </cell>
          <cell r="G101" t="str">
            <v>M2</v>
          </cell>
          <cell r="H101">
            <v>10</v>
          </cell>
          <cell r="I101">
            <v>3177</v>
          </cell>
          <cell r="J101">
            <v>1</v>
          </cell>
          <cell r="K101">
            <v>63</v>
          </cell>
          <cell r="L101">
            <v>0.01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1</v>
          </cell>
          <cell r="AX101">
            <v>1</v>
          </cell>
          <cell r="AY101">
            <v>13</v>
          </cell>
          <cell r="AZ101">
            <v>1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</row>
        <row r="102">
          <cell r="A102">
            <v>97</v>
          </cell>
          <cell r="E102" t="str">
            <v>MALLA ELECTROSOLDADA 6 mm. @ 10 cm. XY</v>
          </cell>
          <cell r="F102">
            <v>0</v>
          </cell>
          <cell r="G102" t="str">
            <v>M2</v>
          </cell>
          <cell r="H102">
            <v>10</v>
          </cell>
          <cell r="I102">
            <v>2797</v>
          </cell>
          <cell r="J102">
            <v>1</v>
          </cell>
          <cell r="K102">
            <v>69</v>
          </cell>
          <cell r="L102">
            <v>0.1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1</v>
          </cell>
          <cell r="AX102">
            <v>1</v>
          </cell>
          <cell r="AY102">
            <v>5</v>
          </cell>
          <cell r="AZ102">
            <v>1</v>
          </cell>
          <cell r="BA102">
            <v>28</v>
          </cell>
          <cell r="BB102">
            <v>1</v>
          </cell>
          <cell r="BC102">
            <v>37</v>
          </cell>
          <cell r="BD102">
            <v>0.1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71</v>
          </cell>
          <cell r="CN102">
            <v>1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</row>
        <row r="103">
          <cell r="A103">
            <v>98</v>
          </cell>
          <cell r="E103" t="str">
            <v>MATERIAL DE MEJORAMIENTO DE SUELO</v>
          </cell>
          <cell r="F103" t="str">
            <v>Material de mejoramiento de buenas características</v>
          </cell>
          <cell r="G103" t="str">
            <v>M3</v>
          </cell>
          <cell r="H103">
            <v>1</v>
          </cell>
          <cell r="I103">
            <v>24</v>
          </cell>
          <cell r="J103">
            <v>1</v>
          </cell>
          <cell r="K103">
            <v>4</v>
          </cell>
          <cell r="L103">
            <v>0.03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1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1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</row>
        <row r="104">
          <cell r="A104">
            <v>99</v>
          </cell>
          <cell r="E104" t="str">
            <v>MATERIAL FILTRANTE PARA DREN, NO INC. TRANSPORTE</v>
          </cell>
          <cell r="F104">
            <v>0</v>
          </cell>
          <cell r="G104" t="str">
            <v>M3</v>
          </cell>
          <cell r="H104">
            <v>5</v>
          </cell>
          <cell r="I104">
            <v>1755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1</v>
          </cell>
          <cell r="AX104">
            <v>4</v>
          </cell>
          <cell r="AY104">
            <v>30</v>
          </cell>
          <cell r="AZ104">
            <v>0.2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1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</row>
        <row r="105">
          <cell r="A105">
            <v>100</v>
          </cell>
          <cell r="E105" t="str">
            <v>MATERIAL FILTRANTE PARA SUB-DRENES (INC. TRANSPORTE)</v>
          </cell>
          <cell r="F105">
            <v>0</v>
          </cell>
          <cell r="G105" t="str">
            <v>M3</v>
          </cell>
          <cell r="H105">
            <v>40</v>
          </cell>
          <cell r="I105">
            <v>1755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1</v>
          </cell>
          <cell r="AX105">
            <v>0.5</v>
          </cell>
          <cell r="AY105">
            <v>62</v>
          </cell>
          <cell r="AZ105">
            <v>1</v>
          </cell>
          <cell r="BA105">
            <v>94</v>
          </cell>
          <cell r="BB105">
            <v>1</v>
          </cell>
          <cell r="BC105">
            <v>98</v>
          </cell>
          <cell r="BD105">
            <v>1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1</v>
          </cell>
          <cell r="CL105">
            <v>0</v>
          </cell>
          <cell r="CM105">
            <v>5</v>
          </cell>
          <cell r="CN105">
            <v>1</v>
          </cell>
          <cell r="CO105">
            <v>8</v>
          </cell>
          <cell r="CP105">
            <v>1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</row>
        <row r="106">
          <cell r="A106">
            <v>101</v>
          </cell>
          <cell r="E106" t="str">
            <v>MATERIAL FILTRANTE PARA SUBDRENES Ø&lt;15 cm.</v>
          </cell>
          <cell r="F106">
            <v>0</v>
          </cell>
          <cell r="G106" t="str">
            <v>M3</v>
          </cell>
          <cell r="H106">
            <v>8</v>
          </cell>
          <cell r="I106">
            <v>2702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1</v>
          </cell>
          <cell r="AX106">
            <v>4</v>
          </cell>
          <cell r="AY106">
            <v>99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1</v>
          </cell>
          <cell r="CL106">
            <v>0</v>
          </cell>
          <cell r="CM106">
            <v>8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</row>
        <row r="107">
          <cell r="A107">
            <v>102</v>
          </cell>
          <cell r="E107" t="str">
            <v>MEJORAMIENTO DE LA SUB-RAZANTE CON SUELO SELECCINADO, S/T</v>
          </cell>
          <cell r="F107" t="str">
            <v>ESPECIFICACIONES: Se compacta en capas de 20 cm. Con minima cantidad de agua.</v>
          </cell>
          <cell r="G107" t="str">
            <v>M3</v>
          </cell>
          <cell r="H107">
            <v>45</v>
          </cell>
          <cell r="I107">
            <v>24</v>
          </cell>
          <cell r="J107">
            <v>1.2</v>
          </cell>
          <cell r="K107">
            <v>4</v>
          </cell>
          <cell r="L107">
            <v>0.05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52</v>
          </cell>
          <cell r="AX107">
            <v>1</v>
          </cell>
          <cell r="AY107">
            <v>73</v>
          </cell>
          <cell r="AZ107">
            <v>1</v>
          </cell>
          <cell r="BA107">
            <v>98</v>
          </cell>
          <cell r="BB107">
            <v>1</v>
          </cell>
          <cell r="BC107">
            <v>94</v>
          </cell>
          <cell r="BD107">
            <v>3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52</v>
          </cell>
          <cell r="CL107">
            <v>1</v>
          </cell>
          <cell r="CM107">
            <v>53</v>
          </cell>
          <cell r="CN107">
            <v>1</v>
          </cell>
          <cell r="CO107">
            <v>54</v>
          </cell>
          <cell r="CP107">
            <v>1</v>
          </cell>
          <cell r="CQ107">
            <v>1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</row>
        <row r="108">
          <cell r="A108">
            <v>103</v>
          </cell>
          <cell r="E108" t="str">
            <v>MEJORAMIENTO DE LA SUB-RAZANTE CON SUELO SELECCINADO, S/T y S/M</v>
          </cell>
          <cell r="F108" t="str">
            <v>ESPECIFICACIONES: Se compacta en capas de 20 cm. Con minima cantidad de agua.</v>
          </cell>
          <cell r="G108" t="str">
            <v>M3</v>
          </cell>
          <cell r="H108">
            <v>46</v>
          </cell>
          <cell r="I108">
            <v>4</v>
          </cell>
          <cell r="J108">
            <v>0.05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52</v>
          </cell>
          <cell r="AX108">
            <v>1</v>
          </cell>
          <cell r="AY108">
            <v>82</v>
          </cell>
          <cell r="AZ108">
            <v>1</v>
          </cell>
          <cell r="BA108">
            <v>99</v>
          </cell>
          <cell r="BB108">
            <v>1</v>
          </cell>
          <cell r="BC108">
            <v>53</v>
          </cell>
          <cell r="BD108">
            <v>1</v>
          </cell>
          <cell r="BE108">
            <v>94</v>
          </cell>
          <cell r="BF108">
            <v>3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52</v>
          </cell>
          <cell r="CL108">
            <v>0.5</v>
          </cell>
          <cell r="CM108">
            <v>53</v>
          </cell>
          <cell r="CN108">
            <v>0.5</v>
          </cell>
          <cell r="CO108">
            <v>54</v>
          </cell>
          <cell r="CP108">
            <v>0.3</v>
          </cell>
          <cell r="CQ108">
            <v>74</v>
          </cell>
          <cell r="CR108">
            <v>0.85</v>
          </cell>
          <cell r="CS108">
            <v>5</v>
          </cell>
          <cell r="CT108">
            <v>0.4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</row>
        <row r="109">
          <cell r="A109">
            <v>104</v>
          </cell>
          <cell r="E109" t="str">
            <v xml:space="preserve">MEJORAMIENTO DE LA SUB-RAZANTE CON SUELO SELECCIONADO, INC. EXPLOTACIÓN, CRIBADO CARGADO, TENDIDO, HIDRATADO Y COMPACTADO </v>
          </cell>
          <cell r="F109">
            <v>0</v>
          </cell>
          <cell r="G109" t="str">
            <v>M3</v>
          </cell>
          <cell r="H109">
            <v>28</v>
          </cell>
          <cell r="I109">
            <v>1851</v>
          </cell>
          <cell r="J109">
            <v>1</v>
          </cell>
          <cell r="K109">
            <v>4</v>
          </cell>
          <cell r="L109">
            <v>0.05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52</v>
          </cell>
          <cell r="AX109">
            <v>1</v>
          </cell>
          <cell r="AY109">
            <v>82</v>
          </cell>
          <cell r="AZ109">
            <v>1</v>
          </cell>
          <cell r="BA109">
            <v>99</v>
          </cell>
          <cell r="BB109">
            <v>2</v>
          </cell>
          <cell r="BC109">
            <v>53</v>
          </cell>
          <cell r="BD109">
            <v>1</v>
          </cell>
          <cell r="BE109">
            <v>94</v>
          </cell>
          <cell r="BF109">
            <v>3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52</v>
          </cell>
          <cell r="CL109">
            <v>0.5</v>
          </cell>
          <cell r="CM109">
            <v>53</v>
          </cell>
          <cell r="CN109">
            <v>0.5</v>
          </cell>
          <cell r="CO109">
            <v>54</v>
          </cell>
          <cell r="CP109">
            <v>0.3</v>
          </cell>
          <cell r="CQ109">
            <v>74</v>
          </cell>
          <cell r="CR109">
            <v>0.85</v>
          </cell>
          <cell r="CS109">
            <v>5</v>
          </cell>
          <cell r="CT109">
            <v>0.4</v>
          </cell>
          <cell r="CU109">
            <v>8</v>
          </cell>
          <cell r="CV109">
            <v>1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</row>
        <row r="110">
          <cell r="A110">
            <v>105</v>
          </cell>
          <cell r="B110" t="str">
            <v>829-4</v>
          </cell>
          <cell r="E110" t="str">
            <v xml:space="preserve">PASAMANOS Y POSTES </v>
          </cell>
          <cell r="F110">
            <v>0</v>
          </cell>
          <cell r="G110" t="str">
            <v>M</v>
          </cell>
          <cell r="H110">
            <v>1.2</v>
          </cell>
          <cell r="I110">
            <v>584</v>
          </cell>
          <cell r="J110">
            <v>1.9294117647058822</v>
          </cell>
          <cell r="K110">
            <v>1</v>
          </cell>
          <cell r="L110">
            <v>3.8235294117647062E-2</v>
          </cell>
          <cell r="M110">
            <v>2</v>
          </cell>
          <cell r="N110">
            <v>5.5882352941176466E-2</v>
          </cell>
          <cell r="O110">
            <v>5</v>
          </cell>
          <cell r="P110">
            <v>19.676470588235293</v>
          </cell>
          <cell r="Q110">
            <v>62</v>
          </cell>
          <cell r="R110">
            <v>9.9982352941176469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1</v>
          </cell>
          <cell r="AX110">
            <v>1</v>
          </cell>
          <cell r="AY110">
            <v>3</v>
          </cell>
          <cell r="AZ110">
            <v>1</v>
          </cell>
          <cell r="BA110">
            <v>13</v>
          </cell>
          <cell r="BB110">
            <v>1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1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</row>
        <row r="111">
          <cell r="A111">
            <v>106</v>
          </cell>
          <cell r="E111" t="str">
            <v>PINTURA PARA PUENTES DE TUBERÍA DE ACERO (INC. 4 MANOS)</v>
          </cell>
          <cell r="F111">
            <v>0</v>
          </cell>
          <cell r="G111" t="str">
            <v>M2</v>
          </cell>
          <cell r="H111">
            <v>7</v>
          </cell>
          <cell r="I111">
            <v>359</v>
          </cell>
          <cell r="J111">
            <v>0.06</v>
          </cell>
          <cell r="K111">
            <v>1882</v>
          </cell>
          <cell r="L111">
            <v>0.08</v>
          </cell>
          <cell r="M111">
            <v>364</v>
          </cell>
          <cell r="N111">
            <v>0.1</v>
          </cell>
          <cell r="O111">
            <v>1875</v>
          </cell>
          <cell r="P111">
            <v>0.01</v>
          </cell>
          <cell r="Q111">
            <v>379</v>
          </cell>
          <cell r="R111">
            <v>0.02</v>
          </cell>
          <cell r="S111">
            <v>3214</v>
          </cell>
          <cell r="T111">
            <v>1E-3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1</v>
          </cell>
          <cell r="AX111">
            <v>3</v>
          </cell>
          <cell r="AY111">
            <v>15</v>
          </cell>
          <cell r="AZ111">
            <v>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1</v>
          </cell>
          <cell r="CL111">
            <v>0</v>
          </cell>
          <cell r="CM111">
            <v>51</v>
          </cell>
          <cell r="CN111">
            <v>1</v>
          </cell>
          <cell r="CO111">
            <v>25</v>
          </cell>
          <cell r="CP111">
            <v>1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</row>
        <row r="112">
          <cell r="A112">
            <v>107</v>
          </cell>
          <cell r="E112" t="str">
            <v>PLACAS DE NEOPRENO e=20 mm. - 0.30x0.30 m.</v>
          </cell>
          <cell r="F112">
            <v>0</v>
          </cell>
          <cell r="G112" t="str">
            <v>U</v>
          </cell>
          <cell r="H112">
            <v>5</v>
          </cell>
          <cell r="I112">
            <v>3181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1</v>
          </cell>
          <cell r="AX112">
            <v>1</v>
          </cell>
          <cell r="AY112">
            <v>13</v>
          </cell>
          <cell r="AZ112">
            <v>1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1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</row>
        <row r="113">
          <cell r="A113">
            <v>108</v>
          </cell>
          <cell r="E113" t="str">
            <v xml:space="preserve">RECONFORMACIÓN DE CUNETAS Y CALZADA PARA VÍAS DE SUELOS DURO CON TRACTOR </v>
          </cell>
          <cell r="F113" t="str">
            <v>ESPECIFICACIONES: Todo el material sedimentado en la cuneta se levantara y se desalojara, de igual forma la calazada de la vía se nivelara</v>
          </cell>
          <cell r="G113" t="str">
            <v>M2</v>
          </cell>
          <cell r="H113">
            <v>1340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58</v>
          </cell>
          <cell r="AX113">
            <v>1</v>
          </cell>
          <cell r="AY113">
            <v>94</v>
          </cell>
          <cell r="AZ113">
            <v>1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14</v>
          </cell>
          <cell r="CL113">
            <v>1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</row>
        <row r="114">
          <cell r="A114">
            <v>109</v>
          </cell>
          <cell r="E114" t="str">
            <v>RECONFORMACIÓN DE CUNETAS Y CALZADA PARA VIAS DE SUELOS SUAVES CON MOTONIVELADORA.</v>
          </cell>
          <cell r="F114" t="str">
            <v>ESPECIFICACIONES: Todo el material sedimentado en la cuneta se levantara y se desalojara, de igual forma la calazada de la vía se nivelara</v>
          </cell>
          <cell r="G114" t="str">
            <v>M2</v>
          </cell>
          <cell r="H114">
            <v>1950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52</v>
          </cell>
          <cell r="AX114">
            <v>1</v>
          </cell>
          <cell r="AY114">
            <v>94</v>
          </cell>
          <cell r="AZ114">
            <v>1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52</v>
          </cell>
          <cell r="CL114">
            <v>1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</row>
        <row r="115">
          <cell r="A115">
            <v>110</v>
          </cell>
          <cell r="E115" t="str">
            <v>RECONFORMACION DE LA RAZANTE</v>
          </cell>
          <cell r="F115">
            <v>0</v>
          </cell>
          <cell r="G115" t="str">
            <v>M2</v>
          </cell>
          <cell r="H115">
            <v>250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52</v>
          </cell>
          <cell r="AX115">
            <v>1</v>
          </cell>
          <cell r="AY115">
            <v>73</v>
          </cell>
          <cell r="AZ115">
            <v>1</v>
          </cell>
          <cell r="BA115">
            <v>98</v>
          </cell>
          <cell r="BB115">
            <v>1</v>
          </cell>
          <cell r="BC115">
            <v>94</v>
          </cell>
          <cell r="BD115">
            <v>1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52</v>
          </cell>
          <cell r="CL115">
            <v>1</v>
          </cell>
          <cell r="CM115">
            <v>53</v>
          </cell>
          <cell r="CN115">
            <v>1</v>
          </cell>
          <cell r="CO115">
            <v>54</v>
          </cell>
          <cell r="CP115">
            <v>1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</row>
        <row r="116">
          <cell r="A116">
            <v>111</v>
          </cell>
          <cell r="E116" t="str">
            <v>RECONFORMACION DE LA SUBRAZANTE</v>
          </cell>
          <cell r="F116">
            <v>0</v>
          </cell>
          <cell r="G116" t="str">
            <v>M2</v>
          </cell>
          <cell r="H116">
            <v>746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52</v>
          </cell>
          <cell r="AX116">
            <v>1</v>
          </cell>
          <cell r="AY116">
            <v>73</v>
          </cell>
          <cell r="AZ116">
            <v>1</v>
          </cell>
          <cell r="BA116">
            <v>98</v>
          </cell>
          <cell r="BB116">
            <v>1</v>
          </cell>
          <cell r="BC116">
            <v>94</v>
          </cell>
          <cell r="BD116">
            <v>1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52</v>
          </cell>
          <cell r="CL116">
            <v>1</v>
          </cell>
          <cell r="CM116">
            <v>53</v>
          </cell>
          <cell r="CN116">
            <v>1</v>
          </cell>
          <cell r="CO116">
            <v>54</v>
          </cell>
          <cell r="CP116">
            <v>1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</row>
        <row r="117">
          <cell r="A117">
            <v>112</v>
          </cell>
          <cell r="E117" t="str">
            <v>RECONFORMACIÓN Y ACABADO DE LA OBRA BASICA EXISTENTE</v>
          </cell>
          <cell r="F117">
            <v>0</v>
          </cell>
          <cell r="G117" t="str">
            <v>M2</v>
          </cell>
          <cell r="H117">
            <v>350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52</v>
          </cell>
          <cell r="AX117">
            <v>1</v>
          </cell>
          <cell r="AY117">
            <v>73</v>
          </cell>
          <cell r="AZ117">
            <v>1</v>
          </cell>
          <cell r="BA117">
            <v>98</v>
          </cell>
          <cell r="BB117">
            <v>1</v>
          </cell>
          <cell r="BC117">
            <v>94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52</v>
          </cell>
          <cell r="CL117">
            <v>1</v>
          </cell>
          <cell r="CM117">
            <v>53</v>
          </cell>
          <cell r="CN117">
            <v>1</v>
          </cell>
          <cell r="CO117">
            <v>54</v>
          </cell>
          <cell r="CP117">
            <v>1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</row>
        <row r="118">
          <cell r="A118">
            <v>113</v>
          </cell>
          <cell r="E118" t="str">
            <v>RECONFORMACIÓN Y COMPACTACIÓN DE OBRA BASICA (INC. CUNETAS)</v>
          </cell>
          <cell r="F118">
            <v>0</v>
          </cell>
          <cell r="G118" t="str">
            <v>M2</v>
          </cell>
          <cell r="H118">
            <v>14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1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1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</row>
        <row r="119">
          <cell r="A119">
            <v>114</v>
          </cell>
          <cell r="E119" t="str">
            <v xml:space="preserve">RECUBRIMIENTO ASFALTICO INTERIOR DE ALCANTANTARILLA METÁLICA GALVANIZADA CORRUGADA  Ø=0.90 M </v>
          </cell>
          <cell r="F119">
            <v>0</v>
          </cell>
          <cell r="G119" t="str">
            <v>M</v>
          </cell>
          <cell r="H119">
            <v>10</v>
          </cell>
          <cell r="I119">
            <v>2905</v>
          </cell>
          <cell r="J119">
            <v>2.0099999999999998</v>
          </cell>
          <cell r="K119">
            <v>2904</v>
          </cell>
          <cell r="L119">
            <v>2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1</v>
          </cell>
          <cell r="AX119">
            <v>1</v>
          </cell>
          <cell r="AY119">
            <v>35</v>
          </cell>
          <cell r="AZ119">
            <v>0.1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1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</row>
        <row r="120">
          <cell r="A120">
            <v>115</v>
          </cell>
          <cell r="E120" t="str">
            <v>REJILLA DE HIERRO FUNDIDO PARA TODO TRÁFICO VEHICULAR a=0.55 cm.</v>
          </cell>
          <cell r="F120">
            <v>0</v>
          </cell>
          <cell r="G120" t="str">
            <v>ML.</v>
          </cell>
          <cell r="H120">
            <v>5</v>
          </cell>
          <cell r="I120">
            <v>3195</v>
          </cell>
          <cell r="J120">
            <v>1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1</v>
          </cell>
          <cell r="AX120">
            <v>2</v>
          </cell>
          <cell r="AY120">
            <v>13</v>
          </cell>
          <cell r="AZ120">
            <v>1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1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</row>
        <row r="121">
          <cell r="A121">
            <v>116</v>
          </cell>
          <cell r="E121" t="str">
            <v>RELLENO A MAQUINA (INC. MATERIAL DE SITIO)</v>
          </cell>
          <cell r="F121" t="str">
            <v>ESPECIFICACIONES: Se compacta en capas de 20 cm. Con minima cantidad de agua.</v>
          </cell>
          <cell r="G121" t="str">
            <v>M3</v>
          </cell>
          <cell r="H121">
            <v>33</v>
          </cell>
          <cell r="I121">
            <v>4</v>
          </cell>
          <cell r="J121">
            <v>0.1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94</v>
          </cell>
          <cell r="AX121">
            <v>1</v>
          </cell>
          <cell r="AY121">
            <v>58</v>
          </cell>
          <cell r="AZ121">
            <v>1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1</v>
          </cell>
          <cell r="CL121">
            <v>0</v>
          </cell>
          <cell r="CM121">
            <v>15</v>
          </cell>
          <cell r="CN121">
            <v>1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</row>
        <row r="122">
          <cell r="A122">
            <v>117</v>
          </cell>
          <cell r="E122" t="str">
            <v>RELLENO COMPACTADO A MAQUINA (INC. MATERIAL DE SITIO)</v>
          </cell>
          <cell r="F122" t="str">
            <v>ESPECIFICACIONES: Se compacta en capas de 20 cm. Con minima cantidad de agua.</v>
          </cell>
          <cell r="G122" t="str">
            <v>M3</v>
          </cell>
          <cell r="H122">
            <v>80</v>
          </cell>
          <cell r="I122">
            <v>4</v>
          </cell>
          <cell r="J122">
            <v>0.1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1</v>
          </cell>
          <cell r="AX122">
            <v>2</v>
          </cell>
          <cell r="AY122">
            <v>52</v>
          </cell>
          <cell r="AZ122">
            <v>1</v>
          </cell>
          <cell r="BA122">
            <v>73</v>
          </cell>
          <cell r="BB122">
            <v>1</v>
          </cell>
          <cell r="BC122">
            <v>99</v>
          </cell>
          <cell r="BD122">
            <v>1</v>
          </cell>
          <cell r="BE122">
            <v>94</v>
          </cell>
          <cell r="BF122">
            <v>2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1</v>
          </cell>
          <cell r="CL122">
            <v>0</v>
          </cell>
          <cell r="CM122">
            <v>52</v>
          </cell>
          <cell r="CN122">
            <v>1</v>
          </cell>
          <cell r="CO122">
            <v>53</v>
          </cell>
          <cell r="CP122">
            <v>1</v>
          </cell>
          <cell r="CQ122">
            <v>54</v>
          </cell>
          <cell r="CR122">
            <v>1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</row>
        <row r="123">
          <cell r="A123">
            <v>118</v>
          </cell>
          <cell r="E123" t="str">
            <v>RELLENO COMPACTADO A MAQUINA CON MATERIAL DE MEJORAMIENTO (NO INC. TRANSPORTE)</v>
          </cell>
          <cell r="F123" t="str">
            <v>ESPECIFICACIONES: Se compacta en capas de 20 cm. Con minima cantidad de agua.</v>
          </cell>
          <cell r="G123" t="str">
            <v>M3</v>
          </cell>
          <cell r="H123">
            <v>87.5</v>
          </cell>
          <cell r="I123">
            <v>4</v>
          </cell>
          <cell r="J123">
            <v>0.1</v>
          </cell>
          <cell r="K123">
            <v>24</v>
          </cell>
          <cell r="L123">
            <v>1.05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1</v>
          </cell>
          <cell r="AX123">
            <v>2</v>
          </cell>
          <cell r="AY123">
            <v>52</v>
          </cell>
          <cell r="AZ123">
            <v>1</v>
          </cell>
          <cell r="BA123">
            <v>73</v>
          </cell>
          <cell r="BB123">
            <v>1</v>
          </cell>
          <cell r="BC123">
            <v>99</v>
          </cell>
          <cell r="BD123">
            <v>1</v>
          </cell>
          <cell r="BE123">
            <v>94</v>
          </cell>
          <cell r="BF123">
            <v>2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1</v>
          </cell>
          <cell r="CL123">
            <v>0</v>
          </cell>
          <cell r="CM123">
            <v>52</v>
          </cell>
          <cell r="CN123">
            <v>1</v>
          </cell>
          <cell r="CO123">
            <v>53</v>
          </cell>
          <cell r="CP123">
            <v>1</v>
          </cell>
          <cell r="CQ123">
            <v>54</v>
          </cell>
          <cell r="CR123">
            <v>1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</row>
        <row r="124">
          <cell r="A124">
            <v>119</v>
          </cell>
          <cell r="E124" t="str">
            <v>RELLENO COMPACTADO VIBROAPISONADOR (INC. MATERIAL DE MEJORAMIENTO)</v>
          </cell>
          <cell r="F124" t="str">
            <v>ESPECIFICACIONES: Se compacta en capas de 20 cm. Con minima cantidad de agua y se lo hace con un apisonador mecanico</v>
          </cell>
          <cell r="G124" t="str">
            <v>M3</v>
          </cell>
          <cell r="H124">
            <v>1</v>
          </cell>
          <cell r="I124">
            <v>4</v>
          </cell>
          <cell r="J124">
            <v>0.02</v>
          </cell>
          <cell r="K124">
            <v>24</v>
          </cell>
          <cell r="L124">
            <v>1.01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1</v>
          </cell>
          <cell r="AX124">
            <v>1</v>
          </cell>
          <cell r="AY124">
            <v>4</v>
          </cell>
          <cell r="AZ124">
            <v>1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1</v>
          </cell>
          <cell r="CL124">
            <v>0</v>
          </cell>
          <cell r="CM124">
            <v>23</v>
          </cell>
          <cell r="CN124">
            <v>0.25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</row>
        <row r="125">
          <cell r="A125">
            <v>120</v>
          </cell>
          <cell r="E125" t="str">
            <v>RELLENO COMPACTADO VIBROAPISONADOR (INC. MATERIAL DE SITIO)</v>
          </cell>
          <cell r="F125" t="str">
            <v>ESPECIFICACIONES: Se compacta en capas de 20 cm. Con minima cantidad de agua y se lo hace con un apisonador mecanico</v>
          </cell>
          <cell r="G125" t="str">
            <v>M3</v>
          </cell>
          <cell r="H125">
            <v>1</v>
          </cell>
          <cell r="I125">
            <v>4</v>
          </cell>
          <cell r="J125">
            <v>0.02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1</v>
          </cell>
          <cell r="AX125">
            <v>1</v>
          </cell>
          <cell r="AY125">
            <v>4</v>
          </cell>
          <cell r="AZ125">
            <v>0.5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1</v>
          </cell>
          <cell r="CL125">
            <v>0</v>
          </cell>
          <cell r="CM125">
            <v>23</v>
          </cell>
          <cell r="CN125">
            <v>0.5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</row>
        <row r="126">
          <cell r="A126">
            <v>121</v>
          </cell>
          <cell r="E126" t="str">
            <v>REMOCIÓN DE ALCANTARILLAS DE TUBO Ø=VARIABLE</v>
          </cell>
          <cell r="F126">
            <v>0</v>
          </cell>
          <cell r="G126" t="str">
            <v>ML</v>
          </cell>
          <cell r="H126">
            <v>6.79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1</v>
          </cell>
          <cell r="AX126">
            <v>2</v>
          </cell>
          <cell r="AY126">
            <v>13</v>
          </cell>
          <cell r="AZ126">
            <v>1</v>
          </cell>
          <cell r="BA126">
            <v>62</v>
          </cell>
          <cell r="BB126">
            <v>1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1</v>
          </cell>
          <cell r="CL126">
            <v>0</v>
          </cell>
          <cell r="CM126">
            <v>5</v>
          </cell>
          <cell r="CN126">
            <v>1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</row>
        <row r="127">
          <cell r="A127">
            <v>122</v>
          </cell>
          <cell r="E127" t="str">
            <v>REPLANTEO Y NIVELACIÓN CON APARTOS</v>
          </cell>
          <cell r="F127" t="str">
            <v>Se utilizará aparatos topográficos de precisión</v>
          </cell>
          <cell r="G127" t="str">
            <v>Km</v>
          </cell>
          <cell r="H127">
            <v>0.04</v>
          </cell>
          <cell r="I127">
            <v>71</v>
          </cell>
          <cell r="J127">
            <v>20</v>
          </cell>
          <cell r="K127">
            <v>2816</v>
          </cell>
          <cell r="L127">
            <v>20</v>
          </cell>
          <cell r="M127">
            <v>352</v>
          </cell>
          <cell r="N127">
            <v>0.01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24</v>
          </cell>
          <cell r="AX127">
            <v>2</v>
          </cell>
          <cell r="AY127">
            <v>47</v>
          </cell>
          <cell r="AZ127">
            <v>1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7</v>
          </cell>
          <cell r="CN127">
            <v>1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</row>
        <row r="128">
          <cell r="A128">
            <v>123</v>
          </cell>
          <cell r="E128" t="str">
            <v xml:space="preserve">REPLANTEO Y NIVELACIÓN CON EQUIPO TOPOGRAFICO </v>
          </cell>
          <cell r="F128" t="str">
            <v>Se utilizará aparatos topográficos de precisión</v>
          </cell>
          <cell r="G128" t="str">
            <v>M2</v>
          </cell>
          <cell r="H128">
            <v>100</v>
          </cell>
          <cell r="I128">
            <v>70</v>
          </cell>
          <cell r="J128">
            <v>0.6</v>
          </cell>
          <cell r="K128">
            <v>1853</v>
          </cell>
          <cell r="L128">
            <v>0.13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24</v>
          </cell>
          <cell r="AX128">
            <v>3</v>
          </cell>
          <cell r="AY128">
            <v>47</v>
          </cell>
          <cell r="AZ128">
            <v>1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1</v>
          </cell>
          <cell r="CL128">
            <v>0</v>
          </cell>
          <cell r="CM128">
            <v>7</v>
          </cell>
          <cell r="CN128">
            <v>1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</row>
        <row r="129">
          <cell r="A129">
            <v>124</v>
          </cell>
          <cell r="E129" t="str">
            <v xml:space="preserve">REPLANTEO Y NIVELACIÓN MANUAL </v>
          </cell>
          <cell r="F129" t="str">
            <v>Herramienta manual</v>
          </cell>
          <cell r="G129" t="str">
            <v>M2</v>
          </cell>
          <cell r="H129">
            <v>10</v>
          </cell>
          <cell r="I129">
            <v>52</v>
          </cell>
          <cell r="J129">
            <v>1E-3</v>
          </cell>
          <cell r="K129">
            <v>70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3</v>
          </cell>
          <cell r="AX129">
            <v>1</v>
          </cell>
          <cell r="AY129">
            <v>13</v>
          </cell>
          <cell r="AZ129">
            <v>1</v>
          </cell>
          <cell r="BA129">
            <v>30</v>
          </cell>
          <cell r="BB129">
            <v>0.1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1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</row>
        <row r="130">
          <cell r="A130">
            <v>125</v>
          </cell>
          <cell r="E130" t="str">
            <v xml:space="preserve">REPLANTILLO DE PIEDRA Y HORMIGÓN SIMPLE f'c=180 kg/cm2 </v>
          </cell>
          <cell r="F130">
            <v>0</v>
          </cell>
          <cell r="G130" t="str">
            <v>M3</v>
          </cell>
          <cell r="H130">
            <v>0.5</v>
          </cell>
          <cell r="I130">
            <v>5</v>
          </cell>
          <cell r="J130">
            <v>140</v>
          </cell>
          <cell r="K130">
            <v>3</v>
          </cell>
          <cell r="L130">
            <v>0.6</v>
          </cell>
          <cell r="M130">
            <v>2</v>
          </cell>
          <cell r="N130">
            <v>0.38</v>
          </cell>
          <cell r="O130">
            <v>1</v>
          </cell>
          <cell r="P130">
            <v>0.26</v>
          </cell>
          <cell r="Q130">
            <v>4</v>
          </cell>
          <cell r="R130">
            <v>0.06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1</v>
          </cell>
          <cell r="AX130">
            <v>4</v>
          </cell>
          <cell r="AY130">
            <v>13</v>
          </cell>
          <cell r="AZ130">
            <v>2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1</v>
          </cell>
          <cell r="CL130">
            <v>0</v>
          </cell>
          <cell r="CM130">
            <v>3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</row>
        <row r="131">
          <cell r="A131">
            <v>126</v>
          </cell>
          <cell r="E131" t="str">
            <v>RIEGO ASFALTICO COM MATERIAL DE 3/4</v>
          </cell>
          <cell r="F131">
            <v>0</v>
          </cell>
          <cell r="G131" t="str">
            <v>M2</v>
          </cell>
          <cell r="H131">
            <v>200</v>
          </cell>
          <cell r="I131">
            <v>1803</v>
          </cell>
          <cell r="J131">
            <v>3.1</v>
          </cell>
          <cell r="K131">
            <v>2943</v>
          </cell>
          <cell r="L131">
            <v>2.4E-2</v>
          </cell>
          <cell r="M131">
            <v>2942</v>
          </cell>
          <cell r="N131">
            <v>0.05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73</v>
          </cell>
          <cell r="AX131">
            <v>1</v>
          </cell>
          <cell r="AY131">
            <v>74</v>
          </cell>
          <cell r="AZ131">
            <v>1</v>
          </cell>
          <cell r="BA131">
            <v>75</v>
          </cell>
          <cell r="BB131">
            <v>1</v>
          </cell>
          <cell r="BC131">
            <v>82</v>
          </cell>
          <cell r="BD131">
            <v>1</v>
          </cell>
          <cell r="BE131">
            <v>94</v>
          </cell>
          <cell r="BF131">
            <v>3</v>
          </cell>
          <cell r="BG131">
            <v>99</v>
          </cell>
          <cell r="BH131">
            <v>0.5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57</v>
          </cell>
          <cell r="CL131">
            <v>1</v>
          </cell>
          <cell r="CM131">
            <v>68</v>
          </cell>
          <cell r="CN131">
            <v>0.5</v>
          </cell>
          <cell r="CO131">
            <v>69</v>
          </cell>
          <cell r="CP131">
            <v>1</v>
          </cell>
          <cell r="CQ131">
            <v>53</v>
          </cell>
          <cell r="CR131">
            <v>1</v>
          </cell>
          <cell r="CS131">
            <v>70</v>
          </cell>
          <cell r="CT131">
            <v>1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</row>
        <row r="132">
          <cell r="A132">
            <v>127</v>
          </cell>
          <cell r="E132" t="str">
            <v>RIEGO DE MATERIAL DE 3/4 SOBRE SUELO AFIRMADO A MANO</v>
          </cell>
          <cell r="F132">
            <v>0</v>
          </cell>
          <cell r="G132" t="str">
            <v>M2</v>
          </cell>
          <cell r="H132">
            <v>90</v>
          </cell>
          <cell r="I132">
            <v>2943</v>
          </cell>
          <cell r="J132">
            <v>5.2499999999999998E-2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73</v>
          </cell>
          <cell r="AX132">
            <v>1</v>
          </cell>
          <cell r="AY132">
            <v>82</v>
          </cell>
          <cell r="AZ132">
            <v>1</v>
          </cell>
          <cell r="BA132">
            <v>94</v>
          </cell>
          <cell r="BB132">
            <v>3</v>
          </cell>
          <cell r="BC132">
            <v>99</v>
          </cell>
          <cell r="BD132">
            <v>0.5</v>
          </cell>
          <cell r="BE132">
            <v>1</v>
          </cell>
          <cell r="BF132">
            <v>8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1</v>
          </cell>
          <cell r="CL132">
            <v>0</v>
          </cell>
          <cell r="CM132">
            <v>68</v>
          </cell>
          <cell r="CN132">
            <v>0.5</v>
          </cell>
          <cell r="CO132">
            <v>70</v>
          </cell>
          <cell r="CP132">
            <v>1</v>
          </cell>
          <cell r="CQ132">
            <v>53</v>
          </cell>
          <cell r="CR132">
            <v>1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</row>
        <row r="133">
          <cell r="A133">
            <v>128</v>
          </cell>
          <cell r="E133" t="str">
            <v>ROZA A MANO</v>
          </cell>
          <cell r="F133">
            <v>0</v>
          </cell>
          <cell r="G133" t="str">
            <v>Ha.</v>
          </cell>
          <cell r="H133">
            <v>1.7500000000000002E-2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5</v>
          </cell>
          <cell r="AY133">
            <v>30</v>
          </cell>
          <cell r="AZ133">
            <v>0.1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1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</row>
        <row r="134">
          <cell r="A134">
            <v>129</v>
          </cell>
          <cell r="E134" t="str">
            <v>SEMBRADO DE TALUDES (CERCAS VIVAS)</v>
          </cell>
          <cell r="F134">
            <v>0</v>
          </cell>
          <cell r="G134" t="str">
            <v>ML.</v>
          </cell>
          <cell r="H134">
            <v>9.375</v>
          </cell>
          <cell r="I134">
            <v>2971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35</v>
          </cell>
          <cell r="AZ134">
            <v>0.5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1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</row>
        <row r="135">
          <cell r="A135">
            <v>130</v>
          </cell>
          <cell r="E135" t="str">
            <v>SEÑALIZACION HORIZONTAL PAVIMENTO UNA FRANGA a=10 cm.</v>
          </cell>
          <cell r="F135">
            <v>0</v>
          </cell>
          <cell r="G135" t="str">
            <v>ML.</v>
          </cell>
          <cell r="H135">
            <v>350</v>
          </cell>
          <cell r="I135">
            <v>728</v>
          </cell>
          <cell r="J135">
            <v>1.0800000000000001E-2</v>
          </cell>
          <cell r="K135">
            <v>364</v>
          </cell>
          <cell r="L135">
            <v>1.0999999999999999E-2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</v>
          </cell>
          <cell r="AX135">
            <v>5</v>
          </cell>
          <cell r="AY135">
            <v>4</v>
          </cell>
          <cell r="AZ135">
            <v>1</v>
          </cell>
          <cell r="BA135">
            <v>14</v>
          </cell>
          <cell r="BB135">
            <v>1</v>
          </cell>
          <cell r="BC135">
            <v>99</v>
          </cell>
          <cell r="BD135">
            <v>1</v>
          </cell>
          <cell r="BE135">
            <v>84</v>
          </cell>
          <cell r="BF135">
            <v>1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44</v>
          </cell>
          <cell r="CN135">
            <v>1</v>
          </cell>
          <cell r="CO135">
            <v>45</v>
          </cell>
          <cell r="CP135">
            <v>1</v>
          </cell>
          <cell r="CQ135">
            <v>67</v>
          </cell>
          <cell r="CR135">
            <v>1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</row>
        <row r="136">
          <cell r="A136">
            <v>131</v>
          </cell>
          <cell r="E136" t="str">
            <v>SEÑALIZACIÓN VERTICAL (INC. BALIZA DE TUBO PVC-DESAGUE Y CINTA REFLECTIVA DIAMANTE + H°S° 180 Kg/cm2 )</v>
          </cell>
          <cell r="F136">
            <v>0</v>
          </cell>
          <cell r="G136" t="str">
            <v>U.</v>
          </cell>
          <cell r="H136">
            <v>2</v>
          </cell>
          <cell r="I136">
            <v>3190</v>
          </cell>
          <cell r="J136">
            <v>1</v>
          </cell>
          <cell r="K136">
            <v>5</v>
          </cell>
          <cell r="L136">
            <v>9.4499999999999993</v>
          </cell>
          <cell r="M136">
            <v>1</v>
          </cell>
          <cell r="N136">
            <v>1.755E-2</v>
          </cell>
          <cell r="O136">
            <v>2</v>
          </cell>
          <cell r="P136">
            <v>2.5649999999999999E-2</v>
          </cell>
          <cell r="Q136">
            <v>4</v>
          </cell>
          <cell r="R136">
            <v>1.0800000000000001E-2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1</v>
          </cell>
          <cell r="AX136">
            <v>1</v>
          </cell>
          <cell r="AY136">
            <v>13</v>
          </cell>
          <cell r="AZ136">
            <v>1</v>
          </cell>
          <cell r="BA136">
            <v>35</v>
          </cell>
          <cell r="BB136">
            <v>0.1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1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</row>
        <row r="137">
          <cell r="A137">
            <v>132</v>
          </cell>
          <cell r="E137" t="str">
            <v>SUB-BASE CLASE 3 (NO INC. TRANSPORTE)</v>
          </cell>
          <cell r="F137">
            <v>0</v>
          </cell>
          <cell r="G137" t="str">
            <v>M3</v>
          </cell>
          <cell r="H137">
            <v>65</v>
          </cell>
          <cell r="I137">
            <v>3195</v>
          </cell>
          <cell r="J137">
            <v>1.25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5</v>
          </cell>
          <cell r="AY137">
            <v>52</v>
          </cell>
          <cell r="AZ137">
            <v>1</v>
          </cell>
          <cell r="BA137">
            <v>73</v>
          </cell>
          <cell r="BB137">
            <v>1</v>
          </cell>
          <cell r="BC137">
            <v>98</v>
          </cell>
          <cell r="BD137">
            <v>1</v>
          </cell>
          <cell r="BE137">
            <v>94</v>
          </cell>
          <cell r="BF137">
            <v>2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1</v>
          </cell>
          <cell r="CL137">
            <v>0</v>
          </cell>
          <cell r="CM137">
            <v>52</v>
          </cell>
          <cell r="CN137">
            <v>1</v>
          </cell>
          <cell r="CO137">
            <v>53</v>
          </cell>
          <cell r="CP137">
            <v>1</v>
          </cell>
          <cell r="CQ137">
            <v>54</v>
          </cell>
          <cell r="CR137">
            <v>1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</row>
        <row r="138">
          <cell r="A138">
            <v>133</v>
          </cell>
          <cell r="E138" t="str">
            <v>TRANSPORTE DE AGREGADOS PARA DTSB  (NO INC. CARGADA)</v>
          </cell>
          <cell r="F138">
            <v>0</v>
          </cell>
          <cell r="G138" t="str">
            <v>M3*KM</v>
          </cell>
          <cell r="H138">
            <v>80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98</v>
          </cell>
          <cell r="AX138">
            <v>1</v>
          </cell>
          <cell r="AY138">
            <v>94</v>
          </cell>
          <cell r="AZ138">
            <v>1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1</v>
          </cell>
          <cell r="CL138">
            <v>0</v>
          </cell>
          <cell r="CM138">
            <v>8</v>
          </cell>
          <cell r="CN138">
            <v>1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</row>
        <row r="139">
          <cell r="A139">
            <v>134</v>
          </cell>
          <cell r="E139" t="str">
            <v>TRANSPORTE DE MATERIAL DE MEJORAMIENTO (INC. CARGADA)</v>
          </cell>
          <cell r="F139">
            <v>0</v>
          </cell>
          <cell r="G139" t="str">
            <v>M3*KM</v>
          </cell>
          <cell r="H139">
            <v>150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98</v>
          </cell>
          <cell r="AX139">
            <v>1</v>
          </cell>
          <cell r="AY139">
            <v>61</v>
          </cell>
          <cell r="AZ139">
            <v>0.5</v>
          </cell>
          <cell r="BA139">
            <v>94</v>
          </cell>
          <cell r="BB139">
            <v>0.5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8</v>
          </cell>
          <cell r="CN139">
            <v>1</v>
          </cell>
          <cell r="CO139">
            <v>20</v>
          </cell>
          <cell r="CP139">
            <v>0.5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</row>
        <row r="140">
          <cell r="A140">
            <v>135</v>
          </cell>
          <cell r="E140" t="str">
            <v>TRANSPORTE DE MATERIAL DE DERRUMBES</v>
          </cell>
          <cell r="F140">
            <v>0</v>
          </cell>
          <cell r="G140" t="str">
            <v>M3*KM</v>
          </cell>
          <cell r="H140">
            <v>100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98</v>
          </cell>
          <cell r="AX140">
            <v>1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1</v>
          </cell>
          <cell r="CL140">
            <v>0</v>
          </cell>
          <cell r="CM140">
            <v>8</v>
          </cell>
          <cell r="CN140">
            <v>1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</row>
        <row r="141">
          <cell r="A141">
            <v>136</v>
          </cell>
          <cell r="E141" t="str">
            <v>TRANSPORTE DE MATERIAL DE MEJORAMIENTO (NO INC. CARGADA)</v>
          </cell>
          <cell r="F141">
            <v>0</v>
          </cell>
          <cell r="G141" t="str">
            <v>M3*KM</v>
          </cell>
          <cell r="H141">
            <v>100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98</v>
          </cell>
          <cell r="AX141">
            <v>1</v>
          </cell>
          <cell r="AY141">
            <v>94</v>
          </cell>
          <cell r="AZ141">
            <v>1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1</v>
          </cell>
          <cell r="CL141">
            <v>0</v>
          </cell>
          <cell r="CM141">
            <v>8</v>
          </cell>
          <cell r="CN141">
            <v>1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</row>
        <row r="142">
          <cell r="A142">
            <v>137</v>
          </cell>
          <cell r="E142" t="str">
            <v>TRANSPORTE DE MATERIAL DE MEJORAMIENTO (NO INC. CARGADA) &lt; 6 Km.</v>
          </cell>
          <cell r="F142">
            <v>0</v>
          </cell>
          <cell r="G142" t="str">
            <v>M3*KM</v>
          </cell>
          <cell r="H142">
            <v>120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98</v>
          </cell>
          <cell r="AX142">
            <v>1</v>
          </cell>
          <cell r="AY142">
            <v>94</v>
          </cell>
          <cell r="AZ142">
            <v>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1</v>
          </cell>
          <cell r="CL142">
            <v>0</v>
          </cell>
          <cell r="CM142">
            <v>8</v>
          </cell>
          <cell r="CN142">
            <v>1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</row>
        <row r="143">
          <cell r="A143">
            <v>138</v>
          </cell>
          <cell r="E143" t="str">
            <v>TRANSPORTE DE MATERIAL DE MEJORAMIENTO DE 0 A 3 Km. (INC. CARGADA)</v>
          </cell>
          <cell r="F143">
            <v>0</v>
          </cell>
          <cell r="G143" t="str">
            <v>M3*KM</v>
          </cell>
          <cell r="H143">
            <v>20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98</v>
          </cell>
          <cell r="AX143">
            <v>0.2</v>
          </cell>
          <cell r="AY143">
            <v>61</v>
          </cell>
          <cell r="AZ143">
            <v>0.3</v>
          </cell>
          <cell r="BA143">
            <v>94</v>
          </cell>
          <cell r="BB143">
            <v>0.5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1</v>
          </cell>
          <cell r="CL143">
            <v>0</v>
          </cell>
          <cell r="CM143">
            <v>8</v>
          </cell>
          <cell r="CN143">
            <v>0.2</v>
          </cell>
          <cell r="CO143">
            <v>20</v>
          </cell>
          <cell r="CP143">
            <v>0.3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</row>
        <row r="144">
          <cell r="A144">
            <v>139</v>
          </cell>
          <cell r="E144" t="str">
            <v>TRASPORTE DE BASE, SUB-BASE, MATERIAL TRITURADO, CRIBADO DE PRESTAMO Y OTROS</v>
          </cell>
          <cell r="F144" t="str">
            <v>TRASPORTE DE MATERIALES</v>
          </cell>
          <cell r="G144" t="str">
            <v>M3*KM</v>
          </cell>
          <cell r="H144">
            <v>125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98</v>
          </cell>
          <cell r="AX144">
            <v>1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0</v>
          </cell>
          <cell r="CM144">
            <v>8</v>
          </cell>
          <cell r="CN144">
            <v>1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</row>
        <row r="145">
          <cell r="A145">
            <v>140</v>
          </cell>
          <cell r="E145" t="str">
            <v>TRANSPORTE Y COLOCACIÓN DE ALCANTANTARILLA METÁLICA GALVANIZADA CORRUGADA. PP-68, Ø=1.20 M e=2 mm (INC. TRANSPORTE, PERNOS, RECUBRIMIENTO ASFALTICO INTERIOR EXTERIOR, INST. EN OBRA)</v>
          </cell>
          <cell r="F145">
            <v>0</v>
          </cell>
          <cell r="G145" t="str">
            <v>M</v>
          </cell>
          <cell r="H145">
            <v>2.82</v>
          </cell>
          <cell r="I145">
            <v>2905</v>
          </cell>
          <cell r="J145">
            <v>2.5</v>
          </cell>
          <cell r="K145">
            <v>2904</v>
          </cell>
          <cell r="L145">
            <v>2.5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1</v>
          </cell>
          <cell r="AX145">
            <v>5</v>
          </cell>
          <cell r="AY145">
            <v>13</v>
          </cell>
          <cell r="AZ145">
            <v>1</v>
          </cell>
          <cell r="BA145">
            <v>35</v>
          </cell>
          <cell r="BB145">
            <v>0.1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1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</row>
        <row r="146">
          <cell r="A146">
            <v>141</v>
          </cell>
          <cell r="E146" t="str">
            <v>TRANSPORTE Y COLOCACIÓN DE ALCANTANTARILLA MULTIPLACA METÁLICA GALVANIZADA 33A6 (INC. TRANSPORTE, PERNOS, RECUBRIMIENTO ASFALTICO INTERIOR EXTERIOR, INST. EN OBRA)</v>
          </cell>
          <cell r="F146">
            <v>0</v>
          </cell>
          <cell r="G146" t="str">
            <v>M</v>
          </cell>
          <cell r="H146">
            <v>0.25</v>
          </cell>
          <cell r="I146">
            <v>2905</v>
          </cell>
          <cell r="J146">
            <v>5</v>
          </cell>
          <cell r="K146">
            <v>2904</v>
          </cell>
          <cell r="L146">
            <v>5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1</v>
          </cell>
          <cell r="AX146">
            <v>5</v>
          </cell>
          <cell r="AY146">
            <v>13</v>
          </cell>
          <cell r="AZ146">
            <v>1</v>
          </cell>
          <cell r="BA146">
            <v>35</v>
          </cell>
          <cell r="BB146">
            <v>0.1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1</v>
          </cell>
          <cell r="CL146">
            <v>0</v>
          </cell>
          <cell r="CM146">
            <v>42</v>
          </cell>
          <cell r="CN146">
            <v>1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</row>
        <row r="147">
          <cell r="A147">
            <v>142</v>
          </cell>
          <cell r="E147" t="str">
            <v xml:space="preserve">TUBERÍA CORRUGADA Y PERFORADA PVC Ø=110 mm. </v>
          </cell>
          <cell r="F147">
            <v>0</v>
          </cell>
          <cell r="G147" t="str">
            <v>M</v>
          </cell>
          <cell r="H147">
            <v>10</v>
          </cell>
          <cell r="I147">
            <v>401</v>
          </cell>
          <cell r="J147">
            <v>1.01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9</v>
          </cell>
          <cell r="AX147">
            <v>1</v>
          </cell>
          <cell r="AY147">
            <v>20</v>
          </cell>
          <cell r="AZ147">
            <v>1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1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</row>
        <row r="148">
          <cell r="A148">
            <v>143</v>
          </cell>
          <cell r="E148" t="str">
            <v xml:space="preserve">TUBERÍA CORRUGADA Y PERFORADA PVC Ø=160 mm. </v>
          </cell>
          <cell r="F148">
            <v>0</v>
          </cell>
          <cell r="G148" t="str">
            <v>M</v>
          </cell>
          <cell r="H148">
            <v>12</v>
          </cell>
          <cell r="I148">
            <v>2932</v>
          </cell>
          <cell r="J148">
            <v>1.01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9</v>
          </cell>
          <cell r="AX148">
            <v>1</v>
          </cell>
          <cell r="AY148">
            <v>20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</row>
        <row r="149">
          <cell r="A149">
            <v>144</v>
          </cell>
          <cell r="E149" t="str">
            <v xml:space="preserve">TUBERÍA CORRUGADA Y PERFORADA PVC Ø=200 mm. </v>
          </cell>
          <cell r="F149">
            <v>0</v>
          </cell>
          <cell r="G149" t="str">
            <v>M</v>
          </cell>
          <cell r="H149">
            <v>5</v>
          </cell>
          <cell r="I149">
            <v>2877</v>
          </cell>
          <cell r="J149">
            <v>1.01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9</v>
          </cell>
          <cell r="AX149">
            <v>2</v>
          </cell>
          <cell r="AY149">
            <v>20</v>
          </cell>
          <cell r="AZ149">
            <v>1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1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</row>
        <row r="150">
          <cell r="A150">
            <v>145</v>
          </cell>
          <cell r="E150" t="str">
            <v>TUBERÍA DE ACERO PARA PUENTE (INC. PROVICIÓN, PROCESAMIENTO Y MONTAJE)</v>
          </cell>
          <cell r="F150">
            <v>0</v>
          </cell>
          <cell r="G150" t="str">
            <v>KG.</v>
          </cell>
          <cell r="H150">
            <v>21</v>
          </cell>
          <cell r="I150">
            <v>3212</v>
          </cell>
          <cell r="J150">
            <v>0.85</v>
          </cell>
          <cell r="K150">
            <v>3213</v>
          </cell>
          <cell r="L150">
            <v>0.25</v>
          </cell>
          <cell r="M150">
            <v>2963</v>
          </cell>
          <cell r="N150">
            <v>6.0000000000000001E-3</v>
          </cell>
          <cell r="O150">
            <v>2962</v>
          </cell>
          <cell r="P150">
            <v>0.01</v>
          </cell>
          <cell r="Q150">
            <v>2961</v>
          </cell>
          <cell r="R150">
            <v>1E-3</v>
          </cell>
          <cell r="S150">
            <v>3192</v>
          </cell>
          <cell r="T150">
            <v>2E-3</v>
          </cell>
          <cell r="U150">
            <v>3193</v>
          </cell>
          <cell r="V150">
            <v>5.0000000000000001E-4</v>
          </cell>
          <cell r="W150">
            <v>3191</v>
          </cell>
          <cell r="X150">
            <v>1E-3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1</v>
          </cell>
          <cell r="AX150">
            <v>4</v>
          </cell>
          <cell r="AY150">
            <v>5</v>
          </cell>
          <cell r="AZ150">
            <v>3</v>
          </cell>
          <cell r="BA150">
            <v>28</v>
          </cell>
          <cell r="BB150">
            <v>3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1</v>
          </cell>
          <cell r="CL150">
            <v>0</v>
          </cell>
          <cell r="CM150">
            <v>13</v>
          </cell>
          <cell r="CN150">
            <v>2</v>
          </cell>
          <cell r="CO150">
            <v>71</v>
          </cell>
          <cell r="CP150">
            <v>3</v>
          </cell>
          <cell r="CQ150">
            <v>41</v>
          </cell>
          <cell r="CR150">
            <v>2</v>
          </cell>
          <cell r="CS150">
            <v>51</v>
          </cell>
          <cell r="CT150">
            <v>2</v>
          </cell>
          <cell r="CU150">
            <v>42</v>
          </cell>
          <cell r="CV150">
            <v>1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</row>
        <row r="151">
          <cell r="A151">
            <v>146</v>
          </cell>
          <cell r="E151" t="str">
            <v xml:space="preserve">TUBERÍA PVC DE DRENAJE Ø=6" </v>
          </cell>
          <cell r="F151">
            <v>0</v>
          </cell>
          <cell r="G151" t="str">
            <v>M</v>
          </cell>
          <cell r="H151">
            <v>10</v>
          </cell>
          <cell r="I151">
            <v>2899</v>
          </cell>
          <cell r="J151">
            <v>1.05</v>
          </cell>
          <cell r="K151">
            <v>357</v>
          </cell>
          <cell r="L151">
            <v>5.0000000000000001E-3</v>
          </cell>
          <cell r="M151">
            <v>417</v>
          </cell>
          <cell r="N151">
            <v>5.0000000000000001E-3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9</v>
          </cell>
          <cell r="AX151">
            <v>1</v>
          </cell>
          <cell r="AY151">
            <v>20</v>
          </cell>
          <cell r="AZ151">
            <v>1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</row>
        <row r="152">
          <cell r="A152">
            <v>147</v>
          </cell>
          <cell r="E152" t="str">
            <v>TUBERÍA PVC Ø4" PARA DRENAJE</v>
          </cell>
          <cell r="F152">
            <v>0</v>
          </cell>
          <cell r="G152" t="str">
            <v>M</v>
          </cell>
          <cell r="H152">
            <v>4.5</v>
          </cell>
          <cell r="I152">
            <v>2452</v>
          </cell>
          <cell r="J152">
            <v>1.05</v>
          </cell>
          <cell r="K152">
            <v>357</v>
          </cell>
          <cell r="L152">
            <v>5.0000000000000001E-3</v>
          </cell>
          <cell r="M152">
            <v>417</v>
          </cell>
          <cell r="N152">
            <v>5.0000000000000001E-3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9</v>
          </cell>
          <cell r="AX152">
            <v>1</v>
          </cell>
          <cell r="AY152">
            <v>20</v>
          </cell>
          <cell r="AZ152">
            <v>1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1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</row>
        <row r="153">
          <cell r="A153">
            <v>148</v>
          </cell>
          <cell r="E153" t="str">
            <v>PLACA COLABORANTE  e=1.1 mm. (INC. ACERO DE REFUERZO)</v>
          </cell>
          <cell r="F153">
            <v>0</v>
          </cell>
          <cell r="G153" t="str">
            <v>M2</v>
          </cell>
          <cell r="H153">
            <v>6</v>
          </cell>
          <cell r="I153">
            <v>3210</v>
          </cell>
          <cell r="J153">
            <v>1.05</v>
          </cell>
          <cell r="K153">
            <v>62</v>
          </cell>
          <cell r="L153">
            <v>3.2</v>
          </cell>
          <cell r="M153">
            <v>69</v>
          </cell>
          <cell r="N153">
            <v>0.06</v>
          </cell>
          <cell r="O153">
            <v>3192</v>
          </cell>
          <cell r="P153">
            <v>0.02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5</v>
          </cell>
          <cell r="AX153">
            <v>1</v>
          </cell>
          <cell r="AY153">
            <v>28</v>
          </cell>
          <cell r="AZ153">
            <v>1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0</v>
          </cell>
          <cell r="CM153">
            <v>13</v>
          </cell>
          <cell r="CN153">
            <v>1</v>
          </cell>
          <cell r="CO153">
            <v>51</v>
          </cell>
          <cell r="CP153">
            <v>0.5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</row>
        <row r="154">
          <cell r="A154">
            <v>149</v>
          </cell>
          <cell r="E154" t="str">
            <v xml:space="preserve">PLACAS DE NEOPRENO  Ø=0.52 m. e=20 mm. </v>
          </cell>
          <cell r="F154">
            <v>0</v>
          </cell>
          <cell r="G154" t="str">
            <v>U</v>
          </cell>
          <cell r="H154">
            <v>4</v>
          </cell>
          <cell r="I154">
            <v>1815</v>
          </cell>
          <cell r="J154">
            <v>0.21240000000000001</v>
          </cell>
          <cell r="K154">
            <v>3215</v>
          </cell>
          <cell r="L154">
            <v>0.21340000000000001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1</v>
          </cell>
          <cell r="AX154">
            <v>1</v>
          </cell>
          <cell r="AY154">
            <v>13</v>
          </cell>
          <cell r="AZ154">
            <v>1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1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</row>
        <row r="155">
          <cell r="A155">
            <v>150</v>
          </cell>
          <cell r="E155" t="str">
            <v>CAMA DE LASTRE DE RIO</v>
          </cell>
          <cell r="F155">
            <v>0</v>
          </cell>
          <cell r="G155" t="str">
            <v>M3</v>
          </cell>
          <cell r="H155">
            <v>5</v>
          </cell>
          <cell r="I155">
            <v>27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1</v>
          </cell>
          <cell r="AX155">
            <v>0</v>
          </cell>
          <cell r="AY155">
            <v>13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1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</row>
        <row r="156">
          <cell r="A156">
            <v>151</v>
          </cell>
          <cell r="E156" t="str">
            <v>ALCANTANTARILLA METÁLICA GALVANIZADA CORRUGADA. PP-100, Ø=1.80 M e=2.00 mm (INC. SUMINISTRO, TRANSPORTE, PERNOS, RECUBRIMIENTO ASFALTICO INTERIOR EXTERIOR, INST. EN OBRA)</v>
          </cell>
          <cell r="F156">
            <v>0</v>
          </cell>
          <cell r="G156" t="str">
            <v>M</v>
          </cell>
          <cell r="H156">
            <v>1</v>
          </cell>
          <cell r="I156">
            <v>3216</v>
          </cell>
          <cell r="J156">
            <v>1</v>
          </cell>
          <cell r="K156">
            <v>2904</v>
          </cell>
          <cell r="L156">
            <v>5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1</v>
          </cell>
          <cell r="AX156">
            <v>6</v>
          </cell>
          <cell r="AY156">
            <v>13</v>
          </cell>
          <cell r="AZ156">
            <v>1</v>
          </cell>
          <cell r="BA156">
            <v>35</v>
          </cell>
          <cell r="BB156">
            <v>1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</row>
        <row r="157">
          <cell r="A157">
            <v>152</v>
          </cell>
          <cell r="E157" t="str">
            <v>TRASPORTE DE MATERIAL DE DERRUMBES, D/L=200M</v>
          </cell>
          <cell r="F157">
            <v>0</v>
          </cell>
          <cell r="G157" t="str">
            <v>M3</v>
          </cell>
          <cell r="H157">
            <v>160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98</v>
          </cell>
          <cell r="AX157">
            <v>2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1</v>
          </cell>
          <cell r="CL157">
            <v>0</v>
          </cell>
          <cell r="CM157">
            <v>8</v>
          </cell>
          <cell r="CN157">
            <v>2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</row>
        <row r="158">
          <cell r="A158">
            <v>153</v>
          </cell>
          <cell r="E158" t="str">
            <v>ASFALTO PARA RIEGO DE ADHERENCIA</v>
          </cell>
          <cell r="F158">
            <v>0</v>
          </cell>
          <cell r="G158" t="str">
            <v>Lit.</v>
          </cell>
          <cell r="H158">
            <v>1810</v>
          </cell>
          <cell r="I158">
            <v>1803</v>
          </cell>
          <cell r="J158">
            <v>1.02</v>
          </cell>
          <cell r="K158">
            <v>1806</v>
          </cell>
          <cell r="L158">
            <v>8.0000000000000002E-3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1</v>
          </cell>
          <cell r="AX158">
            <v>2</v>
          </cell>
          <cell r="AY158">
            <v>74</v>
          </cell>
          <cell r="AZ158">
            <v>1</v>
          </cell>
          <cell r="BA158">
            <v>84</v>
          </cell>
          <cell r="BB158">
            <v>1</v>
          </cell>
          <cell r="BC158">
            <v>94</v>
          </cell>
          <cell r="BD158">
            <v>2</v>
          </cell>
          <cell r="BE158">
            <v>99</v>
          </cell>
          <cell r="BF158">
            <v>1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57</v>
          </cell>
          <cell r="CL158">
            <v>1</v>
          </cell>
          <cell r="CM158">
            <v>67</v>
          </cell>
          <cell r="CN158">
            <v>1</v>
          </cell>
          <cell r="CO158">
            <v>68</v>
          </cell>
          <cell r="CP158">
            <v>1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</row>
        <row r="159">
          <cell r="A159">
            <v>154</v>
          </cell>
          <cell r="E159" t="str">
            <v>SEÑALIZACION HORIZONTAL TACHAS REFLECTIVAS</v>
          </cell>
          <cell r="F159">
            <v>0</v>
          </cell>
          <cell r="G159" t="str">
            <v>U</v>
          </cell>
          <cell r="H159">
            <v>10</v>
          </cell>
          <cell r="I159">
            <v>728</v>
          </cell>
          <cell r="J159">
            <v>1.0800000000000001E-2</v>
          </cell>
          <cell r="K159">
            <v>364</v>
          </cell>
          <cell r="L159">
            <v>1.0999999999999999E-2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1</v>
          </cell>
          <cell r="AX159">
            <v>5</v>
          </cell>
          <cell r="AY159">
            <v>4</v>
          </cell>
          <cell r="AZ159">
            <v>1</v>
          </cell>
          <cell r="BA159">
            <v>14</v>
          </cell>
          <cell r="BB159">
            <v>1</v>
          </cell>
          <cell r="BC159">
            <v>99</v>
          </cell>
          <cell r="BD159">
            <v>1</v>
          </cell>
          <cell r="BE159">
            <v>84</v>
          </cell>
          <cell r="BF159">
            <v>1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0</v>
          </cell>
          <cell r="CM159">
            <v>44</v>
          </cell>
          <cell r="CN159">
            <v>1</v>
          </cell>
          <cell r="CO159">
            <v>45</v>
          </cell>
          <cell r="CP159">
            <v>1</v>
          </cell>
          <cell r="CQ159">
            <v>67</v>
          </cell>
          <cell r="CR159">
            <v>1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</row>
        <row r="160">
          <cell r="A160">
            <v>155</v>
          </cell>
          <cell r="E160" t="str">
            <v>LETRINA SANITARIA SIN ARRASTRE DE AGUA</v>
          </cell>
          <cell r="G160" t="str">
            <v>U</v>
          </cell>
          <cell r="H160">
            <v>0.1</v>
          </cell>
          <cell r="I160">
            <v>5</v>
          </cell>
          <cell r="J160">
            <v>145</v>
          </cell>
          <cell r="K160">
            <v>105</v>
          </cell>
          <cell r="L160">
            <v>100</v>
          </cell>
          <cell r="M160">
            <v>52</v>
          </cell>
          <cell r="N160">
            <v>5</v>
          </cell>
          <cell r="O160">
            <v>62</v>
          </cell>
          <cell r="P160">
            <v>15</v>
          </cell>
          <cell r="Q160">
            <v>53</v>
          </cell>
          <cell r="R160">
            <v>1</v>
          </cell>
          <cell r="S160">
            <v>2</v>
          </cell>
          <cell r="T160">
            <v>0.3</v>
          </cell>
          <cell r="U160">
            <v>1</v>
          </cell>
          <cell r="V160">
            <v>0.2</v>
          </cell>
          <cell r="W160">
            <v>2763</v>
          </cell>
          <cell r="X160">
            <v>2.7</v>
          </cell>
          <cell r="Y160">
            <v>1866</v>
          </cell>
          <cell r="Z160">
            <v>1</v>
          </cell>
          <cell r="AA160">
            <v>153</v>
          </cell>
          <cell r="AB160">
            <v>1</v>
          </cell>
          <cell r="AC160">
            <v>350</v>
          </cell>
          <cell r="AD160">
            <v>1</v>
          </cell>
          <cell r="AW160">
            <v>1</v>
          </cell>
          <cell r="AX160">
            <v>4</v>
          </cell>
          <cell r="AY160">
            <v>13</v>
          </cell>
          <cell r="AZ160">
            <v>2</v>
          </cell>
          <cell r="BA160">
            <v>3</v>
          </cell>
          <cell r="BB160">
            <v>1</v>
          </cell>
          <cell r="BC160">
            <v>35</v>
          </cell>
          <cell r="BD160">
            <v>0.1</v>
          </cell>
          <cell r="CK160">
            <v>1</v>
          </cell>
          <cell r="CL160">
            <v>0</v>
          </cell>
        </row>
        <row r="161">
          <cell r="A161">
            <v>156</v>
          </cell>
          <cell r="E161" t="str">
            <v>RELLENO SANITARIO O FOSA PARA BASURA</v>
          </cell>
          <cell r="G161" t="str">
            <v>U</v>
          </cell>
          <cell r="H161">
            <v>0.1</v>
          </cell>
          <cell r="AW161">
            <v>1</v>
          </cell>
          <cell r="AX161">
            <v>2</v>
          </cell>
          <cell r="AY161">
            <v>13</v>
          </cell>
          <cell r="AZ161">
            <v>1</v>
          </cell>
          <cell r="CK161">
            <v>1</v>
          </cell>
          <cell r="CL161">
            <v>0</v>
          </cell>
        </row>
        <row r="162">
          <cell r="A162">
            <v>157</v>
          </cell>
          <cell r="E162" t="str">
            <v>SEÑALIZACION HORIZONTAL: TACHAS REFLECTIVAS</v>
          </cell>
          <cell r="G162" t="str">
            <v>U</v>
          </cell>
          <cell r="H162">
            <v>100</v>
          </cell>
          <cell r="I162">
            <v>3217</v>
          </cell>
          <cell r="J162">
            <v>1</v>
          </cell>
          <cell r="K162">
            <v>3218</v>
          </cell>
          <cell r="L162">
            <v>0.08</v>
          </cell>
          <cell r="AW162">
            <v>1</v>
          </cell>
          <cell r="AX162">
            <v>15</v>
          </cell>
          <cell r="AY162">
            <v>4</v>
          </cell>
          <cell r="AZ162">
            <v>2</v>
          </cell>
          <cell r="BA162">
            <v>14</v>
          </cell>
          <cell r="BB162">
            <v>2</v>
          </cell>
          <cell r="BC162">
            <v>98</v>
          </cell>
          <cell r="BD162">
            <v>1</v>
          </cell>
          <cell r="CK162">
            <v>1</v>
          </cell>
          <cell r="CL162">
            <v>0</v>
          </cell>
          <cell r="CM162">
            <v>67</v>
          </cell>
          <cell r="CN162">
            <v>1</v>
          </cell>
          <cell r="CO162">
            <v>44</v>
          </cell>
          <cell r="CP162">
            <v>1</v>
          </cell>
          <cell r="CQ162">
            <v>76</v>
          </cell>
          <cell r="CR162">
            <v>1</v>
          </cell>
        </row>
        <row r="163">
          <cell r="A163">
            <v>158</v>
          </cell>
          <cell r="E163" t="str">
            <v>EXCAVACOPPARA CUNETAS Y ENCAUSAMIENTOS</v>
          </cell>
          <cell r="G163" t="str">
            <v>M3</v>
          </cell>
          <cell r="H163">
            <v>25</v>
          </cell>
          <cell r="AW163">
            <v>1</v>
          </cell>
          <cell r="AX163">
            <v>1</v>
          </cell>
          <cell r="AY163">
            <v>13</v>
          </cell>
          <cell r="AZ163">
            <v>1</v>
          </cell>
          <cell r="BA163">
            <v>53</v>
          </cell>
          <cell r="BB163">
            <v>1</v>
          </cell>
          <cell r="CK163">
            <v>1</v>
          </cell>
          <cell r="CL163">
            <v>0</v>
          </cell>
          <cell r="CM163">
            <v>5</v>
          </cell>
          <cell r="CN163">
            <v>1</v>
          </cell>
        </row>
        <row r="164">
          <cell r="A164">
            <v>159</v>
          </cell>
          <cell r="E164" t="str">
            <v>MATERIAL DE PRESTAMO IMPORTADO</v>
          </cell>
          <cell r="F164">
            <v>0</v>
          </cell>
          <cell r="G164" t="str">
            <v>M3</v>
          </cell>
          <cell r="H164">
            <v>90</v>
          </cell>
          <cell r="I164">
            <v>3219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1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</row>
        <row r="165">
          <cell r="A165">
            <v>160</v>
          </cell>
        </row>
        <row r="166">
          <cell r="A166">
            <v>161</v>
          </cell>
        </row>
        <row r="167">
          <cell r="A167">
            <v>162</v>
          </cell>
        </row>
        <row r="168">
          <cell r="A168">
            <v>163</v>
          </cell>
        </row>
        <row r="169">
          <cell r="A169">
            <v>164</v>
          </cell>
        </row>
        <row r="170">
          <cell r="A170">
            <v>165</v>
          </cell>
        </row>
        <row r="171">
          <cell r="A171">
            <v>166</v>
          </cell>
        </row>
        <row r="172">
          <cell r="A172">
            <v>167</v>
          </cell>
        </row>
        <row r="173">
          <cell r="A173">
            <v>168</v>
          </cell>
        </row>
        <row r="174">
          <cell r="A174">
            <v>169</v>
          </cell>
        </row>
        <row r="175">
          <cell r="A175">
            <v>170</v>
          </cell>
        </row>
        <row r="176">
          <cell r="A176">
            <v>171</v>
          </cell>
        </row>
        <row r="177">
          <cell r="A177">
            <v>172</v>
          </cell>
        </row>
        <row r="178">
          <cell r="A178">
            <v>173</v>
          </cell>
        </row>
        <row r="179">
          <cell r="A179">
            <v>174</v>
          </cell>
        </row>
        <row r="180">
          <cell r="A180">
            <v>175</v>
          </cell>
        </row>
        <row r="181">
          <cell r="A181">
            <v>176</v>
          </cell>
        </row>
        <row r="182">
          <cell r="A182">
            <v>177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ANALISIS"/>
      <sheetName val="PRESUPUESTO"/>
      <sheetName val="MAT"/>
      <sheetName val="SALARIOS EN DOLARES"/>
      <sheetName val="EQUIPO"/>
      <sheetName val="CRONOGRAMA"/>
      <sheetName val="LISTMAT"/>
      <sheetName val="LIST_M.OBRA"/>
      <sheetName val="LIST_EQUIPO"/>
      <sheetName val="LISTA_TRANSPORTE"/>
      <sheetName val="SIMBOLOS POLINÓMICA "/>
      <sheetName val="COSTO-ANEXOS"/>
      <sheetName val="TRANSPORTE"/>
      <sheetName val="JUSTIFICATIVO1"/>
      <sheetName val="JUSTIFICATIVO2"/>
      <sheetName val="RESUMEN"/>
    </sheetNames>
    <sheetDataSet>
      <sheetData sheetId="0">
        <row r="6">
          <cell r="A6">
            <v>1</v>
          </cell>
          <cell r="D6" t="str">
            <v>MOP 832-1</v>
          </cell>
          <cell r="E6" t="str">
            <v>REPLANTEO Y NIVELACIÓN LINEAL CON APARATOS</v>
          </cell>
          <cell r="G6" t="str">
            <v>m</v>
          </cell>
          <cell r="H6">
            <v>18</v>
          </cell>
          <cell r="I6">
            <v>70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AW6">
            <v>47</v>
          </cell>
          <cell r="AX6">
            <v>1</v>
          </cell>
          <cell r="AY6">
            <v>24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Q6">
            <v>7</v>
          </cell>
          <cell r="BR6">
            <v>1</v>
          </cell>
          <cell r="BS6">
            <v>1</v>
          </cell>
          <cell r="BT6">
            <v>1</v>
          </cell>
        </row>
        <row r="7">
          <cell r="A7">
            <v>2</v>
          </cell>
          <cell r="D7" t="str">
            <v>MOP 302-1</v>
          </cell>
          <cell r="E7" t="str">
            <v>DESBROCE, DESBOSQUE Y LIMPIEZA</v>
          </cell>
          <cell r="G7" t="str">
            <v>Ha</v>
          </cell>
          <cell r="H7">
            <v>0.35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AW7">
            <v>58</v>
          </cell>
          <cell r="AX7">
            <v>1</v>
          </cell>
          <cell r="AY7">
            <v>93</v>
          </cell>
          <cell r="AZ7">
            <v>1</v>
          </cell>
          <cell r="BA7">
            <v>1</v>
          </cell>
          <cell r="BB7">
            <v>2</v>
          </cell>
          <cell r="BQ7">
            <v>14</v>
          </cell>
          <cell r="BR7">
            <v>0.75</v>
          </cell>
          <cell r="BS7">
            <v>53</v>
          </cell>
          <cell r="BT7">
            <v>2</v>
          </cell>
          <cell r="BU7">
            <v>1</v>
          </cell>
          <cell r="BV7">
            <v>1</v>
          </cell>
        </row>
        <row r="8">
          <cell r="A8">
            <v>3</v>
          </cell>
          <cell r="D8" t="str">
            <v>MOP 303-2(1)</v>
          </cell>
          <cell r="E8" t="str">
            <v>EXCAVACIÓN  SIN CLASIFICAR A MAQUINA</v>
          </cell>
          <cell r="F8">
            <v>0</v>
          </cell>
          <cell r="G8" t="str">
            <v>m3</v>
          </cell>
          <cell r="H8">
            <v>40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58</v>
          </cell>
          <cell r="AX8">
            <v>1</v>
          </cell>
          <cell r="AY8">
            <v>93</v>
          </cell>
          <cell r="AZ8">
            <v>0.5</v>
          </cell>
          <cell r="BA8">
            <v>4</v>
          </cell>
          <cell r="BB8">
            <v>1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14</v>
          </cell>
          <cell r="BR8">
            <v>0.75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1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</row>
        <row r="9">
          <cell r="A9">
            <v>4</v>
          </cell>
          <cell r="D9" t="str">
            <v>MOP 303-2(3)</v>
          </cell>
          <cell r="E9" t="str">
            <v>EXCAVACIÓN EN ROCA A MAQUINA</v>
          </cell>
          <cell r="F9">
            <v>0</v>
          </cell>
          <cell r="G9" t="str">
            <v>m3</v>
          </cell>
          <cell r="H9">
            <v>35</v>
          </cell>
          <cell r="I9">
            <v>9</v>
          </cell>
          <cell r="J9">
            <v>0.1</v>
          </cell>
          <cell r="K9">
            <v>10</v>
          </cell>
          <cell r="L9">
            <v>0.5</v>
          </cell>
          <cell r="M9">
            <v>11</v>
          </cell>
          <cell r="N9">
            <v>0.05</v>
          </cell>
          <cell r="O9">
            <v>12</v>
          </cell>
          <cell r="P9">
            <v>0.35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W9">
            <v>82</v>
          </cell>
          <cell r="AX9">
            <v>1</v>
          </cell>
          <cell r="AY9">
            <v>62</v>
          </cell>
          <cell r="AZ9">
            <v>2</v>
          </cell>
          <cell r="BA9">
            <v>4</v>
          </cell>
          <cell r="BB9">
            <v>2</v>
          </cell>
          <cell r="BC9">
            <v>93</v>
          </cell>
          <cell r="BD9">
            <v>2</v>
          </cell>
          <cell r="BE9">
            <v>1</v>
          </cell>
          <cell r="BF9">
            <v>2</v>
          </cell>
          <cell r="BQ9">
            <v>14</v>
          </cell>
          <cell r="BR9">
            <v>1</v>
          </cell>
          <cell r="BS9">
            <v>5</v>
          </cell>
          <cell r="BT9">
            <v>1</v>
          </cell>
          <cell r="BU9">
            <v>34</v>
          </cell>
          <cell r="BV9">
            <v>1</v>
          </cell>
          <cell r="BW9">
            <v>2</v>
          </cell>
          <cell r="BX9">
            <v>1</v>
          </cell>
          <cell r="BY9">
            <v>1</v>
          </cell>
          <cell r="BZ9">
            <v>1</v>
          </cell>
          <cell r="CA9">
            <v>0</v>
          </cell>
          <cell r="CC9">
            <v>0</v>
          </cell>
        </row>
        <row r="10">
          <cell r="A10">
            <v>5</v>
          </cell>
          <cell r="D10" t="str">
            <v>MOP 308-4(1)</v>
          </cell>
          <cell r="E10" t="str">
            <v>LIMPIEZA DE DERRUMBES</v>
          </cell>
          <cell r="G10" t="str">
            <v>m3</v>
          </cell>
          <cell r="H10">
            <v>50</v>
          </cell>
          <cell r="AW10">
            <v>61</v>
          </cell>
          <cell r="AX10">
            <v>1</v>
          </cell>
          <cell r="AY10">
            <v>93</v>
          </cell>
          <cell r="AZ10">
            <v>2</v>
          </cell>
          <cell r="BA10">
            <v>98</v>
          </cell>
          <cell r="BB10">
            <v>3</v>
          </cell>
          <cell r="BQ10">
            <v>20</v>
          </cell>
          <cell r="BR10">
            <v>0.75</v>
          </cell>
          <cell r="BS10">
            <v>35</v>
          </cell>
          <cell r="BT10">
            <v>3</v>
          </cell>
        </row>
        <row r="11">
          <cell r="A11">
            <v>6</v>
          </cell>
          <cell r="D11" t="str">
            <v>MOP 308-2(1)</v>
          </cell>
          <cell r="E11" t="str">
            <v>CONFORMACIÓN Y COMPACTACIÓN DE  SUBRASANTE</v>
          </cell>
          <cell r="F11">
            <v>0</v>
          </cell>
          <cell r="G11" t="str">
            <v>m2</v>
          </cell>
          <cell r="H11">
            <v>80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W11">
            <v>4</v>
          </cell>
          <cell r="AX11">
            <v>2</v>
          </cell>
          <cell r="AY11">
            <v>52</v>
          </cell>
          <cell r="AZ11">
            <v>1</v>
          </cell>
          <cell r="BA11">
            <v>73</v>
          </cell>
          <cell r="BB11">
            <v>1</v>
          </cell>
          <cell r="BC11">
            <v>98</v>
          </cell>
          <cell r="BD11">
            <v>1</v>
          </cell>
          <cell r="BE11">
            <v>1</v>
          </cell>
          <cell r="BF11">
            <v>1</v>
          </cell>
          <cell r="BG11">
            <v>0</v>
          </cell>
          <cell r="BH11">
            <v>0</v>
          </cell>
          <cell r="BI11">
            <v>0</v>
          </cell>
          <cell r="BQ11">
            <v>32</v>
          </cell>
          <cell r="BR11">
            <v>0.25</v>
          </cell>
          <cell r="BS11">
            <v>29</v>
          </cell>
          <cell r="BT11">
            <v>0.25</v>
          </cell>
          <cell r="BU11">
            <v>30</v>
          </cell>
          <cell r="BV11">
            <v>0.25</v>
          </cell>
          <cell r="BW11">
            <v>1</v>
          </cell>
          <cell r="BX11">
            <v>1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</row>
        <row r="12">
          <cell r="A12">
            <v>7</v>
          </cell>
          <cell r="D12" t="str">
            <v>MOP 402-2(1)</v>
          </cell>
          <cell r="E12" t="str">
            <v>RELLENO COMPACTADO CON MATERIAL DE MEJORAMIENTO</v>
          </cell>
          <cell r="F12">
            <v>0</v>
          </cell>
          <cell r="G12" t="str">
            <v>m3</v>
          </cell>
          <cell r="H12">
            <v>25</v>
          </cell>
          <cell r="I12">
            <v>1842</v>
          </cell>
          <cell r="J12">
            <v>1.2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W12">
            <v>4</v>
          </cell>
          <cell r="AX12">
            <v>2</v>
          </cell>
          <cell r="AY12">
            <v>58</v>
          </cell>
          <cell r="AZ12">
            <v>3</v>
          </cell>
          <cell r="BA12">
            <v>98</v>
          </cell>
          <cell r="BB12">
            <v>1</v>
          </cell>
          <cell r="BC12">
            <v>1</v>
          </cell>
          <cell r="BD12">
            <v>2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Q12">
            <v>29</v>
          </cell>
          <cell r="BR12">
            <v>1</v>
          </cell>
          <cell r="BS12">
            <v>20</v>
          </cell>
          <cell r="BT12">
            <v>1</v>
          </cell>
          <cell r="BU12">
            <v>33</v>
          </cell>
          <cell r="BV12">
            <v>0.75</v>
          </cell>
          <cell r="BW12">
            <v>32</v>
          </cell>
          <cell r="BX12">
            <v>1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</row>
        <row r="13">
          <cell r="A13">
            <v>8</v>
          </cell>
          <cell r="D13" t="str">
            <v>MOP 403-1</v>
          </cell>
          <cell r="E13" t="str">
            <v>SUB BASE CLASE - 1</v>
          </cell>
          <cell r="F13">
            <v>0</v>
          </cell>
          <cell r="G13" t="str">
            <v>m3</v>
          </cell>
          <cell r="H13">
            <v>30</v>
          </cell>
          <cell r="I13">
            <v>1847</v>
          </cell>
          <cell r="J13">
            <v>1.2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W13">
            <v>52</v>
          </cell>
          <cell r="AX13">
            <v>1</v>
          </cell>
          <cell r="AY13">
            <v>73</v>
          </cell>
          <cell r="AZ13">
            <v>1</v>
          </cell>
          <cell r="BA13">
            <v>98</v>
          </cell>
          <cell r="BB13">
            <v>1</v>
          </cell>
          <cell r="BC13">
            <v>1</v>
          </cell>
          <cell r="BD13">
            <v>2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Q13">
            <v>32</v>
          </cell>
          <cell r="BR13">
            <v>1</v>
          </cell>
          <cell r="BS13">
            <v>33</v>
          </cell>
          <cell r="BT13">
            <v>1</v>
          </cell>
          <cell r="BU13">
            <v>29</v>
          </cell>
          <cell r="BV13">
            <v>1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</row>
        <row r="14">
          <cell r="A14">
            <v>9</v>
          </cell>
          <cell r="D14" t="str">
            <v>MOP 404-1</v>
          </cell>
          <cell r="E14" t="str">
            <v>BASE CLASE - 1</v>
          </cell>
          <cell r="F14">
            <v>0</v>
          </cell>
          <cell r="G14" t="str">
            <v>m3</v>
          </cell>
          <cell r="H14">
            <v>20</v>
          </cell>
          <cell r="I14">
            <v>1848</v>
          </cell>
          <cell r="J14">
            <v>1.2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W14">
            <v>52</v>
          </cell>
          <cell r="AX14">
            <v>1</v>
          </cell>
          <cell r="AY14">
            <v>73</v>
          </cell>
          <cell r="AZ14">
            <v>1</v>
          </cell>
          <cell r="BA14">
            <v>98</v>
          </cell>
          <cell r="BB14">
            <v>1</v>
          </cell>
          <cell r="BC14">
            <v>1</v>
          </cell>
          <cell r="BD14">
            <v>2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Q14">
            <v>32</v>
          </cell>
          <cell r="BR14">
            <v>1</v>
          </cell>
          <cell r="BS14">
            <v>33</v>
          </cell>
          <cell r="BT14">
            <v>1</v>
          </cell>
          <cell r="BU14">
            <v>29</v>
          </cell>
          <cell r="BV14">
            <v>1</v>
          </cell>
          <cell r="BW14">
            <v>55</v>
          </cell>
          <cell r="BX14">
            <v>1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</row>
        <row r="15">
          <cell r="A15">
            <v>10</v>
          </cell>
          <cell r="D15" t="str">
            <v>MOP 304-1(2)</v>
          </cell>
          <cell r="E15" t="str">
            <v xml:space="preserve">TRANSPORTE DE MATERIAL </v>
          </cell>
          <cell r="F15">
            <v>0</v>
          </cell>
          <cell r="G15" t="str">
            <v>m3/Km</v>
          </cell>
          <cell r="H15">
            <v>65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W15">
            <v>98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Q15">
            <v>35</v>
          </cell>
          <cell r="BR15">
            <v>1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</row>
        <row r="16">
          <cell r="A16">
            <v>11</v>
          </cell>
          <cell r="D16" t="str">
            <v>MOP 307-3(1)</v>
          </cell>
          <cell r="E16" t="str">
            <v>EXCAVACIÓN MANUAL PARA CUNETAS Y ENCAUSAMIENTOS</v>
          </cell>
          <cell r="G16" t="str">
            <v>m3</v>
          </cell>
          <cell r="H16">
            <v>0.6</v>
          </cell>
          <cell r="AW16">
            <v>1</v>
          </cell>
          <cell r="AX16">
            <v>3</v>
          </cell>
          <cell r="BQ16">
            <v>1</v>
          </cell>
          <cell r="BR16">
            <v>1</v>
          </cell>
        </row>
        <row r="17">
          <cell r="A17">
            <v>12</v>
          </cell>
          <cell r="D17" t="str">
            <v>MOP 405-1</v>
          </cell>
          <cell r="E17" t="str">
            <v>IMPRIMACIÓN ASFÁLTICA</v>
          </cell>
          <cell r="G17" t="str">
            <v>m2</v>
          </cell>
          <cell r="H17">
            <v>600</v>
          </cell>
          <cell r="I17">
            <v>1849</v>
          </cell>
          <cell r="J17">
            <v>1.02</v>
          </cell>
          <cell r="AW17">
            <v>74</v>
          </cell>
          <cell r="AX17">
            <v>3</v>
          </cell>
          <cell r="AY17">
            <v>84</v>
          </cell>
          <cell r="AZ17">
            <v>1</v>
          </cell>
          <cell r="BA17">
            <v>4</v>
          </cell>
          <cell r="BB17">
            <v>1</v>
          </cell>
          <cell r="BC17">
            <v>98</v>
          </cell>
          <cell r="BD17">
            <v>1</v>
          </cell>
          <cell r="BE17">
            <v>1</v>
          </cell>
          <cell r="BF17">
            <v>4</v>
          </cell>
          <cell r="BQ17">
            <v>38</v>
          </cell>
          <cell r="BR17">
            <v>1</v>
          </cell>
          <cell r="BS17">
            <v>39</v>
          </cell>
          <cell r="BT17">
            <v>1</v>
          </cell>
          <cell r="BU17">
            <v>54</v>
          </cell>
          <cell r="BV17">
            <v>1</v>
          </cell>
          <cell r="BW17">
            <v>32</v>
          </cell>
          <cell r="BX17">
            <v>1</v>
          </cell>
          <cell r="BY17">
            <v>55</v>
          </cell>
          <cell r="BZ17">
            <v>1</v>
          </cell>
        </row>
        <row r="18">
          <cell r="A18">
            <v>13</v>
          </cell>
          <cell r="D18" t="str">
            <v>MOP 405-3</v>
          </cell>
          <cell r="E18" t="str">
            <v>DOBLE TRATAMIENTO SUPERFICIAL BITUMINOSO</v>
          </cell>
          <cell r="F18">
            <v>0</v>
          </cell>
          <cell r="G18" t="str">
            <v>m2</v>
          </cell>
          <cell r="H18">
            <v>300</v>
          </cell>
          <cell r="I18">
            <v>1849</v>
          </cell>
          <cell r="J18">
            <v>3.5</v>
          </cell>
          <cell r="K18">
            <v>1850</v>
          </cell>
          <cell r="L18">
            <v>0.05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84</v>
          </cell>
          <cell r="AX18">
            <v>1</v>
          </cell>
          <cell r="AY18">
            <v>73</v>
          </cell>
          <cell r="AZ18">
            <v>1</v>
          </cell>
          <cell r="BA18">
            <v>74</v>
          </cell>
          <cell r="BB18">
            <v>1</v>
          </cell>
          <cell r="BC18">
            <v>75</v>
          </cell>
          <cell r="BD18">
            <v>1</v>
          </cell>
          <cell r="BE18">
            <v>98</v>
          </cell>
          <cell r="BF18">
            <v>1</v>
          </cell>
          <cell r="BG18">
            <v>4</v>
          </cell>
          <cell r="BH18">
            <v>1</v>
          </cell>
          <cell r="BI18">
            <v>1</v>
          </cell>
          <cell r="BJ18">
            <v>2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1</v>
          </cell>
          <cell r="BR18">
            <v>1</v>
          </cell>
          <cell r="BS18">
            <v>39</v>
          </cell>
          <cell r="BT18">
            <v>0.75</v>
          </cell>
          <cell r="BU18">
            <v>38</v>
          </cell>
          <cell r="BV18">
            <v>0.5</v>
          </cell>
          <cell r="BW18">
            <v>54</v>
          </cell>
          <cell r="BX18">
            <v>0.75</v>
          </cell>
          <cell r="BY18">
            <v>32</v>
          </cell>
          <cell r="BZ18">
            <v>0.75</v>
          </cell>
          <cell r="CA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</row>
        <row r="19">
          <cell r="A19">
            <v>14</v>
          </cell>
          <cell r="D19" t="str">
            <v>MOP 302-1</v>
          </cell>
          <cell r="E19" t="str">
            <v xml:space="preserve">REPLANTEO Y NIVELACIÓN </v>
          </cell>
          <cell r="F19">
            <v>0</v>
          </cell>
          <cell r="G19" t="str">
            <v>m2</v>
          </cell>
          <cell r="H19">
            <v>15</v>
          </cell>
          <cell r="I19">
            <v>113</v>
          </cell>
          <cell r="J19">
            <v>0.2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V19">
            <v>0</v>
          </cell>
          <cell r="AW19">
            <v>47</v>
          </cell>
          <cell r="AX19">
            <v>1</v>
          </cell>
          <cell r="AY19">
            <v>24</v>
          </cell>
          <cell r="AZ19">
            <v>2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Q19">
            <v>22</v>
          </cell>
          <cell r="BR19">
            <v>1</v>
          </cell>
          <cell r="BS19">
            <v>1</v>
          </cell>
          <cell r="BT19">
            <v>1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>
            <v>15</v>
          </cell>
          <cell r="D20" t="str">
            <v>MOP 307-2(1)</v>
          </cell>
          <cell r="E20" t="str">
            <v>EXCAVACIÓN Y RELLENO DE ESTRUCTURAS MENORES</v>
          </cell>
          <cell r="F20">
            <v>0</v>
          </cell>
          <cell r="G20" t="str">
            <v>m3</v>
          </cell>
          <cell r="H20">
            <v>25</v>
          </cell>
          <cell r="I20">
            <v>1854</v>
          </cell>
          <cell r="J20">
            <v>0.3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W20">
            <v>1</v>
          </cell>
          <cell r="AX20">
            <v>5</v>
          </cell>
          <cell r="AY20">
            <v>30</v>
          </cell>
          <cell r="AZ20">
            <v>0.2</v>
          </cell>
          <cell r="BA20">
            <v>93</v>
          </cell>
          <cell r="BB20">
            <v>1</v>
          </cell>
          <cell r="BC20">
            <v>62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Q20">
            <v>5</v>
          </cell>
          <cell r="BR20">
            <v>1</v>
          </cell>
          <cell r="BS20">
            <v>6</v>
          </cell>
          <cell r="BT20">
            <v>1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</row>
        <row r="21">
          <cell r="A21">
            <v>16</v>
          </cell>
          <cell r="D21" t="str">
            <v>MOP 602 2(3)</v>
          </cell>
          <cell r="E21" t="str">
            <v>LIMPIEZA DE ALCANTARILLAS</v>
          </cell>
          <cell r="G21" t="str">
            <v>m3</v>
          </cell>
          <cell r="H21">
            <v>2.5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AW21">
            <v>30</v>
          </cell>
          <cell r="AX21">
            <v>1</v>
          </cell>
          <cell r="AY21">
            <v>1</v>
          </cell>
          <cell r="AZ21">
            <v>10</v>
          </cell>
          <cell r="BA21">
            <v>0</v>
          </cell>
          <cell r="BB21">
            <v>0</v>
          </cell>
          <cell r="BQ21">
            <v>1</v>
          </cell>
          <cell r="BR21">
            <v>1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</row>
        <row r="22">
          <cell r="A22">
            <v>17</v>
          </cell>
          <cell r="D22" t="str">
            <v>MOP 602-(2A)</v>
          </cell>
          <cell r="E22" t="str">
            <v>TUBERÍA ARMCO D=0.90 m MP 68 e = 2.5 mm  (Galv)</v>
          </cell>
          <cell r="F22" t="str">
            <v>INCLUYE COLOC. Y TRANSP</v>
          </cell>
          <cell r="G22" t="str">
            <v>ml</v>
          </cell>
          <cell r="H22">
            <v>1.75</v>
          </cell>
          <cell r="I22">
            <v>1851</v>
          </cell>
          <cell r="J22">
            <v>1.05</v>
          </cell>
          <cell r="K22">
            <v>1849</v>
          </cell>
          <cell r="L22">
            <v>7.66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W22">
            <v>1</v>
          </cell>
          <cell r="AX22">
            <v>10</v>
          </cell>
          <cell r="AY22">
            <v>30</v>
          </cell>
          <cell r="AZ22">
            <v>4</v>
          </cell>
          <cell r="BA22">
            <v>13</v>
          </cell>
          <cell r="BB22">
            <v>1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Q22">
            <v>1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</row>
        <row r="23">
          <cell r="A23">
            <v>18</v>
          </cell>
          <cell r="D23" t="str">
            <v>MOP 602-(2A)</v>
          </cell>
          <cell r="E23" t="str">
            <v>TUBERÍA ARMCO D=1.20 m MP 68 e = 2.5 mm  (Galv)</v>
          </cell>
          <cell r="F23" t="str">
            <v>INCLUYE COLOC. Y TRANSP</v>
          </cell>
          <cell r="G23" t="str">
            <v>ml</v>
          </cell>
          <cell r="H23">
            <v>1.75</v>
          </cell>
          <cell r="I23">
            <v>1852</v>
          </cell>
          <cell r="J23">
            <v>1.05</v>
          </cell>
          <cell r="K23">
            <v>1849</v>
          </cell>
          <cell r="L23">
            <v>7.66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W23">
            <v>1</v>
          </cell>
          <cell r="AX23">
            <v>10</v>
          </cell>
          <cell r="AY23">
            <v>30</v>
          </cell>
          <cell r="AZ23">
            <v>4</v>
          </cell>
          <cell r="BA23">
            <v>13</v>
          </cell>
          <cell r="BB23">
            <v>1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Q23">
            <v>1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</row>
        <row r="24">
          <cell r="A24">
            <v>19</v>
          </cell>
          <cell r="D24" t="str">
            <v>MOP 503-(2)</v>
          </cell>
          <cell r="E24" t="str">
            <v xml:space="preserve">H.S.  CLASE B f´c=210 KG/CM2 </v>
          </cell>
          <cell r="F24" t="str">
            <v>H.S. 210  + PLASTOCRETE 161 HE (en alcantarillas)</v>
          </cell>
          <cell r="G24" t="str">
            <v>m3</v>
          </cell>
          <cell r="H24">
            <v>0.3</v>
          </cell>
          <cell r="I24">
            <v>5</v>
          </cell>
          <cell r="J24">
            <v>370</v>
          </cell>
          <cell r="K24">
            <v>1</v>
          </cell>
          <cell r="L24">
            <v>0.7</v>
          </cell>
          <cell r="M24">
            <v>2</v>
          </cell>
          <cell r="N24">
            <v>1</v>
          </cell>
          <cell r="O24">
            <v>4</v>
          </cell>
          <cell r="P24">
            <v>0.3</v>
          </cell>
          <cell r="Q24">
            <v>13</v>
          </cell>
          <cell r="R24">
            <v>0.75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V24">
            <v>0</v>
          </cell>
          <cell r="AW24">
            <v>1</v>
          </cell>
          <cell r="AX24">
            <v>10</v>
          </cell>
          <cell r="AY24">
            <v>13</v>
          </cell>
          <cell r="AZ24">
            <v>1</v>
          </cell>
          <cell r="BA24">
            <v>30</v>
          </cell>
          <cell r="BB24">
            <v>0.12</v>
          </cell>
          <cell r="BC24">
            <v>0</v>
          </cell>
          <cell r="BQ24">
            <v>1</v>
          </cell>
          <cell r="BR24">
            <v>0</v>
          </cell>
          <cell r="BS24">
            <v>3</v>
          </cell>
          <cell r="BT24">
            <v>1</v>
          </cell>
          <cell r="BU24">
            <v>4</v>
          </cell>
          <cell r="BV24">
            <v>1</v>
          </cell>
          <cell r="BW24">
            <v>0</v>
          </cell>
        </row>
        <row r="25">
          <cell r="A25">
            <v>20</v>
          </cell>
          <cell r="D25" t="str">
            <v>MOP 504-(1)</v>
          </cell>
          <cell r="E25" t="str">
            <v>ACERO DE REFUERZO EN BARRAS</v>
          </cell>
          <cell r="F25">
            <v>0</v>
          </cell>
          <cell r="G25" t="str">
            <v>KG</v>
          </cell>
          <cell r="H25">
            <v>25</v>
          </cell>
          <cell r="I25">
            <v>62</v>
          </cell>
          <cell r="J25">
            <v>0.05</v>
          </cell>
          <cell r="K25">
            <v>63</v>
          </cell>
          <cell r="L25">
            <v>1.05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5</v>
          </cell>
          <cell r="AX25">
            <v>1</v>
          </cell>
          <cell r="AY25">
            <v>16</v>
          </cell>
          <cell r="AZ25">
            <v>1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1</v>
          </cell>
          <cell r="BR25">
            <v>1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A26">
            <v>21</v>
          </cell>
          <cell r="D26" t="str">
            <v>MOP 503-(5)</v>
          </cell>
          <cell r="E26" t="str">
            <v>HORMIGÓN CICLÓPEO  F´c=180Kg/cm2</v>
          </cell>
          <cell r="G26" t="str">
            <v>m3</v>
          </cell>
          <cell r="H26">
            <v>3</v>
          </cell>
          <cell r="I26">
            <v>1</v>
          </cell>
          <cell r="J26">
            <v>0.5</v>
          </cell>
          <cell r="K26">
            <v>2</v>
          </cell>
          <cell r="L26">
            <v>0.8</v>
          </cell>
          <cell r="M26">
            <v>4</v>
          </cell>
          <cell r="N26">
            <v>180</v>
          </cell>
          <cell r="O26">
            <v>3</v>
          </cell>
          <cell r="P26">
            <v>0.5</v>
          </cell>
          <cell r="Q26">
            <v>5</v>
          </cell>
          <cell r="R26">
            <v>225</v>
          </cell>
          <cell r="AA26">
            <v>0</v>
          </cell>
          <cell r="AB26">
            <v>0</v>
          </cell>
          <cell r="AW26">
            <v>1</v>
          </cell>
          <cell r="AX26">
            <v>10</v>
          </cell>
          <cell r="AY26">
            <v>13</v>
          </cell>
          <cell r="AZ26">
            <v>1</v>
          </cell>
          <cell r="BA26">
            <v>30</v>
          </cell>
          <cell r="BB26">
            <v>0.15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1</v>
          </cell>
          <cell r="BR26">
            <v>1</v>
          </cell>
          <cell r="BS26">
            <v>3</v>
          </cell>
          <cell r="BT26">
            <v>1</v>
          </cell>
          <cell r="BU26">
            <v>4</v>
          </cell>
          <cell r="BV26">
            <v>1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5</v>
          </cell>
          <cell r="CD26">
            <v>225</v>
          </cell>
          <cell r="CE26" t="str">
            <v>kg</v>
          </cell>
          <cell r="CF26">
            <v>10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</row>
        <row r="27">
          <cell r="A27">
            <v>22</v>
          </cell>
          <cell r="D27" t="str">
            <v>MOP 201-1(2)</v>
          </cell>
          <cell r="E27" t="str">
            <v>LETRINA SANITARIA SIN ARRASTRE DE AGUA</v>
          </cell>
          <cell r="F27" t="str">
            <v>INCLUYE EXCAV. DE POSO Y PINTURA</v>
          </cell>
          <cell r="G27" t="str">
            <v>U</v>
          </cell>
          <cell r="H27">
            <v>0.05</v>
          </cell>
          <cell r="I27">
            <v>1</v>
          </cell>
          <cell r="J27">
            <v>0.2</v>
          </cell>
          <cell r="K27">
            <v>2</v>
          </cell>
          <cell r="L27">
            <v>0.3</v>
          </cell>
          <cell r="M27">
            <v>105</v>
          </cell>
          <cell r="N27">
            <v>100</v>
          </cell>
          <cell r="O27">
            <v>417</v>
          </cell>
          <cell r="P27">
            <v>1</v>
          </cell>
          <cell r="Q27">
            <v>5</v>
          </cell>
          <cell r="R27">
            <v>145</v>
          </cell>
          <cell r="S27">
            <v>60</v>
          </cell>
          <cell r="T27">
            <v>4.9800000000000004</v>
          </cell>
          <cell r="U27">
            <v>506</v>
          </cell>
          <cell r="V27">
            <v>1</v>
          </cell>
          <cell r="W27">
            <v>62</v>
          </cell>
          <cell r="X27">
            <v>15</v>
          </cell>
          <cell r="Y27">
            <v>255</v>
          </cell>
          <cell r="Z27">
            <v>1</v>
          </cell>
          <cell r="AA27">
            <v>209</v>
          </cell>
          <cell r="AB27">
            <v>2</v>
          </cell>
          <cell r="AW27">
            <v>1</v>
          </cell>
          <cell r="AX27">
            <v>1</v>
          </cell>
          <cell r="AY27">
            <v>6</v>
          </cell>
          <cell r="AZ27">
            <v>2</v>
          </cell>
          <cell r="BA27">
            <v>13</v>
          </cell>
          <cell r="BB27">
            <v>1</v>
          </cell>
          <cell r="BC27">
            <v>17</v>
          </cell>
          <cell r="BD27">
            <v>1</v>
          </cell>
          <cell r="BE27">
            <v>30</v>
          </cell>
          <cell r="BF27">
            <v>0.25</v>
          </cell>
          <cell r="BG27">
            <v>0</v>
          </cell>
          <cell r="BH27">
            <v>0</v>
          </cell>
          <cell r="BQ27">
            <v>1</v>
          </cell>
          <cell r="BR27">
            <v>0</v>
          </cell>
          <cell r="BS27">
            <v>3</v>
          </cell>
          <cell r="BT27">
            <v>0.13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</row>
        <row r="28">
          <cell r="A28">
            <v>23</v>
          </cell>
          <cell r="D28" t="str">
            <v>MOP 201-1(2)</v>
          </cell>
          <cell r="E28" t="str">
            <v>FOSO PARA BASURAS</v>
          </cell>
          <cell r="F28" t="str">
            <v>H=2m</v>
          </cell>
          <cell r="G28" t="str">
            <v>U</v>
          </cell>
          <cell r="H28">
            <v>0.1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W28">
            <v>1</v>
          </cell>
          <cell r="AX28">
            <v>2</v>
          </cell>
          <cell r="AY28">
            <v>30</v>
          </cell>
          <cell r="AZ28">
            <v>0.5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Q28">
            <v>1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</row>
        <row r="29">
          <cell r="A29">
            <v>24</v>
          </cell>
          <cell r="D29" t="str">
            <v>MOP 201-(1)</v>
          </cell>
          <cell r="E29" t="str">
            <v xml:space="preserve">CAMPAMENTO </v>
          </cell>
          <cell r="F29">
            <v>0</v>
          </cell>
          <cell r="G29" t="str">
            <v>m2</v>
          </cell>
          <cell r="H29">
            <v>2</v>
          </cell>
          <cell r="I29">
            <v>53</v>
          </cell>
          <cell r="J29">
            <v>5</v>
          </cell>
          <cell r="K29">
            <v>113</v>
          </cell>
          <cell r="L29">
            <v>2</v>
          </cell>
          <cell r="M29">
            <v>61</v>
          </cell>
          <cell r="N29">
            <v>0.4</v>
          </cell>
          <cell r="O29">
            <v>894</v>
          </cell>
          <cell r="P29">
            <v>2</v>
          </cell>
          <cell r="Q29">
            <v>1855</v>
          </cell>
          <cell r="R29">
            <v>1</v>
          </cell>
          <cell r="S29">
            <v>109</v>
          </cell>
          <cell r="T29">
            <v>0.5</v>
          </cell>
          <cell r="U29">
            <v>893</v>
          </cell>
          <cell r="V29">
            <v>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W29">
            <v>13</v>
          </cell>
          <cell r="AX29">
            <v>1</v>
          </cell>
          <cell r="AY29">
            <v>1</v>
          </cell>
          <cell r="AZ29">
            <v>1</v>
          </cell>
          <cell r="BA29">
            <v>30</v>
          </cell>
          <cell r="BB29">
            <v>0.2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1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A30">
            <v>25</v>
          </cell>
          <cell r="D30" t="str">
            <v>MOP 708-5(1)</v>
          </cell>
          <cell r="E30" t="str">
            <v>SEÑALIZACIÓN PREVENTIVA</v>
          </cell>
          <cell r="G30" t="str">
            <v>U</v>
          </cell>
          <cell r="H30">
            <v>1.5</v>
          </cell>
          <cell r="I30">
            <v>1</v>
          </cell>
          <cell r="J30">
            <v>0.02</v>
          </cell>
          <cell r="K30">
            <v>2</v>
          </cell>
          <cell r="L30">
            <v>0.04</v>
          </cell>
          <cell r="M30">
            <v>4</v>
          </cell>
          <cell r="N30">
            <v>0.01</v>
          </cell>
          <cell r="O30">
            <v>5</v>
          </cell>
          <cell r="P30">
            <v>15</v>
          </cell>
          <cell r="Q30">
            <v>751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W30">
            <v>1</v>
          </cell>
          <cell r="AX30">
            <v>1</v>
          </cell>
          <cell r="AY30">
            <v>13</v>
          </cell>
          <cell r="AZ30">
            <v>1</v>
          </cell>
          <cell r="BA30">
            <v>37</v>
          </cell>
          <cell r="BB30">
            <v>0.25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1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A31">
            <v>26</v>
          </cell>
          <cell r="D31" t="str">
            <v>MOP 708-5(1)</v>
          </cell>
          <cell r="E31" t="str">
            <v>SEÑALIZACIÓN INFORMATIVA</v>
          </cell>
          <cell r="G31" t="str">
            <v>U</v>
          </cell>
          <cell r="H31">
            <v>1.5</v>
          </cell>
          <cell r="I31">
            <v>1</v>
          </cell>
          <cell r="J31">
            <v>0.04</v>
          </cell>
          <cell r="K31">
            <v>2</v>
          </cell>
          <cell r="L31">
            <v>0.09</v>
          </cell>
          <cell r="M31">
            <v>4</v>
          </cell>
          <cell r="N31">
            <v>0.02</v>
          </cell>
          <cell r="O31">
            <v>5</v>
          </cell>
          <cell r="P31">
            <v>30</v>
          </cell>
          <cell r="Q31">
            <v>752</v>
          </cell>
          <cell r="R31">
            <v>1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W31">
            <v>1</v>
          </cell>
          <cell r="AX31">
            <v>1</v>
          </cell>
          <cell r="AY31">
            <v>13</v>
          </cell>
          <cell r="AZ31">
            <v>1</v>
          </cell>
          <cell r="BA31">
            <v>37</v>
          </cell>
          <cell r="BB31">
            <v>0.25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1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A32">
            <v>27</v>
          </cell>
          <cell r="D32" t="str">
            <v>MOP 708-5(1)</v>
          </cell>
          <cell r="E32" t="str">
            <v>SEÑALIZACIÓN RESTRICTIVA</v>
          </cell>
          <cell r="G32" t="str">
            <v>U</v>
          </cell>
          <cell r="H32">
            <v>1.5</v>
          </cell>
          <cell r="I32">
            <v>1</v>
          </cell>
          <cell r="J32">
            <v>0.02</v>
          </cell>
          <cell r="K32">
            <v>2</v>
          </cell>
          <cell r="L32">
            <v>0.04</v>
          </cell>
          <cell r="M32">
            <v>4</v>
          </cell>
          <cell r="N32">
            <v>0.01</v>
          </cell>
          <cell r="O32">
            <v>5</v>
          </cell>
          <cell r="P32">
            <v>15</v>
          </cell>
          <cell r="Q32">
            <v>753</v>
          </cell>
          <cell r="R32">
            <v>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W32">
            <v>1</v>
          </cell>
          <cell r="AX32">
            <v>1</v>
          </cell>
          <cell r="AY32">
            <v>13</v>
          </cell>
          <cell r="AZ32">
            <v>1</v>
          </cell>
          <cell r="BA32">
            <v>37</v>
          </cell>
          <cell r="BB32">
            <v>0.25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1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LA ABRIL"/>
      <sheetName val="S-T"/>
      <sheetName val="VIALSUR"/>
      <sheetName val="Pob. Ext, Parroquial"/>
      <sheetName val="septiembre"/>
      <sheetName val="Hoja1 (2)"/>
      <sheetName val="KM"/>
      <sheetName val="resumen inversion"/>
      <sheetName val="PUENTES Y PASARELAS"/>
      <sheetName val="ASFALTOS"/>
      <sheetName val="CONSOLIDADO"/>
      <sheetName val="proyectos ejecutados y enejecui"/>
      <sheetName val="PROYECTOS POR EJECUT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B8" t="str">
            <v>MANTENIMIENTO VIAL 2015 PRESUPUESTO PARTICIPATIVO</v>
          </cell>
        </row>
        <row r="27">
          <cell r="D27" t="str">
            <v>LAS VEGAS</v>
          </cell>
          <cell r="E27" t="str">
            <v>RIO VOLCANCOCHA</v>
          </cell>
          <cell r="F27">
            <v>5</v>
          </cell>
        </row>
        <row r="28">
          <cell r="D28" t="str">
            <v>YEE BATALLADEROS</v>
          </cell>
          <cell r="E28" t="str">
            <v>EL PINDO</v>
          </cell>
          <cell r="F28">
            <v>5</v>
          </cell>
        </row>
        <row r="29">
          <cell r="D29" t="str">
            <v>AMALUZA ( LIMIT URBANO)- CONSAPAMBA - GUALACHE</v>
          </cell>
          <cell r="E29" t="str">
            <v>MARCOLA</v>
          </cell>
          <cell r="F29">
            <v>8</v>
          </cell>
        </row>
        <row r="30">
          <cell r="D30" t="str">
            <v>GUAYABAL COFRADIA</v>
          </cell>
          <cell r="E30" t="str">
            <v>GUACUPAMBA</v>
          </cell>
          <cell r="F30">
            <v>5</v>
          </cell>
        </row>
        <row r="31">
          <cell r="D31" t="str">
            <v>YEE DE LLANO</v>
          </cell>
          <cell r="E31" t="str">
            <v>EL LLANO</v>
          </cell>
          <cell r="F31">
            <v>1.5</v>
          </cell>
        </row>
        <row r="32">
          <cell r="D32" t="str">
            <v xml:space="preserve">LLAMACANCHI </v>
          </cell>
          <cell r="E32" t="str">
            <v>JIBIRUCHE</v>
          </cell>
          <cell r="F32">
            <v>5</v>
          </cell>
        </row>
        <row r="33">
          <cell r="D33" t="str">
            <v>JIBIRUCHE</v>
          </cell>
          <cell r="E33" t="str">
            <v>PIEDRA BLANCA</v>
          </cell>
          <cell r="F33">
            <v>6.5</v>
          </cell>
        </row>
        <row r="34">
          <cell r="D34" t="str">
            <v>QUEBRADA TOROLINGA EL TAMBO LA TEJERIA</v>
          </cell>
          <cell r="E34" t="str">
            <v>RIO EL AIRO</v>
          </cell>
          <cell r="F34">
            <v>1.5</v>
          </cell>
        </row>
        <row r="35">
          <cell r="D35" t="str">
            <v>SAN FRANCISCO</v>
          </cell>
          <cell r="E35" t="str">
            <v>EL BATAN</v>
          </cell>
          <cell r="F35">
            <v>2.5</v>
          </cell>
        </row>
        <row r="36">
          <cell r="D36" t="str">
            <v>EL LAUREL</v>
          </cell>
          <cell r="E36" t="str">
            <v>Q. GRANADILLO</v>
          </cell>
          <cell r="F36">
            <v>2.5</v>
          </cell>
        </row>
        <row r="37">
          <cell r="D37" t="str">
            <v xml:space="preserve">LA FLORIDA CONSAGUANA LA CHAMANA </v>
          </cell>
          <cell r="E37" t="str">
            <v>AMARILLOS</v>
          </cell>
          <cell r="F37">
            <v>5</v>
          </cell>
        </row>
        <row r="38">
          <cell r="D38" t="str">
            <v>SIFON EL GUABO</v>
          </cell>
          <cell r="E38" t="str">
            <v>EL BATAN</v>
          </cell>
          <cell r="F38">
            <v>8</v>
          </cell>
        </row>
        <row r="39">
          <cell r="D39" t="str">
            <v>RIO SANANBAY</v>
          </cell>
          <cell r="E39" t="str">
            <v>JIMBURA</v>
          </cell>
          <cell r="F39">
            <v>16</v>
          </cell>
        </row>
        <row r="40">
          <cell r="D40" t="str">
            <v>CANGOCHARA COLLINGORA TUNDURAMA EL SANGO</v>
          </cell>
          <cell r="E40" t="str">
            <v>EL TINGO</v>
          </cell>
          <cell r="F40">
            <v>20</v>
          </cell>
        </row>
      </sheetData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A 2013"/>
      <sheetName val="REFORMA"/>
      <sheetName val="Presupuesto 2014"/>
      <sheetName val="OBRAS DE ARRASTRE"/>
      <sheetName val="OBRAS EN EJECUCION"/>
      <sheetName val="Pob. Ext, Parroquial"/>
      <sheetName val="enero"/>
      <sheetName val="febrero"/>
      <sheetName val="resumen inversion"/>
      <sheetName val="PLANILLA ABRIL"/>
      <sheetName val="KM"/>
      <sheetName val="ALCANTARILLAS"/>
      <sheetName val="hormigones"/>
      <sheetName val="puentes"/>
      <sheetName val="señalizacion"/>
      <sheetName val="ZONAS"/>
      <sheetName val="RESUMEN 2"/>
      <sheetName val="RESUMEN"/>
      <sheetName val="OBRA G"/>
      <sheetName val="MODALIDAD G"/>
      <sheetName val="ZONASG"/>
      <sheetName val="Hoja1"/>
    </sheetNames>
    <sheetDataSet>
      <sheetData sheetId="0"/>
      <sheetData sheetId="1"/>
      <sheetData sheetId="2"/>
      <sheetData sheetId="3"/>
      <sheetData sheetId="4"/>
      <sheetData sheetId="5">
        <row r="8">
          <cell r="D8" t="str">
            <v>34.3</v>
          </cell>
          <cell r="E8">
            <v>151.715</v>
          </cell>
          <cell r="F8">
            <v>44283000</v>
          </cell>
        </row>
        <row r="9">
          <cell r="B9" t="str">
            <v>CALVAS</v>
          </cell>
          <cell r="C9" t="str">
            <v>CALVAS</v>
          </cell>
          <cell r="D9">
            <v>453</v>
          </cell>
          <cell r="E9">
            <v>12524</v>
          </cell>
          <cell r="F9">
            <v>27631</v>
          </cell>
        </row>
        <row r="10">
          <cell r="B10" t="str">
            <v>CARIAMANGA</v>
          </cell>
          <cell r="C10" t="str">
            <v>CALVAS</v>
          </cell>
          <cell r="D10">
            <v>327</v>
          </cell>
          <cell r="E10">
            <v>6793</v>
          </cell>
          <cell r="F10">
            <v>20753</v>
          </cell>
        </row>
        <row r="11">
          <cell r="B11" t="str">
            <v>COLAISACA</v>
          </cell>
          <cell r="C11" t="str">
            <v>CALVAS</v>
          </cell>
          <cell r="D11">
            <v>923</v>
          </cell>
          <cell r="E11">
            <v>1712</v>
          </cell>
          <cell r="F11">
            <v>1854</v>
          </cell>
        </row>
        <row r="12">
          <cell r="B12" t="str">
            <v xml:space="preserve"> EL LUCERO</v>
          </cell>
          <cell r="C12" t="str">
            <v>CALVAS</v>
          </cell>
          <cell r="D12">
            <v>690</v>
          </cell>
          <cell r="E12">
            <v>1394</v>
          </cell>
          <cell r="F12">
            <v>2019</v>
          </cell>
        </row>
        <row r="13">
          <cell r="B13" t="str">
            <v>SANGUILLÍN</v>
          </cell>
          <cell r="C13" t="str">
            <v>CALVAS</v>
          </cell>
          <cell r="D13">
            <v>903</v>
          </cell>
          <cell r="E13">
            <v>1506</v>
          </cell>
          <cell r="F13">
            <v>1668</v>
          </cell>
        </row>
        <row r="14">
          <cell r="B14" t="str">
            <v xml:space="preserve"> UTUANA</v>
          </cell>
          <cell r="C14" t="str">
            <v>CALVAS</v>
          </cell>
          <cell r="D14">
            <v>837</v>
          </cell>
          <cell r="E14">
            <v>1119</v>
          </cell>
          <cell r="F14">
            <v>1337</v>
          </cell>
        </row>
        <row r="15">
          <cell r="B15" t="str">
            <v>CATAMAYO C</v>
          </cell>
          <cell r="C15" t="str">
            <v>CATAMAYO</v>
          </cell>
          <cell r="D15">
            <v>282</v>
          </cell>
          <cell r="E15">
            <v>8538</v>
          </cell>
          <cell r="F15">
            <v>30309</v>
          </cell>
        </row>
        <row r="16">
          <cell r="B16" t="str">
            <v>CATAMAYO</v>
          </cell>
          <cell r="C16" t="str">
            <v>CATAMAYO</v>
          </cell>
          <cell r="D16">
            <v>216</v>
          </cell>
          <cell r="E16">
            <v>4996</v>
          </cell>
          <cell r="F16">
            <v>23138</v>
          </cell>
        </row>
        <row r="17">
          <cell r="B17" t="str">
            <v>EL TAMBO</v>
          </cell>
          <cell r="C17" t="str">
            <v>CATAMAYO</v>
          </cell>
          <cell r="D17">
            <v>624</v>
          </cell>
          <cell r="E17">
            <v>2886</v>
          </cell>
          <cell r="F17">
            <v>4628</v>
          </cell>
        </row>
        <row r="18">
          <cell r="B18" t="str">
            <v>GUAYQUICHUMA</v>
          </cell>
          <cell r="C18" t="str">
            <v>CATAMAYO</v>
          </cell>
          <cell r="D18">
            <v>376</v>
          </cell>
          <cell r="E18">
            <v>144</v>
          </cell>
          <cell r="F18">
            <v>383</v>
          </cell>
        </row>
        <row r="19">
          <cell r="B19" t="str">
            <v>SAN PEDRO DE LA BENDITA</v>
          </cell>
          <cell r="C19" t="str">
            <v>CATAMAYO</v>
          </cell>
          <cell r="D19">
            <v>155</v>
          </cell>
          <cell r="E19">
            <v>245</v>
          </cell>
          <cell r="F19">
            <v>158</v>
          </cell>
        </row>
        <row r="20">
          <cell r="B20" t="str">
            <v>ZAMBI</v>
          </cell>
          <cell r="C20" t="str">
            <v>CATAMAYO</v>
          </cell>
          <cell r="D20">
            <v>460</v>
          </cell>
          <cell r="E20">
            <v>267</v>
          </cell>
          <cell r="F20">
            <v>580</v>
          </cell>
        </row>
        <row r="21">
          <cell r="B21" t="str">
            <v>CELICA C</v>
          </cell>
          <cell r="C21" t="str">
            <v>CELICA</v>
          </cell>
          <cell r="D21">
            <v>514</v>
          </cell>
          <cell r="E21">
            <v>7197</v>
          </cell>
          <cell r="F21">
            <v>13997</v>
          </cell>
        </row>
        <row r="22">
          <cell r="B22" t="str">
            <v>CELICA</v>
          </cell>
          <cell r="C22" t="str">
            <v>CELICA</v>
          </cell>
          <cell r="D22">
            <v>404</v>
          </cell>
          <cell r="E22">
            <v>2779</v>
          </cell>
          <cell r="F22">
            <v>6876</v>
          </cell>
        </row>
        <row r="23">
          <cell r="B23" t="str">
            <v xml:space="preserve">CRUZPAMBA </v>
          </cell>
          <cell r="C23" t="str">
            <v>CELICA</v>
          </cell>
          <cell r="D23">
            <v>607</v>
          </cell>
          <cell r="E23">
            <v>661</v>
          </cell>
          <cell r="F23">
            <v>1089</v>
          </cell>
        </row>
        <row r="24">
          <cell r="B24" t="str">
            <v>POZUL</v>
          </cell>
          <cell r="C24" t="str">
            <v>CELICA</v>
          </cell>
          <cell r="D24">
            <v>649</v>
          </cell>
          <cell r="E24">
            <v>1969</v>
          </cell>
          <cell r="F24">
            <v>3035</v>
          </cell>
        </row>
        <row r="25">
          <cell r="B25" t="str">
            <v>SABANILLA</v>
          </cell>
          <cell r="C25" t="str">
            <v>CELICA</v>
          </cell>
          <cell r="D25">
            <v>602</v>
          </cell>
          <cell r="E25">
            <v>1459</v>
          </cell>
          <cell r="F25">
            <v>2424</v>
          </cell>
        </row>
        <row r="26">
          <cell r="B26" t="str">
            <v>TNTE. MAXIMILIANO RODRÍGUEZ LOAIZA</v>
          </cell>
          <cell r="C26" t="str">
            <v>CELICA</v>
          </cell>
          <cell r="D26">
            <v>574</v>
          </cell>
          <cell r="E26">
            <v>329</v>
          </cell>
          <cell r="F26">
            <v>573</v>
          </cell>
        </row>
        <row r="27">
          <cell r="B27" t="str">
            <v>CHAGUARPAMBA</v>
          </cell>
          <cell r="C27" t="str">
            <v>CHAGUARPAMBA</v>
          </cell>
          <cell r="D27">
            <v>446</v>
          </cell>
          <cell r="E27">
            <v>3128</v>
          </cell>
          <cell r="F27">
            <v>7011</v>
          </cell>
        </row>
        <row r="28">
          <cell r="B28" t="str">
            <v>AMARILLOS</v>
          </cell>
          <cell r="C28" t="str">
            <v>CHAGUARPAMBA</v>
          </cell>
          <cell r="D28">
            <v>529</v>
          </cell>
          <cell r="E28">
            <v>350</v>
          </cell>
          <cell r="F28">
            <v>662</v>
          </cell>
        </row>
        <row r="29">
          <cell r="B29" t="str">
            <v>BUENAVISTA</v>
          </cell>
          <cell r="C29" t="str">
            <v>CHAGUARPAMBA</v>
          </cell>
          <cell r="D29">
            <v>398</v>
          </cell>
          <cell r="E29">
            <v>483</v>
          </cell>
          <cell r="F29">
            <v>1213</v>
          </cell>
        </row>
        <row r="30">
          <cell r="B30" t="str">
            <v>CHAGUARPAMBA</v>
          </cell>
          <cell r="C30" t="str">
            <v>CHAGUARPAMBA</v>
          </cell>
          <cell r="D30">
            <v>407</v>
          </cell>
          <cell r="E30">
            <v>1397</v>
          </cell>
          <cell r="F30">
            <v>3433</v>
          </cell>
        </row>
        <row r="31">
          <cell r="B31" t="str">
            <v>EL ROSARIO</v>
          </cell>
          <cell r="C31" t="str">
            <v>CHAGUARPAMBA</v>
          </cell>
          <cell r="D31">
            <v>404</v>
          </cell>
          <cell r="E31">
            <v>200</v>
          </cell>
          <cell r="F31">
            <v>495</v>
          </cell>
        </row>
        <row r="32">
          <cell r="B32" t="str">
            <v>SANTA RUFINA</v>
          </cell>
          <cell r="C32" t="str">
            <v>CHAGUARPAMBA</v>
          </cell>
          <cell r="D32">
            <v>578</v>
          </cell>
          <cell r="E32">
            <v>698</v>
          </cell>
          <cell r="F32">
            <v>1208</v>
          </cell>
        </row>
        <row r="33">
          <cell r="B33" t="str">
            <v>ESPÍNDOLA C</v>
          </cell>
          <cell r="C33" t="str">
            <v>ESPINDOLA</v>
          </cell>
          <cell r="D33">
            <v>673</v>
          </cell>
          <cell r="E33">
            <v>9863</v>
          </cell>
          <cell r="F33">
            <v>14646</v>
          </cell>
        </row>
        <row r="34">
          <cell r="B34" t="str">
            <v>27 DE ABRIL</v>
          </cell>
          <cell r="C34" t="str">
            <v>ESPINDOLA</v>
          </cell>
          <cell r="D34">
            <v>547</v>
          </cell>
          <cell r="E34">
            <v>1127</v>
          </cell>
          <cell r="F34">
            <v>2062</v>
          </cell>
        </row>
        <row r="35">
          <cell r="B35" t="str">
            <v>AMALUZA</v>
          </cell>
          <cell r="C35" t="str">
            <v>ESPINDOLA</v>
          </cell>
          <cell r="D35">
            <v>478</v>
          </cell>
          <cell r="E35">
            <v>1612</v>
          </cell>
          <cell r="F35">
            <v>3374</v>
          </cell>
        </row>
        <row r="36">
          <cell r="B36" t="str">
            <v>BELLAVISTA</v>
          </cell>
          <cell r="C36" t="str">
            <v>ESPINDOLA</v>
          </cell>
          <cell r="D36">
            <v>844</v>
          </cell>
          <cell r="E36">
            <v>1969</v>
          </cell>
          <cell r="F36">
            <v>2332</v>
          </cell>
        </row>
        <row r="37">
          <cell r="B37" t="str">
            <v>EL AIRO</v>
          </cell>
          <cell r="C37" t="str">
            <v>ESPINDOLA</v>
          </cell>
          <cell r="D37">
            <v>749</v>
          </cell>
          <cell r="E37">
            <v>747</v>
          </cell>
          <cell r="F37">
            <v>997</v>
          </cell>
        </row>
        <row r="38">
          <cell r="B38" t="str">
            <v>EL INGENIO</v>
          </cell>
          <cell r="C38" t="str">
            <v>ESPINDOLA</v>
          </cell>
          <cell r="D38">
            <v>647</v>
          </cell>
          <cell r="E38">
            <v>117</v>
          </cell>
          <cell r="F38">
            <v>1809</v>
          </cell>
        </row>
        <row r="39">
          <cell r="B39" t="str">
            <v>JIMBURA</v>
          </cell>
          <cell r="C39" t="str">
            <v>ESPINDOLA</v>
          </cell>
          <cell r="D39">
            <v>836</v>
          </cell>
          <cell r="E39">
            <v>1936</v>
          </cell>
          <cell r="F39">
            <v>2316</v>
          </cell>
        </row>
        <row r="40">
          <cell r="B40" t="str">
            <v>SANTA TERESITA</v>
          </cell>
          <cell r="C40" t="str">
            <v>ESPINDOLA</v>
          </cell>
          <cell r="D40">
            <v>741</v>
          </cell>
          <cell r="E40">
            <v>1302</v>
          </cell>
          <cell r="F40">
            <v>1756</v>
          </cell>
        </row>
        <row r="41">
          <cell r="B41" t="str">
            <v>GONZANAMÁ</v>
          </cell>
          <cell r="C41" t="str">
            <v>GONZANAMA</v>
          </cell>
          <cell r="D41">
            <v>603</v>
          </cell>
          <cell r="E41">
            <v>7655</v>
          </cell>
          <cell r="F41">
            <v>12688</v>
          </cell>
        </row>
        <row r="42">
          <cell r="B42" t="str">
            <v>CHANGAIMINA</v>
          </cell>
          <cell r="C42" t="str">
            <v>GONZANAMA</v>
          </cell>
          <cell r="D42">
            <v>603</v>
          </cell>
          <cell r="E42">
            <v>1656</v>
          </cell>
          <cell r="F42">
            <v>2748</v>
          </cell>
        </row>
        <row r="43">
          <cell r="B43" t="str">
            <v>GONZANAMÁ</v>
          </cell>
          <cell r="C43" t="str">
            <v>GONZANAMA</v>
          </cell>
          <cell r="D43">
            <v>276</v>
          </cell>
          <cell r="E43">
            <v>690</v>
          </cell>
          <cell r="F43">
            <v>2504</v>
          </cell>
        </row>
        <row r="44">
          <cell r="B44" t="str">
            <v>NAMBACOLA</v>
          </cell>
          <cell r="C44" t="str">
            <v>GONZANAMA</v>
          </cell>
          <cell r="D44">
            <v>739</v>
          </cell>
          <cell r="E44">
            <v>3338</v>
          </cell>
          <cell r="F44">
            <v>4515</v>
          </cell>
        </row>
        <row r="45">
          <cell r="B45" t="str">
            <v>PURUNUMA</v>
          </cell>
          <cell r="C45" t="str">
            <v>GONZANAMA</v>
          </cell>
          <cell r="D45">
            <v>653</v>
          </cell>
          <cell r="E45">
            <v>494</v>
          </cell>
          <cell r="F45">
            <v>756</v>
          </cell>
        </row>
        <row r="46">
          <cell r="B46" t="str">
            <v>SACAPALCA</v>
          </cell>
          <cell r="C46" t="str">
            <v>GONZANAMA</v>
          </cell>
          <cell r="D46">
            <v>682</v>
          </cell>
          <cell r="E46">
            <v>1477</v>
          </cell>
          <cell r="F46">
            <v>2165</v>
          </cell>
        </row>
        <row r="47">
          <cell r="B47" t="str">
            <v>LOJA C</v>
          </cell>
          <cell r="C47" t="str">
            <v>LOJA</v>
          </cell>
          <cell r="D47">
            <v>173</v>
          </cell>
          <cell r="E47">
            <v>36485</v>
          </cell>
          <cell r="F47">
            <v>211373</v>
          </cell>
        </row>
        <row r="48">
          <cell r="B48" t="str">
            <v>CHANTACO</v>
          </cell>
          <cell r="C48" t="str">
            <v>LOJA</v>
          </cell>
          <cell r="D48">
            <v>591</v>
          </cell>
          <cell r="E48">
            <v>696</v>
          </cell>
          <cell r="F48">
            <v>1177</v>
          </cell>
        </row>
        <row r="49">
          <cell r="B49" t="str">
            <v>CHUQUIRIBAMBA</v>
          </cell>
          <cell r="C49" t="str">
            <v>LOJA</v>
          </cell>
          <cell r="D49">
            <v>588</v>
          </cell>
          <cell r="E49">
            <v>1446</v>
          </cell>
          <cell r="F49">
            <v>2458</v>
          </cell>
        </row>
        <row r="50">
          <cell r="B50" t="str">
            <v>EL CISNE</v>
          </cell>
          <cell r="C50" t="str">
            <v>LOJA</v>
          </cell>
          <cell r="D50">
            <v>367</v>
          </cell>
          <cell r="E50">
            <v>589</v>
          </cell>
          <cell r="F50">
            <v>1606</v>
          </cell>
        </row>
        <row r="51">
          <cell r="B51" t="str">
            <v>GUALEL</v>
          </cell>
          <cell r="C51" t="str">
            <v>LOJA</v>
          </cell>
          <cell r="D51">
            <v>654</v>
          </cell>
          <cell r="E51">
            <v>1347</v>
          </cell>
          <cell r="F51">
            <v>206</v>
          </cell>
        </row>
        <row r="52">
          <cell r="B52" t="str">
            <v>JIMBILLA</v>
          </cell>
          <cell r="C52" t="str">
            <v>LOJA</v>
          </cell>
          <cell r="D52">
            <v>484</v>
          </cell>
          <cell r="E52">
            <v>539</v>
          </cell>
          <cell r="F52">
            <v>1114</v>
          </cell>
        </row>
        <row r="53">
          <cell r="B53" t="str">
            <v>LOJA</v>
          </cell>
          <cell r="C53" t="str">
            <v>LOJA</v>
          </cell>
          <cell r="D53">
            <v>116</v>
          </cell>
          <cell r="E53">
            <v>20662</v>
          </cell>
          <cell r="F53">
            <v>177534</v>
          </cell>
        </row>
        <row r="54">
          <cell r="B54" t="str">
            <v>LOJAP</v>
          </cell>
          <cell r="C54" t="str">
            <v>LOJAP</v>
          </cell>
          <cell r="E54">
            <v>151715</v>
          </cell>
          <cell r="F54">
            <v>151715</v>
          </cell>
        </row>
        <row r="55">
          <cell r="B55" t="str">
            <v>MALACATOS</v>
          </cell>
          <cell r="C55" t="str">
            <v>LOJA</v>
          </cell>
          <cell r="D55">
            <v>372</v>
          </cell>
          <cell r="E55">
            <v>2611</v>
          </cell>
          <cell r="F55">
            <v>7019</v>
          </cell>
        </row>
        <row r="56">
          <cell r="B56" t="str">
            <v>QUINARA</v>
          </cell>
          <cell r="C56" t="str">
            <v>LOJA</v>
          </cell>
          <cell r="D56">
            <v>317</v>
          </cell>
          <cell r="E56">
            <v>439</v>
          </cell>
          <cell r="F56">
            <v>1384</v>
          </cell>
        </row>
        <row r="57">
          <cell r="B57" t="str">
            <v>SAN LUCAS</v>
          </cell>
          <cell r="C57" t="str">
            <v>LOJA</v>
          </cell>
          <cell r="D57">
            <v>617</v>
          </cell>
          <cell r="E57">
            <v>288</v>
          </cell>
          <cell r="F57">
            <v>4668</v>
          </cell>
        </row>
        <row r="58">
          <cell r="B58" t="str">
            <v>SAN PEDRO DE VILCABAMBA</v>
          </cell>
          <cell r="C58" t="str">
            <v>LOJA</v>
          </cell>
          <cell r="D58">
            <v>225</v>
          </cell>
          <cell r="E58">
            <v>288</v>
          </cell>
          <cell r="F58">
            <v>1282</v>
          </cell>
        </row>
        <row r="59">
          <cell r="B59" t="str">
            <v>SANTIAGO</v>
          </cell>
          <cell r="C59" t="str">
            <v>LOJA</v>
          </cell>
          <cell r="D59">
            <v>610</v>
          </cell>
          <cell r="E59">
            <v>838</v>
          </cell>
          <cell r="F59">
            <v>1373</v>
          </cell>
        </row>
        <row r="60">
          <cell r="B60" t="str">
            <v>TAQUIL</v>
          </cell>
          <cell r="C60" t="str">
            <v>LOJA</v>
          </cell>
          <cell r="D60">
            <v>715</v>
          </cell>
          <cell r="E60">
            <v>2613</v>
          </cell>
          <cell r="F60">
            <v>3654</v>
          </cell>
        </row>
        <row r="61">
          <cell r="B61" t="str">
            <v xml:space="preserve">VILCABAMBA </v>
          </cell>
          <cell r="C61" t="str">
            <v>LOJA</v>
          </cell>
          <cell r="D61">
            <v>235</v>
          </cell>
          <cell r="E61">
            <v>1088</v>
          </cell>
          <cell r="F61">
            <v>4628</v>
          </cell>
        </row>
        <row r="62">
          <cell r="B62" t="str">
            <v>YANGANA</v>
          </cell>
          <cell r="C62" t="str">
            <v>LOJA</v>
          </cell>
          <cell r="D62">
            <v>317</v>
          </cell>
          <cell r="E62">
            <v>449</v>
          </cell>
          <cell r="F62">
            <v>1416</v>
          </cell>
        </row>
        <row r="63">
          <cell r="B63" t="str">
            <v>MACARÁ</v>
          </cell>
          <cell r="C63" t="str">
            <v>MACARA</v>
          </cell>
          <cell r="D63">
            <v>354</v>
          </cell>
          <cell r="E63">
            <v>6573</v>
          </cell>
          <cell r="F63">
            <v>18556</v>
          </cell>
        </row>
        <row r="64">
          <cell r="B64" t="str">
            <v>LA VICTORIA</v>
          </cell>
          <cell r="C64" t="str">
            <v>MACARA</v>
          </cell>
          <cell r="D64">
            <v>692</v>
          </cell>
          <cell r="E64">
            <v>1077</v>
          </cell>
          <cell r="F64">
            <v>1557</v>
          </cell>
        </row>
        <row r="65">
          <cell r="B65" t="str">
            <v>LARAMA</v>
          </cell>
          <cell r="C65" t="str">
            <v>MACARA</v>
          </cell>
          <cell r="D65">
            <v>800</v>
          </cell>
          <cell r="E65">
            <v>864</v>
          </cell>
          <cell r="F65">
            <v>108</v>
          </cell>
        </row>
        <row r="66">
          <cell r="B66" t="str">
            <v>MACARÁ C</v>
          </cell>
          <cell r="C66" t="str">
            <v>MACARA</v>
          </cell>
          <cell r="D66">
            <v>286</v>
          </cell>
          <cell r="E66">
            <v>4367</v>
          </cell>
          <cell r="F66">
            <v>15281</v>
          </cell>
        </row>
        <row r="67">
          <cell r="B67" t="str">
            <v>SABIANGO</v>
          </cell>
          <cell r="C67" t="str">
            <v>MACARA</v>
          </cell>
          <cell r="D67">
            <v>415</v>
          </cell>
          <cell r="E67">
            <v>265</v>
          </cell>
          <cell r="F67">
            <v>638</v>
          </cell>
        </row>
        <row r="68">
          <cell r="B68" t="str">
            <v>OLMEDO</v>
          </cell>
          <cell r="C68" t="str">
            <v>OLMEDO</v>
          </cell>
          <cell r="D68">
            <v>571</v>
          </cell>
          <cell r="E68">
            <v>2775</v>
          </cell>
          <cell r="F68">
            <v>4862</v>
          </cell>
        </row>
        <row r="69">
          <cell r="B69" t="str">
            <v>LA TINGUE</v>
          </cell>
          <cell r="C69" t="str">
            <v>OLMEDO</v>
          </cell>
          <cell r="D69">
            <v>766</v>
          </cell>
          <cell r="E69">
            <v>512</v>
          </cell>
          <cell r="F69">
            <v>668</v>
          </cell>
        </row>
        <row r="70">
          <cell r="B70" t="str">
            <v>OLMEDO C</v>
          </cell>
          <cell r="C70" t="str">
            <v>OLMEDO</v>
          </cell>
          <cell r="D70">
            <v>540</v>
          </cell>
          <cell r="E70">
            <v>2263</v>
          </cell>
          <cell r="F70">
            <v>4194</v>
          </cell>
        </row>
        <row r="71">
          <cell r="B71" t="str">
            <v>PALTAS</v>
          </cell>
          <cell r="C71" t="str">
            <v>PALTAS</v>
          </cell>
          <cell r="D71">
            <v>543</v>
          </cell>
          <cell r="E71">
            <v>12852</v>
          </cell>
          <cell r="F71">
            <v>23659</v>
          </cell>
        </row>
        <row r="72">
          <cell r="B72" t="str">
            <v>CANGONAMÁ</v>
          </cell>
          <cell r="C72" t="str">
            <v>PALTAS</v>
          </cell>
          <cell r="D72">
            <v>610</v>
          </cell>
          <cell r="E72">
            <v>775</v>
          </cell>
          <cell r="F72">
            <v>1271</v>
          </cell>
        </row>
        <row r="73">
          <cell r="B73" t="str">
            <v>CASANGA</v>
          </cell>
          <cell r="C73" t="str">
            <v>PALTAS</v>
          </cell>
          <cell r="D73">
            <v>655</v>
          </cell>
          <cell r="E73">
            <v>1168</v>
          </cell>
          <cell r="F73">
            <v>1783</v>
          </cell>
        </row>
        <row r="74">
          <cell r="B74" t="str">
            <v>CATACOCHA C</v>
          </cell>
          <cell r="C74" t="str">
            <v>PALTAS</v>
          </cell>
          <cell r="D74">
            <v>444</v>
          </cell>
          <cell r="E74">
            <v>5364</v>
          </cell>
          <cell r="F74">
            <v>12085</v>
          </cell>
        </row>
        <row r="75">
          <cell r="B75" t="str">
            <v>GUACHANAMÁ</v>
          </cell>
          <cell r="C75" t="str">
            <v>PALTAS</v>
          </cell>
          <cell r="D75">
            <v>744</v>
          </cell>
          <cell r="E75">
            <v>1934</v>
          </cell>
          <cell r="F75">
            <v>2601</v>
          </cell>
        </row>
        <row r="76">
          <cell r="B76" t="str">
            <v>LAUROGUERRERO</v>
          </cell>
          <cell r="C76" t="str">
            <v>PALTAS</v>
          </cell>
          <cell r="D76">
            <v>598</v>
          </cell>
          <cell r="E76">
            <v>1092</v>
          </cell>
          <cell r="F76">
            <v>1825</v>
          </cell>
        </row>
        <row r="77">
          <cell r="B77" t="str">
            <v>ORIANGA</v>
          </cell>
          <cell r="C77" t="str">
            <v>PALTAS</v>
          </cell>
          <cell r="D77">
            <v>614</v>
          </cell>
          <cell r="E77">
            <v>1083</v>
          </cell>
          <cell r="F77">
            <v>1763</v>
          </cell>
        </row>
        <row r="78">
          <cell r="B78" t="str">
            <v>SANANTONIO</v>
          </cell>
          <cell r="C78" t="str">
            <v>PALTAS</v>
          </cell>
          <cell r="D78">
            <v>586</v>
          </cell>
          <cell r="E78">
            <v>639</v>
          </cell>
          <cell r="F78">
            <v>109</v>
          </cell>
        </row>
        <row r="79">
          <cell r="B79" t="str">
            <v>YAMANA</v>
          </cell>
          <cell r="C79" t="str">
            <v>PALTAS</v>
          </cell>
          <cell r="D79">
            <v>642</v>
          </cell>
          <cell r="E79">
            <v>797</v>
          </cell>
          <cell r="F79">
            <v>1241</v>
          </cell>
        </row>
        <row r="80">
          <cell r="B80" t="str">
            <v>PINDAL</v>
          </cell>
          <cell r="C80" t="str">
            <v>PALTAS</v>
          </cell>
          <cell r="D80">
            <v>584</v>
          </cell>
          <cell r="E80">
            <v>5041</v>
          </cell>
          <cell r="F80">
            <v>8625</v>
          </cell>
        </row>
        <row r="81">
          <cell r="B81" t="str">
            <v>12DEDICIEMBRE</v>
          </cell>
          <cell r="C81" t="str">
            <v>PINDAL</v>
          </cell>
          <cell r="D81">
            <v>694</v>
          </cell>
          <cell r="E81">
            <v>1311</v>
          </cell>
          <cell r="F81">
            <v>1889</v>
          </cell>
        </row>
        <row r="82">
          <cell r="B82" t="str">
            <v>CHAQUINAL</v>
          </cell>
          <cell r="C82" t="str">
            <v>PINDAL</v>
          </cell>
          <cell r="D82">
            <v>746</v>
          </cell>
          <cell r="E82">
            <v>811</v>
          </cell>
          <cell r="F82">
            <v>1087</v>
          </cell>
        </row>
        <row r="83">
          <cell r="B83" t="str">
            <v>PINDAL C</v>
          </cell>
          <cell r="C83" t="str">
            <v>PINDAL</v>
          </cell>
          <cell r="D83">
            <v>517</v>
          </cell>
          <cell r="E83">
            <v>2919</v>
          </cell>
          <cell r="F83">
            <v>5649</v>
          </cell>
        </row>
        <row r="84">
          <cell r="B84" t="str">
            <v>PUYANGO</v>
          </cell>
          <cell r="C84" t="str">
            <v>PINDAL</v>
          </cell>
          <cell r="D84">
            <v>393</v>
          </cell>
          <cell r="E84">
            <v>6057</v>
          </cell>
          <cell r="F84">
            <v>15398</v>
          </cell>
        </row>
        <row r="85">
          <cell r="B85" t="str">
            <v>ALAMOR</v>
          </cell>
          <cell r="C85" t="str">
            <v>PUYANGO</v>
          </cell>
          <cell r="D85">
            <v>306</v>
          </cell>
          <cell r="E85">
            <v>2506</v>
          </cell>
          <cell r="F85">
            <v>8195</v>
          </cell>
        </row>
        <row r="86">
          <cell r="B86" t="str">
            <v>CIANO</v>
          </cell>
          <cell r="C86" t="str">
            <v>PUYANGO</v>
          </cell>
          <cell r="D86">
            <v>398</v>
          </cell>
          <cell r="E86">
            <v>567</v>
          </cell>
          <cell r="F86">
            <v>1426</v>
          </cell>
        </row>
        <row r="87">
          <cell r="B87" t="str">
            <v>ELARENAL</v>
          </cell>
          <cell r="C87" t="str">
            <v>PUYANGO</v>
          </cell>
          <cell r="D87">
            <v>476</v>
          </cell>
          <cell r="E87">
            <v>467</v>
          </cell>
          <cell r="F87">
            <v>981</v>
          </cell>
        </row>
        <row r="88">
          <cell r="B88" t="str">
            <v>ELLIMO</v>
          </cell>
          <cell r="C88" t="str">
            <v>PUYANGO</v>
          </cell>
          <cell r="D88">
            <v>589</v>
          </cell>
          <cell r="E88">
            <v>1388</v>
          </cell>
          <cell r="F88">
            <v>2357</v>
          </cell>
        </row>
        <row r="89">
          <cell r="B89" t="str">
            <v>MERCADILLO</v>
          </cell>
          <cell r="C89" t="str">
            <v>PUYANGO</v>
          </cell>
          <cell r="D89">
            <v>417</v>
          </cell>
          <cell r="E89">
            <v>489</v>
          </cell>
          <cell r="F89">
            <v>1174</v>
          </cell>
        </row>
        <row r="90">
          <cell r="B90" t="str">
            <v>VICENTINO</v>
          </cell>
          <cell r="C90" t="str">
            <v>PUYANGO</v>
          </cell>
          <cell r="D90">
            <v>506</v>
          </cell>
          <cell r="E90">
            <v>640</v>
          </cell>
          <cell r="F90">
            <v>1265</v>
          </cell>
        </row>
        <row r="91">
          <cell r="B91" t="str">
            <v>QUILANGA</v>
          </cell>
          <cell r="C91" t="str">
            <v>QUILANGA</v>
          </cell>
          <cell r="D91">
            <v>539</v>
          </cell>
          <cell r="E91">
            <v>2327</v>
          </cell>
          <cell r="F91">
            <v>4317</v>
          </cell>
        </row>
        <row r="92">
          <cell r="B92" t="str">
            <v>FUNDOCHAMBA</v>
          </cell>
          <cell r="C92" t="str">
            <v>QUILANGA</v>
          </cell>
          <cell r="D92">
            <v>289</v>
          </cell>
          <cell r="E92">
            <v>102</v>
          </cell>
          <cell r="F92">
            <v>353</v>
          </cell>
        </row>
        <row r="93">
          <cell r="B93" t="str">
            <v>QUILANGA</v>
          </cell>
          <cell r="C93" t="str">
            <v>QUILANGA</v>
          </cell>
          <cell r="D93">
            <v>560</v>
          </cell>
          <cell r="E93">
            <v>1516</v>
          </cell>
          <cell r="F93">
            <v>2705</v>
          </cell>
        </row>
        <row r="94">
          <cell r="B94" t="str">
            <v>SANANTONIODELASARADAS</v>
          </cell>
          <cell r="C94" t="str">
            <v>QUILANGA</v>
          </cell>
          <cell r="D94">
            <v>563</v>
          </cell>
          <cell r="E94">
            <v>709</v>
          </cell>
          <cell r="F94">
            <v>1259</v>
          </cell>
        </row>
        <row r="95">
          <cell r="B95" t="str">
            <v>SARAGURO</v>
          </cell>
          <cell r="C95" t="str">
            <v>SARAGURO</v>
          </cell>
          <cell r="D95">
            <v>588</v>
          </cell>
          <cell r="E95">
            <v>17667</v>
          </cell>
          <cell r="F95">
            <v>30063</v>
          </cell>
        </row>
        <row r="96">
          <cell r="B96" t="str">
            <v>CELEN</v>
          </cell>
          <cell r="C96" t="str">
            <v>SARAGURO</v>
          </cell>
          <cell r="D96">
            <v>775</v>
          </cell>
          <cell r="E96">
            <v>2132</v>
          </cell>
          <cell r="F96">
            <v>2752</v>
          </cell>
        </row>
        <row r="97">
          <cell r="B97" t="str">
            <v>EL TABLÓN</v>
          </cell>
          <cell r="C97" t="str">
            <v>SARAGURO</v>
          </cell>
          <cell r="D97">
            <v>785</v>
          </cell>
          <cell r="E97">
            <v>716</v>
          </cell>
          <cell r="F97">
            <v>912</v>
          </cell>
        </row>
        <row r="98">
          <cell r="B98" t="str">
            <v>LLUZHAPA</v>
          </cell>
          <cell r="C98" t="str">
            <v>SARAGURO</v>
          </cell>
          <cell r="D98">
            <v>738</v>
          </cell>
          <cell r="E98">
            <v>1258</v>
          </cell>
          <cell r="F98">
            <v>1705</v>
          </cell>
        </row>
        <row r="99">
          <cell r="B99" t="str">
            <v>MANÚ</v>
          </cell>
          <cell r="C99" t="str">
            <v>SARAGURO</v>
          </cell>
          <cell r="D99">
            <v>583</v>
          </cell>
          <cell r="E99">
            <v>155</v>
          </cell>
          <cell r="F99">
            <v>266</v>
          </cell>
        </row>
        <row r="100">
          <cell r="B100" t="str">
            <v>SANANTONIODEQUMBE</v>
          </cell>
          <cell r="C100" t="str">
            <v>SARAGURO</v>
          </cell>
          <cell r="D100">
            <v>701</v>
          </cell>
          <cell r="E100">
            <v>802</v>
          </cell>
          <cell r="F100">
            <v>1144</v>
          </cell>
        </row>
        <row r="101">
          <cell r="B101" t="str">
            <v>SANPABLODETENTA</v>
          </cell>
          <cell r="C101" t="str">
            <v>SARAGURO</v>
          </cell>
          <cell r="D101">
            <v>706</v>
          </cell>
          <cell r="E101">
            <v>2587</v>
          </cell>
          <cell r="F101">
            <v>3663</v>
          </cell>
        </row>
        <row r="102">
          <cell r="B102" t="str">
            <v>SANSEBASTIANDEYÚLUC</v>
          </cell>
          <cell r="C102" t="str">
            <v>SARAGURO</v>
          </cell>
          <cell r="D102">
            <v>566</v>
          </cell>
          <cell r="E102">
            <v>550</v>
          </cell>
          <cell r="F102">
            <v>972</v>
          </cell>
        </row>
        <row r="103">
          <cell r="B103" t="str">
            <v>SARAGURO</v>
          </cell>
          <cell r="C103" t="str">
            <v>SARAGURO</v>
          </cell>
          <cell r="D103">
            <v>398</v>
          </cell>
          <cell r="E103">
            <v>3577</v>
          </cell>
          <cell r="F103">
            <v>8996</v>
          </cell>
        </row>
        <row r="104">
          <cell r="B104" t="str">
            <v>SELVAALEGRE</v>
          </cell>
          <cell r="C104" t="str">
            <v>SARAGURO</v>
          </cell>
          <cell r="D104">
            <v>716</v>
          </cell>
          <cell r="E104">
            <v>137</v>
          </cell>
          <cell r="F104">
            <v>1913</v>
          </cell>
        </row>
        <row r="105">
          <cell r="B105" t="str">
            <v>SUMAYPAMBA</v>
          </cell>
          <cell r="C105" t="str">
            <v>SARAGURO</v>
          </cell>
          <cell r="D105">
            <v>547</v>
          </cell>
          <cell r="E105">
            <v>866</v>
          </cell>
          <cell r="F105">
            <v>1584</v>
          </cell>
        </row>
        <row r="106">
          <cell r="B106" t="str">
            <v>URDANETA</v>
          </cell>
          <cell r="C106" t="str">
            <v>SARAGURO</v>
          </cell>
          <cell r="D106">
            <v>600</v>
          </cell>
          <cell r="E106">
            <v>2259</v>
          </cell>
          <cell r="F106">
            <v>3762</v>
          </cell>
        </row>
        <row r="107">
          <cell r="B107" t="str">
            <v>SOZORANGA</v>
          </cell>
          <cell r="C107" t="str">
            <v>SOZORANGA</v>
          </cell>
          <cell r="D107">
            <v>693</v>
          </cell>
          <cell r="E107">
            <v>5165</v>
          </cell>
          <cell r="F107">
            <v>7457</v>
          </cell>
        </row>
        <row r="108">
          <cell r="B108" t="str">
            <v>NUEVAFÁTIMA</v>
          </cell>
          <cell r="C108" t="str">
            <v>SOZORANGA</v>
          </cell>
          <cell r="D108">
            <v>713</v>
          </cell>
          <cell r="E108">
            <v>642</v>
          </cell>
          <cell r="F108">
            <v>901</v>
          </cell>
        </row>
        <row r="109">
          <cell r="B109" t="str">
            <v>SOZORANGA</v>
          </cell>
          <cell r="C109" t="str">
            <v>SOZORANGA</v>
          </cell>
          <cell r="D109">
            <v>698</v>
          </cell>
          <cell r="E109">
            <v>2621</v>
          </cell>
          <cell r="F109">
            <v>3755</v>
          </cell>
        </row>
        <row r="110">
          <cell r="B110" t="str">
            <v>TACAMOROS</v>
          </cell>
          <cell r="C110" t="str">
            <v>SOZORANGA</v>
          </cell>
          <cell r="D110">
            <v>679</v>
          </cell>
          <cell r="E110">
            <v>1902</v>
          </cell>
          <cell r="F110">
            <v>2801</v>
          </cell>
        </row>
        <row r="111">
          <cell r="B111" t="str">
            <v>ZAPOTILLO</v>
          </cell>
          <cell r="C111" t="str">
            <v>ZAPOTILLO</v>
          </cell>
          <cell r="D111">
            <v>643</v>
          </cell>
          <cell r="E111">
            <v>7868</v>
          </cell>
          <cell r="F111">
            <v>12238</v>
          </cell>
        </row>
        <row r="112">
          <cell r="B112" t="str">
            <v>BOLASPAMBA</v>
          </cell>
          <cell r="C112" t="str">
            <v>ZAPOTILLO</v>
          </cell>
          <cell r="D112">
            <v>819</v>
          </cell>
          <cell r="E112">
            <v>889</v>
          </cell>
          <cell r="F112">
            <v>1086</v>
          </cell>
        </row>
        <row r="113">
          <cell r="B113" t="str">
            <v>CAZADEROS</v>
          </cell>
          <cell r="C113" t="str">
            <v>ZAPOTILLO</v>
          </cell>
          <cell r="D113">
            <v>753</v>
          </cell>
          <cell r="E113">
            <v>879</v>
          </cell>
          <cell r="F113">
            <v>1168</v>
          </cell>
        </row>
        <row r="114">
          <cell r="B114" t="str">
            <v>GARZAREAL</v>
          </cell>
          <cell r="C114" t="str">
            <v>ZAPOTILLO</v>
          </cell>
          <cell r="D114">
            <v>804</v>
          </cell>
          <cell r="E114">
            <v>1426</v>
          </cell>
          <cell r="F114">
            <v>1774</v>
          </cell>
        </row>
        <row r="115">
          <cell r="B115" t="str">
            <v>LIMONES</v>
          </cell>
          <cell r="C115" t="str">
            <v>ZAPOTILLO</v>
          </cell>
          <cell r="D115">
            <v>694</v>
          </cell>
          <cell r="E115">
            <v>976</v>
          </cell>
          <cell r="F115">
            <v>1406</v>
          </cell>
        </row>
        <row r="116">
          <cell r="B116" t="str">
            <v>PALETILLAS</v>
          </cell>
          <cell r="C116" t="str">
            <v>ZAPOTILLO</v>
          </cell>
          <cell r="D116">
            <v>807</v>
          </cell>
          <cell r="E116">
            <v>2116</v>
          </cell>
          <cell r="F116">
            <v>2623</v>
          </cell>
        </row>
        <row r="117">
          <cell r="B117" t="str">
            <v>ZAPOTILLO</v>
          </cell>
          <cell r="C117" t="str">
            <v>ZAPOTILLO</v>
          </cell>
          <cell r="D117">
            <v>378</v>
          </cell>
          <cell r="E117">
            <v>1582</v>
          </cell>
          <cell r="F117">
            <v>4181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A 2013"/>
      <sheetName val="REFORMA"/>
      <sheetName val="Presupuesto 2014"/>
      <sheetName val="OBRAS DE ARRASTRE"/>
      <sheetName val="OBRAS EN EJECUCION"/>
      <sheetName val="Pob. Ext, Parroquial"/>
      <sheetName val="enero"/>
      <sheetName val="febrero"/>
      <sheetName val="resumen inversion"/>
      <sheetName val="proyectos ejecutados y enejecui"/>
      <sheetName val="PROYECTOS POR EJECUTAR"/>
      <sheetName val="PLANILLA julio"/>
      <sheetName val="KM"/>
      <sheetName val="ALCANTARILLAS"/>
      <sheetName val="hormigones"/>
      <sheetName val="puentes"/>
      <sheetName val="señalizacion"/>
      <sheetName val="ZONAS"/>
      <sheetName val="RESUMEN 2"/>
      <sheetName val="RESUMEN"/>
      <sheetName val="OBRA G"/>
      <sheetName val="MODALIDAD G"/>
      <sheetName val="ZONASG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">
          <cell r="D8" t="str">
            <v>34.3</v>
          </cell>
          <cell r="E8">
            <v>151.715</v>
          </cell>
          <cell r="F8">
            <v>44283000</v>
          </cell>
        </row>
        <row r="9">
          <cell r="B9" t="str">
            <v>CALVAS</v>
          </cell>
          <cell r="C9" t="str">
            <v>CALVAS</v>
          </cell>
          <cell r="D9">
            <v>453</v>
          </cell>
          <cell r="E9">
            <v>12524</v>
          </cell>
          <cell r="F9">
            <v>27631</v>
          </cell>
        </row>
        <row r="10">
          <cell r="B10" t="str">
            <v>CARIAMANGA</v>
          </cell>
          <cell r="C10" t="str">
            <v>CALVAS</v>
          </cell>
          <cell r="D10">
            <v>327</v>
          </cell>
          <cell r="E10">
            <v>6793</v>
          </cell>
          <cell r="F10">
            <v>20753</v>
          </cell>
        </row>
        <row r="11">
          <cell r="B11" t="str">
            <v>COLAISACA</v>
          </cell>
          <cell r="C11" t="str">
            <v>CALVAS</v>
          </cell>
          <cell r="D11">
            <v>923</v>
          </cell>
          <cell r="E11">
            <v>1712</v>
          </cell>
          <cell r="F11">
            <v>1854</v>
          </cell>
        </row>
        <row r="12">
          <cell r="B12" t="str">
            <v xml:space="preserve"> EL LUCERO</v>
          </cell>
          <cell r="C12" t="str">
            <v>CALVAS</v>
          </cell>
          <cell r="D12">
            <v>690</v>
          </cell>
          <cell r="E12">
            <v>1394</v>
          </cell>
          <cell r="F12">
            <v>2019</v>
          </cell>
        </row>
        <row r="13">
          <cell r="B13" t="str">
            <v>SANGUILLÍN</v>
          </cell>
          <cell r="C13" t="str">
            <v>CALVAS</v>
          </cell>
          <cell r="D13">
            <v>903</v>
          </cell>
          <cell r="E13">
            <v>1506</v>
          </cell>
          <cell r="F13">
            <v>1668</v>
          </cell>
        </row>
        <row r="14">
          <cell r="B14" t="str">
            <v xml:space="preserve"> UTUANA</v>
          </cell>
          <cell r="C14" t="str">
            <v>CALVAS</v>
          </cell>
          <cell r="D14">
            <v>837</v>
          </cell>
          <cell r="E14">
            <v>1119</v>
          </cell>
          <cell r="F14">
            <v>1337</v>
          </cell>
        </row>
        <row r="15">
          <cell r="B15" t="str">
            <v>CATAMAYO C</v>
          </cell>
          <cell r="C15" t="str">
            <v>CATAMAYO</v>
          </cell>
          <cell r="D15">
            <v>282</v>
          </cell>
          <cell r="E15">
            <v>8538</v>
          </cell>
          <cell r="F15">
            <v>30309</v>
          </cell>
        </row>
        <row r="16">
          <cell r="B16" t="str">
            <v>CATAMAYO</v>
          </cell>
          <cell r="C16" t="str">
            <v>CATAMAYO</v>
          </cell>
          <cell r="D16">
            <v>216</v>
          </cell>
          <cell r="E16">
            <v>4996</v>
          </cell>
          <cell r="F16">
            <v>23138</v>
          </cell>
        </row>
        <row r="17">
          <cell r="B17" t="str">
            <v>EL TAMBO</v>
          </cell>
          <cell r="C17" t="str">
            <v>CATAMAYO</v>
          </cell>
          <cell r="D17">
            <v>624</v>
          </cell>
          <cell r="E17">
            <v>2886</v>
          </cell>
          <cell r="F17">
            <v>4628</v>
          </cell>
        </row>
        <row r="18">
          <cell r="B18" t="str">
            <v>GUAYQUICHUMA</v>
          </cell>
          <cell r="C18" t="str">
            <v>CATAMAYO</v>
          </cell>
          <cell r="D18">
            <v>376</v>
          </cell>
          <cell r="E18">
            <v>144</v>
          </cell>
          <cell r="F18">
            <v>383</v>
          </cell>
        </row>
        <row r="19">
          <cell r="B19" t="str">
            <v>SAN PEDRO DE LA BENDITA</v>
          </cell>
          <cell r="C19" t="str">
            <v>CATAMAYO</v>
          </cell>
          <cell r="D19">
            <v>155</v>
          </cell>
          <cell r="E19">
            <v>245</v>
          </cell>
          <cell r="F19">
            <v>158</v>
          </cell>
        </row>
        <row r="20">
          <cell r="B20" t="str">
            <v>ZAMBI</v>
          </cell>
          <cell r="C20" t="str">
            <v>CATAMAYO</v>
          </cell>
          <cell r="D20">
            <v>460</v>
          </cell>
          <cell r="E20">
            <v>267</v>
          </cell>
          <cell r="F20">
            <v>580</v>
          </cell>
        </row>
        <row r="21">
          <cell r="B21" t="str">
            <v>CELICA C</v>
          </cell>
          <cell r="C21" t="str">
            <v>CELICA</v>
          </cell>
          <cell r="D21">
            <v>514</v>
          </cell>
          <cell r="E21">
            <v>7197</v>
          </cell>
          <cell r="F21">
            <v>13997</v>
          </cell>
        </row>
        <row r="22">
          <cell r="B22" t="str">
            <v>CELICA</v>
          </cell>
          <cell r="C22" t="str">
            <v>CELICA</v>
          </cell>
          <cell r="D22">
            <v>404</v>
          </cell>
          <cell r="E22">
            <v>2779</v>
          </cell>
          <cell r="F22">
            <v>6876</v>
          </cell>
        </row>
        <row r="23">
          <cell r="B23" t="str">
            <v xml:space="preserve">CRUZPAMBA </v>
          </cell>
          <cell r="C23" t="str">
            <v>CELICA</v>
          </cell>
          <cell r="D23">
            <v>607</v>
          </cell>
          <cell r="E23">
            <v>661</v>
          </cell>
          <cell r="F23">
            <v>1089</v>
          </cell>
        </row>
        <row r="24">
          <cell r="B24" t="str">
            <v>POZUL</v>
          </cell>
          <cell r="C24" t="str">
            <v>CELICA</v>
          </cell>
          <cell r="D24">
            <v>649</v>
          </cell>
          <cell r="E24">
            <v>1969</v>
          </cell>
          <cell r="F24">
            <v>3035</v>
          </cell>
        </row>
        <row r="25">
          <cell r="B25" t="str">
            <v>SABANILLA</v>
          </cell>
          <cell r="C25" t="str">
            <v>CELICA</v>
          </cell>
          <cell r="D25">
            <v>602</v>
          </cell>
          <cell r="E25">
            <v>1459</v>
          </cell>
          <cell r="F25">
            <v>2424</v>
          </cell>
        </row>
        <row r="26">
          <cell r="B26" t="str">
            <v>TNTE. MAXIMILIANO RODRÍGUEZ LOAIZA</v>
          </cell>
          <cell r="C26" t="str">
            <v>CELICA</v>
          </cell>
          <cell r="D26">
            <v>574</v>
          </cell>
          <cell r="E26">
            <v>329</v>
          </cell>
          <cell r="F26">
            <v>573</v>
          </cell>
        </row>
        <row r="27">
          <cell r="B27" t="str">
            <v>CHAGUARPAMBA</v>
          </cell>
          <cell r="C27" t="str">
            <v>CHAGUARPAMBA</v>
          </cell>
          <cell r="D27">
            <v>446</v>
          </cell>
          <cell r="E27">
            <v>3128</v>
          </cell>
          <cell r="F27">
            <v>7011</v>
          </cell>
        </row>
        <row r="28">
          <cell r="B28" t="str">
            <v>AMARILLOS</v>
          </cell>
          <cell r="C28" t="str">
            <v>CHAGUARPAMBA</v>
          </cell>
          <cell r="D28">
            <v>529</v>
          </cell>
          <cell r="E28">
            <v>350</v>
          </cell>
          <cell r="F28">
            <v>662</v>
          </cell>
        </row>
        <row r="29">
          <cell r="B29" t="str">
            <v>BUENAVISTA</v>
          </cell>
          <cell r="C29" t="str">
            <v>CHAGUARPAMBA</v>
          </cell>
          <cell r="D29">
            <v>398</v>
          </cell>
          <cell r="E29">
            <v>483</v>
          </cell>
          <cell r="F29">
            <v>1213</v>
          </cell>
        </row>
        <row r="30">
          <cell r="B30" t="str">
            <v>CHAGUARPAMBA</v>
          </cell>
          <cell r="C30" t="str">
            <v>CHAGUARPAMBA</v>
          </cell>
          <cell r="D30">
            <v>407</v>
          </cell>
          <cell r="E30">
            <v>1397</v>
          </cell>
          <cell r="F30">
            <v>3433</v>
          </cell>
        </row>
        <row r="31">
          <cell r="B31" t="str">
            <v>EL ROSARIO</v>
          </cell>
          <cell r="C31" t="str">
            <v>CHAGUARPAMBA</v>
          </cell>
          <cell r="D31">
            <v>404</v>
          </cell>
          <cell r="E31">
            <v>200</v>
          </cell>
          <cell r="F31">
            <v>495</v>
          </cell>
        </row>
        <row r="32">
          <cell r="B32" t="str">
            <v>SANTA RUFINA</v>
          </cell>
          <cell r="C32" t="str">
            <v>CHAGUARPAMBA</v>
          </cell>
          <cell r="D32">
            <v>578</v>
          </cell>
          <cell r="E32">
            <v>698</v>
          </cell>
          <cell r="F32">
            <v>1208</v>
          </cell>
        </row>
        <row r="33">
          <cell r="B33" t="str">
            <v>ESPÍNDOLA C</v>
          </cell>
          <cell r="C33" t="str">
            <v>ESPINDOLA</v>
          </cell>
          <cell r="D33">
            <v>673</v>
          </cell>
          <cell r="E33">
            <v>9863</v>
          </cell>
          <cell r="F33">
            <v>14646</v>
          </cell>
        </row>
        <row r="34">
          <cell r="B34" t="str">
            <v>27 DE ABRIL</v>
          </cell>
          <cell r="C34" t="str">
            <v>ESPINDOLA</v>
          </cell>
          <cell r="D34">
            <v>547</v>
          </cell>
          <cell r="E34">
            <v>1127</v>
          </cell>
          <cell r="F34">
            <v>2062</v>
          </cell>
        </row>
        <row r="35">
          <cell r="B35" t="str">
            <v>AMALUZA</v>
          </cell>
          <cell r="C35" t="str">
            <v>ESPINDOLA</v>
          </cell>
          <cell r="D35">
            <v>478</v>
          </cell>
          <cell r="E35">
            <v>1612</v>
          </cell>
          <cell r="F35">
            <v>3374</v>
          </cell>
        </row>
        <row r="36">
          <cell r="B36" t="str">
            <v>BELLAVISTA</v>
          </cell>
          <cell r="C36" t="str">
            <v>ESPINDOLA</v>
          </cell>
          <cell r="D36">
            <v>844</v>
          </cell>
          <cell r="E36">
            <v>1969</v>
          </cell>
          <cell r="F36">
            <v>2332</v>
          </cell>
        </row>
        <row r="37">
          <cell r="B37" t="str">
            <v>EL AIRO</v>
          </cell>
          <cell r="C37" t="str">
            <v>ESPINDOLA</v>
          </cell>
          <cell r="D37">
            <v>749</v>
          </cell>
          <cell r="E37">
            <v>747</v>
          </cell>
          <cell r="F37">
            <v>997</v>
          </cell>
        </row>
        <row r="38">
          <cell r="B38" t="str">
            <v>EL INGENIO</v>
          </cell>
          <cell r="C38" t="str">
            <v>ESPINDOLA</v>
          </cell>
          <cell r="D38">
            <v>647</v>
          </cell>
          <cell r="E38">
            <v>117</v>
          </cell>
          <cell r="F38">
            <v>1809</v>
          </cell>
        </row>
        <row r="39">
          <cell r="B39" t="str">
            <v>JIMBURA</v>
          </cell>
          <cell r="C39" t="str">
            <v>ESPINDOLA</v>
          </cell>
          <cell r="D39">
            <v>836</v>
          </cell>
          <cell r="E39">
            <v>1936</v>
          </cell>
          <cell r="F39">
            <v>2316</v>
          </cell>
        </row>
        <row r="40">
          <cell r="B40" t="str">
            <v>SANTA TERESITA</v>
          </cell>
          <cell r="C40" t="str">
            <v>ESPINDOLA</v>
          </cell>
          <cell r="D40">
            <v>741</v>
          </cell>
          <cell r="E40">
            <v>1302</v>
          </cell>
          <cell r="F40">
            <v>1756</v>
          </cell>
        </row>
        <row r="41">
          <cell r="B41" t="str">
            <v>GONZANAMÁ</v>
          </cell>
          <cell r="C41" t="str">
            <v>GONZANAMA</v>
          </cell>
          <cell r="D41">
            <v>603</v>
          </cell>
          <cell r="E41">
            <v>7655</v>
          </cell>
          <cell r="F41">
            <v>12688</v>
          </cell>
        </row>
        <row r="42">
          <cell r="B42" t="str">
            <v>CHANGAIMINA</v>
          </cell>
          <cell r="C42" t="str">
            <v>GONZANAMA</v>
          </cell>
          <cell r="D42">
            <v>603</v>
          </cell>
          <cell r="E42">
            <v>1656</v>
          </cell>
          <cell r="F42">
            <v>2748</v>
          </cell>
        </row>
        <row r="43">
          <cell r="B43" t="str">
            <v>GONZANAMÁ</v>
          </cell>
          <cell r="C43" t="str">
            <v>GONZANAMA</v>
          </cell>
          <cell r="D43">
            <v>276</v>
          </cell>
          <cell r="E43">
            <v>690</v>
          </cell>
          <cell r="F43">
            <v>2504</v>
          </cell>
        </row>
        <row r="44">
          <cell r="B44" t="str">
            <v>NAMBACOLA</v>
          </cell>
          <cell r="C44" t="str">
            <v>GONZANAMA</v>
          </cell>
          <cell r="D44">
            <v>739</v>
          </cell>
          <cell r="E44">
            <v>3338</v>
          </cell>
          <cell r="F44">
            <v>4515</v>
          </cell>
        </row>
        <row r="45">
          <cell r="B45" t="str">
            <v>PURUNUMA</v>
          </cell>
          <cell r="C45" t="str">
            <v>GONZANAMA</v>
          </cell>
          <cell r="D45">
            <v>653</v>
          </cell>
          <cell r="E45">
            <v>494</v>
          </cell>
          <cell r="F45">
            <v>756</v>
          </cell>
        </row>
        <row r="46">
          <cell r="B46" t="str">
            <v>SACAPALCA</v>
          </cell>
          <cell r="C46" t="str">
            <v>GONZANAMA</v>
          </cell>
          <cell r="D46">
            <v>682</v>
          </cell>
          <cell r="E46">
            <v>1477</v>
          </cell>
          <cell r="F46">
            <v>2165</v>
          </cell>
        </row>
        <row r="47">
          <cell r="B47" t="str">
            <v>LOJA C</v>
          </cell>
          <cell r="C47" t="str">
            <v>LOJA</v>
          </cell>
          <cell r="D47">
            <v>173</v>
          </cell>
          <cell r="E47">
            <v>36485</v>
          </cell>
          <cell r="F47">
            <v>211373</v>
          </cell>
        </row>
        <row r="48">
          <cell r="B48" t="str">
            <v>CHANTACO</v>
          </cell>
          <cell r="C48" t="str">
            <v>LOJA</v>
          </cell>
          <cell r="D48">
            <v>591</v>
          </cell>
          <cell r="E48">
            <v>696</v>
          </cell>
          <cell r="F48">
            <v>1177</v>
          </cell>
        </row>
        <row r="49">
          <cell r="B49" t="str">
            <v>CHUQUIRIBAMBA</v>
          </cell>
          <cell r="C49" t="str">
            <v>LOJA</v>
          </cell>
          <cell r="D49">
            <v>588</v>
          </cell>
          <cell r="E49">
            <v>1446</v>
          </cell>
          <cell r="F49">
            <v>2458</v>
          </cell>
        </row>
        <row r="50">
          <cell r="B50" t="str">
            <v>EL CISNE</v>
          </cell>
          <cell r="C50" t="str">
            <v>LOJA</v>
          </cell>
          <cell r="D50">
            <v>367</v>
          </cell>
          <cell r="E50">
            <v>589</v>
          </cell>
          <cell r="F50">
            <v>1606</v>
          </cell>
        </row>
        <row r="51">
          <cell r="B51" t="str">
            <v>GUALEL</v>
          </cell>
          <cell r="C51" t="str">
            <v>LOJA</v>
          </cell>
          <cell r="D51">
            <v>654</v>
          </cell>
          <cell r="E51">
            <v>1347</v>
          </cell>
          <cell r="F51">
            <v>206</v>
          </cell>
        </row>
        <row r="52">
          <cell r="B52" t="str">
            <v>JIMBILLA</v>
          </cell>
          <cell r="C52" t="str">
            <v>LOJA</v>
          </cell>
          <cell r="D52">
            <v>484</v>
          </cell>
          <cell r="E52">
            <v>539</v>
          </cell>
          <cell r="F52">
            <v>1114</v>
          </cell>
        </row>
        <row r="53">
          <cell r="B53" t="str">
            <v>LOJA</v>
          </cell>
          <cell r="C53" t="str">
            <v>LOJA</v>
          </cell>
          <cell r="D53">
            <v>116</v>
          </cell>
          <cell r="E53">
            <v>20662</v>
          </cell>
          <cell r="F53">
            <v>177534</v>
          </cell>
        </row>
        <row r="54">
          <cell r="B54" t="str">
            <v>LOJAP</v>
          </cell>
          <cell r="C54" t="str">
            <v>LOJAP</v>
          </cell>
          <cell r="E54">
            <v>151715</v>
          </cell>
          <cell r="F54">
            <v>151715</v>
          </cell>
        </row>
        <row r="55">
          <cell r="B55" t="str">
            <v>MALACATOS</v>
          </cell>
          <cell r="C55" t="str">
            <v>LOJA</v>
          </cell>
          <cell r="D55">
            <v>372</v>
          </cell>
          <cell r="E55">
            <v>2611</v>
          </cell>
          <cell r="F55">
            <v>7019</v>
          </cell>
        </row>
        <row r="56">
          <cell r="B56" t="str">
            <v>QUINARA</v>
          </cell>
          <cell r="C56" t="str">
            <v>LOJA</v>
          </cell>
          <cell r="D56">
            <v>317</v>
          </cell>
          <cell r="E56">
            <v>439</v>
          </cell>
          <cell r="F56">
            <v>1384</v>
          </cell>
        </row>
        <row r="57">
          <cell r="B57" t="str">
            <v>SAN LUCAS</v>
          </cell>
          <cell r="C57" t="str">
            <v>LOJA</v>
          </cell>
          <cell r="D57">
            <v>617</v>
          </cell>
          <cell r="E57">
            <v>288</v>
          </cell>
          <cell r="F57">
            <v>4668</v>
          </cell>
        </row>
        <row r="58">
          <cell r="B58" t="str">
            <v>SAN PEDRO DE VILCABAMBA</v>
          </cell>
          <cell r="C58" t="str">
            <v>LOJA</v>
          </cell>
          <cell r="D58">
            <v>225</v>
          </cell>
          <cell r="E58">
            <v>288</v>
          </cell>
          <cell r="F58">
            <v>1282</v>
          </cell>
        </row>
        <row r="59">
          <cell r="B59" t="str">
            <v>SANTIAGO</v>
          </cell>
          <cell r="C59" t="str">
            <v>LOJA</v>
          </cell>
          <cell r="D59">
            <v>610</v>
          </cell>
          <cell r="E59">
            <v>838</v>
          </cell>
          <cell r="F59">
            <v>1373</v>
          </cell>
        </row>
        <row r="60">
          <cell r="B60" t="str">
            <v>TAQUIL</v>
          </cell>
          <cell r="C60" t="str">
            <v>LOJA</v>
          </cell>
          <cell r="D60">
            <v>715</v>
          </cell>
          <cell r="E60">
            <v>2613</v>
          </cell>
          <cell r="F60">
            <v>3654</v>
          </cell>
        </row>
        <row r="61">
          <cell r="B61" t="str">
            <v xml:space="preserve">VILCABAMBA </v>
          </cell>
          <cell r="C61" t="str">
            <v>LOJA</v>
          </cell>
          <cell r="D61">
            <v>235</v>
          </cell>
          <cell r="E61">
            <v>1088</v>
          </cell>
          <cell r="F61">
            <v>4628</v>
          </cell>
        </row>
        <row r="62">
          <cell r="B62" t="str">
            <v>YANGANA</v>
          </cell>
          <cell r="C62" t="str">
            <v>LOJA</v>
          </cell>
          <cell r="D62">
            <v>317</v>
          </cell>
          <cell r="E62">
            <v>449</v>
          </cell>
          <cell r="F62">
            <v>1416</v>
          </cell>
        </row>
        <row r="63">
          <cell r="B63" t="str">
            <v>MACARÁ</v>
          </cell>
          <cell r="C63" t="str">
            <v>MACARA</v>
          </cell>
          <cell r="D63">
            <v>354</v>
          </cell>
          <cell r="E63">
            <v>6573</v>
          </cell>
          <cell r="F63">
            <v>18556</v>
          </cell>
        </row>
        <row r="64">
          <cell r="B64" t="str">
            <v>LA VICTORIA</v>
          </cell>
          <cell r="C64" t="str">
            <v>MACARA</v>
          </cell>
          <cell r="D64">
            <v>692</v>
          </cell>
          <cell r="E64">
            <v>1077</v>
          </cell>
          <cell r="F64">
            <v>1557</v>
          </cell>
        </row>
        <row r="65">
          <cell r="B65" t="str">
            <v>LARAMA</v>
          </cell>
          <cell r="C65" t="str">
            <v>MACARA</v>
          </cell>
          <cell r="D65">
            <v>800</v>
          </cell>
          <cell r="E65">
            <v>864</v>
          </cell>
          <cell r="F65">
            <v>108</v>
          </cell>
        </row>
        <row r="66">
          <cell r="B66" t="str">
            <v>MACARÁ C</v>
          </cell>
          <cell r="C66" t="str">
            <v>MACARA</v>
          </cell>
          <cell r="D66">
            <v>286</v>
          </cell>
          <cell r="E66">
            <v>4367</v>
          </cell>
          <cell r="F66">
            <v>15281</v>
          </cell>
        </row>
        <row r="67">
          <cell r="B67" t="str">
            <v>SABIANGO</v>
          </cell>
          <cell r="C67" t="str">
            <v>MACARA</v>
          </cell>
          <cell r="D67">
            <v>415</v>
          </cell>
          <cell r="E67">
            <v>265</v>
          </cell>
          <cell r="F67">
            <v>638</v>
          </cell>
        </row>
        <row r="68">
          <cell r="B68" t="str">
            <v>OLMEDO</v>
          </cell>
          <cell r="C68" t="str">
            <v>OLMEDO</v>
          </cell>
          <cell r="D68">
            <v>571</v>
          </cell>
          <cell r="E68">
            <v>2775</v>
          </cell>
          <cell r="F68">
            <v>4862</v>
          </cell>
        </row>
        <row r="69">
          <cell r="B69" t="str">
            <v>LA TINGUE</v>
          </cell>
          <cell r="C69" t="str">
            <v>OLMEDO</v>
          </cell>
          <cell r="D69">
            <v>766</v>
          </cell>
          <cell r="E69">
            <v>512</v>
          </cell>
          <cell r="F69">
            <v>668</v>
          </cell>
        </row>
        <row r="70">
          <cell r="B70" t="str">
            <v>OLMEDO C</v>
          </cell>
          <cell r="C70" t="str">
            <v>OLMEDO</v>
          </cell>
          <cell r="D70">
            <v>540</v>
          </cell>
          <cell r="E70">
            <v>2263</v>
          </cell>
          <cell r="F70">
            <v>4194</v>
          </cell>
        </row>
        <row r="71">
          <cell r="B71" t="str">
            <v>PALTAS</v>
          </cell>
          <cell r="C71" t="str">
            <v>PALTAS</v>
          </cell>
          <cell r="D71">
            <v>543</v>
          </cell>
          <cell r="E71">
            <v>12852</v>
          </cell>
          <cell r="F71">
            <v>23659</v>
          </cell>
        </row>
        <row r="72">
          <cell r="B72" t="str">
            <v>CANGONAMÁ</v>
          </cell>
          <cell r="C72" t="str">
            <v>PALTAS</v>
          </cell>
          <cell r="D72">
            <v>610</v>
          </cell>
          <cell r="E72">
            <v>775</v>
          </cell>
          <cell r="F72">
            <v>1271</v>
          </cell>
        </row>
        <row r="73">
          <cell r="B73" t="str">
            <v>CASANGA</v>
          </cell>
          <cell r="C73" t="str">
            <v>PALTAS</v>
          </cell>
          <cell r="D73">
            <v>655</v>
          </cell>
          <cell r="E73">
            <v>1168</v>
          </cell>
          <cell r="F73">
            <v>1783</v>
          </cell>
        </row>
        <row r="74">
          <cell r="B74" t="str">
            <v>CATACOCHA C</v>
          </cell>
          <cell r="C74" t="str">
            <v>PALTAS</v>
          </cell>
          <cell r="D74">
            <v>444</v>
          </cell>
          <cell r="E74">
            <v>5364</v>
          </cell>
          <cell r="F74">
            <v>12085</v>
          </cell>
        </row>
        <row r="75">
          <cell r="B75" t="str">
            <v>GUACHANAMÁ</v>
          </cell>
          <cell r="C75" t="str">
            <v>PALTAS</v>
          </cell>
          <cell r="D75">
            <v>744</v>
          </cell>
          <cell r="E75">
            <v>1934</v>
          </cell>
          <cell r="F75">
            <v>2601</v>
          </cell>
        </row>
        <row r="76">
          <cell r="B76" t="str">
            <v>LAUROGUERRERO</v>
          </cell>
          <cell r="C76" t="str">
            <v>PALTAS</v>
          </cell>
          <cell r="D76">
            <v>598</v>
          </cell>
          <cell r="E76">
            <v>1092</v>
          </cell>
          <cell r="F76">
            <v>1825</v>
          </cell>
        </row>
        <row r="77">
          <cell r="B77" t="str">
            <v>ORIANGA</v>
          </cell>
          <cell r="C77" t="str">
            <v>PALTAS</v>
          </cell>
          <cell r="D77">
            <v>614</v>
          </cell>
          <cell r="E77">
            <v>1083</v>
          </cell>
          <cell r="F77">
            <v>1763</v>
          </cell>
        </row>
        <row r="78">
          <cell r="B78" t="str">
            <v>SANANTONIO</v>
          </cell>
          <cell r="C78" t="str">
            <v>PALTAS</v>
          </cell>
          <cell r="D78">
            <v>586</v>
          </cell>
          <cell r="E78">
            <v>639</v>
          </cell>
          <cell r="F78">
            <v>109</v>
          </cell>
        </row>
        <row r="79">
          <cell r="B79" t="str">
            <v>YAMANA</v>
          </cell>
          <cell r="C79" t="str">
            <v>PALTAS</v>
          </cell>
          <cell r="D79">
            <v>642</v>
          </cell>
          <cell r="E79">
            <v>797</v>
          </cell>
          <cell r="F79">
            <v>1241</v>
          </cell>
        </row>
        <row r="80">
          <cell r="B80" t="str">
            <v>PINDAL</v>
          </cell>
          <cell r="C80" t="str">
            <v>PALTAS</v>
          </cell>
          <cell r="D80">
            <v>584</v>
          </cell>
          <cell r="E80">
            <v>5041</v>
          </cell>
          <cell r="F80">
            <v>8625</v>
          </cell>
        </row>
        <row r="81">
          <cell r="B81" t="str">
            <v>12DEDICIEMBRE</v>
          </cell>
          <cell r="C81" t="str">
            <v>PINDAL</v>
          </cell>
          <cell r="D81">
            <v>694</v>
          </cell>
          <cell r="E81">
            <v>1311</v>
          </cell>
          <cell r="F81">
            <v>1889</v>
          </cell>
        </row>
        <row r="82">
          <cell r="B82" t="str">
            <v>CHAQUINAL</v>
          </cell>
          <cell r="C82" t="str">
            <v>PINDAL</v>
          </cell>
          <cell r="D82">
            <v>746</v>
          </cell>
          <cell r="E82">
            <v>811</v>
          </cell>
          <cell r="F82">
            <v>1087</v>
          </cell>
        </row>
        <row r="83">
          <cell r="B83" t="str">
            <v>PINDAL C</v>
          </cell>
          <cell r="C83" t="str">
            <v>PINDAL</v>
          </cell>
          <cell r="D83">
            <v>517</v>
          </cell>
          <cell r="E83">
            <v>2919</v>
          </cell>
          <cell r="F83">
            <v>5649</v>
          </cell>
        </row>
        <row r="84">
          <cell r="B84" t="str">
            <v>PUYANGO</v>
          </cell>
          <cell r="C84" t="str">
            <v>PINDAL</v>
          </cell>
          <cell r="D84">
            <v>393</v>
          </cell>
          <cell r="E84">
            <v>6057</v>
          </cell>
          <cell r="F84">
            <v>15398</v>
          </cell>
        </row>
        <row r="85">
          <cell r="B85" t="str">
            <v>ALAMOR</v>
          </cell>
          <cell r="C85" t="str">
            <v>PUYANGO</v>
          </cell>
          <cell r="D85">
            <v>306</v>
          </cell>
          <cell r="E85">
            <v>2506</v>
          </cell>
          <cell r="F85">
            <v>8195</v>
          </cell>
        </row>
        <row r="86">
          <cell r="B86" t="str">
            <v>CIANO</v>
          </cell>
          <cell r="C86" t="str">
            <v>PUYANGO</v>
          </cell>
          <cell r="D86">
            <v>398</v>
          </cell>
          <cell r="E86">
            <v>567</v>
          </cell>
          <cell r="F86">
            <v>1426</v>
          </cell>
        </row>
        <row r="87">
          <cell r="B87" t="str">
            <v>ELARENAL</v>
          </cell>
          <cell r="C87" t="str">
            <v>PUYANGO</v>
          </cell>
          <cell r="D87">
            <v>476</v>
          </cell>
          <cell r="E87">
            <v>467</v>
          </cell>
          <cell r="F87">
            <v>981</v>
          </cell>
        </row>
        <row r="88">
          <cell r="B88" t="str">
            <v>ELLIMO</v>
          </cell>
          <cell r="C88" t="str">
            <v>PUYANGO</v>
          </cell>
          <cell r="D88">
            <v>589</v>
          </cell>
          <cell r="E88">
            <v>1388</v>
          </cell>
          <cell r="F88">
            <v>2357</v>
          </cell>
        </row>
        <row r="89">
          <cell r="B89" t="str">
            <v>MERCADILLO</v>
          </cell>
          <cell r="C89" t="str">
            <v>PUYANGO</v>
          </cell>
          <cell r="D89">
            <v>417</v>
          </cell>
          <cell r="E89">
            <v>489</v>
          </cell>
          <cell r="F89">
            <v>1174</v>
          </cell>
        </row>
        <row r="90">
          <cell r="B90" t="str">
            <v>VICENTINO</v>
          </cell>
          <cell r="C90" t="str">
            <v>PUYANGO</v>
          </cell>
          <cell r="D90">
            <v>506</v>
          </cell>
          <cell r="E90">
            <v>640</v>
          </cell>
          <cell r="F90">
            <v>1265</v>
          </cell>
        </row>
        <row r="91">
          <cell r="B91" t="str">
            <v>QUILANGA</v>
          </cell>
          <cell r="C91" t="str">
            <v>QUILANGA</v>
          </cell>
          <cell r="D91">
            <v>539</v>
          </cell>
          <cell r="E91">
            <v>2327</v>
          </cell>
          <cell r="F91">
            <v>4317</v>
          </cell>
        </row>
        <row r="92">
          <cell r="B92" t="str">
            <v>FUNDOCHAMBA</v>
          </cell>
          <cell r="C92" t="str">
            <v>QUILANGA</v>
          </cell>
          <cell r="D92">
            <v>289</v>
          </cell>
          <cell r="E92">
            <v>102</v>
          </cell>
          <cell r="F92">
            <v>353</v>
          </cell>
        </row>
        <row r="93">
          <cell r="B93" t="str">
            <v>QUILANGA</v>
          </cell>
          <cell r="C93" t="str">
            <v>QUILANGA</v>
          </cell>
          <cell r="D93">
            <v>560</v>
          </cell>
          <cell r="E93">
            <v>1516</v>
          </cell>
          <cell r="F93">
            <v>2705</v>
          </cell>
        </row>
        <row r="94">
          <cell r="B94" t="str">
            <v>SANANTONIODELASARADAS</v>
          </cell>
          <cell r="C94" t="str">
            <v>QUILANGA</v>
          </cell>
          <cell r="D94">
            <v>563</v>
          </cell>
          <cell r="E94">
            <v>709</v>
          </cell>
          <cell r="F94">
            <v>1259</v>
          </cell>
        </row>
        <row r="95">
          <cell r="B95" t="str">
            <v>SARAGURO</v>
          </cell>
          <cell r="C95" t="str">
            <v>SARAGURO</v>
          </cell>
          <cell r="D95">
            <v>588</v>
          </cell>
          <cell r="E95">
            <v>17667</v>
          </cell>
          <cell r="F95">
            <v>30063</v>
          </cell>
        </row>
        <row r="96">
          <cell r="B96" t="str">
            <v>CELEN</v>
          </cell>
          <cell r="C96" t="str">
            <v>SARAGURO</v>
          </cell>
          <cell r="D96">
            <v>775</v>
          </cell>
          <cell r="E96">
            <v>2132</v>
          </cell>
          <cell r="F96">
            <v>2752</v>
          </cell>
        </row>
        <row r="97">
          <cell r="B97" t="str">
            <v>EL TABLÓN</v>
          </cell>
          <cell r="C97" t="str">
            <v>SARAGURO</v>
          </cell>
          <cell r="D97">
            <v>785</v>
          </cell>
          <cell r="E97">
            <v>716</v>
          </cell>
          <cell r="F97">
            <v>912</v>
          </cell>
        </row>
        <row r="98">
          <cell r="B98" t="str">
            <v>LLUZHAPA</v>
          </cell>
          <cell r="C98" t="str">
            <v>SARAGURO</v>
          </cell>
          <cell r="D98">
            <v>738</v>
          </cell>
          <cell r="E98">
            <v>1258</v>
          </cell>
          <cell r="F98">
            <v>1705</v>
          </cell>
        </row>
        <row r="99">
          <cell r="B99" t="str">
            <v>MANÚ</v>
          </cell>
          <cell r="C99" t="str">
            <v>SARAGURO</v>
          </cell>
          <cell r="D99">
            <v>583</v>
          </cell>
          <cell r="E99">
            <v>155</v>
          </cell>
          <cell r="F99">
            <v>266</v>
          </cell>
        </row>
        <row r="100">
          <cell r="B100" t="str">
            <v>SANANTONIODEQUMBE</v>
          </cell>
          <cell r="C100" t="str">
            <v>SARAGURO</v>
          </cell>
          <cell r="D100">
            <v>701</v>
          </cell>
          <cell r="E100">
            <v>802</v>
          </cell>
          <cell r="F100">
            <v>1144</v>
          </cell>
        </row>
        <row r="101">
          <cell r="B101" t="str">
            <v>SANPABLODETENTA</v>
          </cell>
          <cell r="C101" t="str">
            <v>SARAGURO</v>
          </cell>
          <cell r="D101">
            <v>706</v>
          </cell>
          <cell r="E101">
            <v>2587</v>
          </cell>
          <cell r="F101">
            <v>3663</v>
          </cell>
        </row>
        <row r="102">
          <cell r="B102" t="str">
            <v>SANSEBASTIANDEYÚLUC</v>
          </cell>
          <cell r="C102" t="str">
            <v>SARAGURO</v>
          </cell>
          <cell r="D102">
            <v>566</v>
          </cell>
          <cell r="E102">
            <v>550</v>
          </cell>
          <cell r="F102">
            <v>972</v>
          </cell>
        </row>
        <row r="103">
          <cell r="B103" t="str">
            <v>SARAGURO</v>
          </cell>
          <cell r="C103" t="str">
            <v>SARAGURO</v>
          </cell>
          <cell r="D103">
            <v>398</v>
          </cell>
          <cell r="E103">
            <v>3577</v>
          </cell>
          <cell r="F103">
            <v>8996</v>
          </cell>
        </row>
        <row r="104">
          <cell r="B104" t="str">
            <v>SELVAALEGRE</v>
          </cell>
          <cell r="C104" t="str">
            <v>SARAGURO</v>
          </cell>
          <cell r="D104">
            <v>716</v>
          </cell>
          <cell r="E104">
            <v>137</v>
          </cell>
          <cell r="F104">
            <v>1913</v>
          </cell>
        </row>
        <row r="105">
          <cell r="B105" t="str">
            <v>SUMAYPAMBA</v>
          </cell>
          <cell r="C105" t="str">
            <v>SARAGURO</v>
          </cell>
          <cell r="D105">
            <v>547</v>
          </cell>
          <cell r="E105">
            <v>866</v>
          </cell>
          <cell r="F105">
            <v>1584</v>
          </cell>
        </row>
        <row r="106">
          <cell r="B106" t="str">
            <v>URDANETA</v>
          </cell>
          <cell r="C106" t="str">
            <v>SARAGURO</v>
          </cell>
          <cell r="D106">
            <v>600</v>
          </cell>
          <cell r="E106">
            <v>2259</v>
          </cell>
          <cell r="F106">
            <v>3762</v>
          </cell>
        </row>
        <row r="107">
          <cell r="B107" t="str">
            <v>SOZORANGA</v>
          </cell>
          <cell r="C107" t="str">
            <v>SOZORANGA</v>
          </cell>
          <cell r="D107">
            <v>693</v>
          </cell>
          <cell r="E107">
            <v>5165</v>
          </cell>
          <cell r="F107">
            <v>7457</v>
          </cell>
        </row>
        <row r="108">
          <cell r="B108" t="str">
            <v>NUEVAFÁTIMA</v>
          </cell>
          <cell r="C108" t="str">
            <v>SOZORANGA</v>
          </cell>
          <cell r="D108">
            <v>713</v>
          </cell>
          <cell r="E108">
            <v>642</v>
          </cell>
          <cell r="F108">
            <v>901</v>
          </cell>
        </row>
        <row r="109">
          <cell r="B109" t="str">
            <v>SOZORANGA</v>
          </cell>
          <cell r="C109" t="str">
            <v>SOZORANGA</v>
          </cell>
          <cell r="D109">
            <v>698</v>
          </cell>
          <cell r="E109">
            <v>2621</v>
          </cell>
          <cell r="F109">
            <v>3755</v>
          </cell>
        </row>
        <row r="110">
          <cell r="B110" t="str">
            <v>TACAMOROS</v>
          </cell>
          <cell r="C110" t="str">
            <v>SOZORANGA</v>
          </cell>
          <cell r="D110">
            <v>679</v>
          </cell>
          <cell r="E110">
            <v>1902</v>
          </cell>
          <cell r="F110">
            <v>2801</v>
          </cell>
        </row>
        <row r="111">
          <cell r="B111" t="str">
            <v>ZAPOTILLO</v>
          </cell>
          <cell r="C111" t="str">
            <v>ZAPOTILLO</v>
          </cell>
          <cell r="D111">
            <v>643</v>
          </cell>
          <cell r="E111">
            <v>7868</v>
          </cell>
          <cell r="F111">
            <v>12238</v>
          </cell>
        </row>
        <row r="112">
          <cell r="B112" t="str">
            <v>BOLASPAMBA</v>
          </cell>
          <cell r="C112" t="str">
            <v>ZAPOTILLO</v>
          </cell>
          <cell r="D112">
            <v>819</v>
          </cell>
          <cell r="E112">
            <v>889</v>
          </cell>
          <cell r="F112">
            <v>1086</v>
          </cell>
        </row>
        <row r="113">
          <cell r="B113" t="str">
            <v>CAZADEROS</v>
          </cell>
          <cell r="C113" t="str">
            <v>ZAPOTILLO</v>
          </cell>
          <cell r="D113">
            <v>753</v>
          </cell>
          <cell r="E113">
            <v>879</v>
          </cell>
          <cell r="F113">
            <v>1168</v>
          </cell>
        </row>
        <row r="114">
          <cell r="B114" t="str">
            <v>GARZAREAL</v>
          </cell>
          <cell r="C114" t="str">
            <v>ZAPOTILLO</v>
          </cell>
          <cell r="D114">
            <v>804</v>
          </cell>
          <cell r="E114">
            <v>1426</v>
          </cell>
          <cell r="F114">
            <v>1774</v>
          </cell>
        </row>
        <row r="115">
          <cell r="B115" t="str">
            <v>LIMONES</v>
          </cell>
          <cell r="C115" t="str">
            <v>ZAPOTILLO</v>
          </cell>
          <cell r="D115">
            <v>694</v>
          </cell>
          <cell r="E115">
            <v>976</v>
          </cell>
          <cell r="F115">
            <v>1406</v>
          </cell>
        </row>
        <row r="116">
          <cell r="B116" t="str">
            <v>PALETILLAS</v>
          </cell>
          <cell r="C116" t="str">
            <v>ZAPOTILLO</v>
          </cell>
          <cell r="D116">
            <v>807</v>
          </cell>
          <cell r="E116">
            <v>2116</v>
          </cell>
          <cell r="F116">
            <v>2623</v>
          </cell>
        </row>
        <row r="117">
          <cell r="B117" t="str">
            <v>ZAPOTILLO</v>
          </cell>
          <cell r="C117" t="str">
            <v>ZAPOTILLO</v>
          </cell>
          <cell r="D117">
            <v>378</v>
          </cell>
          <cell r="E117">
            <v>1582</v>
          </cell>
          <cell r="F117">
            <v>4181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RTE GAD COMB"/>
      <sheetName val="Alcaldes (2)"/>
      <sheetName val="Alcaldes"/>
      <sheetName val="LISTA"/>
      <sheetName val="LONGITUDES VIALES"/>
      <sheetName val="COSTO EQUIPO"/>
      <sheetName val="2 GRUPOS POR ZONAS"/>
      <sheetName val="resumen"/>
      <sheetName val="Hoja1 (2)"/>
      <sheetName val="DISTRIBUCION DIAS"/>
      <sheetName val="SOLO PARROQUIAS"/>
      <sheetName val="distribucion de dias 2015"/>
      <sheetName val="FORMATO APORTES"/>
      <sheetName val="GUACHANAMA"/>
      <sheetName val="SANTARUFINA"/>
      <sheetName val="Hoja3"/>
      <sheetName val="CONSOLIDADO"/>
      <sheetName val="RRESUMEN"/>
      <sheetName val="OPCION 1"/>
      <sheetName val="OPCION 2"/>
      <sheetName val="OPCION 3  "/>
      <sheetName val="OPCION 4 "/>
      <sheetName val="OPCION 5 "/>
      <sheetName val="OPCION 6 "/>
      <sheetName val="OPCION 7"/>
      <sheetName val="OPCION 8"/>
      <sheetName val="OPCION 9"/>
      <sheetName val="ALIMENTACION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1">
          <cell r="A11">
            <v>1</v>
          </cell>
          <cell r="B11" t="str">
            <v>OPCION 1:  COLOCACION DE LASTRE CON 2 VOLQUETES 12 M3</v>
          </cell>
          <cell r="C11" t="str">
            <v>EXCAVADORA, CARGADORA, MOTONIVELADORA, 
RODILLO LISO, TANQUERO DE AGUA, PLATAFORMA, 
2 VOLQUETES, CAMIONETA DE ABASTO</v>
          </cell>
          <cell r="D11">
            <v>9</v>
          </cell>
          <cell r="E11">
            <v>18</v>
          </cell>
          <cell r="F11">
            <v>3115.08</v>
          </cell>
          <cell r="G11">
            <v>2200</v>
          </cell>
          <cell r="H11">
            <v>432.84000000000003</v>
          </cell>
          <cell r="I11">
            <v>103.62</v>
          </cell>
          <cell r="J11">
            <v>283.6197619047619</v>
          </cell>
          <cell r="K11">
            <v>80</v>
          </cell>
          <cell r="L11">
            <v>15</v>
          </cell>
          <cell r="M11"/>
          <cell r="N11">
            <v>187.76100000000002</v>
          </cell>
          <cell r="P11">
            <v>1</v>
          </cell>
          <cell r="Q11">
            <v>3512.1197619047621</v>
          </cell>
          <cell r="S11">
            <v>2525.0790000000002</v>
          </cell>
          <cell r="T11">
            <v>291.38100000000003</v>
          </cell>
          <cell r="U11">
            <v>298.6197619047619</v>
          </cell>
          <cell r="V11">
            <v>3115.0797619047621</v>
          </cell>
        </row>
        <row r="12">
          <cell r="A12">
            <v>2</v>
          </cell>
          <cell r="B12" t="str">
            <v>OPCION 2: COLOCACION DE LASTRE CON 3 VOLQUETES DE 8 M3</v>
          </cell>
          <cell r="C12" t="str">
            <v>EXCAVADORA, CARGADORA, MOTONIVELADORA, RODILLO LISO, TANQUERO DE AGUA, PLATAFORMA, 3 VOLQUETES 8 M3, CAMIONETA DE ABASTO</v>
          </cell>
          <cell r="D12">
            <v>10</v>
          </cell>
          <cell r="E12">
            <v>19</v>
          </cell>
          <cell r="F12">
            <v>3501.65</v>
          </cell>
          <cell r="G12">
            <v>2470</v>
          </cell>
          <cell r="H12">
            <v>500.26</v>
          </cell>
          <cell r="I12">
            <v>112.47999999999999</v>
          </cell>
          <cell r="J12">
            <v>319.91476190476186</v>
          </cell>
          <cell r="K12">
            <v>84</v>
          </cell>
          <cell r="L12">
            <v>15</v>
          </cell>
          <cell r="M12"/>
          <cell r="N12">
            <v>214.459</v>
          </cell>
          <cell r="P12">
            <v>1</v>
          </cell>
          <cell r="Q12">
            <v>447.39476190476182</v>
          </cell>
          <cell r="S12">
            <v>2839.8009999999999</v>
          </cell>
          <cell r="T12">
            <v>326.93899999999996</v>
          </cell>
          <cell r="U12">
            <v>334.91476190476186</v>
          </cell>
          <cell r="V12">
            <v>3501.6547619047615</v>
          </cell>
        </row>
        <row r="13">
          <cell r="A13">
            <v>3</v>
          </cell>
          <cell r="B13" t="str">
            <v>OPCION 3: COLOCACION DE LASTRE CON 4 VOLQUETES DE 8 M3</v>
          </cell>
          <cell r="C13" t="str">
            <v>EXCAVADORA, CARGADORA, MOTONIVELADORA, RODILLO LISO, TANQUERO DE AGUA, PLATAFORMA, 4 VOLQUETES 8 M3, CAMIONETA DE ABASTO</v>
          </cell>
          <cell r="D13">
            <v>11</v>
          </cell>
          <cell r="E13">
            <v>20</v>
          </cell>
          <cell r="F13">
            <v>3854.52</v>
          </cell>
          <cell r="G13">
            <v>2740</v>
          </cell>
          <cell r="H13">
            <v>533.97</v>
          </cell>
          <cell r="I13">
            <v>121.34</v>
          </cell>
          <cell r="J13">
            <v>356.20976190476188</v>
          </cell>
          <cell r="K13">
            <v>88</v>
          </cell>
          <cell r="L13">
            <v>15</v>
          </cell>
          <cell r="M13"/>
          <cell r="N13">
            <v>229.35849999999999</v>
          </cell>
          <cell r="P13">
            <v>1</v>
          </cell>
          <cell r="Q13">
            <v>492.54976190476191</v>
          </cell>
          <cell r="S13">
            <v>3132.6115</v>
          </cell>
          <cell r="T13">
            <v>350.69849999999997</v>
          </cell>
          <cell r="U13">
            <v>371.20976190476188</v>
          </cell>
          <cell r="V13">
            <v>3854.5197619047617</v>
          </cell>
        </row>
        <row r="14">
          <cell r="A14">
            <v>4</v>
          </cell>
          <cell r="B14" t="str">
            <v>OPCION 4 :COLOCACION DE LASTRE CON RETROEXCAVADORA Y DOS VOLQUETES</v>
          </cell>
          <cell r="C14" t="str">
            <v>RETROEXCAVADORA, CARGADORA, MOTONIVELADORA, RODILLO LISO, TANQUERO DE AGUA, PLATAFORMA, 2 VOLQUETES 8 M3, CAMIONETA DE ABASTO</v>
          </cell>
          <cell r="D14">
            <v>9</v>
          </cell>
          <cell r="E14">
            <v>18</v>
          </cell>
          <cell r="F14">
            <v>3065.08</v>
          </cell>
          <cell r="G14">
            <v>2200</v>
          </cell>
          <cell r="H14">
            <v>432.84000000000003</v>
          </cell>
          <cell r="I14">
            <v>103.62</v>
          </cell>
          <cell r="J14">
            <v>241.62119047619052</v>
          </cell>
          <cell r="K14">
            <v>72</v>
          </cell>
          <cell r="L14">
            <v>15</v>
          </cell>
          <cell r="M14"/>
          <cell r="N14">
            <v>187.76100000000002</v>
          </cell>
          <cell r="P14">
            <v>1</v>
          </cell>
          <cell r="Q14">
            <v>360.24119047619052</v>
          </cell>
          <cell r="S14">
            <v>2517.0790000000002</v>
          </cell>
          <cell r="T14">
            <v>291.38100000000003</v>
          </cell>
          <cell r="U14">
            <v>256.62119047619052</v>
          </cell>
          <cell r="V14">
            <v>3065.0811904761904</v>
          </cell>
        </row>
        <row r="15">
          <cell r="A15">
            <v>5</v>
          </cell>
          <cell r="B15" t="str">
            <v xml:space="preserve">OPCION 5: PERFILADO DE VIAS CON MOTONIVELADORA </v>
          </cell>
          <cell r="C15" t="str">
            <v xml:space="preserve"> MOTONIVELADORA, 
PLATAFORMA,
CAMIONETA DE ABASTO</v>
          </cell>
          <cell r="D15">
            <v>3</v>
          </cell>
          <cell r="E15">
            <v>3</v>
          </cell>
          <cell r="F15">
            <v>661.22</v>
          </cell>
          <cell r="G15">
            <v>470</v>
          </cell>
          <cell r="H15">
            <v>81.83</v>
          </cell>
          <cell r="I15">
            <v>21.5</v>
          </cell>
          <cell r="J15">
            <v>52.887142857142862</v>
          </cell>
          <cell r="K15">
            <v>20</v>
          </cell>
          <cell r="L15">
            <v>15</v>
          </cell>
          <cell r="M15"/>
          <cell r="N15">
            <v>36.165499999999994</v>
          </cell>
          <cell r="P15">
            <v>1</v>
          </cell>
          <cell r="Q15">
            <v>89.387142857142862</v>
          </cell>
          <cell r="S15">
            <v>535.66449999999998</v>
          </cell>
          <cell r="T15">
            <v>57.665499999999994</v>
          </cell>
          <cell r="U15">
            <v>67.887142857142862</v>
          </cell>
          <cell r="V15">
            <v>661.21714285714279</v>
          </cell>
        </row>
        <row r="16">
          <cell r="A16">
            <v>6</v>
          </cell>
          <cell r="B16" t="str">
            <v>OPCION 6: PERFILADO DE VIAS CON TRACTOR</v>
          </cell>
          <cell r="C16" t="str">
            <v>TRACTOR, 
PLATAFORMA,
CAMIONETA DE ABASTO</v>
          </cell>
          <cell r="D16">
            <v>3</v>
          </cell>
          <cell r="E16">
            <v>3</v>
          </cell>
          <cell r="F16">
            <v>831.59</v>
          </cell>
          <cell r="G16">
            <v>630</v>
          </cell>
          <cell r="H16">
            <v>81.83</v>
          </cell>
          <cell r="I16">
            <v>21.5</v>
          </cell>
          <cell r="J16">
            <v>63.257142857142853</v>
          </cell>
          <cell r="K16">
            <v>20</v>
          </cell>
          <cell r="L16">
            <v>15</v>
          </cell>
          <cell r="M16"/>
          <cell r="N16">
            <v>36.165499999999994</v>
          </cell>
          <cell r="P16">
            <v>1</v>
          </cell>
          <cell r="Q16">
            <v>99.757142857142853</v>
          </cell>
          <cell r="S16">
            <v>695.66449999999998</v>
          </cell>
          <cell r="T16">
            <v>57.665499999999994</v>
          </cell>
          <cell r="U16">
            <v>78.257142857142853</v>
          </cell>
          <cell r="V16">
            <v>831.58714285714279</v>
          </cell>
        </row>
        <row r="17">
          <cell r="A17">
            <v>7</v>
          </cell>
          <cell r="B17" t="str">
            <v>OPCION 7: RECONFORMACION CON MOTONIVELADORA TANQUERO Y RODILLO</v>
          </cell>
          <cell r="C17" t="str">
            <v xml:space="preserve"> MOTONIVELADORA, RODILLO LISO, TANQUERO DE AGUA, PLATAFORMA,  CAMIONETA DE ABASTO</v>
          </cell>
          <cell r="D17">
            <v>5</v>
          </cell>
          <cell r="E17">
            <v>14</v>
          </cell>
          <cell r="F17">
            <v>1464.87</v>
          </cell>
          <cell r="G17">
            <v>950</v>
          </cell>
          <cell r="H17">
            <v>283.59000000000003</v>
          </cell>
          <cell r="I17">
            <v>55.54</v>
          </cell>
          <cell r="J17">
            <v>104.73714285714286</v>
          </cell>
          <cell r="K17">
            <v>56</v>
          </cell>
          <cell r="L17">
            <v>15</v>
          </cell>
          <cell r="M17"/>
          <cell r="N17">
            <v>118.69550000000001</v>
          </cell>
          <cell r="P17">
            <v>1</v>
          </cell>
          <cell r="Q17">
            <v>2216.4071428571428</v>
          </cell>
          <cell r="S17">
            <v>1170.8945000000001</v>
          </cell>
          <cell r="T17">
            <v>174.2355</v>
          </cell>
          <cell r="U17">
            <v>119.73714285714286</v>
          </cell>
          <cell r="V17">
            <v>1464.8671428571429</v>
          </cell>
        </row>
        <row r="18">
          <cell r="A18">
            <v>8</v>
          </cell>
          <cell r="B18" t="str">
            <v>OPCION 8: EXPLOTACION DE MATERIAL CON EXCAVADORA</v>
          </cell>
          <cell r="C18" t="str">
            <v>EXCAVADORA, PLATAFORMA,CAMIONETA DE ABASTO</v>
          </cell>
          <cell r="D18">
            <v>3</v>
          </cell>
          <cell r="E18">
            <v>5</v>
          </cell>
          <cell r="F18">
            <v>684.55</v>
          </cell>
          <cell r="G18">
            <v>470</v>
          </cell>
          <cell r="H18">
            <v>81.83</v>
          </cell>
          <cell r="I18">
            <v>21.5</v>
          </cell>
          <cell r="J18">
            <v>76.21976190476191</v>
          </cell>
          <cell r="K18">
            <v>20</v>
          </cell>
          <cell r="L18">
            <v>15</v>
          </cell>
          <cell r="M18"/>
          <cell r="N18">
            <v>36.165499999999994</v>
          </cell>
          <cell r="P18">
            <v>1</v>
          </cell>
          <cell r="Q18">
            <v>112.71976190476191</v>
          </cell>
          <cell r="S18">
            <v>535.66449999999998</v>
          </cell>
          <cell r="T18">
            <v>57.665499999999994</v>
          </cell>
          <cell r="U18">
            <v>91.21976190476191</v>
          </cell>
          <cell r="V18">
            <v>684.54976190476179</v>
          </cell>
        </row>
        <row r="19">
          <cell r="A19">
            <v>9</v>
          </cell>
          <cell r="B19" t="str">
            <v>OPCION 9: EQUIPO VOLANTE: PERFILADO DE VIAS CON MOTONIVELADORA ( INCLUYE PAGO HORAS NOMALES MAS HORAS EXTRAS)</v>
          </cell>
          <cell r="C19" t="str">
            <v xml:space="preserve"> MOTONIVELADORA, 
PLATAFORMA,
CAMIONETA DE ABASTO</v>
          </cell>
          <cell r="D19">
            <v>3</v>
          </cell>
          <cell r="E19">
            <v>5</v>
          </cell>
          <cell r="F19">
            <v>657.58</v>
          </cell>
          <cell r="G19">
            <v>470</v>
          </cell>
          <cell r="H19">
            <v>81.83</v>
          </cell>
          <cell r="I19">
            <v>21.5</v>
          </cell>
          <cell r="J19">
            <v>49.252619047619049</v>
          </cell>
          <cell r="K19">
            <v>20</v>
          </cell>
          <cell r="L19">
            <v>15</v>
          </cell>
          <cell r="M19"/>
          <cell r="N19">
            <v>36.165499999999994</v>
          </cell>
          <cell r="P19">
            <v>1</v>
          </cell>
          <cell r="Q19">
            <v>85.752619047619049</v>
          </cell>
          <cell r="S19">
            <v>535.66449999999998</v>
          </cell>
          <cell r="T19">
            <v>57.665499999999994</v>
          </cell>
          <cell r="U19">
            <v>64.252619047619049</v>
          </cell>
          <cell r="V19">
            <v>657.582619047619</v>
          </cell>
        </row>
        <row r="20">
          <cell r="A20"/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RTE GAD COMB"/>
      <sheetName val="Alcaldes (2)"/>
      <sheetName val="Alcaldes"/>
      <sheetName val="LISTA"/>
      <sheetName val="LONGITUDES VIALES"/>
      <sheetName val="COSTO EQUIPO"/>
      <sheetName val="2 GRUPOS POR ZONAS"/>
      <sheetName val="resumen"/>
      <sheetName val="Hoja1 (2)"/>
      <sheetName val="DISTRIBUCION DIAS"/>
      <sheetName val="SOLO PARROQUIAS"/>
      <sheetName val="distribucion de dias 2015"/>
      <sheetName val="FORMATO APORTES"/>
      <sheetName val="GUACHANAMA"/>
      <sheetName val="SANTARUFINA"/>
      <sheetName val="CONSOLIDADO"/>
      <sheetName val="RRESUMEN"/>
      <sheetName val="OPCION 1"/>
      <sheetName val="OPCION 2"/>
      <sheetName val="OPCION 3  "/>
      <sheetName val="OPCION 4 "/>
      <sheetName val="OPCION 5 "/>
      <sheetName val="OPCION 6 "/>
      <sheetName val="OPCION 7"/>
      <sheetName val="OPCION 8"/>
      <sheetName val="OPCION 9"/>
      <sheetName val="ALIMENTACION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A11">
            <v>1</v>
          </cell>
          <cell r="B11" t="str">
            <v>OPCION 1:  COLOCACION DE LASTRE CON 2 VOLQUETES 12 M3</v>
          </cell>
          <cell r="C11" t="str">
            <v>EXCAVADORA, CARGADORA, MOTONIVELADORA, 
RODILLO LISO, TANQUERO DE AGUA, PLATAFORMA, 
2 VOLQUETES, CAMIONETA DE ABASTO</v>
          </cell>
          <cell r="D11">
            <v>9</v>
          </cell>
          <cell r="E11">
            <v>18</v>
          </cell>
          <cell r="F11">
            <v>3115.08</v>
          </cell>
          <cell r="G11">
            <v>2200</v>
          </cell>
          <cell r="H11">
            <v>432.84000000000003</v>
          </cell>
          <cell r="I11">
            <v>103.62</v>
          </cell>
          <cell r="J11">
            <v>283.6197619047619</v>
          </cell>
          <cell r="K11">
            <v>80</v>
          </cell>
          <cell r="L11">
            <v>15</v>
          </cell>
          <cell r="M11"/>
          <cell r="N11">
            <v>187.76100000000002</v>
          </cell>
          <cell r="P11">
            <v>1</v>
          </cell>
          <cell r="Q11">
            <v>3512.1197619047621</v>
          </cell>
          <cell r="S11">
            <v>2525.0790000000002</v>
          </cell>
          <cell r="T11">
            <v>291.38100000000003</v>
          </cell>
          <cell r="U11">
            <v>298.6197619047619</v>
          </cell>
          <cell r="V11">
            <v>3115.0797619047621</v>
          </cell>
        </row>
        <row r="12">
          <cell r="A12">
            <v>2</v>
          </cell>
          <cell r="B12" t="str">
            <v>OPCION 2: COLOCACION DE LASTRE CON 3 VOLQUETES DE 8 M3</v>
          </cell>
          <cell r="C12" t="str">
            <v>EXCAVADORA, CARGADORA, MOTONIVELADORA, RODILLO LISO, TANQUERO DE AGUA, PLATAFORMA, 3 VOLQUETES 8 M3, CAMIONETA DE ABASTO</v>
          </cell>
          <cell r="D12">
            <v>10</v>
          </cell>
          <cell r="E12">
            <v>19</v>
          </cell>
          <cell r="F12">
            <v>3501.65</v>
          </cell>
          <cell r="G12">
            <v>2470</v>
          </cell>
          <cell r="H12">
            <v>500.26</v>
          </cell>
          <cell r="I12">
            <v>112.47999999999999</v>
          </cell>
          <cell r="J12">
            <v>319.91476190476186</v>
          </cell>
          <cell r="K12">
            <v>84</v>
          </cell>
          <cell r="L12">
            <v>15</v>
          </cell>
          <cell r="M12"/>
          <cell r="N12">
            <v>214.459</v>
          </cell>
          <cell r="P12">
            <v>1</v>
          </cell>
          <cell r="Q12">
            <v>447.39476190476182</v>
          </cell>
          <cell r="S12">
            <v>2839.8009999999999</v>
          </cell>
          <cell r="T12">
            <v>326.93899999999996</v>
          </cell>
          <cell r="U12">
            <v>334.91476190476186</v>
          </cell>
          <cell r="V12">
            <v>3501.6547619047615</v>
          </cell>
        </row>
        <row r="13">
          <cell r="A13">
            <v>3</v>
          </cell>
          <cell r="B13" t="str">
            <v>OPCION 3: COLOCACION DE LASTRE CON 4 VOLQUETES DE 8 M3</v>
          </cell>
          <cell r="C13" t="str">
            <v>EXCAVADORA, CARGADORA, MOTONIVELADORA, RODILLO LISO, TANQUERO DE AGUA, PLATAFORMA, 4 VOLQUETES 8 M3, CAMIONETA DE ABASTO</v>
          </cell>
          <cell r="D13">
            <v>11</v>
          </cell>
          <cell r="E13">
            <v>20</v>
          </cell>
          <cell r="F13">
            <v>3854.52</v>
          </cell>
          <cell r="G13">
            <v>2740</v>
          </cell>
          <cell r="H13">
            <v>533.97</v>
          </cell>
          <cell r="I13">
            <v>121.34</v>
          </cell>
          <cell r="J13">
            <v>356.20976190476188</v>
          </cell>
          <cell r="K13">
            <v>88</v>
          </cell>
          <cell r="L13">
            <v>15</v>
          </cell>
          <cell r="M13"/>
          <cell r="N13">
            <v>229.35849999999999</v>
          </cell>
          <cell r="P13">
            <v>1</v>
          </cell>
          <cell r="Q13">
            <v>492.54976190476191</v>
          </cell>
          <cell r="S13">
            <v>3132.6115</v>
          </cell>
          <cell r="T13">
            <v>350.69849999999997</v>
          </cell>
          <cell r="U13">
            <v>371.20976190476188</v>
          </cell>
          <cell r="V13">
            <v>3854.5197619047617</v>
          </cell>
        </row>
        <row r="14">
          <cell r="A14">
            <v>4</v>
          </cell>
          <cell r="B14" t="str">
            <v>OPCION 4 :COLOCACION DE LASTRE CON RETROEXCAVADORA Y DOS VOLQUETES</v>
          </cell>
          <cell r="C14" t="str">
            <v>RETROEXCAVADORA, CARGADORA, MOTONIVELADORA, RODILLO LISO, TANQUERO DE AGUA, PLATAFORMA, 2 VOLQUETES 8 M3, CAMIONETA DE ABASTO</v>
          </cell>
          <cell r="D14">
            <v>9</v>
          </cell>
          <cell r="E14">
            <v>18</v>
          </cell>
          <cell r="F14">
            <v>3065.08</v>
          </cell>
          <cell r="G14">
            <v>2200</v>
          </cell>
          <cell r="H14">
            <v>432.84000000000003</v>
          </cell>
          <cell r="I14">
            <v>103.62</v>
          </cell>
          <cell r="J14">
            <v>241.62119047619052</v>
          </cell>
          <cell r="K14">
            <v>72</v>
          </cell>
          <cell r="L14">
            <v>15</v>
          </cell>
          <cell r="M14"/>
          <cell r="N14">
            <v>187.76100000000002</v>
          </cell>
          <cell r="P14">
            <v>1</v>
          </cell>
          <cell r="Q14">
            <v>360.24119047619052</v>
          </cell>
          <cell r="S14">
            <v>2517.0790000000002</v>
          </cell>
          <cell r="T14">
            <v>291.38100000000003</v>
          </cell>
          <cell r="U14">
            <v>256.62119047619052</v>
          </cell>
          <cell r="V14">
            <v>3065.0811904761904</v>
          </cell>
        </row>
        <row r="15">
          <cell r="A15">
            <v>5</v>
          </cell>
          <cell r="B15" t="str">
            <v xml:space="preserve">OPCION 5: PERFILADO DE VIAS CON MOTONIVELADORA </v>
          </cell>
          <cell r="C15" t="str">
            <v xml:space="preserve"> MOTONIVELADORA, 
PLATAFORMA,
CAMIONETA DE ABASTO</v>
          </cell>
          <cell r="D15">
            <v>3</v>
          </cell>
          <cell r="E15">
            <v>3</v>
          </cell>
          <cell r="F15">
            <v>661.22</v>
          </cell>
          <cell r="G15">
            <v>470</v>
          </cell>
          <cell r="H15">
            <v>81.83</v>
          </cell>
          <cell r="I15">
            <v>21.5</v>
          </cell>
          <cell r="J15">
            <v>52.887142857142862</v>
          </cell>
          <cell r="K15">
            <v>20</v>
          </cell>
          <cell r="L15">
            <v>15</v>
          </cell>
          <cell r="M15"/>
          <cell r="N15">
            <v>36.165499999999994</v>
          </cell>
          <cell r="P15">
            <v>1</v>
          </cell>
          <cell r="Q15">
            <v>89.387142857142862</v>
          </cell>
          <cell r="S15">
            <v>535.66449999999998</v>
          </cell>
          <cell r="T15">
            <v>57.665499999999994</v>
          </cell>
          <cell r="U15">
            <v>67.887142857142862</v>
          </cell>
          <cell r="V15">
            <v>661.21714285714279</v>
          </cell>
        </row>
        <row r="16">
          <cell r="A16">
            <v>6</v>
          </cell>
          <cell r="B16" t="str">
            <v>OPCION 6: PERFILADO DE VIAS CON TRACTOR</v>
          </cell>
          <cell r="C16" t="str">
            <v>TRACTOR, 
PLATAFORMA,
CAMIONETA DE ABASTO</v>
          </cell>
          <cell r="D16">
            <v>3</v>
          </cell>
          <cell r="E16">
            <v>3</v>
          </cell>
          <cell r="F16">
            <v>831.59</v>
          </cell>
          <cell r="G16">
            <v>630</v>
          </cell>
          <cell r="H16">
            <v>81.83</v>
          </cell>
          <cell r="I16">
            <v>21.5</v>
          </cell>
          <cell r="J16">
            <v>63.257142857142853</v>
          </cell>
          <cell r="K16">
            <v>20</v>
          </cell>
          <cell r="L16">
            <v>15</v>
          </cell>
          <cell r="M16"/>
          <cell r="N16">
            <v>36.165499999999994</v>
          </cell>
          <cell r="P16">
            <v>1</v>
          </cell>
          <cell r="Q16">
            <v>99.757142857142853</v>
          </cell>
          <cell r="S16">
            <v>695.66449999999998</v>
          </cell>
          <cell r="T16">
            <v>57.665499999999994</v>
          </cell>
          <cell r="U16">
            <v>78.257142857142853</v>
          </cell>
          <cell r="V16">
            <v>831.58714285714279</v>
          </cell>
        </row>
        <row r="17">
          <cell r="A17">
            <v>7</v>
          </cell>
          <cell r="B17" t="str">
            <v>OPCION 7: RECONFORMACION CON MOTONIVELADORA TANQUERO Y RODILLO</v>
          </cell>
          <cell r="C17" t="str">
            <v xml:space="preserve"> MOTONIVELADORA, RODILLO LISO, TANQUERO DE AGUA, PLATAFORMA,  CAMIONETA DE ABASTO</v>
          </cell>
          <cell r="D17">
            <v>5</v>
          </cell>
          <cell r="E17">
            <v>14</v>
          </cell>
          <cell r="F17">
            <v>1464.87</v>
          </cell>
          <cell r="G17">
            <v>950</v>
          </cell>
          <cell r="H17">
            <v>283.59000000000003</v>
          </cell>
          <cell r="I17">
            <v>55.54</v>
          </cell>
          <cell r="J17">
            <v>104.73714285714286</v>
          </cell>
          <cell r="K17">
            <v>56</v>
          </cell>
          <cell r="L17">
            <v>15</v>
          </cell>
          <cell r="M17"/>
          <cell r="N17">
            <v>118.69550000000001</v>
          </cell>
          <cell r="P17">
            <v>1</v>
          </cell>
          <cell r="Q17">
            <v>2216.4071428571428</v>
          </cell>
          <cell r="S17">
            <v>1170.8945000000001</v>
          </cell>
          <cell r="T17">
            <v>174.2355</v>
          </cell>
          <cell r="U17">
            <v>119.73714285714286</v>
          </cell>
          <cell r="V17">
            <v>1464.8671428571429</v>
          </cell>
        </row>
        <row r="18">
          <cell r="A18">
            <v>8</v>
          </cell>
          <cell r="B18" t="str">
            <v>OPCION 8: EXPLOTACION DE MATERIAL CON EXCAVADORA</v>
          </cell>
          <cell r="C18" t="str">
            <v>EXCAVADORA, PLATAFORMA,CAMIONETA DE ABASTO</v>
          </cell>
          <cell r="D18">
            <v>3</v>
          </cell>
          <cell r="E18">
            <v>5</v>
          </cell>
          <cell r="F18">
            <v>684.55</v>
          </cell>
          <cell r="G18">
            <v>470</v>
          </cell>
          <cell r="H18">
            <v>81.83</v>
          </cell>
          <cell r="I18">
            <v>21.5</v>
          </cell>
          <cell r="J18">
            <v>76.21976190476191</v>
          </cell>
          <cell r="K18">
            <v>20</v>
          </cell>
          <cell r="L18">
            <v>15</v>
          </cell>
          <cell r="M18"/>
          <cell r="N18">
            <v>36.165499999999994</v>
          </cell>
          <cell r="P18">
            <v>1</v>
          </cell>
          <cell r="Q18">
            <v>112.71976190476191</v>
          </cell>
          <cell r="S18">
            <v>535.66449999999998</v>
          </cell>
          <cell r="T18">
            <v>57.665499999999994</v>
          </cell>
          <cell r="U18">
            <v>91.21976190476191</v>
          </cell>
          <cell r="V18">
            <v>684.54976190476179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vialidad%20-%20prefect/Desktop/VIALIDAD%20FR/planillas%202014/noviembre/resumen%20planillas%20MACARA%20SAUCILLO%20Y%20CELICA%20POZUL%20PINDAL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g. Jorge M. Ordóñez O." refreshedDate="41950.386515509257" createdVersion="4" refreshedVersion="4" minRefreshableVersion="3" recordCount="462">
  <cacheSource type="worksheet">
    <worksheetSource ref="A10:V474" sheet="septiembre" r:id="rId2"/>
  </cacheSource>
  <cacheFields count="22">
    <cacheField name="Nº_x000a_" numFmtId="0">
      <sharedItems containsBlank="1"/>
    </cacheField>
    <cacheField name="ESTADO PROYECTOS" numFmtId="0">
      <sharedItems containsBlank="1"/>
    </cacheField>
    <cacheField name="Programa" numFmtId="0">
      <sharedItems containsBlank="1"/>
    </cacheField>
    <cacheField name=" Proyecto/Obra/Convenios" numFmtId="0">
      <sharedItems containsBlank="1" count="131" longText="1">
        <s v="TERMINACIÓN DE RECONFORMACIÓN DE LA VÍA PURUNUMA - CHINGUILAMACA  ( L TOTAL = 18,8Km, TRABAJO EJECUTADO, 1 KM DE RECONFORMACIÓN Y 3KM DE RESANTEO EN ESTA JORNADA FINAL)"/>
        <m/>
        <s v="RECONFORMACIÓN DE LA VÍA PURUNUMA GONZANAMÁ (L INTERVENCIÓN = 5KM A LA FECHA, SON EN TOTAL 7KM)"/>
        <s v="CONSTRUCCIÓN DE OBRAS DE ARTE EN LA VÍA CHIRIHUALA-CHANGAIMINA "/>
        <s v="LIMPIEZA DE DERRUMBES EN LA VIA GONZANAMÁ QUILANGA"/>
        <s v="LIMPIEZA DE DERRUMBES EN LA VIA LLANO GRANDE - LUJINUMA"/>
        <s v="LIMPIEZA DE DERRUMBES EN LA VIA COMBOLO - POTRERILLOS"/>
        <s v="LIMPIEZA DE DERRUMBES EN LA VIA CHIRIHUALA - CHANGAIMINA"/>
        <s v="LIMPIEZA DE DERRUMBES EN LA VIA ACCESO PRINCIPAL A SACAPALCA"/>
        <s v="RESANTEO Y LIMPIEZA DE DERRUMBES EN LA VIA NAMBACOLA-GERINOMA-CUCULAS"/>
        <s v="RESANTEO Y LIMPIEZA DE CUNETAS EN LA VIA NAMBACOLA- PEÑA NEGRA"/>
        <s v="RESANTEO Y LIMPIEZA DE CUNETAS EN LA VIA LANZACA - GRANJA DEPROSUR"/>
        <s v="RESANTEO Y LIMPIEZA DE CUNETAS EN LA VIA NAMBACOLA - LA CALERA - LA CALERA ALTO "/>
        <s v="RESANTEO Y LIMPIEZA DE CUNETAS EN LA VIA GERINOMA ALTO ILLIACA"/>
        <s v="LIMPIEZA DE DERRUMBES EN LA VIA LA HUACA - SACAPALCA - Y BACHEO CON LASTRES"/>
        <s v="LIMPIEZA DE DERRUMBES EN LA VIA AYASAPA - CHANGAIMINA Y BACHEO CON LASTRE"/>
        <s v="RECONFORMACIÓN Y LIMPIEZA DE CUNETAS EN LA VIA PRINCIPAL - YACURA"/>
        <s v="RECONFORMACIÓN Y LIMPIEZA DE CUNETAS EN LA VIA EL LIMON - CARBONERA - PLATANAL"/>
        <s v="RECONFORMACIÓN Y LIMPIEZA DE CUNETAS EN LA VIA PRINCIPAL - PIEDRA GRANDE"/>
        <s v="RECONFORMACIÓN Y LIMPIEZA DE CUNETAS EN LA VIA MOLLEPAMBA BAJO - MOLLEPAMBA ALTO"/>
        <s v="RECONFORMACION, BACHEO Y LIMPIEZA DE CUNETAS EN LA VIA ACCESO PRINCIPAL A LA PARROQUIA NAMBACOLA"/>
        <s v="RECONFORMACION, BACHEO Y LIMPIEZA DE CUNETAS EN LA VIA SACAPALCA CHANGAIMINA"/>
        <s v="RECONFORMACION, BACHEO Y LIMPIEZA DE CUNETAS EN LA VIA SUNAMANGA SACAPALCA"/>
        <s v="RECONFORMACION, BACHEO Y LIMPIEZA DE CUNETAS EN LA VIA SACAPALCA SAN VICENTE DEL RIO"/>
        <s v="RECONFORMACION, BACHEO Y LIMPIEZA DE CUNETAS EN LA VIA SACAPALCA  CHIRIMOYO"/>
        <s v="RECONFORMACION, BACHEO Y LIMPIEZA DE CUNETAS EN LA VIA CHIRIMOYO LIMON VEGA"/>
        <s v="TRABAJOS EMERGENTES PARA RAZANTEO Y LIMPIEZA DE CUNETAS BARRIO EL INGENIO"/>
        <s v="AMPLIACIÓN DE CURVAS Y DE VIA EN EL BARRIO EL GUABO"/>
        <s v="MEJORAMIENTO DE LA VIA BARRIO EL GUABO - COLOCACION DE MATERIAL DE MEJORAMIENTO EN TRAMOS CRITICOS"/>
        <s v="MEJORAMIENTO DE LA VIA BARRIO CONSAGUANA"/>
        <s v="TRABAJOS EMERGENTES DE LIMPIEZA DE DERRUMBES PARROQUIA EL AIRO; PARROQUIA SANTA TERESITA_x000a_"/>
        <s v="MANTENIMIENTO DE VIAS DE LA PARROQUIA BELLAVISTA"/>
        <s v="MANTENIMIENTO DE VIAS DE LA PARROQUIA JIMBURA"/>
        <s v="MEJORAMIENTO DE LA VIA LA NARANJA BATALLADEROS"/>
        <s v="MEJORAMIENTO DE LA VIA LA NARANJA EL SAUCO"/>
        <s v="MEJORAMIENTO DE LA VIA LA NARANJA LA VEGA"/>
        <s v="MEJORAMIENTO DE LA VIA LA NARANJA PINDO BAJO"/>
        <s v="RECONFORMACIÓN DE LA VIA SAN ANTONIO DE LAS ARADAS - QUEBRADA QUIROZ (L TOTAL = 5,4KM, TRABAJO EJECUTADO)"/>
        <s v="MANTENIMIENTO DE LA VIA &quot; COLAISACA-PULPERIA&quot;, PARROQUIA COLAISACA, CANTON CALVAS"/>
        <s v="APERTURA DE VIA SECTOR DE QUIZANGA Y AMPLIACION EN OTRAS PARTES DEL TRAMO SANGUILLIN - LUCERO (Longitud 100m)"/>
        <s v="MANTENIMIENTO DE EMERGENCIA A VIAS DE LA PARROQUIA TACAMOROS INICIA 7 MARZO 2014"/>
        <s v="ENCAUSAMIENTO DE QUEBRADA TUNGANI"/>
        <s v="MANTENIMIENTO DE LA VIA &quot; CARIAMANGA - SAN GUILLIN  DE LA PARROQUIA SAN GUILLIN, CANTON CALVAS&quot;"/>
        <s v="Mejoramiento de la Vía  SAN GUILLIN-QUIZANGA DE LA PARROQUIA SAN GUILLIN, CANTON CALVAS"/>
        <s v="MANTENIMIENTO DE EMERGENCIA A VIAS DE LA PARROQUIA COLAISACA"/>
        <s v="Mejoramiento de la Vía  SAN GUILLIN-USAIMA DE LA PARROQUIA SAN GUILLIN, CANTON CALVAS"/>
        <s v="Mejoramiento VIAL P. San Guillin :Camayos, San Joaquin,Chullafaique,Pasallal, CANTON CALVAS"/>
        <s v="MANTENIMIENTO VIAL P. QUIZANGA - LUCERO"/>
        <s v="CONVENIO DE MANTENIMIENTO DE LA VIA SOZORANGA - NUEVA FATIMA, CANTON SOZORANGA._x000a_Longtud 13,30KM"/>
        <s v="MANTENIMIENTO RUTINARIO VIAL EN LOS CANTONES CALVAS, ESPINDOLA, GONZANAMÁ, QUILANGA Y SOZORANGA (CONTRATO SIE-NRO.821-VIALSUR E.P.-2013)"/>
        <s v="MANTENIMIENTO RUTINARIO DE LA VIA CARIAMANGA - EL LUCERO - RIO PINDO (MONTO EJECUTADO 4´249 133.29)"/>
        <s v="VIA MERCADILLO CHITOQUE GAUTUNUMA"/>
        <s v="VIA TACAMOROS - LA VICTORIA - LA BOCANA- EL LIMON; TRAMO - TACAMOROS - LA VICTORIA L= 14 KM._x000a_(PARALIZADO POR INVIERNO)"/>
        <s v="VIA ALAMOR VICENTINO "/>
        <s v="VIA LA HOYADA EL LIMO (CANTON PUYANGO)"/>
        <s v="VIA GUAYACAN - PALTAPAMBA - (CANTON PUYANGO)_x000a_(PARALIZADO POR INVIERNO)"/>
        <s v="MANTENIEMIENTO DE VIAS DEL CANTON PUYANGO (PARROQUIAS ARENAL, CIANO, EL LIMO Y MERCADILLO)"/>
        <s v="REHABILITACION DE LA VIA Y CELICA - POZUL - PINDAL_x000a_(CONVENIO GPL - VIALSUR.EP RECURSOS)"/>
        <s v="REHABILITACION DE LA VÍA MACARÁ - SAUCILLO_x000a_(CONVENIO GPL - VIALSUR.EP RECURSOS)"/>
        <s v="CONTRATO SIE-NRO-828-VIALSUR.EP-2013 CONTRATACION DE MAQUINARIA PARA EL MANTENIMIENTO RUTINARIO DE VIAS EN LOS CANTONES (PINDAL CELICA PUYANGO MACARA Y ZAPOTILLO)"/>
        <s v="MANTENIMIENTO DE LA VIA MANGAHURQUILLO CAZADEROS PROGRESO GRAMADALES LA LEONERA"/>
        <s v="CONSTRUCCION DE ESTRIBOS PARA PUENTE BAYLEY SECTOR EL ARENAL CONVENIO NRO 007-2013 GADM PUYANGO - VIALSUR.EP(MUNICIPIO AUN NO INICIA LOS TRABAJOS) APORTES GAD $ 10000,00 Y VIALSUR $ 10 500,00, las estructuras se encuentran en bodega del GAP. PUYANGO, en espera de firma de convenio para realizar entrega"/>
        <s v="CONSTRUCCION DE ESTRIBOS PARA PUENTE BAYLEY SECTOR CIANO CONVENIO  NRO. 006-2013 GADP CIANO - VIALSUR.EP(ESTRIBOS EJECUTADOS) GADP $ 15 000, 00 Y VIALSUR. EP $ 10 000,00. Las estructuras se encuentran en bodega del GAP. PUYANGO, en espera de firma de convenio para realizar entrega"/>
        <s v="VIA, CHINCHAS-ZAMBI-RIO PINDO, L=55,88 km. (Catamayo)"/>
        <s v="VIA, ACCESO A RUMIPOTRERO, L=4,5 km. (Catamayo)"/>
        <s v="VIA, CHIGUANGO-CHIGUANGO ALTO, L=3,1 km. (Catamayo)"/>
        <s v="VIA CHINCHAS LA ARADA, L=6.7 KM. (incluye 0.4 km accesos al sitio la Cruz ( ( Zambi - Catamayo)"/>
        <s v="VIA, ACCESO A BARRIOS: LA CHORA-LA LIBERTAD, L=6,7 km, AL PORVENIR, L=1,1 km.  (Catamayo)"/>
        <s v="VIA, ACCESO AL BARRIO, TOGUEROS, L=1,65 km (Catamayo)"/>
        <s v="VIA, INDIUCHO-EL TAMBO, L=12,7 km. (Catamayo)  FALLA GEOLOGICA, ABS. 8+500  Inicio: 7 de marzo, continúa."/>
        <s v="VIA, INDIUCHO-EL TAMBO, L=12,7 km. (Catamayo)"/>
        <s v="VIA, EL TAMBO-CHAPAMARCA-VILLONACO, L=18,2 km. (Catamayo)"/>
        <s v="VIA, EL TAMBO-LA ERA, L=8,6 km. (Catamayo)"/>
        <s v="VIA ACCESO A LA MERCED BAJA, L= 1.6 KM. VIA ANTIGUA, LA ERA - &quot;Y&quot; DEL CANAL, L= 2,3 KM (EL TAMBO - CATAMAYO)"/>
        <s v="VIA, SOBRINOSPAMBA-EL HUAYCO, L=4,7 km. (Catamayo)"/>
        <s v="VIA, &quot;Y&quot; del ROSARIO-RIO YAGUACHI, L=15,4 km. (Chaguar.)"/>
        <s v="VIA, CORDILLERA DE RAMOS-4 LOMAS, L=6,2 km. (Chaguar.)"/>
        <s v="VIA,PANAMERICANA - SAN JOSE-BUENAVISTA, L=7,3 km. (Chaguarpamba)"/>
        <s v="VIA, BUENAVISTA-AMARILLOS, L=9,9 km. (Chaguarpamba)"/>
        <s v="VIAS DESDE BUENAVISTA A, VALLE HERMOSO, PALMAL Y PAN DE AZUCAR"/>
        <s v="VIA, LAS JUNTAS-&quot;Y&quot; del GUINEO, RIO PINDO L=5.6 km. "/>
        <s v="PLATAFORMA DEL CANAL,&quot;Y&quot; del GUINEO, L=4,2 km. (Chaguarpamba)"/>
        <s v="VIA YEE DEL GUINEO SANTA RUFINA 7.5 KM"/>
        <s v="VIA SANTARUFINA PUEBLO NUEVO 2.8 KM"/>
        <s v="VIA AMANCAY SANTARUFINA PUEBLO NUEVO 1,7 KM"/>
        <s v="CALLES DE SANTA RUFINA  0,8 KM"/>
        <s v="VIA GUACHANAMA CELICA 9,6 KM"/>
        <s v="VIA GUACHANAMA LA SALERA 17,1 KM"/>
        <s v="VIA LAURO GUERRERO SANTA GERTRUDIZ 12.1 KM"/>
        <s v="VIA, ORIANGA-LA VICTORIA-SHOA, L=11,0 km. (Paltas)"/>
        <s v="VIA RIO PINDO  LAS JUNTAS ORIANGA L=17,8 KM (PALTAS)"/>
        <s v="VIA RIO PINDO  LAS JUNTAS ORIANGA L=23.2 KM (PALTAS)"/>
        <s v="CALLES DE ORIANGA, L=1,0 km.  (Paltas)"/>
        <s v="VIA, ORIANGA-EL TRIUNFO, L=7,7 km. (Paltas)"/>
        <s v="VIAS DESDE ORIANGA A, GUAYACAN Y LA VEGA. (Paltas)"/>
        <s v="VIA, LA PALMA-EL PLACER, L=11,1 km. (Paltas)( RETROEXCAVADORA DE LA JUNTA PARROQUIAL)"/>
        <s v="VIAS DE LA PARROQUIA YAMANA, L=6,90 km. (Paltas)"/>
        <s v="VIA, PLAYAS-YAMANA, L=3,8 km. (Paltas)"/>
        <s v="VIA, SAN ANTONIO-EL SAUCE, L=9,7 km. (Paltas)"/>
        <s v="VIA, SAN ANTONIO-YAMANA, L=2.8 km. (Paltas) Inicio: 22 de marzo"/>
        <s v="VIAS DE ACCESO A LOS BARRIOS, STO. DOMINGO, L=3.8 km. CHORRERA L=0.8 km. (Paltas)"/>
        <s v="VIA TAMBARA-COLA L=6.3 KM"/>
        <s v="VIA, LA TINGUE-ZAPALLAL.  L=4,8 km."/>
        <s v="VIA EL LIMON GUACHANAMA LAURO GUERRERO"/>
        <s v="VIAS DE ACCESO A LOS BARRIOS, SACAPIANGA Y SAN ANTONIO BAJO"/>
        <s v="MANTENIMIENTO DE LAS VIAS TABLON-MINA, TABLON-SAN JOSE, YEE DE SAN JOSE-QUISHQUIL, CEMENTERIO-LA LAGUNA-COCHALOMA, PANAMERICANA-POTRERILLOS-TACHIN. LONGITUD 18 KM"/>
        <s v="MANTENIMIENTO DE LAS VIAS DE LA PARROQUIA CELEN, LONGITUD 12,00 KM"/>
        <s v="MANTENIMIENTO DE LA VIA MALACATOS-SAN JOSE DE LAS PEÑAS, LONGITUD 3,00 KM"/>
        <s v="MANTENIMIENTO DE LA VIA TANQUE DE COLA - PUENTE SANTO DOMINGO, LONGITUD 3,00 KM"/>
        <s v="MANTENIMIENTO DE LAS VIAS DE LA PARROQUIA YANGANA, TRAMO YANGANA-PUENTE MASANAMACA, LONGITUD 26,00 KM"/>
        <s v="MEJORAMIENTO  DE LAS CALLES Y VIAS DE LOS BARRIOS PERIFERICOS DE LA CIUDAD DE LOJA, LONGITUD 180 KM CONVENIO NRO. 131-DPS-2013 APORTES GPL - GADMLOJA - VIALSUR.EP, Contrato original sie nro 582 $ 161 921.96  del 15 de agosto al 18 de enero del 2014, concluido 100 % y pagado."/>
        <s v="MANTENTENIMIENTO DE CALLES Y VIAS DE LOS BARRIOS PERIFERICOS DE LA CIUDAD DE LOJA (CONTRATO CIA. JARAMILLO CONSTRUCTORA)"/>
    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    <s v="MANTENIMIEMTO RUTINARIO VAL EN LOS CANTONES LOJA Y SARAGURO (CONTRATO SIE N° 822 SUSCRITO CON EL ING. MANUEL PICOITA), LONGITUD 200 KM; Resanteo de vía con motoniveladora en las vías de las parroquias Celén, Selva Alegre, Lluzhapa, Yuluc y Sumaipamba, cantón Saraguro"/>
        <s v="TERMINACION PROYECTO VIAL VILCABAMBA-LINDEROS-MOYOCOCHA (OBRAS DE ARTE Y SEÑALIZACION, CONTRATISTA ING. MAXIMO CASTRO), fecha de suscripción contrato 5 de febrero del 2014, entrega el anticipo 7 de marzo del 2014 40 % del monto del contrato."/>
        <s v="MANTENIMIENTO DE LA VIA SELVA ALEGRE-LLUZHAPA-SUMAIPAMBA L= 40 km."/>
        <s v="MANTENIMIENTO DE LA VIA EL CISNE - GUALEL - CHUQUIRIBAMBA  L=22 km."/>
        <s v="MANTENIMIENTO DE LA VÍA EL CISNE - AMBOCAS L=24 km."/>
        <s v="MANTENIMIENTPO DE LA VIA SAN PEDRO DE VILCABAMBA - SACAPO L=3.00 KM."/>
        <s v="MANTENIMIENTO DE VIAS DE PARROQUIA MALACATOS SAN FRANCISCO BAJO - SAN FRANCISCOALTO-BELEN "/>
        <s v="MANTENIMIENTO DE LA VIA VILLONACO-TAQUIL-CHANTACO-CHUQUIRIBAMBA  L=40 KM."/>
        <s v="REHABILITACION DE LA VIA LOS MANGOS - CHAQUIRCUÑA L = 7.5 KM"/>
        <s v="MANTENIMIENTO DE LA VIA SAUCES NORTE SOLAMAR - SAN LUCAS"/>
        <s v="ENCAUSAMIENTO DE QUEBRADA PICUMINE (BARRIO TUMIANUMA)"/>
        <s v="MANTENIMIENTO DE LA VIA SELVA ALEGRE - TENTA"/>
        <s v="MANTENIMIENTO DE LA VIA TENTA-SELVA ALEGRE"/>
        <s v="MANTENIMIENTO DE LA VIA SOLAMAR - JIMBILLA L= 17.00 KM."/>
        <s v="MANTENIMIENTO DEL CADE"/>
        <s v="MEJORAMIENTO A NIVEL DE DOBLE TRATAMIENTO SUPERFICIAL BITUMINOSO DE LA VIA SARAGURO TENTA L= 6.17 KM.ABSC (4+044.69 - 10+210.55) CONVENIO NRO.120 - DPS -2013 GPL - VIALSUR.EP"/>
        <s v="MANTENIMIENTO DE LA VIA &quot; CARIAMANGA - SAN GUILLIN DE LA PARROQUIA SAN GUILLIN, CANTON CALVAS" u="1"/>
        <s v="VIA GUACHANAMA SAN VICENTE DE LA SALERA L= 12.6 KM(PALTAS)" u="1"/>
      </sharedItems>
    </cacheField>
    <cacheField name="DETALLE DE PROYECTOS" numFmtId="0">
      <sharedItems containsBlank="1" count="118" longText="1">
        <s v="TERMINACIÓN DE RECONFORMACIÓN DE LA VÍA PURUNUMA - CHINGUILAMACA  ( L TOTAL = 18,8Km, TRABAJO EJECUTADO, 1 KM DE RECONFORMACIÓN Y 3KM DE RESANTEO EN ESTA JORNADA FINAL)"/>
        <s v="RECONFORMACIÓN DE LA VÍA PURUNUMA GONZANAMÁ (L INTERVENCIÓN = 5KM A LA FECHA, SON EN TOTAL 7KM)"/>
        <s v="CONSTRUCCIÓN DE OBRAS DE ARTE EN LA VÍA CHIRIHUALA-CHANGAIMINA "/>
        <s v="LIMPIEZA DE DERRUMBES EN LA VIA GONZANAMÁ QUILANGA"/>
        <s v="LIMPIEZA DE DERRUMBES EN LA VIA LLANO GRANDE - LUJINUMA"/>
        <s v="LIMPIEZA DE DERRUMBES EN LA VIA COMBOLO - POTRERILLOS"/>
        <s v="LIMPIEZA DE DERRUMBES EN LA VIA CHIRIHUALA - CHANGAIMINA"/>
        <s v="LIMPIEZA DE DERRUMBES EN LA VIA ACCESO PRINCIPAL A SACAPALCA"/>
        <s v="RESANTEO Y LIMPIEZA DE DERRUMBES EN LA VIA NAMBACOLA-GERINOMA-CUCULAS"/>
        <s v="RESANTEO Y LIMPIEZA DE CUNETAS EN LA VIA NAMBACOLA- PEÑA NEGRA"/>
        <s v="RESANTEO Y LIMPIEZA DE CUNETAS EN LA VIA LANZACA - GRANJA DEPROSUR"/>
        <s v="RESANTEO Y LIMPIEZA DE CUNETAS EN LA VIA NAMBACOLA - LA CALERA - LA CALERA ALTO "/>
        <s v="RESANTEO Y LIMPIEZA DE CUNETAS EN LA VIA GERINOMA ALTO ILLIACA"/>
        <s v="LIMPIEZA DE DERRUMBES EN LA VIA LA HUACA - SACAPALCA - Y BACHEO CON LASTRES"/>
        <s v="LIMPIEZA DE DERRUMBES EN LA VIA AYASAPA - CHANGAIMINA Y BACHEO CON LASTRE"/>
        <s v="RECONFORMACIÓN Y LIMPIEZA DE CUNETAS EN LA VIA PRINCIPAL - YACURA"/>
        <s v="RECONFORMACIÓN Y LIMPIEZA DE CUNETAS EN LA VIA EL LIMON - CARBONERA - PLATANAL"/>
        <s v="RECONFORMACIÓN Y LIMPIEZA DE CUNETAS EN LA VIA PRINCIPAL - PIEDRA GRANDE"/>
        <s v="RECONFORMACIÓN Y LIMPIEZA DE CUNETAS EN LA VIA MOLLEPAMBA BAJO - MOLLEPAMBA ALTO"/>
        <s v="RECONFORMACION, BACHEO Y LIMPIEZA DE CUNETAS EN LA VIA ACCESO PRINCIPAL A LA PARROQUIA NAMBACOLA"/>
        <s v="RECONFORMACION, BACHEO Y LIMPIEZA DE CUNETAS EN LA VIA SUNAMANGA SACAPALCA"/>
        <s v="TRABAJOS EMERGENTES PARA RAZANTEO Y LIMPIEZA DE CUNETAS BARRIO EL INGENIO"/>
        <s v="AMPLIACIÓN DE CURVAS Y DE VIA EN EL BARRIO EL GUABO"/>
        <s v="MEJORAMIENTO DE LA VIA BARRIO EL GUABO - COLOCACION DE MATERIAL DE MEJORAMIENTO EN TRAMOS CRITICOS"/>
        <s v="MEJORAMIENTO DE LA VIA BARRIO CONSAGUANA"/>
        <s v="TRABAJOS EMERGENTES DE LIMPIEZA DE DERRUMBES PARROQUIA EL AIRO; PARROQUIA SANTA TERESITA_x000a_"/>
        <s v="MANTENIMIENTO DE VIAS DE LA PARROQUIA BELLAVISTA"/>
        <s v="MANTENIMIENTO DE VIAS DE LA PARROQUIA JIMBURA"/>
        <s v="RECONFORMACIÓN DE LA VIA SAN ANTONIO DE LAS ARADAS - QUEBRADA QUIROZ (L TOTAL = 5,4KM, TRABAJO EJECUTADO)"/>
        <s v="MANTENIMIENTO DE LA VIA &quot; COLAISACA-PULPERIA&quot;, PARROQUIA COLAISACA, CANTON CALVAS"/>
        <s v="APERTURA DE VIA SECTOR DE QUIZANGA Y AMPLIACION EN OTRAS PARTES DEL TRAMO SANGUILLIN - LUCERO (Longitud 100m)"/>
        <s v="MANTENIMIENTO DE EMERGENCIA A VIAS DE LA PARROQUIA TACAMOROS INICIA 7 MARZO 2014"/>
        <s v="ENCAUSAMIENTO DE QUEBRADA TUNGANI"/>
        <s v="MANTENIMIENTO DE LA VIA &quot; CARIAMANGA - SAN GUILLIN  DE LA PARROQUIA SAN GUILLIN, CANTON CALVAS&quot;"/>
        <m/>
        <s v="Mejoramiento de la Vía  SAN GUILLIN-QUIZANGA DE LA PARROQUIA SAN GUILLIN, CANTON CALVAS"/>
        <s v="MANTENIMIENTO DE EMERGENCIA A VIAS DE LA PARROQUIA COLAISACA"/>
        <s v="Mejoramiento de la Vía  SAN GUILLIN-USAIMA DE LA PARROQUIA SAN GUILLIN, CANTON CALVAS"/>
        <s v="Mejoramiento VIAL P. San Guillin :Camayos, San Joaquin,Chullafaique,Pasallal, CANTON CALVAS"/>
        <s v="+D112"/>
        <s v="+E112"/>
        <s v="+E113"/>
        <s v="+E114"/>
        <s v="CONVENIO DE MANTENIMIENTO DE LA VIA SOZORANGA - NUEVA FATIMA, CANTON SOZORANGA._x000a_Longtud 13,30KM"/>
        <s v="MANTENIMIENTO RUTINARIO VIAL EN LOS CANTONES CALVAS, ESPINDOLA, GONZANAMÁ, QUILANGA Y SOZORANGA (CONTRATO SIE-NRO.821-VIALSUR E.P.-2013)"/>
        <s v="MANTENIMIENTO RUTINARIO DE LA VIA CARIAMANGA - EL LUCERO - RIO PINDO (MONTO EJECUTADO 4´249 133.29)"/>
        <s v="VIA MERCADILLO CHITOQUE GAUTUNUMA"/>
        <s v="VIA TACAMOROS - LA VICTORIA - LA BOCANA- EL LIMON; TRAMO - TACAMOROS - LA VICTORIA L= 14 KM._x000a_(PARALIZADO POR INVIERNO)"/>
        <s v="VIA ALAMOR VICENTINO "/>
        <s v="VIA LA HOYADA EL LIMO (CANTON PUYANGO)"/>
        <s v="VIA GUAYACAN - PALTAPAMBA - (CANTON PUYANGO)_x000a_(PARALIZADO POR INVIERNO)"/>
        <s v="MANTENIEMIENTO DE VIAS DEL CANTON PUYANGO (PARROQUIAS ARENAL, CIANO, EL LIMO Y MERCADILLO)"/>
        <s v="REHABILITACION DE LA VIA Y CELICA - POZUL - PINDAL_x000a_(CONVENIO GPL - VIALSUR.EP RECURSOS)"/>
        <s v="REHABILITACION DE LA VÍA MACARÁ - SAUCILLO_x000a_(CONVENIO GPL - VIALSUR.EP RECURSOS)"/>
        <s v="CONTRATO SIE-NRO-828-VIALSUR.EP-2013 CONTRATACION DE MAQUINARIA PARA EL MANTENIMIENTO RUTINARIO DE VIAS EN LOS CANTONES (PINDAL CELICA PUYANGO MACARA Y ZAPOTILLO)"/>
        <s v="MANTENIMIENTO DE LA VIA MANGAHURQUILLO CAZADEROS PROGRESO GRAMADALES LA LEONERA"/>
        <s v="CONSTRUCCION DE ESTRIBOS PARA PUENTE BAYLEY SECTOR EL ARENAL CONVENIO NRO 007-2013 GADM PUYANGO - VIALSUR.EP(MUNICIPIO AUN NO INICIA LOS TRABAJOS) APORTES GAD $ 10000,00 Y VIALSUR $ 10 500,00, las estructuras se encuentran en bodega del GAP. PUYANGO, en espera de firma de convenio para realizar entrega"/>
        <s v="CONSTRUCCION DE ESTRIBOS PARA PUENTE BAYLEY SECTOR CIANO CONVENIO  NRO. 006-2013 GADP CIANO - VIALSUR.EP(ESTRIBOS EJECUTADOS) GADP $ 15 000, 00 Y VIALSUR. EP $ 10 000,00. Las estructuras se encuentran en bodega del GAP. PUYANGO, en espera de firma de convenio para realizar entrega"/>
        <s v="VIA, CHINCHAS-ZAMBI-RIO PINDO, L=55,88 km. (Catamayo)"/>
        <s v="VIA, ACCESO A RUMIPOTRERO, L=4,5 km. (Catamayo)"/>
        <s v="VIA, CHIGUANGO-CHIGUANGO ALTO, L=3,1 km. (Catamayo)"/>
        <s v="VIA CHINCHAS LA ARADA, L=6.7 KM. (incluye 0.4 km accesos al sitio la Cruz ( ( Zambi - Catamayo)"/>
        <s v="VIA, ACCESO A BARRIOS: LA CHORA-LA LIBERTAD, L=6,7 km, AL PORVENIR, L=1,1 km.  (Catamayo)"/>
        <s v="VIA, ACCESO AL BARRIO, TOGUEROS, L=1,65 km (Catamayo)"/>
        <s v="VIA, INDIUCHO-EL TAMBO, L=12,7 km. (Catamayo)  FALLA GEOLOGICA, ABS. 8+500  Inicio: 7 de marzo, continúa."/>
        <s v="VIA, INDIUCHO-EL TAMBO, L=12,7 km. (Catamayo)"/>
        <s v="VIA, EL TAMBO-CHAPAMARCA-VILLONACO, L=18,2 km. (Catamayo)"/>
        <s v="VIA, EL TAMBO-LA ERA, L=8,6 km. (Catamayo)"/>
        <s v="VIA ACCESO A LA MERCED BAJA, L= 1.6 KM. VIA ANTIGUA, LA ERA - &quot;Y&quot; DEL CANAL, L= 2,3 KM (EL TAMBO - CATAMAYO)"/>
        <s v="VIA, SOBRINOSPAMBA-EL HUAYCO, L=4,7 km. (Catamayo)"/>
        <s v="VIA, &quot;Y&quot; del ROSARIO-RIO YAGUACHI, L=15,4 km. (Chaguar.)"/>
        <s v="VIA, CORDILLERA DE RAMOS-4 LOMAS, L=6,2 km. (Chaguar.)"/>
        <s v="VIA,PANAMERICANA - SAN JOSE-BUENAVISTA, L=7,3 km. (Chaguarpamba)"/>
        <s v="VIA, BUENAVISTA-AMARILLOS, L=9,9 km. (Chaguarpamba)"/>
        <s v="VIAS DESDE BUENAVISTA A, VALLE HERMOSO, PALMAL Y PAN DE AZUCAR"/>
        <s v="VIA, LAS JUNTAS-&quot;Y&quot; del GUINEO, RIO PINDO L=5.6 km. "/>
        <s v="PLATAFORMA DEL CANAL,&quot;Y&quot; del GUINEO, L=4,2 km. (Chaguarpamba)"/>
        <s v="VIA, ORIANGA-LA VICTORIA-SHOA, L=11,0 km. (Paltas)"/>
        <s v="VIA RIO PINDO  LAS JUNTAS ORIANGA L=17,8 KM (PALTAS)"/>
        <s v="VIA RIO PINDO  LAS JUNTAS ORIANGA L=23.2 KM (PALTAS)"/>
        <s v="CALLES DE ORIANGA, L=1,0 km.  (Paltas)"/>
        <s v="VIA, ORIANGA-EL TRIUNFO, L=7,7 km. (Paltas)"/>
        <s v="VIAS DESDE ORIANGA A, GUAYACAN Y LA VEGA. (Paltas)"/>
        <s v="VIA, LA PALMA-EL PLACER, L=11,1 km. (Paltas)( RETROEXCAVADORA DE LA JUNTA PARROQUIAL)"/>
        <s v="VIAS DE LA PARROQUIA YAMANA, L=6,90 km. (Paltas)"/>
        <s v="VIA, PLAYAS-YAMANA, L=3,8 km. (Paltas)"/>
        <s v="VIA, SAN ANTONIO-EL SAUCE, L=9,7 km. (Paltas)"/>
        <s v="VIA, SAN ANTONIO-YAMANA, L=2.8 km. (Paltas) Inicio: 22 de marzo"/>
        <s v="VIAS DE ACCESO A LOS BARRIOS, STO. DOMINGO, L=3.8 km. CHORRERA L=0.8 km. (Paltas)"/>
        <s v="VIA TAMBARA-COLA L=6.3 KM"/>
        <s v="VIA, LA TINGUE-ZAPALLAL.  L=4,8 km."/>
        <s v="VIAS DE ACCESO A LOS BARRIOS, SACAPIANGA Y SAN ANTONIO BAJO"/>
        <s v="MANTENIMIENTO DE LAS VIAS TABLON-MINA, TABLON-SAN JOSE, YEE DE SAN JOSE-QUISHQUIL, CEMENTERIO-LA LAGUNA-COCHALOMA, PANAMERICANA-POTRERILLOS-TACHIN. LONGITUD 18 KM"/>
        <s v="MANTENIMIENTO DE LAS VIAS DE LA PARROQUIA CELEN, LONGITUD 12,00 KM"/>
        <s v="MANTENIMIENTO DE LA VIA MALACATOS-SAN JOSE DE LAS PEÑAS, LONGITUD 3,00 KM"/>
        <s v="MANTENIMIENTO DE LA VIA TANQUE DE COLA - PUENTE SANTO DOMINGO, LONGITUD 3,00 KM"/>
        <s v="MANTENIMIENTO DE LAS VIAS DE LA PARROQUIA YANGANA, TRAMO YANGANA-PUENTE MASANAMACA, LONGITUD 26,00 KM"/>
        <s v="MEJORAMIENTO  DE LAS CALLES Y VIAS DE LOS BARRIOS PERIFERICOS DE LA CIUDAD DE LOJA, LONGITUD 180 KM CONVENIO NRO. 131-DPS-2013 APORTES GPL - GADMLOJA - VIALSUR.EP, Contrato original sie nro 582 $ 161 921.96  del 15 de agosto al 18 de enero del 2014, concluido 100 % y pagado."/>
        <s v="MANTENTENIMIENTO DE CALLES Y VIAS DE LOS BARRIOS PERIFERICOS DE LA CIUDAD DE LOJA (CONTRATO CIA. JARAMILLO CONSTRUCTORA)"/>
    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    <s v="MANTENIMIEMTO RUTINARIO VAL EN LOS CANTONES LOJA Y SARAGURO (CONTRATO SIE N° 822 SUSCRITO CON EL ING. MANUEL PICOITA), LONGITUD 200 KM; Resanteo de vía con motoniveladora en las vías de las parroquias Celén, Selva Alegre, Lluzhapa, Yuluc y Sumaipamba, cantón Saraguro"/>
        <s v="TERMINACION PROYECTO VIAL VILCABAMBA-LINDEROS-MOYOCOCHA (OBRAS DE ARTE Y SEÑALIZACION, CONTRATISTA ING. MAXIMO CASTRO), fecha de suscripción contrato 5 de febrero del 2014, entrega el anticipo 7 de marzo del 2014 40 % del monto del contrato."/>
        <s v="MANTENIMIENTO DE LA VIA SELVA ALEGRE-LLUZHAPA-SUMAIPAMBA L= 40 km."/>
        <s v="MANTENIMIENTO DE LA VIA EL CISNE - GUALEL - CHUQUIRIBAMBA  L=22 km."/>
        <s v="MANTENIMIENTO DE LA VÍA EL CISNE - AMBOCAS L=24 km."/>
        <s v="MANTENIMIENTPO DE LA VIA SAN PEDRO DE VILCABAMBA - SACAPO L=3.00 KM."/>
        <s v="MANTENIMIENTO DE VIAS DE PARROQUIA MALACATOS SAN FRANCISCO BAJO - SAN FRANCISCOALTO-BELEN "/>
        <s v="MANTENIMIENTO DE LA VIA VILLONACO-TAQUIL-CHANTACO-CHUQUIRIBAMBA  L=40 KM."/>
        <s v="REHABILITACION DE LA VIA LOS MANGOS - CHAQUIRCUÑA L = 7.5 KM"/>
        <s v="MANTENIMIENTO DE LA VIA SAUCES NORTE SOLAMAR - SAN LUCAS"/>
        <s v="ENCAUSAMIENTO DE QUEBRADA PICUMINE (BARRIO TUMIANUMA)"/>
        <s v="MANTENIMIENTO DE LA VIA SELVA ALEGRE - TENTA"/>
        <s v="MANTENIMIENTO DE LA VIA TENTA-SELVA ALEGRE"/>
        <s v="MANTENIMIENTO DE LA VIA SOLAMAR - JIMBILLA L= 17.00 KM."/>
        <s v="MANTENIMIENTO DEL CADE"/>
        <s v="MEJORAMIENTO A NIVEL DE DOBLE TRATAMIENTO SUPERFICIAL BITUMINOSO DE LA VIA SARAGURO TENTA L= 6.17 KM.ABSC (4+044.69 - 10+210.55) CONVENIO NRO.120 - DPS -2013 GPL - VIALSUR.EP"/>
        <s v="MANTENIMIENTO DE LA VIA &quot; CARIAMANGA - SAN GUILLIN DE LA PARROQUIA SAN GUILLIN, CANTON CALVAS" u="1"/>
        <s v="VIA GUACHANAMA SAN VICENTE DE LA SALERA L= 12.6 KM(PALTAS)" u="1"/>
      </sharedItems>
    </cacheField>
    <cacheField name="ZONA" numFmtId="0">
      <sharedItems containsBlank="1"/>
    </cacheField>
    <cacheField name="Cantón" numFmtId="0">
      <sharedItems containsBlank="1" count="18">
        <s v="GONZANAMA"/>
        <s v="QUILANGA"/>
        <s v="ESPINDOLA"/>
        <s v="CALVAS"/>
        <s v="SOZORANGA"/>
        <m/>
        <s v="CALVAS ESPINDOLA GONZANAMA QUILANGA Y SOZORANGA"/>
        <s v="PUYANGO"/>
        <s v="CELICA"/>
        <s v="MACARA"/>
        <s v="PINDAL"/>
        <s v="ZAPOTILLO"/>
        <s v="CATAMAYO"/>
        <s v="CHAGUARPAMBA"/>
        <s v="PALTAS"/>
        <s v="OLMEDO"/>
        <s v="SARAGURO"/>
        <s v="LOJA"/>
      </sharedItems>
    </cacheField>
    <cacheField name="Parroquia" numFmtId="0">
      <sharedItems containsBlank="1" count="59">
        <s v="PURUNUMA"/>
        <s v="CHANGAIMINA"/>
        <s v="QUILANGA"/>
        <s v="SACAPALCA"/>
        <s v="NAMBACOLA"/>
        <s v="EL INGENIO"/>
        <s v="AMALUZA"/>
        <s v="SANTA TERESITA EL AIRO"/>
        <s v="BELLAVISTA"/>
        <s v="JIMBURA"/>
        <s v="27 DE ABRIL"/>
        <s v="SANANTONIODELASARADAS"/>
        <s v="COLAISACA"/>
        <s v="SANGUILLÍN"/>
        <s v="TACAMOROS"/>
        <s v="GONZANAMÁ"/>
        <m/>
        <s v="NUEVAFÁTIMA"/>
        <s v="EL LUCERO, PURUNUMA, SACAPALCA,SAN ANTONO DE LAS ARADASJIMBURA"/>
        <s v="CARIAMANGA EL LUCERO"/>
        <s v="MERCADILLO"/>
        <s v="VICENTINO"/>
        <s v="ELLIMO"/>
        <s v="CIANO"/>
        <s v="POZUL"/>
        <s v="MACARÁ"/>
        <s v="PINDAL C"/>
        <s v="BOLASPAMBA"/>
        <s v="GARZAREAL"/>
        <s v="CAZADEROS"/>
        <s v="CRUZPAMBA "/>
        <s v="ELARENAL"/>
        <s v="ZAMBI"/>
        <s v="GUAYQUICHUMA"/>
        <s v="EL ROSARIO"/>
        <s v="SAN PEDRO DE LA BENDITA"/>
        <s v="EL TAMBO"/>
        <s v="BUENAVISTA"/>
        <s v="AMARILLOS"/>
        <s v="SANTA RUFINA"/>
        <s v="ORIANGA"/>
        <s v="LAUROGUERRERO"/>
        <s v="YAMANA"/>
        <s v="SANANTONIO"/>
        <s v="LA TINGUE"/>
        <s v="EL TABLÓN"/>
        <s v="CELEN"/>
        <s v="MALACATOS"/>
        <s v="YANGANA"/>
        <s v="LOJA"/>
        <s v="LLUZHAPA"/>
        <s v="SARAGURO"/>
        <s v="TAQUIL"/>
        <s v="CHANTACO"/>
        <s v="CHUQUIRIBAMBA"/>
        <s v="EL CISNE"/>
        <s v="SAN LUCAS"/>
        <s v="JIMBILLA"/>
        <s v="GUACHANAMÁ" u="1"/>
      </sharedItems>
    </cacheField>
    <cacheField name="MODALIDAD" numFmtId="0">
      <sharedItems containsBlank="1"/>
    </cacheField>
    <cacheField name="Entidad" numFmtId="0">
      <sharedItems containsBlank="1"/>
    </cacheField>
    <cacheField name="km." numFmtId="0">
      <sharedItems containsString="0" containsBlank="1" containsNumber="1" minValue="0.1" maxValue="180"/>
    </cacheField>
    <cacheField name="KM INTERVENIDOS" numFmtId="0">
      <sharedItems containsString="0" containsBlank="1" containsNumber="1" minValue="0" maxValue="152.44999999999999"/>
    </cacheField>
    <cacheField name="Beneficiarios:" numFmtId="0">
      <sharedItems containsString="0" containsBlank="1" containsNumber="1" containsInteger="1" minValue="0" maxValue="20662"/>
    </cacheField>
    <cacheField name="Metas alcanzadas" numFmtId="0">
      <sharedItems containsBlank="1"/>
    </cacheField>
    <cacheField name="UNIDAD" numFmtId="0">
      <sharedItems containsBlank="1"/>
    </cacheField>
    <cacheField name="COST. UNIT." numFmtId="0">
      <sharedItems containsString="0" containsBlank="1" containsNumber="1" minValue="0.08" maxValue="78920.429999999993"/>
    </cacheField>
    <cacheField name="CANT." numFmtId="0">
      <sharedItems containsString="0" containsBlank="1" containsNumber="1" minValue="0" maxValue="838425"/>
    </cacheField>
    <cacheField name="Plazo en días calendario" numFmtId="0">
      <sharedItems containsNonDate="0" containsString="0" containsBlank="1"/>
    </cacheField>
    <cacheField name="Inicio" numFmtId="0">
      <sharedItems containsNonDate="0" containsDate="1" containsString="0" containsBlank="1" minDate="2012-01-25T00:00:00" maxDate="2014-09-02T00:00:00"/>
    </cacheField>
    <cacheField name="Fin" numFmtId="0">
      <sharedItems containsNonDate="0" containsDate="1" containsString="0" containsBlank="1" minDate="2013-11-20T00:00:00" maxDate="2014-10-31T00:00:00"/>
    </cacheField>
    <cacheField name="ESTADO" numFmtId="0">
      <sharedItems containsBlank="1"/>
    </cacheField>
    <cacheField name="MONTO INVERSION GPL / VIALSUR" numFmtId="0">
      <sharedItems containsString="0" containsBlank="1" containsNumber="1" minValue="0" maxValue="3280644.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Ing. Jorge M. Ordóñez O." refreshedDate="41961.877191435182" createdVersion="4" refreshedVersion="4" minRefreshableVersion="3" recordCount="472">
  <cacheSource type="worksheet">
    <worksheetSource ref="A11:W677" sheet="diciembre"/>
  </cacheSource>
  <cacheFields count="26">
    <cacheField name="Nº_x000a_" numFmtId="49">
      <sharedItems containsBlank="1"/>
    </cacheField>
    <cacheField name="ESTADO PROYECTOS" numFmtId="0">
      <sharedItems containsBlank="1"/>
    </cacheField>
    <cacheField name="Programa" numFmtId="49">
      <sharedItems containsBlank="1" count="8">
        <s v="MEJORAMIENTO"/>
        <s v="MANTENIMIENTO"/>
        <s v="HORMIGONES"/>
        <s v="SEÑALIZACION"/>
        <s v="ASFALTO"/>
        <s v="PUENTES"/>
        <s v="ALCANTARILLA"/>
        <m u="1"/>
      </sharedItems>
    </cacheField>
    <cacheField name=" Proyecto/Obra/Convenios" numFmtId="49">
      <sharedItems containsBlank="1" longText="1"/>
    </cacheField>
    <cacheField name="DETALLE DE PROYECTOS" numFmtId="2">
      <sharedItems longText="1"/>
    </cacheField>
    <cacheField name="ZONA" numFmtId="0">
      <sharedItems containsBlank="1" count="6">
        <s v="ZONA1"/>
        <s v="ZONA2"/>
        <s v="ZONA3"/>
        <s v="ZONA4"/>
        <s v="ZONA4 - ST"/>
        <m u="1"/>
      </sharedItems>
    </cacheField>
    <cacheField name="Cantón" numFmtId="0">
      <sharedItems/>
    </cacheField>
    <cacheField name="Parroquia" numFmtId="0">
      <sharedItems/>
    </cacheField>
    <cacheField name="MODALIDAD" numFmtId="0">
      <sharedItems/>
    </cacheField>
    <cacheField name="Entidad" numFmtId="0">
      <sharedItems/>
    </cacheField>
    <cacheField name="km." numFmtId="0">
      <sharedItems containsString="0" containsBlank="1" containsNumber="1" minValue="0.1" maxValue="180" count="62">
        <n v="18.8"/>
        <m/>
        <n v="5"/>
        <n v="5.4"/>
        <n v="2"/>
        <n v="0.1"/>
        <n v="4"/>
        <n v="13.3"/>
        <n v="15.453333333333333"/>
        <n v="9"/>
        <n v="14"/>
        <n v="16"/>
        <n v="6.5"/>
        <n v="15"/>
        <n v="26"/>
        <n v="42"/>
        <n v="3.1"/>
        <n v="17"/>
        <n v="24"/>
        <n v="4.5"/>
        <n v="6.7"/>
        <n v="7.8"/>
        <n v="1.65"/>
        <n v="12.7"/>
        <n v="18.2"/>
        <n v="8.6"/>
        <n v="1.6"/>
        <n v="4.7"/>
        <n v="15.4"/>
        <n v="6.2"/>
        <n v="7.3"/>
        <n v="9.9"/>
        <n v="13.6"/>
        <n v="4.2"/>
        <n v="11"/>
        <n v="5.7"/>
        <n v="2.8"/>
        <n v="1.7"/>
        <n v="0.8"/>
        <n v="9.6"/>
        <n v="17.100000000000001"/>
        <n v="12.1"/>
        <n v="17.8"/>
        <n v="23.2"/>
        <n v="1"/>
        <n v="7.7"/>
        <n v="11.1"/>
        <n v="6.9"/>
        <n v="3.8"/>
        <n v="9.6999999999999993"/>
        <n v="6.3"/>
        <n v="4.8"/>
        <n v="18"/>
        <n v="12"/>
        <n v="3"/>
        <n v="180"/>
        <n v="100"/>
        <n v="5.8"/>
        <n v="10.63"/>
        <n v="7.5"/>
        <n v="32"/>
        <n v="6.17"/>
      </sharedItems>
    </cacheField>
    <cacheField name="KM INTERVENIDOS" numFmtId="0">
      <sharedItems containsString="0" containsBlank="1" containsNumber="1" minValue="0" maxValue="96.460000000000008" count="124">
        <m/>
        <n v="1.1000000000000001"/>
        <n v="3.28"/>
        <n v="6.1899999999999995"/>
        <n v="16.37"/>
        <n v="4.5"/>
        <n v="0.91"/>
        <n v="1.8"/>
        <n v="1"/>
        <n v="1.64"/>
        <n v="3.6399999999999997"/>
        <n v="4.1399999999999997"/>
        <n v="14"/>
        <n v="21.28"/>
        <n v="10"/>
        <n v="2"/>
        <n v="8"/>
        <n v="6.55"/>
        <n v="2.73"/>
        <n v="2.15"/>
        <n v="3.3099999999999996"/>
        <n v="5.1899999999999995"/>
        <n v="2.89"/>
        <n v="4.3"/>
        <n v="7.04"/>
        <n v="1.68"/>
        <n v="1.49"/>
        <n v="0.51"/>
        <n v="39"/>
        <n v="1.39"/>
        <n v="4.91"/>
        <n v="1.47"/>
        <n v="9.74"/>
        <n v="4.87"/>
        <n v="10.79"/>
        <n v="4.2350000000000003"/>
        <n v="10.91"/>
        <n v="4.0999999999999996"/>
        <n v="1.02"/>
        <n v="11.82"/>
        <n v="0"/>
        <n v="2.64"/>
        <n v="14.549999999999999"/>
        <n v="19.100000000000001"/>
        <n v="0.64"/>
        <n v="0.45"/>
        <n v="4.55"/>
        <n v="96.460000000000008"/>
        <n v="4.33"/>
        <n v="6.89"/>
        <n v="17.97"/>
        <n v="24.15"/>
        <n v="8.59"/>
        <n v="8.75"/>
        <n v="1.1499999999999999"/>
        <n v="12.91"/>
        <n v="11.11"/>
        <n v="15.709999999999999"/>
        <n v="12.89"/>
        <n v="19.610000000000003"/>
        <n v="48.01"/>
        <n v="24.25"/>
        <n v="63.64"/>
        <n v="8.5"/>
        <n v="58.94"/>
        <n v="0.15000000000000002"/>
        <n v="2.21"/>
        <n v="2.2699999999999996"/>
        <n v="4.8899999999999997"/>
        <n v="1.85"/>
        <n v="7.33"/>
        <n v="1.53"/>
        <n v="1.58"/>
        <n v="0.84"/>
        <n v="3.5599999999999996"/>
        <n v="17.520000000000003"/>
        <n v="3.25"/>
        <n v="7.0000000000000007E-2"/>
        <n v="16.07"/>
        <n v="0.65"/>
        <n v="7.68"/>
        <n v="2.77"/>
        <n v="2.42"/>
        <n v="0.98"/>
        <n v="4.2799999999999994"/>
        <n v="1.1100000000000001"/>
        <n v="0.41"/>
        <n v="5.7"/>
        <n v="2.8"/>
        <n v="1.7"/>
        <n v="0.8"/>
        <n v="9.6"/>
        <n v="12.1"/>
        <n v="4.84"/>
        <n v="1.3"/>
        <n v="25.01"/>
        <n v="0.18000000000000002"/>
        <n v="3.8499999999999996"/>
        <n v="1.36"/>
        <n v="4.97"/>
        <n v="1.08"/>
        <n v="4.0699999999999994"/>
        <n v="8.19"/>
        <n v="0.76"/>
        <n v="2.96"/>
        <n v="3.44"/>
        <n v="12.73"/>
        <n v="3.18"/>
        <n v="13.1"/>
        <n v="1.9"/>
        <n v="0.11"/>
        <n v="29.1"/>
        <n v="4.47"/>
        <n v="6.25"/>
        <n v="2.94"/>
        <n v="4.3099999999999996"/>
        <n v="49.98"/>
        <n v="3.27"/>
        <n v="47.6"/>
        <n v="14.87"/>
        <n v="6.9999999999999993E-2"/>
        <n v="7.42"/>
        <n v="4.0199999999999996"/>
        <n v="11.04"/>
      </sharedItems>
    </cacheField>
    <cacheField name="Beneficiarios:" numFmtId="3">
      <sharedItems containsString="0" containsBlank="1" containsNumber="1" minValue="0" maxValue="20662"/>
    </cacheField>
    <cacheField name="Metas alcanzadas" numFmtId="0">
      <sharedItems containsBlank="1"/>
    </cacheField>
    <cacheField name="UNIDAD" numFmtId="0">
      <sharedItems/>
    </cacheField>
    <cacheField name="COST. UNIT." numFmtId="0">
      <sharedItems containsString="0" containsBlank="1" containsNumber="1" minValue="6.8093799999999996E-2" maxValue="78920.429999999993"/>
    </cacheField>
    <cacheField name="CANT." numFmtId="0">
      <sharedItems containsString="0" containsBlank="1" containsNumber="1" minValue="0" maxValue="729900"/>
    </cacheField>
    <cacheField name="Plazo en días calendario" numFmtId="0">
      <sharedItems containsNonDate="0" containsString="0" containsBlank="1"/>
    </cacheField>
    <cacheField name="Inicio" numFmtId="168">
      <sharedItems containsNonDate="0" containsDate="1" containsString="0" containsBlank="1" minDate="2013-04-01T00:00:00" maxDate="2014-12-02T00:00:00"/>
    </cacheField>
    <cacheField name="Fin" numFmtId="168">
      <sharedItems containsDate="1" containsBlank="1" containsMixedTypes="1" minDate="2014-01-05T00:00:00" maxDate="2014-12-31T00:00:00"/>
    </cacheField>
    <cacheField name="ESTADO" numFmtId="14">
      <sharedItems/>
    </cacheField>
    <cacheField name="MONTO INVERSION GPL / VIALSUR" numFmtId="167">
      <sharedItems containsSemiMixedTypes="0" containsString="0" containsNumber="1" minValue="0" maxValue="486847.2"/>
    </cacheField>
    <cacheField name="abril2014" numFmtId="0">
      <sharedItems containsString="0" containsBlank="1" containsNumber="1" minValue="0" maxValue="252849.8"/>
    </cacheField>
    <cacheField name="MAYO + AGOSTO" numFmtId="0">
      <sharedItems containsString="0" containsBlank="1" containsNumber="1" minValue="-378949.2" maxValue="540000"/>
    </cacheField>
    <cacheField name="Institución" numFmtId="0">
      <sharedItems containsString="0" containsBlank="1" containsNumber="1" minValue="1226.4000000000001" maxValue="454123.94"/>
    </cacheField>
    <cacheField name="Cooperación" numFmtId="0">
      <sharedItems containsString="0" containsBlank="1" containsNumber="1" minValue="45935.25" maxValue="45935.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Ing. Jorge M. Ordóñez O." refreshedDate="41963.340446296294" createdVersion="4" refreshedVersion="4" minRefreshableVersion="3" recordCount="472">
  <cacheSource type="worksheet">
    <worksheetSource ref="A11:U677" sheet="diciembre"/>
  </cacheSource>
  <cacheFields count="22">
    <cacheField name="Nº_x000a_" numFmtId="49">
      <sharedItems containsBlank="1"/>
    </cacheField>
    <cacheField name="ESTADO PROYECTOS" numFmtId="0">
      <sharedItems containsBlank="1"/>
    </cacheField>
    <cacheField name="Programa" numFmtId="49">
      <sharedItems/>
    </cacheField>
    <cacheField name=" Proyecto/Obra/Convenios" numFmtId="49">
      <sharedItems containsBlank="1" count="135" longText="1">
        <s v="TERMINACIÓN DE RECONFORMACIÓN DE LA VÍA PURUNUMA - CHINGUILAMACA  ( L TOTAL = 18,8Km, TRABAJO EJECUTADO, 1 KM DE RECONFORMACIÓN Y 3KM DE RESANTEO EN ESTA JORNADA FINAL)"/>
        <m/>
        <s v="RECONFORMACIÓN DE LA VÍA PURUNUMA GONZANAMÁ (L INTERVENCIÓN = 5KM A LA FECHA, SON EN TOTAL 7KM)"/>
        <s v="CONSTRUCCIÓN DE OBRAS DE ARTE EN LA VÍA CHIRIHUALA-CHANGAIMINA "/>
        <s v="LIMPIEZA DE DERRUMBES EN LA VIA GONZANAMÁ QUILANGA"/>
        <s v="LIMPIEZA DE DERRUMBES EN LA VIA LLANO GRANDE - LUJINUMA"/>
        <s v="LIMPIEZA DE DERRUMBES EN LA VIA COMBOLO - POTRERILLOS"/>
        <s v="LIMPIEZA DE DERRUMBES EN LA VIA CHIRIHUALA - CHANGAIMINA"/>
        <s v="LIMPIEZA DE DERRUMBES EN LA VIA ACCESO PRINCIPAL A SACAPALCA"/>
        <s v="RESANTEO Y LIMPIEZA DE DERRUMBES EN LA VIA NAMBACOLA-GERINOMA-CUCULAS"/>
        <s v="RESANTEO Y LIMPIEZA DE CUNETAS EN LA VIA NAMBACOLA- PEÑA NEGRA"/>
        <s v="RESANTEO Y LIMPIEZA DE CUNETAS EN LA VIA LANZACA - GRANJA DEPROSUR"/>
        <s v="RESANTEO Y LIMPIEZA DE CUNETAS EN LA VIA NAMBACOLA - LA CALERA - LA CALERA ALTO "/>
        <s v="RESANTEO Y LIMPIEZA DE CUNETAS EN LA VIA GERINOMA ALTO ILLIACA"/>
        <s v="LIMPIEZA DE DERRUMBES EN LA VIA LA HUACA - SACAPALCA - Y BACHEO CON LASTRES"/>
        <s v="LIMPIEZA DE DERRUMBES EN LA VIA AYASAPA - CHANGAIMINA Y BACHEO CON LASTRE"/>
        <s v="RECONFORMACIÓN Y LIMPIEZA DE CUNETAS EN LA VIA PRINCIPAL - YACURA"/>
        <s v="RECONFORMACIÓN Y LIMPIEZA DE CUNETAS EN LA VIA EL LIMON - CARBONERA - PLATANAL"/>
        <s v="RECONFORMACIÓN Y LIMPIEZA DE CUNETAS EN LA VIA PRINCIPAL - PIEDRA GRANDE"/>
        <s v="RECONFORMACIÓN Y LIMPIEZA DE CUNETAS EN LA VIA MOLLEPAMBA BAJO - MOLLEPAMBA ALTO"/>
        <s v="RECONFORMACION, BACHEO Y LIMPIEZA DE CUNETAS EN LA VIA ACCESO PRINCIPAL A LA PARROQUIA NAMBACOLA"/>
        <s v="RECONFORMACION, BACHEO Y LIMPIEZA DE CUNETAS EN LA VIA SACAPALCA CHANGAIMINA"/>
        <s v="RECONFORMACION, BACHEO Y LIMPIEZA DE CUNETAS EN LA VIA SUNAMANGA SACAPALCA"/>
        <s v="RECONFORMACION, BACHEO Y LIMPIEZA DE CUNETAS EN LA VIA SACAPALCA SAN VICENTE DEL RIO"/>
        <s v="RECONFORMACION, BACHEO Y LIMPIEZA DE CUNETAS EN LA VIA SACAPALCA  CHIRIMOYO"/>
        <s v="RECONFORMACION, BACHEO Y LIMPIEZA DE CUNETAS EN LA VIA CHIRIMOYO LIMON VEGA"/>
        <s v="TRABAJOS EMERGENTES PARA RAZANTEO Y LIMPIEZA DE CUNETAS BARRIO EL INGENIO"/>
        <s v="AMPLIACIÓN DE CURVAS Y DE VIA EN EL BARRIO EL GUABO"/>
        <s v="MEJORAMIENTO DE LA VIA BARRIO EL GUABO - COLOCACION DE MATERIAL DE MEJORAMIENTO EN TRAMOS CRITICOS"/>
        <s v="MEJORAMIENTO DE LA VIA BARRIO CONSAGUANA"/>
        <s v="TRABAJOS EMERGENTES DE LIMPIEZA DE DERRUMBES PARROQUIA EL AIRO; PARROQUIA SANTA TERESITA_x000a_"/>
        <s v="MANTENIMIENTO DE VIAS DE LA PARROQUIA BELLAVISTA"/>
        <s v="MANTENIMIENTO DE VIAS DE LA PARROQUIA JIMBURA"/>
        <s v="MEJORAMIENTO DE LA VIA LA NARANJA BATALLADEROS"/>
        <s v="MEJORAMIENTO DE LA VIA LA NARANJA EL SAUCO"/>
        <s v="MEJORAMIENTO DE LA VIA LA NARANJA LA VEGA"/>
        <s v="MEJORAMIENTO DE LA VIA LA NARANJA PINDO BAJO"/>
        <s v="RECONFORMACIÓN DE LA VIA SAN ANTONIO DE LAS ARADAS - QUEBRADA QUIROZ (L TOTAL = 5,4KM, TRABAJO EJECUTADO)"/>
        <s v="MANTENIMIENTO DE LA VIA &quot; COLAISACA-PULPERIA&quot;, PARROQUIA COLAISACA, CANTON CALVAS"/>
        <s v="APERTURA DE VIA SECTOR DE QUIZANGA Y AMPLIACION EN OTRAS PARTES DEL TRAMO SANGUILLIN - LUCERO (Longitud 100m)"/>
        <s v="MANTENIMIENTO DE EMERGENCIA A VIAS DE LA PARROQUIA TACAMOROS INICIA 7 MARZO 2014"/>
        <s v="ENCAUSAMIENTO DE QUEBRADA TUNGANI"/>
        <s v="MANTENIMIENTO DE LA VIA &quot; CARIAMANGA - SAN GUILLIN  DE LA PARROQUIA SAN GUILLIN, CANTON CALVAS&quot;"/>
        <s v="Mejoramiento de la Vía  SAN GUILLIN-QUIZANGA DE LA PARROQUIA SAN GUILLIN, CANTON CALVAS"/>
        <s v="MANTENIMIENTO DE EMERGENCIA A VIAS DE LA PARROQUIA COLAISACA"/>
        <s v="Mejoramiento de la Vía  SAN GUILLIN-USAIMA DE LA PARROQUIA SAN GUILLIN, CANTON CALVAS"/>
        <s v="Mejoramiento VIAL P. San Guillin :Camayos, San Joaquin,Chullafaique,Pasallal, CANTON CALVAS"/>
        <s v="MANTENIMIENTO VIAL P. QUIZANGA - LUCERO"/>
        <s v="CONVENIO DE MANTENIMIENTO DE LA VIA SOZORANGA - NUEVA FATIMA, CANTON SOZORANGA._x000a_Longtud 13,30KM"/>
        <s v="MANTENIMIENTO RUTINARIO VIAL EN LOS CANTONES CALVAS, ESPINDOLA, GONZANAMÁ, QUILANGA Y SOZORANGA (CONTRATO SIE-NRO.821-VIALSUR E.P.-2013)"/>
        <s v="VIA MERCADILLO CHITOQUE GAUTUNUMA"/>
        <s v="VIA TACAMOROS - LA VICTORIA - LA BOCANA- EL LIMON; TRAMO - TACAMOROS - LA VICTORIA L= 14 KM._x000a_(PARALIZADO POR INVIERNO)"/>
        <s v="VIA ALAMOR VICENTINO "/>
        <s v="VIA LA HOYADA EL LIMO (CANTON PUYANGO)"/>
        <s v="VIA GUAYACAN - PALTAPAMBA - (CANTON PUYANGO)_x000a_(PARALIZADO POR INVIERNO)"/>
        <s v="MANTENIEMIENTO DE VIAS DEL CANTON PUYANGO (PARROQUIAS ARENAL, CIANO, EL LIMO Y MERCADILLO)"/>
        <s v="REHABILITACION DE LA VIA Y CELICA - POZUL - PINDAL_x000a_(CONVENIO GPL - VIALSUR.EP RECURSOS)"/>
        <s v="REHABILITACION DE LA VÍA MACARÁ - SAUCILLO_x000a_(CONVENIO GPL - VIALSUR.EP RECURSOS)"/>
        <s v="CONTRATO SIE-NRO-828-VIALSUR.EP-2013 CONTRATACION DE MAQUINARIA PARA EL MANTENIMIENTO RUTINARIO DE VIAS EN LOS CANTONES (PINDAL CELICA PUYANGO MACARA Y ZAPOTILLO)"/>
        <s v="MANTENIMIENTO DE LA VIA MANGAHURQUILLO CAZADEROS PROGRESO GRAMADALES LA LEONERA"/>
        <s v="CONSTRUCCION DE ESTRIBOS PARA PUENTE BAYLEY SECTOR EL ARENAL CONVENIO NRO 007-2013 GADM PUYANGO - VIALSUR.EP(MUNICIPIO AUN NO INICIA LOS TRABAJOS) APORTES GAD $ 10000,00 Y VIALSUR $ 10 500,00, las estructuras se encuentran en bodega del GAP. PUYANGO, en espera de firma de convenio para realizar entrega"/>
        <s v="CONSTRUCCION DE ESTRIBOS PARA PUENTE BAYLEY SECTOR CIANO CONVENIO  NRO. 006-2013 GADP CIANO - VIALSUR.EP(ESTRIBOS EJECUTADOS) GADP $ 15 000, 00 Y VIALSUR. EP $ 10 000,00. Las estructuras se encuentran en bodega del GAP. PUYANGO, en espera de firma de convenio para realizar entrega"/>
        <s v="VIA, CHINCHAS-ZAMBI-RIO PINDO, L=55,88 km. (Catamayo)"/>
        <s v="VIA, ACCESO A RUMIPOTRERO, L=4,5 km. (Catamayo)"/>
        <s v="VIA, CHIGUANGO-CHIGUANGO ALTO, L=3,1 km. (Catamayo)"/>
        <s v="VIA CHINCHAS LA ARADA, L=6.7 KM. (incluye 0.4 km accesos al sitio la Cruz ( ( Zambi - Catamayo)"/>
        <s v="VIA, ACCESO A BARRIOS: LA CHORA-LA LIBERTAD, L=6,7 km, AL PORVENIR, L=1,1 km.  (Catamayo)"/>
        <s v="VIA, ACCESO AL BARRIO, TOGUEROS, L=1,65 km (Catamayo)"/>
        <s v="VIA, INDIUCHO-EL TAMBO, L=12,7 km. (Catamayo)  FALLA GEOLOGICA, ABS. 8+500  Inicio: 7 de marzo, continúa."/>
        <s v="VIA, INDIUCHO-EL TAMBO, L=12,7 km. (Catamayo)"/>
        <s v="VIA, EL TAMBO-CHAPAMARCA-VILLONACO, L=18,2 km. (Catamayo)"/>
        <s v="VIA, EL TAMBO-LA ERA, L=8,6 km. (Catamayo)"/>
        <s v="VIA ACCESO A LA MERCED BAJA, L= 1.6 KM. VIA ANTIGUA, LA ERA - &quot;Y&quot; DEL CANAL, L= 2,3 KM (EL TAMBO - CATAMAYO)"/>
        <s v="VIA, SOBRINOSPAMBA-EL HUAYCO, L=4,7 km. (Catamayo)"/>
        <s v="VIA, &quot;Y&quot; del ROSARIO-RIO YAGUACHI, L=15,4 km. (Chaguar.)"/>
        <s v="VIA, CORDILLERA DE RAMOS-4 LOMAS, L=6,2 km. (Chaguar.)"/>
        <s v="VIA,PANAMERICANA - SAN JOSE-BUENAVISTA, L=7,3 km. (Chaguarpamba)"/>
        <s v="VIA, BUENAVISTA-AMARILLOS, L=9,9 km. (Chaguarpamba)"/>
        <s v="VIAS DESDE BUENAVISTA A, VALLE HERMOSO, PALMAL Y PAN DE AZUCAR"/>
        <s v="VIA, LAS JUNTAS-&quot;Y&quot; del GUINEO, RIO PINDO L=5.6 km. "/>
        <s v="PLATAFORMA DEL CANAL,&quot;Y&quot; del GUINEO, L=4,2 km. (Chaguarpamba)"/>
        <s v="VIA YEE DEL GUINEO SANTA RUFINA 7.5 KM"/>
        <s v="VIA SANTARUFINA PUEBLO NUEVO 2.8 KM"/>
        <s v="VIA AMANCAY SANTARUFINA PUEBLO NUEVO 1,7 KM"/>
        <s v="CALLES DE SANTA RUFINA  0,8 KM"/>
        <s v="VIA GUACHANAMA CELICA 9,6 KM"/>
        <s v="VIA GUACHANAMA LA SALERA 17,1 KM"/>
        <s v="VIA LAURO GUERRERO SANTA GERTRUDIZ 12.1 KM"/>
        <s v="VIA, ORIANGA-LA VICTORIA-SHOA, L=11,0 km. (Paltas)"/>
        <s v="VIA RIO PINDO  LAS JUNTAS ORIANGA L=17,8 KM (PALTAS)"/>
        <s v="VIA RIO PINDO  LAS JUNTAS ORIANGA L=23.2 KM (PALTAS)"/>
        <s v="CALLES DE ORIANGA, L=1,0 km.  (Paltas)"/>
        <s v="VIA, ORIANGA-EL TRIUNFO, L=7,7 km. (Paltas)"/>
        <s v="VIAS DESDE ORIANGA A, GUAYACAN Y LA VEGA. (Paltas)"/>
        <s v="VIA, LA PALMA-EL PLACER, L=11,1 km. (Paltas)( RETROEXCAVADORA DE LA JUNTA PARROQUIAL)"/>
        <s v="VIAS DE LA PARROQUIA YAMANA, L=6,90 km. (Paltas)"/>
        <s v="VIA, PLAYAS-YAMANA, L=3,8 km. (Paltas)"/>
        <s v="VIA, SAN ANTONIO-EL SAUCE, L=9,7 km. (Paltas)"/>
        <s v="VIA, SAN ANTONIO-YAMANA, L=2.8 km. (Paltas) Inicio: 22 de marzo"/>
        <s v="VIAS DE ACCESO A LOS BARRIOS, STO. DOMINGO, L=3.8 km. CHORRERA L=0.8 km. (Paltas)"/>
        <s v="VIA TAMBARA-COLA L=6.3 KM"/>
        <s v="VIA, LA TINGUE-ZAPALLAL.  L=4,8 km."/>
        <s v="VIA EL LIMON GUACHANAMA LAURO GUERRERO"/>
        <s v="VIAS DE ACCESO A LOS BARRIOS, SACAPIANGA Y SAN ANTONIO BAJO"/>
        <s v="MANTENIMIENTO DE LAS VIAS TABLON-MINA, TABLON-SAN JOSE, YEE DE SAN JOSE-QUISHQUIL, CEMENTERIO-LA LAGUNA-COCHALOMA, PANAMERICANA-POTRERILLOS-TACHIN. LONGITUD 18 KM"/>
        <s v="MANTENIMIENTO DE LAS VIAS DE LA PARROQUIA CELEN, LONGITUD 12,00 KM"/>
        <s v="MANTENIMIENTO DE LA VIA MALACATOS-SAN JOSE DE LAS PEÑAS, LONGITUD 3,00 KM"/>
        <s v="MANTENIMIENTO DE LA VIA TANQUE DE COLA - PUENTE SANTO DOMINGO, LONGITUD 3,00 KM"/>
        <s v="MANTENIMIENTO DE LAS VIAS DE LA PARROQUIA YANGANA, TRAMO YANGANA-PUENTE MASANAMACA, LONGITUD 26,00 KM"/>
        <s v="MEJORAMIENTO  DE LAS CALLES Y VIAS DE LOS BARRIOS PERIFERICOS DE LA CIUDAD DE LOJA, LONGITUD 180 KM CONVENIO NRO. 131-DPS-2013 APORTES GPL - GADMLOJA - VIALSUR.EP, Contrato original sie nro 582 $ 161 921.96  del 15 de agosto al 18 de enero del 2014, concluido 100 % y pagado."/>
        <s v="MANTENTENIMIENTO DE CALLES Y VIAS DE LOS BARRIOS PERIFERICOS DE LA CIUDAD DE LOJA (CONTRATO CIA. JARAMILLO CONSTRUCTORA)"/>
    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    <s v="MANTENIMIEMTO RUTINARIO VAL EN LOS CANTONES LOJA Y SARAGURO (CONTRATO SIE N° 822 SUSCRITO CON EL ING. MANUEL PICOITA), LONGITUD 200 KM; Resanteo de vía con motoniveladora en las vías de las parroquias Celén, Selva Alegre, Lluzhapa, Yuluc y Sumaipamba, cantón Saraguro"/>
        <s v="TERMINACION PROYECTO VIAL VILCABAMBA-LINDEROS-MOYOCOCHA (OBRAS DE ARTE Y SEÑALIZACION, CONTRATISTA ING. MAXIMO CASTRO), fecha de suscripción contrato 5 de febrero del 2014, entrega el anticipo 7 de marzo del 2014 40 % del monto del contrato."/>
        <s v="MANTENIMIENTO DE LA VIA SELVA ALEGRE-LLUZHAPA-SUMAIPAMBA L= 40 km."/>
        <s v="MANTENIMIENTO DE LA VIA EL CISNE - GUALEL - CHUQUIRIBAMBA  L=22 km."/>
        <s v="MANTENIMIENTO DE LA VÍA EL CISNE - AMBOCAS L=24 km."/>
        <s v="MANTENIMIENTO DE VIAS DE PARROQUIA MALACATOS SAN FRANCISCO BAJO - SAN FRANCISCOALTO-BELEN "/>
        <s v="MANTENIMIENTO DE LA VIA VILLONACO-TAQUIL-CHANTACO-CHUQUIRIBAMBA  L=40 KM."/>
        <s v="REHABILITACION DE LA VIA LOS MANGOS - CHAQUIRCUÑA L = 7.5 KM"/>
        <s v="MANTENIMIENTO DE LA VIA SOLAMAR - JIMBILLA L= 17.00 KM."/>
        <s v="MANTENIMIENTO DEL CADE"/>
        <s v="MANTENIMIENTO DE LA VIA SAUCES NORTE SOLAMAR - SAN LUCAS"/>
        <s v="ENCAUSAMIENTO DE QUEBRADA PICUMINE (BARRIO TUMIANUMA)"/>
        <s v="MANTENIMIENTO DE LA VIA SELVA ALEGRE - TENTA"/>
        <s v="MANTENIMIENTO DE LA VIA TENTA - SELVA ALEGRE"/>
        <s v="RESANTEO DE LA VIA TUMIANUMA QUINARA"/>
        <s v="ADECUACION DEL COLEGIO LA SALLE"/>
        <s v="VIA JIMBILLA LA CHONTA"/>
        <s v="MEJORAMIENTO A NIVEL DE DOBLE TRATAMIENTO SUPERFICIAL BITUMINOSO DE LA VIA SARAGURO TENTA L= 6.17 KM.ABSC (4+044.69 - 10+210.55) CONVENIO NRO.120 - DPS -2013 GPL - VIALSUR.EP"/>
        <s v="MANTENIMIENTO DE LA VIA &quot; CARIAMANGA - SAN GUILLIN DE LA PARROQUIA SAN GUILLIN, CANTON CALVAS" u="1"/>
        <s v="VIA GUACHANAMA SAN VICENTE DE LA SALERA L= 12.6 KM(PALTAS)" u="1"/>
        <s v="MANTENIMIENTO RUTINARIO DE LA VIA CARIAMANGA - EL LUCERO - RIO PINDO (MONTO EJECUTADO 4´249 133.29)" u="1"/>
        <s v="MANTENIMIENTPO DE LA VIA SAN PEDRO DE VILCABAMBA - SACAPO L=3.00 KM." u="1"/>
        <s v="MANTENIMIENTO DE LA VIA TENTA-SELVA ALEGRE" u="1"/>
      </sharedItems>
    </cacheField>
    <cacheField name="DETALLE DE PROYECTOS" numFmtId="2">
      <sharedItems containsBlank="1" count="138" longText="1">
        <s v="TERMINACIÓN DE RECONFORMACIÓN DE LA VÍA PURUNUMA - CHINGUILAMACA  ( L TOTAL = 18,8Km, TRABAJO EJECUTADO, 1 KM DE RECONFORMACIÓN Y 3KM DE RESANTEO EN ESTA JORNADA FINAL)"/>
        <s v="RECONFORMACIÓN DE LA VÍA PURUNUMA GONZANAMÁ (L INTERVENCIÓN = 5KM A LA FECHA, SON EN TOTAL 7KM)"/>
        <s v="CONSTRUCCIÓN DE OBRAS DE ARTE EN LA VÍA CHIRIHUALA-CHANGAIMINA "/>
        <s v="LIMPIEZA DE DERRUMBES EN LA VIA GONZANAMÁ QUILANGA"/>
        <s v="LIMPIEZA DE DERRUMBES EN LA VIA LLANO GRANDE - LUJINUMA"/>
        <s v="LIMPIEZA DE DERRUMBES EN LA VIA COMBOLO - POTRERILLOS"/>
        <s v="LIMPIEZA DE DERRUMBES EN LA VIA CHIRIHUALA - CHANGAIMINA"/>
        <s v="LIMPIEZA DE DERRUMBES EN LA VIA ACCESO PRINCIPAL A SACAPALCA"/>
        <s v="RESANTEO Y LIMPIEZA DE DERRUMBES EN LA VIA NAMBACOLA-GERINOMA-CUCULAS"/>
        <s v="RESANTEO Y LIMPIEZA DE CUNETAS EN LA VIA NAMBACOLA- PEÑA NEGRA"/>
        <s v="RESANTEO Y LIMPIEZA DE CUNETAS EN LA VIA LANZACA - GRANJA DEPROSUR"/>
        <s v="RESANTEO Y LIMPIEZA DE CUNETAS EN LA VIA NAMBACOLA - LA CALERA - LA CALERA ALTO "/>
        <s v="RESANTEO Y LIMPIEZA DE CUNETAS EN LA VIA GERINOMA ALTO ILLIACA"/>
        <s v="LIMPIEZA DE DERRUMBES EN LA VIA LA HUACA - SACAPALCA - Y BACHEO CON LASTRES"/>
        <s v="LIMPIEZA DE DERRUMBES EN LA VIA AYASAPA - CHANGAIMINA Y BACHEO CON LASTRE"/>
        <s v="RECONFORMACIÓN Y LIMPIEZA DE CUNETAS EN LA VIA PRINCIPAL - YACURA"/>
        <s v="RECONFORMACIÓN Y LIMPIEZA DE CUNETAS EN LA VIA EL LIMON - CARBONERA - PLATANAL"/>
        <s v="RECONFORMACIÓN Y LIMPIEZA DE CUNETAS EN LA VIA PRINCIPAL - PIEDRA GRANDE"/>
        <s v="RECONFORMACIÓN Y LIMPIEZA DE CUNETAS EN LA VIA MOLLEPAMBA BAJO - MOLLEPAMBA ALTO"/>
        <s v="RECONFORMACION, BACHEO Y LIMPIEZA DE CUNETAS EN LA VIA ACCESO PRINCIPAL A LA PARROQUIA NAMBACOLA"/>
        <s v="RECONFORMACION, BACHEO Y LIMPIEZA DE CUNETAS EN LA VIA SACAPALCA CHANGAIMINA"/>
        <s v="RECONFORMACION, BACHEO Y LIMPIEZA DE CUNETAS EN LA VIA SUNAMANGA SACAPALCA"/>
        <s v="RECONFORMACION, BACHEO Y LIMPIEZA DE CUNETAS EN LA VIA SACAPALCA SAN VICENTE DEL RIO"/>
        <s v="RECONFORMACION, BACHEO Y LIMPIEZA DE CUNETAS EN LA VIA SACAPALCA  CHIRIMOYO"/>
        <s v="RECONFORMACION, BACHEO Y LIMPIEZA DE CUNETAS EN LA VIA CHIRIMOYO LIMON VEGA"/>
        <s v="TRABAJOS EMERGENTES PARA RAZANTEO Y LIMPIEZA DE CUNETAS BARRIO EL INGENIO"/>
        <s v="AMPLIACIÓN DE CURVAS Y DE VIA EN EL BARRIO EL GUABO"/>
        <s v="MEJORAMIENTO DE LA VIA BARRIO EL GUABO - COLOCACION DE MATERIAL DE MEJORAMIENTO EN TRAMOS CRITICOS"/>
        <s v="MEJORAMIENTO DE LA VIA BARRIO CONSAGUANA"/>
        <s v="TRABAJOS EMERGENTES DE LIMPIEZA DE DERRUMBES PARROQUIA EL AIRO; PARROQUIA SANTA TERESITA_x000a_"/>
        <s v="MANTENIMIENTO DE VIAS DE LA PARROQUIA BELLAVISTA"/>
        <s v="MANTENIMIENTO DE VIAS DE LA PARROQUIA JIMBURA"/>
        <s v="MEJORAMIENTO DE LA VIA LA NARANJA BATALLADEROS"/>
        <s v="MEJORAMIENTO DE LA VIA LA NARANJA EL SAUCO"/>
        <s v="MEJORAMIENTO DE LA VIA LA NARANJA LA VEGA"/>
        <s v="MEJORAMIENTO DE LA VIA LA NARANJA PINDO BAJO"/>
        <s v="RECONFORMACIÓN DE LA VIA SAN ANTONIO DE LAS ARADAS - QUEBRADA QUIROZ (L TOTAL = 5,4KM, TRABAJO EJECUTADO)"/>
        <s v="MANTENIMIENTO DE LA VIA &quot; COLAISACA-PULPERIA&quot;, PARROQUIA COLAISACA, CANTON CALVAS"/>
        <s v="APERTURA DE VIA SECTOR DE QUIZANGA Y AMPLIACION EN OTRAS PARTES DEL TRAMO SANGUILLIN - LUCERO (Longitud 100m)"/>
        <s v="MANTENIMIENTO DE EMERGENCIA A VIAS DE LA PARROQUIA TACAMOROS INICIA 7 MARZO 2014"/>
        <s v="ENCAUSAMIENTO DE QUEBRADA TUNGANI"/>
        <s v="MANTENIMIENTO DE LA VIA &quot; CARIAMANGA - SAN GUILLIN  DE LA PARROQUIA SAN GUILLIN, CANTON CALVAS&quot;"/>
        <s v="Mejoramiento de la Vía  SAN GUILLIN-QUIZANGA DE LA PARROQUIA SAN GUILLIN, CANTON CALVAS"/>
        <s v="MANTENIMIENTO DE EMERGENCIA A VIAS DE LA PARROQUIA COLAISACA"/>
        <s v="Mejoramiento de la Vía  SAN GUILLIN-USAIMA DE LA PARROQUIA SAN GUILLIN, CANTON CALVAS"/>
        <s v="Mejoramiento VIAL P. San Guillin :Camayos, San Joaquin,Chullafaique,Pasallal, CANTON CALVAS"/>
        <s v="MANTENIMIENTO VIAL P. QUIZANGA - LUCERO"/>
        <s v="CONVENIO DE MANTENIMIENTO DE LA VIA SOZORANGA - NUEVA FATIMA, CANTON SOZORANGA._x000a_Longtud 13,30KM"/>
        <s v="MANTENIMIENTO RUTINARIO VIAL EN LOS CANTONES CALVAS, ESPINDOLA, GONZANAMÁ, QUILANGA Y SOZORANGA (CONTRATO SIE-NRO.821-VIALSUR E.P.-2013)"/>
        <s v="VIA MERCADILLO CHITOQUE GAUTUNUMA"/>
        <s v="VIA TACAMOROS - LA VICTORIA - LA BOCANA- EL LIMON; TRAMO - TACAMOROS - LA VICTORIA L= 14 KM._x000a_(PARALIZADO POR INVIERNO)"/>
        <s v="VIA ALAMOR VICENTINO "/>
        <s v="VIA LA HOYADA EL LIMO (CANTON PUYANGO)"/>
        <s v="VIA GUAYACAN - PALTAPAMBA - (CANTON PUYANGO)_x000a_(PARALIZADO POR INVIERNO)"/>
        <s v="MANTENIEMIENTO DE VIAS DEL CANTON PUYANGO (PARROQUIAS ARENAL, CIANO, EL LIMO Y MERCADILLO)"/>
        <s v="REHABILITACION DE LA VIA Y CELICA - POZUL - PINDAL_x000a_(CONVENIO GPL - VIALSUR.EP RECURSOS)"/>
        <s v="REHABILITACION DE LA VÍA MACARÁ - SAUCILLO_x000a_(CONVENIO GPL - VIALSUR.EP RECURSOS)"/>
        <s v="CONTRATO SIE-NRO-828-VIALSUR.EP-2013 CONTRATACION DE MAQUINARIA PARA EL MANTENIMIENTO RUTINARIO DE VIAS EN LOS CANTONES (PINDAL CELICA PUYANGO MACARA Y ZAPOTILLO)"/>
        <s v="MANTENIMIENTO DE LA VIA MANGAHURQUILLO CAZADEROS PROGRESO GRAMADALES LA LEONERA"/>
        <s v="CONSTRUCCION DE ESTRIBOS PARA PUENTE BAYLEY SECTOR EL ARENAL CONVENIO NRO 007-2013 GADM PUYANGO - VIALSUR.EP(MUNICIPIO AUN NO INICIA LOS TRABAJOS) APORTES GAD $ 10000,00 Y VIALSUR $ 10 500,00, las estructuras se encuentran en bodega del GAP. PUYANGO, en espera de firma de convenio para realizar entrega"/>
        <s v="CONSTRUCCION DE ESTRIBOS PARA PUENTE BAYLEY SECTOR CIANO CONVENIO  NRO. 006-2013 GADP CIANO - VIALSUR.EP(ESTRIBOS EJECUTADOS) GADP $ 15 000, 00 Y VIALSUR. EP $ 10 000,00. Las estructuras se encuentran en bodega del GAP. PUYANGO, en espera de firma de convenio para realizar entrega"/>
        <s v="VIA, CHINCHAS-ZAMBI-RIO PINDO, L=55,88 km. (Catamayo)"/>
        <s v="VIA, ACCESO A RUMIPOTRERO, L=4,5 km. (Catamayo)"/>
        <s v="VIA, CHIGUANGO-CHIGUANGO ALTO, L=3,1 km. (Catamayo)"/>
        <s v="VIA CHINCHAS LA ARADA, L=6.7 KM. (incluye 0.4 km accesos al sitio la Cruz ( ( Zambi - Catamayo)"/>
        <s v="VIA, ACCESO A BARRIOS: LA CHORA-LA LIBERTAD, L=6,7 km, AL PORVENIR, L=1,1 km.  (Catamayo)"/>
        <s v="VIA, ACCESO AL BARRIO, TOGUEROS, L=1,65 km (Catamayo)"/>
        <s v="VIA, INDIUCHO-EL TAMBO, L=12,7 km. (Catamayo)  FALLA GEOLOGICA, ABS. 8+500  Inicio: 7 de marzo, continúa."/>
        <s v="VIA, INDIUCHO-EL TAMBO, L=12,7 km. (Catamayo)"/>
        <s v="VIA, EL TAMBO-CHAPAMARCA-VILLONACO, L=18,2 km. (Catamayo)"/>
        <s v="VIA, EL TAMBO-LA ERA, L=8,6 km. (Catamayo)"/>
        <s v="VIA ACCESO A LA MERCED BAJA, L= 1.6 KM. VIA ANTIGUA, LA ERA - &quot;Y&quot; DEL CANAL, L= 2,3 KM (EL TAMBO - CATAMAYO)"/>
        <s v="VIA, SOBRINOSPAMBA-EL HUAYCO, L=4,7 km. (Catamayo)"/>
        <s v="VIA, &quot;Y&quot; del ROSARIO-RIO YAGUACHI, L=15,4 km. (Chaguar.)"/>
        <s v="VIA, CORDILLERA DE RAMOS-4 LOMAS, L=6,2 km. (Chaguar.)"/>
        <s v="VIA,PANAMERICANA - SAN JOSE-BUENAVISTA, L=7,3 km. (Chaguarpamba)"/>
        <s v="VIA, BUENAVISTA-AMARILLOS, L=9,9 km. (Chaguarpamba)"/>
        <s v="VIAS DESDE BUENAVISTA A, VALLE HERMOSO, PALMAL Y PAN DE AZUCAR"/>
        <s v="VIA, LAS JUNTAS-&quot;Y&quot; del GUINEO, RIO PINDO L=5.6 km. "/>
        <s v="PLATAFORMA DEL CANAL,&quot;Y&quot; del GUINEO, L=4,2 km. (Chaguarpamba)"/>
        <s v="VIA SANTARUFINA PUEBLO NUEVO 2.8 KM"/>
        <s v="VIA AMANCAY SANTARUFINA PUEBLO NUEVO 1,7 KM"/>
        <s v="CALLES DE SANTA RUFINA  0,8 KM"/>
        <s v="VIA GUACHANAMA CELICA 9,6 KM"/>
        <s v="VIA GUACHANAMA LA SALERA 17,1 KM"/>
        <s v="VIA LAURO GUERRERO SANTA GERTRUDIZ 12.1 KM"/>
        <s v="VIA, ORIANGA-LA VICTORIA-SHOA, L=11,0 km. (Paltas)"/>
        <s v="VIA RIO PINDO  LAS JUNTAS ORIANGA L=17,8 KM (PALTAS)"/>
        <s v="VIA RIO PINDO  LAS JUNTAS ORIANGA L=23.2 KM (PALTAS)"/>
        <s v="CALLES DE ORIANGA, L=1,0 km.  (Paltas)"/>
        <s v="VIA, ORIANGA-EL TRIUNFO, L=7,7 km. (Paltas)"/>
        <s v="VIAS DESDE ORIANGA A, GUAYACAN Y LA VEGA. (Paltas)"/>
        <s v="VIA, LA PALMA-EL PLACER, L=11,1 km. (Paltas)( RETROEXCAVADORA DE LA JUNTA PARROQUIAL)"/>
        <s v="VIAS DE LA PARROQUIA YAMANA, L=6,90 km. (Paltas)"/>
        <s v="VIA, PLAYAS-YAMANA, L=3,8 km. (Paltas)"/>
        <s v="VIA, SAN ANTONIO-EL SAUCE, L=9,7 km. (Paltas)"/>
        <s v="VIA, SAN ANTONIO-YAMANA, L=2.8 km. (Paltas) Inicio: 22 de marzo"/>
        <s v="VIAS DE ACCESO A LOS BARRIOS, STO. DOMINGO, L=3.8 km. CHORRERA L=0.8 km. (Paltas)"/>
        <s v="VIA TAMBARA-COLA L=6.3 KM"/>
        <s v="VIA, LA TINGUE-ZAPALLAL.  L=4,8 km."/>
        <s v="VIA EL LIMON GUACHANAMA LAURO GUERRERO"/>
        <s v="VIAS DE ACCESO A LOS BARRIOS, SACAPIANGA Y SAN ANTONIO BAJO"/>
        <s v="MANTENIMIENTO DE LAS VIAS TABLON-MINA, TABLON-SAN JOSE, YEE DE SAN JOSE-QUISHQUIL, CEMENTERIO-LA LAGUNA-COCHALOMA, PANAMERICANA-POTRERILLOS-TACHIN. LONGITUD 18 KM"/>
        <s v="MANTENIMIENTO DE LAS VIAS DE LA PARROQUIA CELEN, LONGITUD 12,00 KM"/>
        <s v="MANTENIMIENTO DE LA VIA MALACATOS-SAN JOSE DE LAS PEÑAS, LONGITUD 3,00 KM"/>
        <s v="MANTENIMIENTO DE LA VIA TANQUE DE COLA - PUENTE SANTO DOMINGO, LONGITUD 3,00 KM"/>
        <s v="MANTENIMIENTO DE LAS VIAS DE LA PARROQUIA YANGANA, TRAMO YANGANA-PUENTE MASANAMACA, LONGITUD 26,00 KM"/>
        <s v="MEJORAMIENTO  DE LAS CALLES Y VIAS DE LOS BARRIOS PERIFERICOS DE LA CIUDAD DE LOJA, LONGITUD 180 KM CONVENIO NRO. 131-DPS-2013 APORTES GPL - GADMLOJA - VIALSUR.EP, Contrato original sie nro 582 $ 161 921.96  del 15 de agosto al 18 de enero del 2014, concluido 100 % y pagado."/>
        <s v="MANTENTENIMIENTO DE CALLES Y VIAS DE LOS BARRIOS PERIFERICOS DE LA CIUDAD DE LOJA (CONTRATO CIA. JARAMILLO CONSTRUCTORA)"/>
    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    <s v="MANTENIMIEMTO RUTINARIO VAL EN LOS CANTONES LOJA Y SARAGURO (CONTRATO SIE N° 822 SUSCRITO CON EL ING. MANUEL PICOITA), LONGITUD 200 KM; Resanteo de vía con motoniveladora en las vías de las parroquias Celén, Selva Alegre, Lluzhapa, Yuluc y Sumaipamba, cantón Saraguro"/>
        <s v="TERMINACION PROYECTO VIAL VILCABAMBA-LINDEROS-MOYOCOCHA (OBRAS DE ARTE Y SEÑALIZACION, CONTRATISTA ING. MAXIMO CASTRO), fecha de suscripción contrato 5 de febrero del 2014, entrega el anticipo 7 de marzo del 2014 40 % del monto del contrato."/>
        <s v="MANTENIMIENTO DE LA VIA SELVA ALEGRE-LLUZHAPA-SUMAIPAMBA L= 40 km."/>
        <s v="MANTENIMIENTO DE LA VIA EL CISNE - GUALEL - CHUQUIRIBAMBA  L=22 km."/>
        <s v="MANTENIMIENTO DE LA VÍA EL CISNE - AMBOCAS L=24 km."/>
        <s v="MANTENIMIENTO DE VIAS DE PARROQUIA MALACATOS SAN FRANCISCO BAJO - SAN FRANCISCOALTO-BELEN "/>
        <s v="MANTENIMIENTO DE LA VIA VILLONACO-TAQUIL-CHANTACO-CHUQUIRIBAMBA  L=40 KM."/>
        <s v="REHABILITACION DE LA VIA LOS MANGOS - CHAQUIRCUÑA L = 7.5 KM"/>
        <s v="MANTENIMIENTO DE LA VIA SOLAMAR - JIMBILLA L= 17.00 KM."/>
        <s v="MANTENIMIENTO DEL CADE"/>
        <s v="MANTENIMIENTO DE LA VIA SAUCES NORTE SOLAMAR - SAN LUCAS"/>
        <s v="ENCAUSAMIENTO DE QUEBRADA PICUMINE (BARRIO TUMIANUMA)"/>
        <s v="MANTENIMIENTO DE LA VIA SELVA ALEGRE - TENTA"/>
        <s v="MANTENIMIENTO DE LA VIA TENTA - SELVA ALEGRE"/>
        <s v="RESANTEO DE LA VIA TUMIANUMA QUINARA"/>
        <s v="ADECUACION DEL COLEGIO LA SALLE"/>
        <s v="VIA JIMBILLA LA CHONTA"/>
        <s v="MEJORAMIENTO A NIVEL DE DOBLE TRATAMIENTO SUPERFICIAL BITUMINOSO DE LA VIA SARAGURO TENTA L= 6.17 KM.ABSC (4+044.69 - 10+210.55) CONVENIO NRO.120 - DPS -2013 GPL - VIALSUR.EP"/>
        <m u="1"/>
        <s v="MANTENIMIENTO DE LA VIA &quot; CARIAMANGA - SAN GUILLIN DE LA PARROQUIA SAN GUILLIN, CANTON CALVAS" u="1"/>
        <s v="VIA GUACHANAMA SAN VICENTE DE LA SALERA L= 12.6 KM(PALTAS)" u="1"/>
        <s v="MANTENIMIENTO RUTINARIO DE LA VIA CARIAMANGA - EL LUCERO - RIO PINDO (MONTO EJECUTADO 4´249 133.29)" u="1"/>
        <s v="+D112" u="1"/>
        <s v="+E113" u="1"/>
        <s v="MANTENIMIENTPO DE LA VIA SAN PEDRO DE VILCABAMBA - SACAPO L=3.00 KM." u="1"/>
        <s v="MANTENIMIENTO DE LA VIA TENTA-SELVA ALEGRE" u="1"/>
        <s v="+E114" u="1"/>
        <s v="+E112" u="1"/>
      </sharedItems>
    </cacheField>
    <cacheField name="ZONA" numFmtId="0">
      <sharedItems/>
    </cacheField>
    <cacheField name="Cantón" numFmtId="0">
      <sharedItems containsBlank="1" count="18">
        <s v="GONZANAMA"/>
        <s v="QUILANGA"/>
        <s v="ESPINDOLA"/>
        <s v="CALVAS"/>
        <s v="SOZORANGA"/>
        <s v="PUYANGO"/>
        <s v="PINDAL"/>
        <s v="CELICA"/>
        <s v="MACARA"/>
        <s v="ZAPOTILLO"/>
        <s v="CATAMAYO"/>
        <s v="CHAGUARPAMBA"/>
        <s v="PALTAS"/>
        <s v="OLMEDO"/>
        <s v="SARAGURO"/>
        <s v="LOJA"/>
        <m u="1"/>
        <s v="CALVAS ESPINDOLA GONZANAMA QUILANGA Y SOZORANGA" u="1"/>
      </sharedItems>
    </cacheField>
    <cacheField name="Parroquia" numFmtId="0">
      <sharedItems containsBlank="1" count="66">
        <s v="PURUNUMA"/>
        <s v="CHANGAIMINA"/>
        <s v="QUILANGA"/>
        <s v="SACAPALCA"/>
        <s v="NAMBACOLA"/>
        <s v="EL INGENIO"/>
        <s v="AMALUZA"/>
        <s v="SANTA TERESITA EL AIRO"/>
        <s v="BELLAVISTA"/>
        <s v="JIMBURA"/>
        <s v="27 DE ABRIL"/>
        <s v="SANANTONIODELASARADAS"/>
        <s v="COLAISACA"/>
        <s v="SANGUILLÍN"/>
        <s v="TACAMOROS"/>
        <s v="GONZANAMÁ"/>
        <s v="NUEVAFÁTIMA"/>
        <s v="EL LUCERO "/>
        <s v="SAN ANTONIO DE LAS ARADAS"/>
        <s v="SOZORANGA"/>
        <s v="MERCADILLO"/>
        <s v="VICENTINO"/>
        <s v="ELLIMO"/>
        <s v="CIANO"/>
        <s v="PINDAL C"/>
        <s v="POZUL"/>
        <s v="MACARÁ"/>
        <s v="BOLASPAMBA"/>
        <s v="GARZAREAL"/>
        <s v="CAZADEROS"/>
        <s v="CRUZPAMBA "/>
        <s v="ELARENAL"/>
        <s v="ZAMBI"/>
        <s v="GUAYQUICHUMA"/>
        <s v="EL ROSARIO"/>
        <s v="SAN PEDRO DE LA BENDITA"/>
        <s v="EL TAMBO"/>
        <s v="BUENAVISTA"/>
        <s v="AMARILLOS"/>
        <s v="SANTA RUFINA"/>
        <s v="ORIANGA"/>
        <s v="LAUROGUERRERO"/>
        <s v="YAMANA"/>
        <s v="SANANTONIO"/>
        <s v="LA TINGUE"/>
        <s v="EL TABLÓN"/>
        <s v="CELEN"/>
        <s v="MALACATOS"/>
        <s v="YANGANA"/>
        <s v="LOJA"/>
        <s v="LLUZHAPA"/>
        <s v="VILCABAMBA "/>
        <s v="SARAGURO"/>
        <s v="TAQUIL"/>
        <s v="CHANTACO"/>
        <s v="CHUQUIRIBAMBA"/>
        <s v="EL CISNE"/>
        <s v="JIMBILLA"/>
        <s v="SAN LUCAS"/>
        <s v="SANPABLODETENTA"/>
        <s v="SELVAALEGRE"/>
        <s v="QUINARA"/>
        <m u="1"/>
        <s v="CARIAMANGA EL LUCERO" u="1"/>
        <s v="GUACHANAMÁ" u="1"/>
        <s v="EL LUCERO, PURUNUMA, SACAPALCA,SAN ANTONO DE LAS ARADASJIMBURA" u="1"/>
      </sharedItems>
    </cacheField>
    <cacheField name="MODALIDAD" numFmtId="0">
      <sharedItems/>
    </cacheField>
    <cacheField name="Entidad" numFmtId="0">
      <sharedItems/>
    </cacheField>
    <cacheField name="km." numFmtId="0">
      <sharedItems containsString="0" containsBlank="1" containsNumber="1" minValue="0.1" maxValue="180"/>
    </cacheField>
    <cacheField name="KM INTERVENIDOS" numFmtId="0">
      <sharedItems containsString="0" containsBlank="1" containsNumber="1" minValue="0" maxValue="96.460000000000008"/>
    </cacheField>
    <cacheField name="Beneficiarios:" numFmtId="3">
      <sharedItems containsString="0" containsBlank="1" containsNumber="1" minValue="0" maxValue="20662"/>
    </cacheField>
    <cacheField name="Metas alcanzadas" numFmtId="0">
      <sharedItems containsBlank="1"/>
    </cacheField>
    <cacheField name="UNIDAD" numFmtId="0">
      <sharedItems/>
    </cacheField>
    <cacheField name="COST. UNIT." numFmtId="0">
      <sharedItems containsString="0" containsBlank="1" containsNumber="1" minValue="6.8093799999999996E-2" maxValue="78920.429999999993"/>
    </cacheField>
    <cacheField name="CANT." numFmtId="0">
      <sharedItems containsString="0" containsBlank="1" containsNumber="1" minValue="0" maxValue="729900"/>
    </cacheField>
    <cacheField name="Plazo en días calendario" numFmtId="0">
      <sharedItems containsNonDate="0" containsString="0" containsBlank="1"/>
    </cacheField>
    <cacheField name="Inicio" numFmtId="168">
      <sharedItems containsNonDate="0" containsDate="1" containsString="0" containsBlank="1" minDate="2013-04-01T00:00:00" maxDate="2014-12-02T00:00:00"/>
    </cacheField>
    <cacheField name="Fin" numFmtId="168">
      <sharedItems containsDate="1" containsBlank="1" containsMixedTypes="1" minDate="2014-01-05T00:00:00" maxDate="2014-12-31T00:00:00"/>
    </cacheField>
    <cacheField name="ESTADO" numFmtId="14">
      <sharedItems/>
    </cacheField>
    <cacheField name="MONTO INVERSION GPL / VIALSUR" numFmtId="167">
      <sharedItems containsSemiMixedTypes="0" containsString="0" containsNumber="1" minValue="0" maxValue="486847.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Ing. Jorge M. Ordóñez O." refreshedDate="42058.708368055559" createdVersion="4" refreshedVersion="4" minRefreshableVersion="3" recordCount="674">
  <cacheSource type="worksheet">
    <worksheetSource ref="A11:X685" sheet="diciembre"/>
  </cacheSource>
  <cacheFields count="24">
    <cacheField name="Nº_x000a_" numFmtId="0">
      <sharedItems containsBlank="1"/>
    </cacheField>
    <cacheField name="ESTADO PROYECTOS" numFmtId="0">
      <sharedItems containsBlank="1"/>
    </cacheField>
    <cacheField name="Programa" numFmtId="49">
      <sharedItems count="9">
        <s v="MEJORAMIENTO"/>
        <s v="MANTENIMIENTO"/>
        <s v="OBRAS DE ARTE Y SEÑALIZACION"/>
        <s v="ALCANTARILLA"/>
        <s v="CARPETA ASFALTICA"/>
        <s v="REHABILITACION BACHEO ASFALTICO"/>
        <s v="PUENTES"/>
        <s v="ESTUDIOS"/>
        <s v="ASFALTADO DTSB"/>
      </sharedItems>
    </cacheField>
    <cacheField name=" Proyecto/Obra/Convenios" numFmtId="0">
      <sharedItems containsBlank="1" longText="1"/>
    </cacheField>
    <cacheField name="DETALLE DE PROYECTOS" numFmtId="2">
      <sharedItems containsMixedTypes="1" containsNumber="1" containsInteger="1" minValue="0" maxValue="0" longText="1"/>
    </cacheField>
    <cacheField name="ZONA" numFmtId="0">
      <sharedItems count="5">
        <s v="ZONA1"/>
        <s v="ZONA2"/>
        <s v="ZONA3"/>
        <s v="ZONA4"/>
        <s v="ZONA4 - ST"/>
      </sharedItems>
    </cacheField>
    <cacheField name="Cantón" numFmtId="0">
      <sharedItems count="16">
        <s v="GONZANAMA"/>
        <s v="QUILANGA"/>
        <s v="ESPINDOLA"/>
        <s v="CALVAS"/>
        <s v="SOZORANGA"/>
        <s v="PUYANGO"/>
        <s v="MACARA"/>
        <s v="PINDAL"/>
        <s v="CELICA"/>
        <s v="ZAPOTILLO"/>
        <s v="CATAMAYO"/>
        <s v="CHAGUARPAMBA"/>
        <s v="PALTAS"/>
        <s v="OLMEDO"/>
        <s v="SARAGURO"/>
        <s v="LOJA"/>
      </sharedItems>
    </cacheField>
    <cacheField name="Parroquia" numFmtId="0">
      <sharedItems/>
    </cacheField>
    <cacheField name="MODALIDAD" numFmtId="0">
      <sharedItems/>
    </cacheField>
    <cacheField name="Entidad" numFmtId="0">
      <sharedItems/>
    </cacheField>
    <cacheField name="km." numFmtId="0">
      <sharedItems containsString="0" containsBlank="1" containsNumber="1" minValue="0.1" maxValue="180"/>
    </cacheField>
    <cacheField name="KM INTERVENIDOS" numFmtId="0">
      <sharedItems containsString="0" containsBlank="1" containsNumber="1" minValue="0" maxValue="109.10000000000001"/>
    </cacheField>
    <cacheField name="Beneficiarios:" numFmtId="3">
      <sharedItems containsString="0" containsBlank="1" containsNumber="1" minValue="0" maxValue="20662"/>
    </cacheField>
    <cacheField name="Metas alcanzadas" numFmtId="0">
      <sharedItems containsBlank="1"/>
    </cacheField>
    <cacheField name="UNIDAD" numFmtId="0">
      <sharedItems/>
    </cacheField>
    <cacheField name="COST. UNIT." numFmtId="0">
      <sharedItems containsString="0" containsBlank="1" containsNumber="1" minValue="6.8093799999999996E-2" maxValue="78920.429999999993"/>
    </cacheField>
    <cacheField name="CANT." numFmtId="0">
      <sharedItems containsString="0" containsBlank="1" containsNumber="1" minValue="0" maxValue="843163.44"/>
    </cacheField>
    <cacheField name="Inicio" numFmtId="168">
      <sharedItems containsNonDate="0" containsDate="1" containsString="0" containsBlank="1" minDate="2014-01-01T00:00:00" maxDate="2014-12-18T00:00:00"/>
    </cacheField>
    <cacheField name="Fin" numFmtId="168">
      <sharedItems containsDate="1" containsBlank="1" containsMixedTypes="1" minDate="2014-01-05T00:00:00" maxDate="2014-12-25T00:00:00"/>
    </cacheField>
    <cacheField name="ESTADO" numFmtId="14">
      <sharedItems/>
    </cacheField>
    <cacheField name="MONTO INVERSION GPL / VIALSUR" numFmtId="167">
      <sharedItems containsSemiMixedTypes="0" containsString="0" containsNumber="1" minValue="0" maxValue="843163.44"/>
    </cacheField>
    <cacheField name="Institución" numFmtId="0">
      <sharedItems containsString="0" containsBlank="1" containsNumber="1" minValue="1226.4000000000001" maxValue="454123.94"/>
    </cacheField>
    <cacheField name="Cooperación" numFmtId="0">
      <sharedItems containsString="0" containsBlank="1" containsNumber="1" minValue="45935.25" maxValue="45935.25"/>
    </cacheField>
    <cacheField name="Total" numFmtId="167">
      <sharedItems containsString="0" containsBlank="1" containsNumber="1" minValue="0" maxValue="1205907.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Ing. Jorge M. Ordóñez O." refreshedDate="42058.71643252315" createdVersion="4" refreshedVersion="4" minRefreshableVersion="3" recordCount="674">
  <cacheSource type="worksheet">
    <worksheetSource ref="C11:X685" sheet="diciembre"/>
  </cacheSource>
  <cacheFields count="22">
    <cacheField name="Programa" numFmtId="49">
      <sharedItems count="9">
        <s v="MANTENIMIENTO"/>
        <s v="OBRAS DE ARTE Y SEÑALIZACION"/>
        <s v="CARPETA ASFALTICA"/>
        <s v="REHABILITACION BACHEO ASFALTICO"/>
        <s v="PUENTES"/>
        <s v="ESTUDIOS"/>
        <s v="ASFALTADO DTSB"/>
        <s v="ALCANTARILLA" u="1"/>
        <s v="MEJORAMIENTO" u="1"/>
      </sharedItems>
    </cacheField>
    <cacheField name=" Proyecto/Obra/Convenios" numFmtId="0">
      <sharedItems containsBlank="1" longText="1"/>
    </cacheField>
    <cacheField name="DETALLE DE PROYECTOS" numFmtId="2">
      <sharedItems containsMixedTypes="1" containsNumber="1" containsInteger="1" minValue="0" maxValue="0" longText="1"/>
    </cacheField>
    <cacheField name="ZONA" numFmtId="0">
      <sharedItems count="5">
        <s v="ZONA1"/>
        <s v="ZONA2"/>
        <s v="ZONA3"/>
        <s v="ZONA4"/>
        <s v="ZONA4 - ST"/>
      </sharedItems>
    </cacheField>
    <cacheField name="Cantón" numFmtId="0">
      <sharedItems/>
    </cacheField>
    <cacheField name="Parroquia" numFmtId="0">
      <sharedItems/>
    </cacheField>
    <cacheField name="MODALIDAD" numFmtId="0">
      <sharedItems/>
    </cacheField>
    <cacheField name="Entidad" numFmtId="0">
      <sharedItems/>
    </cacheField>
    <cacheField name="km." numFmtId="0">
      <sharedItems containsString="0" containsBlank="1" containsNumber="1" minValue="0.1" maxValue="180"/>
    </cacheField>
    <cacheField name="KM INTERVENIDOS" numFmtId="0">
      <sharedItems containsString="0" containsBlank="1" containsNumber="1" minValue="0" maxValue="109.10000000000001"/>
    </cacheField>
    <cacheField name="Beneficiarios:" numFmtId="3">
      <sharedItems containsString="0" containsBlank="1" containsNumber="1" minValue="0" maxValue="20662"/>
    </cacheField>
    <cacheField name="Metas alcanzadas" numFmtId="0">
      <sharedItems containsBlank="1"/>
    </cacheField>
    <cacheField name="UNIDAD" numFmtId="0">
      <sharedItems/>
    </cacheField>
    <cacheField name="COST. UNIT." numFmtId="0">
      <sharedItems containsString="0" containsBlank="1" containsNumber="1" minValue="6.8093799999999996E-2" maxValue="78920.429999999993"/>
    </cacheField>
    <cacheField name="CANT." numFmtId="0">
      <sharedItems containsString="0" containsBlank="1" containsNumber="1" minValue="0" maxValue="843163.44"/>
    </cacheField>
    <cacheField name="Inicio" numFmtId="168">
      <sharedItems containsNonDate="0" containsDate="1" containsString="0" containsBlank="1" minDate="2014-01-01T00:00:00" maxDate="2014-12-18T00:00:00"/>
    </cacheField>
    <cacheField name="Fin" numFmtId="168">
      <sharedItems containsDate="1" containsBlank="1" containsMixedTypes="1" minDate="2014-01-05T00:00:00" maxDate="2014-12-25T00:00:00"/>
    </cacheField>
    <cacheField name="ESTADO" numFmtId="14">
      <sharedItems/>
    </cacheField>
    <cacheField name="MONTO INVERSION GPL / VIALSUR" numFmtId="167">
      <sharedItems containsSemiMixedTypes="0" containsString="0" containsNumber="1" minValue="0" maxValue="843163.44"/>
    </cacheField>
    <cacheField name="Institución" numFmtId="0">
      <sharedItems containsString="0" containsBlank="1" containsNumber="1" minValue="1226.4000000000001" maxValue="454123.94"/>
    </cacheField>
    <cacheField name="Cooperación" numFmtId="0">
      <sharedItems containsString="0" containsBlank="1" containsNumber="1" minValue="45935.25" maxValue="45935.25"/>
    </cacheField>
    <cacheField name="Total" numFmtId="167">
      <sharedItems containsString="0" containsBlank="1" containsNumber="1" minValue="0" maxValue="1205907.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2">
  <r>
    <m/>
    <m/>
    <s v="MEJORAMIENTO"/>
    <x v="0"/>
    <x v="0"/>
    <s v="ZONA1"/>
    <x v="0"/>
    <x v="0"/>
    <s v="AD. DIRECTA"/>
    <s v="VIALSUR"/>
    <n v="18.8"/>
    <m/>
    <n v="494"/>
    <s v="Excavacion sin clasificar a maquina (explotación de material)"/>
    <s v="m3"/>
    <n v="1.62"/>
    <n v="1200"/>
    <m/>
    <d v="2014-01-01T00:00:00"/>
    <d v="2014-01-31T00:00:00"/>
    <s v="EJECUTADO"/>
    <n v="1944"/>
  </r>
  <r>
    <m/>
    <m/>
    <s v="MEJORAMIENTO"/>
    <x v="1"/>
    <x v="0"/>
    <s v="ZONA1"/>
    <x v="0"/>
    <x v="0"/>
    <s v="AD. DIRECTA"/>
    <s v="VIALSUR"/>
    <m/>
    <m/>
    <n v="0"/>
    <s v="Transporte de material para mejoramiento, inc. cargado"/>
    <s v="m3/km"/>
    <n v="0.35"/>
    <n v="6000"/>
    <m/>
    <d v="2014-01-01T00:00:00"/>
    <d v="2014-01-31T00:00:00"/>
    <s v="EJECUTADO"/>
    <n v="2100"/>
  </r>
  <r>
    <m/>
    <m/>
    <s v="MANTENIMIENTO"/>
    <x v="1"/>
    <x v="0"/>
    <s v="ZONA1"/>
    <x v="0"/>
    <x v="0"/>
    <s v="AD. DIRECTA"/>
    <s v="VIALSUR"/>
    <m/>
    <n v="1.1000000000000001"/>
    <n v="0"/>
    <s v="Acabado de Obra Básica existente"/>
    <s v="m2"/>
    <n v="0.35"/>
    <n v="6000"/>
    <m/>
    <d v="2014-01-01T00:00:00"/>
    <d v="2014-01-31T00:00:00"/>
    <s v="EJECUTADO"/>
    <n v="2100"/>
  </r>
  <r>
    <m/>
    <m/>
    <s v="MANTENIMIENTO"/>
    <x v="1"/>
    <x v="0"/>
    <s v="ZONA1"/>
    <x v="0"/>
    <x v="0"/>
    <s v="AD. DIRECTA"/>
    <s v="VIALSUR"/>
    <m/>
    <n v="3.28"/>
    <n v="0"/>
    <s v="Rasanteo y conformacion de cunetas con motoniveladora"/>
    <s v="m2"/>
    <n v="0.08"/>
    <n v="18000"/>
    <m/>
    <d v="2014-01-01T00:00:00"/>
    <d v="2014-01-31T00:00:00"/>
    <s v="EJECUTADO"/>
    <n v="1440"/>
  </r>
  <r>
    <m/>
    <m/>
    <s v="MEJORAMIENTO"/>
    <x v="2"/>
    <x v="1"/>
    <s v="ZONA1"/>
    <x v="0"/>
    <x v="0"/>
    <s v="AD. DIRECTA"/>
    <s v="VIALSUR"/>
    <n v="5"/>
    <m/>
    <n v="494"/>
    <s v="Excavacion sin clasificar a maquina (explotación de material)"/>
    <s v="m3"/>
    <n v="1.62"/>
    <n v="2080"/>
    <m/>
    <d v="2014-01-01T00:00:00"/>
    <d v="2014-03-31T00:00:00"/>
    <s v="EJECUTADO"/>
    <n v="3369.6"/>
  </r>
  <r>
    <m/>
    <m/>
    <s v="MEJORAMIENTO"/>
    <x v="1"/>
    <x v="1"/>
    <s v="ZONA1"/>
    <x v="0"/>
    <x v="0"/>
    <s v="AD. DIRECTA"/>
    <s v="VIALSUR"/>
    <m/>
    <m/>
    <n v="0"/>
    <s v="Transporte de material para mejoramiento, inc. cargado"/>
    <s v="m3/km"/>
    <n v="0.35"/>
    <n v="46632"/>
    <m/>
    <d v="2014-01-01T00:00:00"/>
    <d v="2014-03-31T00:00:00"/>
    <s v="EJECUTADO"/>
    <n v="16321.2"/>
  </r>
  <r>
    <m/>
    <m/>
    <s v="MANTENIMIENTO"/>
    <x v="1"/>
    <x v="1"/>
    <s v="ZONA1"/>
    <x v="0"/>
    <x v="0"/>
    <s v="AD. DIRECTA"/>
    <s v="VIALSUR"/>
    <m/>
    <n v="6.1899999999999995"/>
    <n v="0"/>
    <s v="Acabado de Obra Básica existente"/>
    <s v="m2"/>
    <n v="0.35"/>
    <n v="34000"/>
    <m/>
    <d v="2014-01-01T00:00:00"/>
    <d v="2014-03-31T00:00:00"/>
    <s v="EJECUTADO"/>
    <n v="11900"/>
  </r>
  <r>
    <m/>
    <m/>
    <s v="MEJORAMIENTO"/>
    <x v="3"/>
    <x v="2"/>
    <s v="ZONA1"/>
    <x v="0"/>
    <x v="1"/>
    <s v="AD. DIRECTA"/>
    <s v="VIALSUR"/>
    <m/>
    <m/>
    <n v="0"/>
    <s v="Excavacion sin clasificar para cunetas"/>
    <s v="m3"/>
    <n v="10.55"/>
    <n v="42.16"/>
    <m/>
    <d v="2014-01-01T00:00:00"/>
    <d v="2014-03-31T00:00:00"/>
    <s v="EJECUTADO"/>
    <n v="444.79"/>
  </r>
  <r>
    <m/>
    <m/>
    <s v="HORMIGONES"/>
    <x v="1"/>
    <x v="2"/>
    <s v="ZONA1"/>
    <x v="0"/>
    <x v="1"/>
    <s v="AD. DIRECTA"/>
    <s v="VIALSUR"/>
    <m/>
    <m/>
    <n v="0"/>
    <s v="Hormigon simple F´c 180 Kg / cm 2"/>
    <s v="m3"/>
    <n v="178.13"/>
    <n v="96.34"/>
    <m/>
    <d v="2014-01-01T00:00:00"/>
    <d v="2014-03-31T00:00:00"/>
    <s v="EJECUTADO"/>
    <n v="17161.04"/>
  </r>
  <r>
    <m/>
    <m/>
    <s v="HORMIGONES"/>
    <x v="1"/>
    <x v="2"/>
    <s v="ZONA1"/>
    <x v="0"/>
    <x v="1"/>
    <s v="AD. DIRECTA"/>
    <s v="VIALSUR"/>
    <m/>
    <m/>
    <n v="0"/>
    <s v="Bordillos de Hormigon F´c 180 Kg/cm2 incluye encofr."/>
    <s v="m "/>
    <n v="15.04"/>
    <m/>
    <m/>
    <d v="2014-01-01T00:00:00"/>
    <d v="2014-01-31T00:00:00"/>
    <s v="EJECUTADO"/>
    <n v="0"/>
  </r>
  <r>
    <m/>
    <m/>
    <s v="HORMIGONES"/>
    <x v="1"/>
    <x v="2"/>
    <s v="ZONA1"/>
    <x v="0"/>
    <x v="1"/>
    <s v="AD. DIRECTA"/>
    <s v="VIALSUR"/>
    <m/>
    <m/>
    <n v="0"/>
    <s v="Hormigon coclopeo F´c 180 Kg / cm 2( 60%)H. Simple"/>
    <s v="m3"/>
    <n v="141.09"/>
    <m/>
    <m/>
    <d v="2014-01-01T00:00:00"/>
    <d v="2014-01-31T00:00:00"/>
    <s v="EJECUTADO"/>
    <n v="0"/>
  </r>
  <r>
    <m/>
    <m/>
    <s v="SEÑALIZACION"/>
    <x v="1"/>
    <x v="2"/>
    <s v="ZONA1"/>
    <x v="0"/>
    <x v="1"/>
    <s v="AD. DIRECTA"/>
    <s v="VIALSUR"/>
    <m/>
    <m/>
    <n v="0"/>
    <s v="Señalizacion con Balizas Reflectivas"/>
    <s v="UNIDAD"/>
    <n v="11.32"/>
    <n v="29"/>
    <m/>
    <d v="2014-01-01T00:00:00"/>
    <d v="2014-02-28T00:00:00"/>
    <s v="EJECUTADO"/>
    <n v="328.28"/>
  </r>
  <r>
    <m/>
    <m/>
    <s v="MANTENIMIENTO"/>
    <x v="4"/>
    <x v="3"/>
    <s v="ZONA1"/>
    <x v="1"/>
    <x v="2"/>
    <s v="AD. DIRECTA"/>
    <s v="VIALSUR"/>
    <m/>
    <m/>
    <n v="0"/>
    <s v="Limpieza de derrumbes a máquina"/>
    <s v="m3"/>
    <n v="1.46"/>
    <n v="120"/>
    <m/>
    <d v="2014-03-01T00:00:00"/>
    <d v="2014-03-31T00:00:00"/>
    <s v="EJECUTADO"/>
    <n v="175.2"/>
  </r>
  <r>
    <m/>
    <m/>
    <s v="MANTENIMIENTO"/>
    <x v="5"/>
    <x v="4"/>
    <s v="ZONA1"/>
    <x v="1"/>
    <x v="2"/>
    <s v="AD. DIRECTA"/>
    <s v="VIALSUR"/>
    <m/>
    <m/>
    <n v="0"/>
    <s v="Limpieza de derrumbes a máquina"/>
    <s v="m3"/>
    <n v="1.46"/>
    <n v="50"/>
    <m/>
    <d v="2014-03-01T00:00:00"/>
    <d v="2014-03-31T00:00:00"/>
    <s v="EJECUTADO"/>
    <n v="73"/>
  </r>
  <r>
    <m/>
    <m/>
    <s v="MANTENIMIENTO"/>
    <x v="6"/>
    <x v="5"/>
    <s v="ZONA1"/>
    <x v="1"/>
    <x v="2"/>
    <s v="AD. DIRECTA"/>
    <s v="VIALSUR"/>
    <m/>
    <m/>
    <n v="0"/>
    <s v="Limpieza de derrumbes a máquina"/>
    <s v="m3"/>
    <n v="1.46"/>
    <n v="1960"/>
    <m/>
    <d v="2014-03-01T00:00:00"/>
    <d v="2014-03-31T00:00:00"/>
    <s v="EJECUTADO"/>
    <n v="2861.6"/>
  </r>
  <r>
    <m/>
    <m/>
    <s v="MANTENIMIENTO"/>
    <x v="7"/>
    <x v="6"/>
    <s v="ZONA1"/>
    <x v="0"/>
    <x v="1"/>
    <s v="AD. DIRECTA"/>
    <s v="VIALSUR"/>
    <m/>
    <m/>
    <n v="0"/>
    <s v="Limpieza de derrumbes a máquina"/>
    <s v="m3"/>
    <n v="1.46"/>
    <n v="250"/>
    <m/>
    <d v="2014-03-01T00:00:00"/>
    <d v="2014-03-31T00:00:00"/>
    <s v="EJECUTADO"/>
    <n v="365"/>
  </r>
  <r>
    <m/>
    <m/>
    <s v="MANTENIMIENTO"/>
    <x v="8"/>
    <x v="7"/>
    <s v="ZONA1"/>
    <x v="0"/>
    <x v="3"/>
    <s v="AD. DIRECTA"/>
    <s v="VIALSUR"/>
    <m/>
    <m/>
    <n v="0"/>
    <s v="Limpieza de derrumbes a máquina"/>
    <s v="m3"/>
    <n v="1.46"/>
    <n v="250"/>
    <m/>
    <d v="2014-03-01T00:00:00"/>
    <d v="2014-03-31T00:00:00"/>
    <s v="EJECUTADO"/>
    <n v="365"/>
  </r>
  <r>
    <m/>
    <m/>
    <s v="MANTENIMIENTO"/>
    <x v="9"/>
    <x v="8"/>
    <s v="ZONA1"/>
    <x v="0"/>
    <x v="4"/>
    <s v="AD. DIRECTA"/>
    <s v="VIALSUR"/>
    <m/>
    <n v="16.37"/>
    <n v="0"/>
    <s v="Rasanteo y conformacion de cunetas con motoniveladora"/>
    <s v="m2"/>
    <n v="0.08"/>
    <n v="90000"/>
    <m/>
    <d v="2014-03-01T00:00:00"/>
    <d v="2014-03-31T00:00:00"/>
    <s v="EJECUTADO"/>
    <n v="7200"/>
  </r>
  <r>
    <m/>
    <m/>
    <s v="MANTENIMIENTO"/>
    <x v="10"/>
    <x v="9"/>
    <s v="ZONA1"/>
    <x v="0"/>
    <x v="4"/>
    <s v="AD. DIRECTA"/>
    <s v="VIALSUR"/>
    <m/>
    <n v="4.5"/>
    <n v="0"/>
    <s v="Rasanteo y conformacion de cunetas con motoniveladora"/>
    <s v="m2"/>
    <n v="0.08"/>
    <n v="24750"/>
    <m/>
    <d v="2014-01-04T00:00:00"/>
    <d v="2014-04-30T00:00:00"/>
    <s v="EJECUTADO"/>
    <n v="1980"/>
  </r>
  <r>
    <m/>
    <m/>
    <s v="MANTENIMIENTO"/>
    <x v="11"/>
    <x v="10"/>
    <s v="ZONA1"/>
    <x v="0"/>
    <x v="4"/>
    <s v="AD. DIRECTA"/>
    <s v="VIALSUR"/>
    <m/>
    <n v="0.91"/>
    <n v="0"/>
    <s v="Rasanteo y conformacion de cunetas con motoniveladora"/>
    <s v="m2"/>
    <n v="0.08"/>
    <n v="5000"/>
    <m/>
    <d v="2014-01-04T00:00:00"/>
    <d v="2014-04-30T00:00:00"/>
    <s v="EJECUTADO"/>
    <n v="400"/>
  </r>
  <r>
    <m/>
    <m/>
    <s v="MANTENIMIENTO"/>
    <x v="12"/>
    <x v="11"/>
    <s v="ZONA1"/>
    <x v="0"/>
    <x v="4"/>
    <s v="AD. DIRECTA"/>
    <s v="VIALSUR"/>
    <m/>
    <n v="1.8"/>
    <n v="0"/>
    <s v="Rasanteo y conformacion de cunetas con motoniveladora"/>
    <s v="m2"/>
    <n v="0.08"/>
    <n v="9900"/>
    <m/>
    <d v="2014-01-04T00:00:00"/>
    <d v="2014-04-30T00:00:00"/>
    <s v="EJECUTADO"/>
    <n v="792"/>
  </r>
  <r>
    <m/>
    <m/>
    <s v="MANTENIMIENTO"/>
    <x v="13"/>
    <x v="12"/>
    <s v="ZONA1"/>
    <x v="0"/>
    <x v="4"/>
    <s v="AD. DIRECTA"/>
    <s v="VIALSUR"/>
    <m/>
    <n v="1"/>
    <n v="0"/>
    <s v="Rasanteo y conformacion de cunetas con motoniveladora"/>
    <s v="m2"/>
    <n v="0.08"/>
    <n v="5500"/>
    <m/>
    <d v="2014-01-04T00:00:00"/>
    <d v="2014-04-30T00:00:00"/>
    <s v="EJECUTADO"/>
    <n v="440"/>
  </r>
  <r>
    <m/>
    <m/>
    <s v="MANTENIMIENTO"/>
    <x v="14"/>
    <x v="13"/>
    <s v="ZONA1"/>
    <x v="0"/>
    <x v="3"/>
    <s v="AD. DIRECTA"/>
    <s v="VIALSUR"/>
    <m/>
    <m/>
    <n v="0"/>
    <s v="Limpieza de derrumbes a máquina"/>
    <s v="m3"/>
    <n v="1.46"/>
    <n v="720"/>
    <m/>
    <d v="2014-01-04T00:00:00"/>
    <d v="2014-04-30T00:00:00"/>
    <s v="EJECUTADO"/>
    <n v="1051.2"/>
  </r>
  <r>
    <m/>
    <m/>
    <s v="MEJORAMIENTO"/>
    <x v="1"/>
    <x v="13"/>
    <s v="ZONA1"/>
    <x v="0"/>
    <x v="3"/>
    <s v="AD. DIRECTA"/>
    <s v="VIALSUR"/>
    <m/>
    <m/>
    <n v="0"/>
    <s v="Transporte de material para mejoramiento, inc. cargado"/>
    <s v="m3/km"/>
    <n v="0.35"/>
    <n v="720"/>
    <m/>
    <d v="2014-01-04T00:00:00"/>
    <d v="2014-04-30T00:00:00"/>
    <s v="EJECUTADO"/>
    <n v="252"/>
  </r>
  <r>
    <m/>
    <m/>
    <s v="MANTENIMIENTO"/>
    <x v="15"/>
    <x v="14"/>
    <s v="ZONA1"/>
    <x v="0"/>
    <x v="1"/>
    <s v="AD. DIRECTA"/>
    <s v="VIALSUR"/>
    <m/>
    <m/>
    <n v="0"/>
    <s v="Limpieza de derrumbes a máquina"/>
    <s v="m3"/>
    <n v="1.46"/>
    <n v="280"/>
    <m/>
    <d v="2014-01-04T00:00:00"/>
    <d v="2014-04-30T00:00:00"/>
    <s v="EJECUTADO"/>
    <n v="408.8"/>
  </r>
  <r>
    <m/>
    <m/>
    <s v="MEJORAMIENTO"/>
    <x v="1"/>
    <x v="14"/>
    <s v="ZONA1"/>
    <x v="0"/>
    <x v="1"/>
    <s v="AD. DIRECTA"/>
    <s v="VIALSUR"/>
    <m/>
    <m/>
    <n v="0"/>
    <s v="Transporte de material para mejoramiento, inc. cargado"/>
    <s v="m3/km"/>
    <n v="0.35"/>
    <n v="2160"/>
    <m/>
    <d v="2014-01-04T00:00:00"/>
    <d v="2014-04-30T00:00:00"/>
    <s v="EJECUTADO"/>
    <n v="756"/>
  </r>
  <r>
    <m/>
    <m/>
    <s v="MANTENIMIENTO"/>
    <x v="16"/>
    <x v="15"/>
    <s v="ZONA1"/>
    <x v="0"/>
    <x v="1"/>
    <s v="AD. DIRECTA"/>
    <s v="VIALSUR"/>
    <m/>
    <n v="1.64"/>
    <n v="0"/>
    <s v="Acabado de Obra Básica existente"/>
    <s v="m2"/>
    <n v="0.35"/>
    <n v="9000"/>
    <m/>
    <d v="2014-04-01T00:00:00"/>
    <d v="2014-04-30T00:00:00"/>
    <s v="EJECUTADO"/>
    <n v="3150"/>
  </r>
  <r>
    <m/>
    <m/>
    <s v="MANTENIMIENTO"/>
    <x v="17"/>
    <x v="16"/>
    <s v="ZONA1"/>
    <x v="0"/>
    <x v="4"/>
    <s v="AD. DIRECTA"/>
    <s v="VIALSUR"/>
    <m/>
    <n v="3.6399999999999997"/>
    <n v="0"/>
    <s v="Acabado de Obra Básica existente"/>
    <s v="m2"/>
    <n v="0.35"/>
    <n v="20000"/>
    <m/>
    <d v="2014-04-01T00:00:00"/>
    <d v="2014-04-30T00:00:00"/>
    <s v="EJECUTADO"/>
    <n v="7000"/>
  </r>
  <r>
    <m/>
    <m/>
    <s v="MANTENIMIENTO"/>
    <x v="18"/>
    <x v="17"/>
    <s v="ZONA1"/>
    <x v="0"/>
    <x v="4"/>
    <s v="AD. DIRECTA"/>
    <s v="VIALSUR"/>
    <m/>
    <n v="0.91"/>
    <n v="0"/>
    <s v="Acabado de Obra Básica existente"/>
    <s v="m2"/>
    <n v="0.35"/>
    <n v="5000"/>
    <m/>
    <d v="2014-04-01T00:00:00"/>
    <d v="2014-04-30T00:00:00"/>
    <s v="EJECUTADO"/>
    <n v="1750"/>
  </r>
  <r>
    <m/>
    <m/>
    <s v="MANTENIMIENTO"/>
    <x v="19"/>
    <x v="18"/>
    <s v="ZONA1"/>
    <x v="0"/>
    <x v="4"/>
    <s v="AD. DIRECTA"/>
    <s v="VIALSUR"/>
    <m/>
    <n v="1.1000000000000001"/>
    <n v="0"/>
    <s v="Acabado de Obra Básica existente"/>
    <s v="m2"/>
    <n v="0.35"/>
    <n v="6000"/>
    <m/>
    <d v="2014-04-01T00:00:00"/>
    <d v="2014-04-30T00:00:00"/>
    <s v="EJECUTADO"/>
    <n v="2100"/>
  </r>
  <r>
    <m/>
    <m/>
    <s v="MANTENIMIENTO"/>
    <x v="20"/>
    <x v="19"/>
    <s v="ZONA1"/>
    <x v="0"/>
    <x v="4"/>
    <s v="AD. DIRECTA"/>
    <s v="VIALSUR"/>
    <m/>
    <n v="4.1399999999999997"/>
    <n v="0"/>
    <s v="Acabado de Obra Básica existente"/>
    <s v="m2"/>
    <n v="0.35"/>
    <n v="22750"/>
    <m/>
    <d v="2014-01-05T00:00:00"/>
    <d v="2014-05-31T00:00:00"/>
    <s v="EJECUTADO"/>
    <n v="7962.5"/>
  </r>
  <r>
    <m/>
    <m/>
    <s v="MEJORAMIENTO"/>
    <x v="1"/>
    <x v="19"/>
    <s v="ZONA1"/>
    <x v="0"/>
    <x v="4"/>
    <s v="AD. DIRECTA"/>
    <s v="VIALSUR"/>
    <m/>
    <m/>
    <n v="0"/>
    <s v="Transporte de material para mejoramiento, inc cargado"/>
    <s v="m3"/>
    <n v="0.35"/>
    <n v="3774"/>
    <m/>
    <d v="2014-01-05T00:00:00"/>
    <d v="2014-05-31T00:00:00"/>
    <s v="EJECUTADO"/>
    <n v="1320.9"/>
  </r>
  <r>
    <m/>
    <m/>
    <s v="MANTENIMIENTO"/>
    <x v="21"/>
    <x v="20"/>
    <s v="ZONA1"/>
    <x v="0"/>
    <x v="3"/>
    <s v="AD. DIRECTA"/>
    <s v="VIALSUR"/>
    <m/>
    <n v="14"/>
    <n v="0"/>
    <s v="Acabado de Obra Básica existente"/>
    <s v="m2"/>
    <n v="0.35"/>
    <n v="117000"/>
    <m/>
    <d v="2014-06-01T00:00:00"/>
    <d v="2014-06-30T00:00:00"/>
    <s v="EJECUTADO"/>
    <n v="40950"/>
  </r>
  <r>
    <m/>
    <m/>
    <s v="MEJORAMIENTO"/>
    <x v="1"/>
    <x v="20"/>
    <s v="ZONA1"/>
    <x v="0"/>
    <x v="3"/>
    <s v="AD. DIRECTA"/>
    <s v="VIALSUR"/>
    <m/>
    <m/>
    <n v="0"/>
    <s v="Transporte de material para mejoramiento, inc cargado"/>
    <s v="m3"/>
    <n v="0.35"/>
    <n v="31590"/>
    <m/>
    <d v="2014-06-01T00:00:00"/>
    <d v="2014-06-30T00:00:00"/>
    <s v="EJECUTADO"/>
    <n v="11056.5"/>
  </r>
  <r>
    <m/>
    <m/>
    <s v="MANTENIMIENTO"/>
    <x v="22"/>
    <x v="20"/>
    <s v="ZONA1"/>
    <x v="0"/>
    <x v="3"/>
    <s v="AD. DIRECTA"/>
    <s v="VIALSUR"/>
    <m/>
    <n v="21.28"/>
    <n v="0"/>
    <s v="Acabado de Obra Básica existente"/>
    <s v="m2"/>
    <n v="0.35"/>
    <n v="84000"/>
    <m/>
    <d v="2014-09-01T00:00:00"/>
    <d v="2014-09-30T00:00:00"/>
    <s v="EJECUTADO"/>
    <n v="29400"/>
  </r>
  <r>
    <m/>
    <m/>
    <s v="MEJORAMIENTO"/>
    <x v="1"/>
    <x v="20"/>
    <s v="ZONA1"/>
    <x v="0"/>
    <x v="3"/>
    <s v="AD. DIRECTA"/>
    <s v="VIALSUR"/>
    <m/>
    <m/>
    <n v="0"/>
    <s v="Transporte de material para mejoramiento, inc cargado"/>
    <s v="m3"/>
    <n v="0.35"/>
    <n v="22680"/>
    <m/>
    <d v="2014-09-01T00:00:00"/>
    <d v="2014-09-30T00:00:00"/>
    <s v="EJECUTADO"/>
    <n v="7938"/>
  </r>
  <r>
    <m/>
    <m/>
    <s v="MANTENIMIENTO"/>
    <x v="23"/>
    <x v="20"/>
    <s v="ZONA1"/>
    <x v="0"/>
    <x v="3"/>
    <s v="AD. DIRECTA"/>
    <s v="VIALSUR"/>
    <m/>
    <n v="10"/>
    <n v="0"/>
    <s v="Acabado de Obra Básica existente"/>
    <s v="m2"/>
    <n v="0.35"/>
    <n v="48000"/>
    <m/>
    <d v="2014-09-01T00:00:00"/>
    <d v="2014-09-30T00:00:00"/>
    <s v="EJECUTADO"/>
    <n v="16800"/>
  </r>
  <r>
    <m/>
    <m/>
    <s v="MEJORAMIENTO"/>
    <x v="1"/>
    <x v="20"/>
    <s v="ZONA1"/>
    <x v="0"/>
    <x v="3"/>
    <s v="AD. DIRECTA"/>
    <s v="VIALSUR"/>
    <m/>
    <m/>
    <n v="0"/>
    <s v="Transporte de material para mejoramiento, inc cargado"/>
    <s v="m3"/>
    <n v="0.35"/>
    <n v="12960"/>
    <m/>
    <d v="2014-09-01T00:00:00"/>
    <d v="2014-09-30T00:00:00"/>
    <s v="EJECUTADO"/>
    <n v="4536"/>
  </r>
  <r>
    <m/>
    <m/>
    <s v="MANTENIMIENTO"/>
    <x v="24"/>
    <x v="20"/>
    <s v="ZONA1"/>
    <x v="0"/>
    <x v="3"/>
    <s v="AD. DIRECTA"/>
    <s v="VIALSUR"/>
    <m/>
    <n v="2"/>
    <n v="0"/>
    <s v="Acabado de Obra Básica existente"/>
    <s v="m2"/>
    <n v="0.35"/>
    <n v="12000"/>
    <m/>
    <d v="2014-09-01T00:00:00"/>
    <d v="2014-09-30T00:00:00"/>
    <s v="EJECUTADO"/>
    <n v="4200"/>
  </r>
  <r>
    <m/>
    <m/>
    <s v="MEJORAMIENTO"/>
    <x v="1"/>
    <x v="20"/>
    <s v="ZONA1"/>
    <x v="0"/>
    <x v="3"/>
    <s v="AD. DIRECTA"/>
    <s v="VIALSUR"/>
    <m/>
    <m/>
    <n v="0"/>
    <s v="Transporte de material para mejoramiento, inc cargado"/>
    <s v="m3"/>
    <n v="0.35"/>
    <n v="3240"/>
    <m/>
    <d v="2014-09-01T00:00:00"/>
    <d v="2014-09-30T00:00:00"/>
    <s v="EJECUTADO"/>
    <n v="1134"/>
  </r>
  <r>
    <m/>
    <m/>
    <s v="MANTENIMIENTO"/>
    <x v="25"/>
    <x v="20"/>
    <s v="ZONA1"/>
    <x v="0"/>
    <x v="3"/>
    <s v="AD. DIRECTA"/>
    <s v="VIALSUR"/>
    <m/>
    <n v="8"/>
    <n v="0"/>
    <s v="Acabado de Obra Básica existente"/>
    <s v="m2"/>
    <n v="0.35"/>
    <n v="60000"/>
    <m/>
    <d v="2014-09-01T00:00:00"/>
    <d v="2014-09-30T00:00:00"/>
    <s v="EJECUTADO"/>
    <n v="21000"/>
  </r>
  <r>
    <m/>
    <m/>
    <s v="MEJORAMIENTO"/>
    <x v="1"/>
    <x v="20"/>
    <s v="ZONA1"/>
    <x v="0"/>
    <x v="3"/>
    <s v="AD. DIRECTA"/>
    <s v="VIALSUR"/>
    <m/>
    <m/>
    <n v="0"/>
    <s v="Transporte de material para mejoramiento, inc cargado"/>
    <s v="m3"/>
    <n v="0.35"/>
    <n v="16200"/>
    <m/>
    <d v="2014-09-01T00:00:00"/>
    <d v="2014-09-30T00:00:00"/>
    <s v="EJECUTADO"/>
    <n v="5670"/>
  </r>
  <r>
    <m/>
    <m/>
    <s v="MANTENIMIENTO"/>
    <x v="26"/>
    <x v="21"/>
    <s v="ZONA1"/>
    <x v="2"/>
    <x v="5"/>
    <s v="AD. DIRECTA"/>
    <s v="VIALSUR"/>
    <m/>
    <n v="6.55"/>
    <n v="0"/>
    <s v="Rasanteo y conformacion de cunetas con motoniveladora"/>
    <s v="m2"/>
    <n v="0.08"/>
    <n v="36000"/>
    <m/>
    <d v="2014-09-01T00:00:00"/>
    <d v="2014-09-30T00:00:00"/>
    <s v="EJECUTADO"/>
    <n v="2880"/>
  </r>
  <r>
    <m/>
    <m/>
    <s v="MEJORAMIENTO"/>
    <x v="27"/>
    <x v="22"/>
    <s v="ZONA1"/>
    <x v="2"/>
    <x v="5"/>
    <s v="AD. DIRECTA"/>
    <s v="VIALSUR"/>
    <m/>
    <m/>
    <n v="0"/>
    <s v="Excavación sin clasificar a máquina"/>
    <s v="m3"/>
    <n v="1.62"/>
    <n v="8000"/>
    <m/>
    <d v="2014-09-01T00:00:00"/>
    <d v="2014-09-30T00:00:00"/>
    <s v="EJECUTADO"/>
    <n v="12960"/>
  </r>
  <r>
    <m/>
    <m/>
    <s v="MEJORAMIENTO"/>
    <x v="28"/>
    <x v="23"/>
    <s v="ZONA1"/>
    <x v="2"/>
    <x v="6"/>
    <s v="AD. DIRECTA"/>
    <s v="VIALSUR"/>
    <m/>
    <m/>
    <n v="0"/>
    <s v="Excavacion sin clasificar a maquina (explotación de material)"/>
    <s v="m3"/>
    <n v="1.62"/>
    <n v="3000"/>
    <m/>
    <d v="2014-09-01T00:00:00"/>
    <d v="2014-09-30T00:00:00"/>
    <s v="EJECUTADO"/>
    <n v="4860"/>
  </r>
  <r>
    <m/>
    <m/>
    <s v="MEJORAMIENTO"/>
    <x v="1"/>
    <x v="23"/>
    <s v="ZONA1"/>
    <x v="2"/>
    <x v="6"/>
    <s v="AD. DIRECTA"/>
    <s v="VIALSUR"/>
    <m/>
    <m/>
    <n v="0"/>
    <s v="Transporte de material para mejoramiento, inc. cargado"/>
    <s v="m3/km"/>
    <n v="0.35"/>
    <n v="3000"/>
    <m/>
    <d v="2014-09-01T00:00:00"/>
    <d v="2014-09-30T00:00:00"/>
    <s v="EJECUTADO"/>
    <n v="1050"/>
  </r>
  <r>
    <m/>
    <m/>
    <s v="MEJORAMIENTO"/>
    <x v="1"/>
    <x v="23"/>
    <s v="ZONA1"/>
    <x v="2"/>
    <x v="6"/>
    <s v="AD. DIRECTA"/>
    <s v="VIALSUR"/>
    <m/>
    <n v="2.73"/>
    <n v="0"/>
    <s v="Mejoramiento de la subrasante con suelo seleccionado"/>
    <s v="m3"/>
    <n v="5.92"/>
    <n v="3000"/>
    <m/>
    <d v="2014-09-01T00:00:00"/>
    <d v="2014-09-30T00:00:00"/>
    <s v="EJECUTADO"/>
    <n v="17760"/>
  </r>
  <r>
    <m/>
    <m/>
    <s v="MEJORAMIENTO"/>
    <x v="29"/>
    <x v="24"/>
    <s v="ZONA1"/>
    <x v="2"/>
    <x v="6"/>
    <s v="AD. DIRECTA"/>
    <s v="VIALSUR"/>
    <m/>
    <m/>
    <n v="0"/>
    <s v="Excavacion sin clasificar a maquina (explotación de material)"/>
    <s v="m3"/>
    <n v="1.62"/>
    <n v="2598"/>
    <m/>
    <d v="2014-09-01T00:00:00"/>
    <d v="2014-09-30T00:00:00"/>
    <s v="EJECUTADO"/>
    <n v="4208.76"/>
  </r>
  <r>
    <m/>
    <m/>
    <s v="MEJORAMIENTO"/>
    <x v="1"/>
    <x v="24"/>
    <s v="ZONA1"/>
    <x v="2"/>
    <x v="6"/>
    <s v="AD. DIRECTA"/>
    <s v="VIALSUR"/>
    <m/>
    <m/>
    <n v="0"/>
    <s v="Transporte de material para mejoramiento, inc. cargado"/>
    <s v="m3/km"/>
    <n v="0.35"/>
    <n v="4724"/>
    <m/>
    <d v="2014-09-01T00:00:00"/>
    <d v="2014-09-30T00:00:00"/>
    <s v="EJECUTADO"/>
    <n v="1653.4"/>
  </r>
  <r>
    <m/>
    <m/>
    <s v="MEJORAMIENTO"/>
    <x v="1"/>
    <x v="24"/>
    <s v="ZONA1"/>
    <x v="2"/>
    <x v="6"/>
    <s v="AD. DIRECTA"/>
    <s v="VIALSUR"/>
    <m/>
    <n v="2.15"/>
    <n v="0"/>
    <s v="Mejoramiento de la subrasante con suelo seleccionado"/>
    <s v="m3"/>
    <n v="5.92"/>
    <n v="2362"/>
    <m/>
    <d v="2014-09-01T00:00:00"/>
    <d v="2014-09-30T00:00:00"/>
    <s v="EJECUTADO"/>
    <n v="13983.04"/>
  </r>
  <r>
    <m/>
    <m/>
    <s v="MANTENIMIENTO"/>
    <x v="30"/>
    <x v="25"/>
    <s v="ZONA1"/>
    <x v="2"/>
    <x v="7"/>
    <s v="AD. DIRECTA"/>
    <s v="VIALSUR"/>
    <m/>
    <m/>
    <n v="0"/>
    <s v="Limpieza de derrumbes a máquina"/>
    <s v="m3"/>
    <n v="1.46"/>
    <n v="2500"/>
    <m/>
    <d v="2014-09-01T00:00:00"/>
    <d v="2014-09-30T00:00:00"/>
    <s v="EJECUTADO"/>
    <n v="3650"/>
  </r>
  <r>
    <s v="1"/>
    <s v="EJECUTADO"/>
    <s v="MANTENIMIENTO"/>
    <x v="31"/>
    <x v="26"/>
    <s v="ZONA1"/>
    <x v="2"/>
    <x v="8"/>
    <s v="AD. DIRECTA"/>
    <s v="VIALSUR"/>
    <m/>
    <m/>
    <n v="0"/>
    <s v="Limpieza de derrumbes a máquina"/>
    <s v="m3"/>
    <n v="1.46"/>
    <n v="4000"/>
    <m/>
    <d v="2014-09-01T00:00:00"/>
    <d v="2014-09-30T00:00:00"/>
    <s v="EJECUTADO"/>
    <n v="5840"/>
  </r>
  <r>
    <s v="2"/>
    <s v="EJECUTADO"/>
    <s v="MANTENIMIENTO"/>
    <x v="32"/>
    <x v="27"/>
    <s v="ZONA1"/>
    <x v="2"/>
    <x v="9"/>
    <s v="AD. DIRECTA"/>
    <s v="VIALSUR"/>
    <m/>
    <m/>
    <n v="0"/>
    <s v="Limpieza de derrumbes a máquina"/>
    <s v="m3"/>
    <n v="1.46"/>
    <n v="3000"/>
    <m/>
    <d v="2014-09-01T00:00:00"/>
    <d v="2014-09-30T00:00:00"/>
    <s v="EJECUTADO"/>
    <n v="4380"/>
  </r>
  <r>
    <m/>
    <m/>
    <s v="MEJORAMIENTO"/>
    <x v="33"/>
    <x v="28"/>
    <s v="ZONA1"/>
    <x v="2"/>
    <x v="10"/>
    <s v="AD. DIRECTA"/>
    <s v="VIALSUR"/>
    <m/>
    <n v="8"/>
    <n v="0"/>
    <s v="Excavacion sin clasificar a maquina (explotación de material)"/>
    <s v="m3"/>
    <n v="1.62"/>
    <n v="1000"/>
    <m/>
    <d v="2014-09-01T00:00:00"/>
    <d v="2014-09-30T00:00:00"/>
    <s v="EJECUTADO"/>
    <n v="1620"/>
  </r>
  <r>
    <m/>
    <m/>
    <s v="MEJORAMIENTO"/>
    <x v="1"/>
    <x v="28"/>
    <s v="ZONA1"/>
    <x v="2"/>
    <x v="10"/>
    <s v="AD. DIRECTA"/>
    <s v="VIALSUR"/>
    <m/>
    <m/>
    <n v="0"/>
    <s v="Transporte de material para mejoramiento, inc. cargado"/>
    <s v="m3/km"/>
    <n v="0.35"/>
    <n v="2880"/>
    <m/>
    <d v="2014-09-01T00:00:00"/>
    <d v="2014-09-30T00:00:00"/>
    <s v="EJECUTADO"/>
    <n v="1008"/>
  </r>
  <r>
    <m/>
    <m/>
    <s v="MANTENIMIENTO"/>
    <x v="1"/>
    <x v="28"/>
    <s v="ZONA1"/>
    <x v="2"/>
    <x v="10"/>
    <s v="AD. DIRECTA"/>
    <s v="VIALSUR"/>
    <m/>
    <m/>
    <n v="0"/>
    <s v="Mejoramiento de la subrasante con suelo seleccionado"/>
    <s v="m2"/>
    <n v="4.43"/>
    <n v="1440"/>
    <m/>
    <d v="2014-09-01T00:00:00"/>
    <d v="2014-09-30T00:00:00"/>
    <s v="EJECUTADO"/>
    <n v="6379.2"/>
  </r>
  <r>
    <m/>
    <m/>
    <s v="MEJORAMIENTO"/>
    <x v="34"/>
    <x v="28"/>
    <s v="ZONA1"/>
    <x v="2"/>
    <x v="10"/>
    <s v="AD. DIRECTA"/>
    <s v="VIALSUR"/>
    <m/>
    <m/>
    <n v="0"/>
    <s v="Excavacion sin clasificar a maquina (explotación de material)"/>
    <s v="m3"/>
    <n v="1.62"/>
    <n v="12000"/>
    <m/>
    <d v="2014-09-01T00:00:00"/>
    <d v="2014-09-30T00:00:00"/>
    <s v="EJECUTADO"/>
    <n v="19440"/>
  </r>
  <r>
    <m/>
    <m/>
    <s v="MEJORAMIENTO"/>
    <x v="1"/>
    <x v="28"/>
    <s v="ZONA1"/>
    <x v="2"/>
    <x v="10"/>
    <s v="AD. DIRECTA"/>
    <s v="VIALSUR"/>
    <m/>
    <m/>
    <n v="0"/>
    <s v="Transporte de material para mejoramiento, inc. cargado"/>
    <s v="m3/km"/>
    <n v="0.35"/>
    <n v="1800"/>
    <m/>
    <d v="2014-09-01T00:00:00"/>
    <d v="2014-09-30T00:00:00"/>
    <s v="EJECUTADO"/>
    <n v="630"/>
  </r>
  <r>
    <m/>
    <m/>
    <s v="MANTENIMIENTO"/>
    <x v="1"/>
    <x v="28"/>
    <s v="ZONA1"/>
    <x v="2"/>
    <x v="10"/>
    <s v="AD. DIRECTA"/>
    <s v="VIALSUR"/>
    <m/>
    <m/>
    <n v="0"/>
    <s v="Mejoramiento de la subrasante con suelo seleccionado"/>
    <s v="m2"/>
    <n v="4.43"/>
    <n v="1800"/>
    <m/>
    <d v="2014-09-01T00:00:00"/>
    <d v="2014-09-30T00:00:00"/>
    <s v="EJECUTADO"/>
    <n v="7974"/>
  </r>
  <r>
    <m/>
    <m/>
    <s v="MEJORAMIENTO"/>
    <x v="35"/>
    <x v="28"/>
    <s v="ZONA1"/>
    <x v="2"/>
    <x v="10"/>
    <s v="AD. DIRECTA"/>
    <s v="VIALSUR"/>
    <m/>
    <m/>
    <n v="0"/>
    <s v="Excavacion sin clasificar a maquina (explotación de material)"/>
    <s v="m3"/>
    <n v="1.62"/>
    <n v="0"/>
    <m/>
    <d v="2014-09-01T00:00:00"/>
    <d v="2014-09-30T00:00:00"/>
    <s v="EJECUTADO"/>
    <n v="0"/>
  </r>
  <r>
    <m/>
    <m/>
    <s v="MEJORAMIENTO"/>
    <x v="1"/>
    <x v="28"/>
    <s v="ZONA1"/>
    <x v="2"/>
    <x v="10"/>
    <s v="AD. DIRECTA"/>
    <s v="VIALSUR"/>
    <m/>
    <m/>
    <n v="0"/>
    <s v="Transporte de material para mejoramiento, inc. cargado"/>
    <s v="m3/km"/>
    <n v="0.35"/>
    <n v="4050"/>
    <m/>
    <d v="2014-09-01T00:00:00"/>
    <d v="2014-09-30T00:00:00"/>
    <s v="EJECUTADO"/>
    <n v="1417.5"/>
  </r>
  <r>
    <m/>
    <m/>
    <s v="MANTENIMIENTO"/>
    <x v="1"/>
    <x v="28"/>
    <s v="ZONA1"/>
    <x v="2"/>
    <x v="10"/>
    <s v="AD. DIRECTA"/>
    <s v="VIALSUR"/>
    <m/>
    <m/>
    <n v="0"/>
    <s v="Mejoramiento de la subrasante con suelo seleccionado"/>
    <s v="m2"/>
    <n v="4.43"/>
    <n v="2700"/>
    <m/>
    <d v="2014-09-01T00:00:00"/>
    <d v="2014-09-30T00:00:00"/>
    <s v="EJECUTADO"/>
    <n v="11961"/>
  </r>
  <r>
    <m/>
    <m/>
    <s v="MEJORAMIENTO"/>
    <x v="36"/>
    <x v="28"/>
    <s v="ZONA1"/>
    <x v="2"/>
    <x v="10"/>
    <s v="AD. DIRECTA"/>
    <s v="VIALSUR"/>
    <m/>
    <m/>
    <n v="0"/>
    <s v="Excavacion sin clasificar a maquina (explotación de material)"/>
    <s v="m3"/>
    <n v="1.62"/>
    <n v="3000"/>
    <m/>
    <d v="2014-09-01T00:00:00"/>
    <d v="2014-09-30T00:00:00"/>
    <s v="EJECUTADO"/>
    <n v="4860"/>
  </r>
  <r>
    <m/>
    <m/>
    <s v="MEJORAMIENTO"/>
    <x v="1"/>
    <x v="28"/>
    <s v="ZONA1"/>
    <x v="2"/>
    <x v="10"/>
    <s v="AD. DIRECTA"/>
    <s v="VIALSUR"/>
    <m/>
    <m/>
    <n v="0"/>
    <s v="Transporte de material para mejoramiento, inc. cargado"/>
    <s v="m3/km"/>
    <n v="0.35"/>
    <n v="3375"/>
    <m/>
    <d v="2014-09-01T00:00:00"/>
    <d v="2014-09-30T00:00:00"/>
    <s v="EJECUTADO"/>
    <n v="1181.25"/>
  </r>
  <r>
    <m/>
    <m/>
    <s v="MANTENIMIENTO"/>
    <x v="1"/>
    <x v="28"/>
    <s v="ZONA1"/>
    <x v="2"/>
    <x v="10"/>
    <s v="AD. DIRECTA"/>
    <s v="VIALSUR"/>
    <m/>
    <m/>
    <n v="0"/>
    <s v="Mejoramiento de la subrasante con suelo seleccionado"/>
    <s v="m2"/>
    <n v="4.43"/>
    <n v="2250"/>
    <m/>
    <d v="2014-09-01T00:00:00"/>
    <d v="2014-09-30T00:00:00"/>
    <s v="EJECUTADO"/>
    <n v="9967.5"/>
  </r>
  <r>
    <m/>
    <m/>
    <s v="MEJORAMIENTO"/>
    <x v="37"/>
    <x v="28"/>
    <s v="ZONA1"/>
    <x v="1"/>
    <x v="11"/>
    <s v="AD. DIRECTA"/>
    <s v="VIALSUR"/>
    <n v="5.4"/>
    <m/>
    <n v="709"/>
    <s v="Excavacion sin clasificar a maquina (explotación de material)"/>
    <s v="m3"/>
    <n v="1.62"/>
    <n v="3456"/>
    <m/>
    <d v="2014-01-01T00:00:00"/>
    <d v="2014-01-31T00:00:00"/>
    <s v="EJECUTADO"/>
    <n v="5598.72"/>
  </r>
  <r>
    <m/>
    <m/>
    <s v="MEJORAMIENTO"/>
    <x v="1"/>
    <x v="28"/>
    <s v="ZONA1"/>
    <x v="1"/>
    <x v="11"/>
    <s v="AD. DIRECTA"/>
    <s v="VIALSUR"/>
    <m/>
    <m/>
    <n v="0"/>
    <s v="Transporte de material para mejoramiento, inc. cargado"/>
    <s v="m3/km"/>
    <n v="0.35"/>
    <n v="44928"/>
    <m/>
    <d v="2014-01-01T00:00:00"/>
    <d v="2014-01-31T00:00:00"/>
    <s v="EJECUTADO"/>
    <n v="15724.8"/>
  </r>
  <r>
    <m/>
    <m/>
    <s v="MANTENIMIENTO"/>
    <x v="1"/>
    <x v="28"/>
    <s v="ZONA1"/>
    <x v="1"/>
    <x v="11"/>
    <s v="AD. DIRECTA"/>
    <s v="VIALSUR"/>
    <m/>
    <n v="3.3099999999999996"/>
    <n v="0"/>
    <s v="Acabado de Obra Básica existente"/>
    <s v="m2"/>
    <n v="0.35"/>
    <n v="18200"/>
    <m/>
    <d v="2014-01-01T00:00:00"/>
    <d v="2014-01-31T00:00:00"/>
    <s v="EJECUTADO"/>
    <n v="6370"/>
  </r>
  <r>
    <m/>
    <m/>
    <s v="MEJORAMIENTO"/>
    <x v="38"/>
    <x v="29"/>
    <s v="ZONA1"/>
    <x v="3"/>
    <x v="12"/>
    <s v="AD. DIRECTA"/>
    <s v="VIALSUR"/>
    <n v="2"/>
    <m/>
    <n v="1712"/>
    <s v="Excavacion sin clasificar a maquina (explotación de material)"/>
    <s v="m3"/>
    <n v="1.62"/>
    <n v="4974"/>
    <m/>
    <d v="2014-01-01T00:00:00"/>
    <d v="2014-01-31T00:00:00"/>
    <s v="EJECUTADO"/>
    <n v="8057.88"/>
  </r>
  <r>
    <m/>
    <m/>
    <s v="MEJORAMIENTO"/>
    <x v="1"/>
    <x v="29"/>
    <s v="ZONA1"/>
    <x v="3"/>
    <x v="12"/>
    <s v="AD. DIRECTA"/>
    <s v="VIALSUR"/>
    <m/>
    <m/>
    <n v="0"/>
    <s v="Transporte de material para mejoramiento, inc. cargado"/>
    <s v="m3/km"/>
    <n v="0.35"/>
    <n v="24626"/>
    <m/>
    <d v="2014-01-01T00:00:00"/>
    <d v="2014-03-31T00:00:00"/>
    <s v="EJECUTADO"/>
    <n v="8619.1"/>
  </r>
  <r>
    <m/>
    <m/>
    <s v="MANTENIMIENTO"/>
    <x v="1"/>
    <x v="29"/>
    <s v="ZONA1"/>
    <x v="3"/>
    <x v="12"/>
    <s v="AD. DIRECTA"/>
    <s v="VIALSUR"/>
    <m/>
    <n v="5.1899999999999995"/>
    <n v="0"/>
    <s v="Acabado de Obra Básica existente"/>
    <s v="m2"/>
    <n v="0.35"/>
    <n v="28500"/>
    <m/>
    <d v="2014-01-01T00:00:00"/>
    <d v="2014-03-31T00:00:00"/>
    <s v="EJECUTADO"/>
    <n v="9975"/>
  </r>
  <r>
    <m/>
    <m/>
    <s v="MEJORAMIENTO"/>
    <x v="1"/>
    <x v="29"/>
    <s v="ZONA1"/>
    <x v="3"/>
    <x v="12"/>
    <s v="AD. DIRECTA"/>
    <s v="VIALSUR"/>
    <m/>
    <n v="2.89"/>
    <n v="0"/>
    <s v="Mejoramiento de la subrasante con suelo seleccionado"/>
    <s v="m3"/>
    <n v="5.92"/>
    <n v="3182"/>
    <m/>
    <d v="2014-01-01T00:00:00"/>
    <d v="2014-03-31T00:00:00"/>
    <s v="EJECUTADO"/>
    <n v="18837.439999999999"/>
  </r>
  <r>
    <m/>
    <m/>
    <s v="MEJORAMIENTO"/>
    <x v="39"/>
    <x v="30"/>
    <s v="ZONA1"/>
    <x v="3"/>
    <x v="13"/>
    <s v="AD. DIRECTA"/>
    <s v="VIALSUR"/>
    <n v="0.1"/>
    <m/>
    <n v="1506"/>
    <s v="Excavacion sin clasificar a maquina (explotación de material)"/>
    <s v="m3"/>
    <n v="1.62"/>
    <n v="6712"/>
    <m/>
    <d v="2014-01-01T00:00:00"/>
    <d v="2014-04-30T00:00:00"/>
    <s v="EJECUTADO"/>
    <n v="10873.44"/>
  </r>
  <r>
    <m/>
    <m/>
    <s v="MEJORAMIENTO"/>
    <x v="1"/>
    <x v="30"/>
    <s v="ZONA1"/>
    <x v="3"/>
    <x v="13"/>
    <s v="AD. DIRECTA"/>
    <s v="VIALSUR"/>
    <m/>
    <m/>
    <n v="0"/>
    <s v="Transporte de material"/>
    <s v="m3/km"/>
    <n v="0.35"/>
    <n v="3720"/>
    <m/>
    <d v="2014-01-01T00:00:00"/>
    <d v="2014-04-30T00:00:00"/>
    <s v="EJECUTADO"/>
    <n v="1302"/>
  </r>
  <r>
    <m/>
    <m/>
    <s v="MANTENIMIENTO"/>
    <x v="40"/>
    <x v="31"/>
    <s v="ZONA1"/>
    <x v="4"/>
    <x v="14"/>
    <s v="AD. DIRECTA"/>
    <s v="VIALSUR"/>
    <m/>
    <m/>
    <n v="0"/>
    <s v="Limpieza de derrumbes a máquina"/>
    <s v="m3"/>
    <n v="1.46"/>
    <n v="1344"/>
    <m/>
    <d v="2014-01-01T00:00:00"/>
    <d v="2014-03-31T00:00:00"/>
    <s v="EJECUTADO"/>
    <n v="1962.24"/>
  </r>
  <r>
    <m/>
    <m/>
    <s v="MANTENIMIENTO"/>
    <x v="1"/>
    <x v="31"/>
    <s v="ZONA1"/>
    <x v="4"/>
    <x v="14"/>
    <s v="AD. DIRECTA"/>
    <s v="VIALSUR"/>
    <m/>
    <m/>
    <n v="0"/>
    <s v="Limpieza de alcantarillas y desalojo hasta 6m"/>
    <s v="m3"/>
    <n v="16.128"/>
    <n v="346.67"/>
    <m/>
    <d v="2014-01-01T00:00:00"/>
    <d v="2014-03-31T00:00:00"/>
    <s v="EJECUTADO"/>
    <n v="5591.09"/>
  </r>
  <r>
    <m/>
    <m/>
    <s v="MEJORAMIENTO"/>
    <x v="41"/>
    <x v="32"/>
    <s v="ZONA1"/>
    <x v="0"/>
    <x v="15"/>
    <s v="AD. DIRECTA"/>
    <s v="VIALSUR"/>
    <m/>
    <m/>
    <n v="0"/>
    <s v="Excavacion sin clasificar a maquina (explotación de material)"/>
    <s v="m3"/>
    <n v="1.62"/>
    <n v="500"/>
    <m/>
    <d v="2014-01-01T00:00:00"/>
    <d v="2014-03-31T00:00:00"/>
    <s v="EJECUTADO"/>
    <n v="810"/>
  </r>
  <r>
    <m/>
    <m/>
    <s v="MEJORAMIENTO"/>
    <x v="42"/>
    <x v="33"/>
    <s v="ZONA1"/>
    <x v="3"/>
    <x v="13"/>
    <s v="AD. DIRECTA"/>
    <s v="VIALSUR"/>
    <m/>
    <m/>
    <n v="0"/>
    <s v="Excavación sin clasificar a maquina (explotación de material) "/>
    <s v="m3"/>
    <n v="1.62"/>
    <n v="7744"/>
    <m/>
    <d v="2014-04-01T00:00:00"/>
    <d v="2014-05-31T00:00:00"/>
    <s v="EJECUTADO"/>
    <n v="12545.28"/>
  </r>
  <r>
    <m/>
    <m/>
    <s v="MEJORAMIENTO"/>
    <x v="1"/>
    <x v="33"/>
    <s v="ZONA1"/>
    <x v="3"/>
    <x v="13"/>
    <s v="AD. DIRECTA"/>
    <s v="VIALSUR"/>
    <m/>
    <m/>
    <n v="0"/>
    <s v="Transporte de material para mejoramiento, inc cargado"/>
    <s v="m3/km"/>
    <n v="0.35"/>
    <n v="103483"/>
    <m/>
    <d v="2014-04-01T00:00:00"/>
    <d v="2014-05-31T00:00:00"/>
    <s v="EJECUTADO"/>
    <n v="36219.050000000003"/>
  </r>
  <r>
    <m/>
    <m/>
    <s v="MANTENIMIENTO"/>
    <x v="1"/>
    <x v="33"/>
    <s v="ZONA1"/>
    <x v="3"/>
    <x v="13"/>
    <s v="AD. DIRECTA"/>
    <s v="VIALSUR"/>
    <m/>
    <n v="4.3"/>
    <n v="0"/>
    <s v="Acabado de Obra Básica existente"/>
    <s v="m2"/>
    <n v="0.35"/>
    <n v="23600"/>
    <m/>
    <d v="2014-04-01T00:00:00"/>
    <d v="2014-05-31T00:00:00"/>
    <s v="EJECUTADO"/>
    <n v="8260"/>
  </r>
  <r>
    <m/>
    <m/>
    <s v="MEJORAMIENTO"/>
    <x v="1"/>
    <x v="33"/>
    <s v="ZONA1"/>
    <x v="3"/>
    <x v="13"/>
    <s v="AD. DIRECTA"/>
    <s v="VIALSUR"/>
    <m/>
    <n v="7.04"/>
    <n v="0"/>
    <s v="Mejoramiento de la subrasante con suelo seleccionado"/>
    <s v="m3"/>
    <n v="5.92"/>
    <n v="7744"/>
    <m/>
    <d v="2014-04-01T00:00:00"/>
    <d v="2014-05-31T00:00:00"/>
    <s v="EJECUTADO"/>
    <n v="45844.480000000003"/>
  </r>
  <r>
    <m/>
    <m/>
    <s v="MANTENIMIENTO"/>
    <x v="1"/>
    <x v="33"/>
    <s v="ZONA1"/>
    <x v="3"/>
    <x v="13"/>
    <s v="AD. DIRECTA"/>
    <s v="VIALSUR"/>
    <m/>
    <m/>
    <n v="0"/>
    <s v="Limpieza de derrumbes a máquina"/>
    <s v="m3"/>
    <n v="1.46"/>
    <n v="600"/>
    <m/>
    <d v="2014-04-01T00:00:00"/>
    <d v="2014-05-31T00:00:00"/>
    <s v="EJECUTADO"/>
    <n v="876"/>
  </r>
  <r>
    <m/>
    <m/>
    <s v="MANTENIMIENTO"/>
    <x v="1"/>
    <x v="33"/>
    <s v="ZONA1"/>
    <x v="3"/>
    <x v="13"/>
    <s v="AD. DIRECTA"/>
    <s v="VIALSUR"/>
    <m/>
    <m/>
    <n v="0"/>
    <s v="Limpieza de alcantarillas y desalojo hasta 6m"/>
    <s v="m3"/>
    <n v="16.13"/>
    <n v="1240"/>
    <m/>
    <d v="2014-04-01T00:00:00"/>
    <d v="2014-05-31T00:00:00"/>
    <s v="EJECUTADO"/>
    <n v="20001.2"/>
  </r>
  <r>
    <m/>
    <m/>
    <s v="MANTENIMIENTO"/>
    <x v="1"/>
    <x v="33"/>
    <s v="ZONA1"/>
    <x v="3"/>
    <x v="13"/>
    <s v="AD. DIRECTA"/>
    <s v="VIALSUR"/>
    <m/>
    <m/>
    <n v="0"/>
    <s v="Rasanteo y conformacion de cunetas con motoniveladora"/>
    <s v="m2"/>
    <n v="0.08"/>
    <n v="167323"/>
    <m/>
    <d v="2014-01-05T00:00:00"/>
    <d v="2014-05-31T00:00:00"/>
    <s v="EJECUTADO"/>
    <n v="13385.84"/>
  </r>
  <r>
    <m/>
    <m/>
    <m/>
    <x v="1"/>
    <x v="34"/>
    <m/>
    <x v="5"/>
    <x v="16"/>
    <m/>
    <m/>
    <m/>
    <m/>
    <m/>
    <m/>
    <m/>
    <m/>
    <m/>
    <m/>
    <m/>
    <m/>
    <m/>
    <m/>
  </r>
  <r>
    <m/>
    <m/>
    <m/>
    <x v="1"/>
    <x v="34"/>
    <m/>
    <x v="5"/>
    <x v="16"/>
    <m/>
    <m/>
    <m/>
    <m/>
    <m/>
    <m/>
    <m/>
    <m/>
    <m/>
    <m/>
    <m/>
    <m/>
    <m/>
    <m/>
  </r>
  <r>
    <m/>
    <m/>
    <m/>
    <x v="1"/>
    <x v="34"/>
    <m/>
    <x v="5"/>
    <x v="16"/>
    <m/>
    <m/>
    <m/>
    <m/>
    <m/>
    <m/>
    <m/>
    <m/>
    <m/>
    <m/>
    <m/>
    <m/>
    <m/>
    <m/>
  </r>
  <r>
    <m/>
    <m/>
    <m/>
    <x v="1"/>
    <x v="34"/>
    <m/>
    <x v="5"/>
    <x v="16"/>
    <m/>
    <m/>
    <m/>
    <m/>
    <m/>
    <m/>
    <m/>
    <m/>
    <m/>
    <m/>
    <m/>
    <m/>
    <m/>
    <m/>
  </r>
  <r>
    <s v="3"/>
    <s v="EJECUTADO"/>
    <s v="MEJORAMIENTO"/>
    <x v="43"/>
    <x v="35"/>
    <s v="ZONA1"/>
    <x v="3"/>
    <x v="13"/>
    <s v="AD. DIRECTA"/>
    <s v="VIALSUR"/>
    <n v="4"/>
    <m/>
    <n v="1506"/>
    <s v="Excavacion sin clasificar a maquina (explotación de material)"/>
    <s v="m3"/>
    <n v="1.62"/>
    <n v="1848"/>
    <m/>
    <d v="2014-07-01T00:00:00"/>
    <d v="2014-07-31T00:00:00"/>
    <s v="EJECUTADO"/>
    <n v="2993.76"/>
  </r>
  <r>
    <m/>
    <m/>
    <s v="MEJORAMIENTO"/>
    <x v="1"/>
    <x v="35"/>
    <s v="ZONA1"/>
    <x v="3"/>
    <x v="13"/>
    <s v="AD. DIRECTA"/>
    <s v="VIALSUR"/>
    <m/>
    <m/>
    <n v="0"/>
    <s v="Transporte de material para mejoramiento, inc. cargado"/>
    <s v="m3/km"/>
    <n v="0.35"/>
    <n v="3696"/>
    <m/>
    <d v="2014-07-01T00:00:00"/>
    <d v="2014-07-31T00:00:00"/>
    <s v="EJECUTADO"/>
    <n v="1293.5999999999999"/>
  </r>
  <r>
    <m/>
    <m/>
    <s v="MANTENIMIENTO"/>
    <x v="1"/>
    <x v="35"/>
    <s v="ZONA1"/>
    <x v="3"/>
    <x v="13"/>
    <s v="AD. DIRECTA"/>
    <s v="VIALSUR"/>
    <m/>
    <n v="3.28"/>
    <n v="0"/>
    <s v="Acabado de la obra básica existente"/>
    <s v="m2"/>
    <n v="0.35"/>
    <n v="18000"/>
    <m/>
    <d v="2014-07-01T00:00:00"/>
    <d v="2014-07-31T00:00:00"/>
    <s v="EJECUTADO"/>
    <n v="6300"/>
  </r>
  <r>
    <m/>
    <m/>
    <s v="MEJORAMIENTO"/>
    <x v="1"/>
    <x v="35"/>
    <s v="ZONA1"/>
    <x v="3"/>
    <x v="13"/>
    <s v="AD. DIRECTA"/>
    <s v="VIALSUR"/>
    <m/>
    <n v="1.68"/>
    <n v="0"/>
    <s v="Mejoramiento de la subrasante con suelo seleccionado"/>
    <s v="m3"/>
    <n v="5.92"/>
    <n v="1848"/>
    <m/>
    <d v="2014-07-01T00:00:00"/>
    <d v="2014-07-31T00:00:00"/>
    <s v="EJECUTADO"/>
    <n v="10940.16"/>
  </r>
  <r>
    <s v="4"/>
    <s v="EJECUTADO"/>
    <s v="MANTENIMIENTO"/>
    <x v="44"/>
    <x v="36"/>
    <s v="ZONA1"/>
    <x v="2"/>
    <x v="12"/>
    <s v="AD. DIRECTA"/>
    <s v="VIALSUR"/>
    <m/>
    <m/>
    <n v="0"/>
    <s v="Limpieza de derrumbes a máquina"/>
    <s v="m3"/>
    <n v="1.46"/>
    <n v="8516"/>
    <m/>
    <d v="2014-07-01T00:00:00"/>
    <d v="2014-07-31T00:00:00"/>
    <s v="EJECUTADO"/>
    <n v="12433.36"/>
  </r>
  <r>
    <s v="5"/>
    <s v="EJECUTADO"/>
    <s v="MEJORAMIENTO"/>
    <x v="45"/>
    <x v="37"/>
    <s v="ZONA1"/>
    <x v="3"/>
    <x v="13"/>
    <s v="AD. DIRECTA"/>
    <s v="VIALSUR"/>
    <n v="2"/>
    <m/>
    <n v="1506"/>
    <s v="Excavacion sin clasificar a maquina (explotación de material)"/>
    <s v="m3"/>
    <n v="1.62"/>
    <n v="672"/>
    <m/>
    <d v="2014-07-01T00:00:00"/>
    <d v="2014-07-31T00:00:00"/>
    <s v="EJECUTADO"/>
    <n v="1088.6400000000001"/>
  </r>
  <r>
    <m/>
    <m/>
    <s v="MEJORAMIENTO"/>
    <x v="1"/>
    <x v="37"/>
    <s v="ZONA1"/>
    <x v="3"/>
    <x v="13"/>
    <s v="AD. DIRECTA"/>
    <s v="VIALSUR"/>
    <m/>
    <m/>
    <n v="0"/>
    <s v="Transporte de material para mejoramiento, inc. cargado"/>
    <s v="m3/km"/>
    <n v="0.35"/>
    <n v="5376"/>
    <m/>
    <d v="2014-07-01T00:00:00"/>
    <d v="2014-07-31T00:00:00"/>
    <s v="EJECUTADO"/>
    <n v="1881.6"/>
  </r>
  <r>
    <m/>
    <m/>
    <s v="MANTENIMIENTO"/>
    <x v="1"/>
    <x v="37"/>
    <s v="ZONA1"/>
    <x v="3"/>
    <x v="13"/>
    <s v="AD. DIRECTA"/>
    <s v="VIALSUR"/>
    <m/>
    <n v="1.49"/>
    <n v="0"/>
    <s v="Razanteo con Motoniveladora"/>
    <s v="m2"/>
    <n v="0.08"/>
    <n v="8147"/>
    <m/>
    <d v="2014-07-01T00:00:00"/>
    <d v="2014-07-31T00:00:00"/>
    <s v="EJECUTADO"/>
    <n v="651.76"/>
  </r>
  <r>
    <m/>
    <m/>
    <s v="MEJORAMIENTO"/>
    <x v="1"/>
    <x v="37"/>
    <s v="ZONA1"/>
    <x v="3"/>
    <x v="13"/>
    <s v="AD. DIRECTA"/>
    <s v="VIALSUR"/>
    <m/>
    <n v="0.51"/>
    <n v="0"/>
    <s v="Mejoramiento de la subrasante con suelo seleccionado"/>
    <s v="m3"/>
    <n v="5.92"/>
    <n v="560"/>
    <m/>
    <d v="2014-07-01T00:00:00"/>
    <d v="2014-07-31T00:00:00"/>
    <s v="EJECUTADO"/>
    <n v="3315.2"/>
  </r>
  <r>
    <s v="6"/>
    <s v="EJECUTADO"/>
    <s v="MEJORAMIENTO"/>
    <x v="46"/>
    <x v="38"/>
    <s v="ZONA1"/>
    <x v="3"/>
    <x v="13"/>
    <s v="AD. DIRECTA"/>
    <s v="VIALSUR"/>
    <n v="2"/>
    <m/>
    <n v="1506"/>
    <s v="Excavacion sin clasificar a maquina (explotación de material)"/>
    <s v="m3"/>
    <n v="1.62"/>
    <n v="1534"/>
    <m/>
    <d v="2014-07-01T00:00:00"/>
    <d v="2014-07-31T00:00:00"/>
    <s v="EJECUTADO"/>
    <n v="2485.08"/>
  </r>
  <r>
    <m/>
    <m/>
    <s v="MEJORAMIENTO"/>
    <x v="1"/>
    <x v="38"/>
    <s v="ZONA1"/>
    <x v="3"/>
    <x v="13"/>
    <s v="AD. DIRECTA"/>
    <s v="VIALSUR"/>
    <m/>
    <m/>
    <n v="0"/>
    <s v="Transporte de material para mejoramiento, inc. cargado"/>
    <s v="m3/km"/>
    <n v="0.35"/>
    <n v="4602"/>
    <m/>
    <d v="2014-07-01T00:00:00"/>
    <d v="2014-07-31T00:00:00"/>
    <s v="EJECUTADO"/>
    <n v="1610.7"/>
  </r>
  <r>
    <m/>
    <m/>
    <s v="MANTENIMIENTO"/>
    <x v="1"/>
    <x v="38"/>
    <s v="ZONA1"/>
    <x v="3"/>
    <x v="13"/>
    <s v="AD. DIRECTA"/>
    <s v="VIALSUR"/>
    <m/>
    <n v="39"/>
    <n v="0"/>
    <s v="Razanteo con Motoniveladora"/>
    <s v="m2"/>
    <n v="0.08"/>
    <n v="214500"/>
    <m/>
    <d v="2014-07-01T00:00:00"/>
    <d v="2014-07-31T00:00:00"/>
    <s v="EJECUTADO"/>
    <n v="17160"/>
  </r>
  <r>
    <m/>
    <m/>
    <s v="MEJORAMIENTO"/>
    <x v="1"/>
    <x v="38"/>
    <s v="ZONA1"/>
    <x v="3"/>
    <x v="13"/>
    <s v="AD. DIRECTA"/>
    <s v="VIALSUR"/>
    <m/>
    <n v="1.39"/>
    <n v="0"/>
    <s v="Mejoramiento de la subrasante con suelo seleccionado"/>
    <s v="m3"/>
    <n v="5.92"/>
    <n v="1534"/>
    <m/>
    <d v="2014-07-01T00:00:00"/>
    <d v="2014-07-31T00:00:00"/>
    <s v="EJECUTADO"/>
    <n v="9081.2800000000007"/>
  </r>
  <r>
    <m/>
    <m/>
    <s v="MEJORAMIENTO"/>
    <x v="47"/>
    <x v="39"/>
    <s v="ZONA1"/>
    <x v="3"/>
    <x v="13"/>
    <s v="AD. DIRECTA"/>
    <s v="VIALSUR"/>
    <m/>
    <m/>
    <n v="0"/>
    <s v="Excavación sin clasificar a maquina (explotación de material) "/>
    <s v="m3"/>
    <n v="1.62"/>
    <m/>
    <m/>
    <d v="2014-06-01T00:00:00"/>
    <d v="2014-06-30T00:00:00"/>
    <s v="EJECUTADO"/>
    <n v="0"/>
  </r>
  <r>
    <m/>
    <m/>
    <s v="MEJORAMIENTO"/>
    <x v="1"/>
    <x v="40"/>
    <s v="ZONA1"/>
    <x v="3"/>
    <x v="13"/>
    <s v="AD. DIRECTA"/>
    <s v="VIALSUR"/>
    <m/>
    <m/>
    <n v="0"/>
    <s v="Transporte de material para mejoramiento, inc cargado"/>
    <s v="m3/km"/>
    <n v="0.35"/>
    <n v="5670"/>
    <m/>
    <d v="2014-06-01T00:00:00"/>
    <d v="2014-06-30T00:00:00"/>
    <s v="EJECUTADO"/>
    <n v="1984.5"/>
  </r>
  <r>
    <m/>
    <m/>
    <s v="MANTENIMIENTO"/>
    <x v="1"/>
    <x v="41"/>
    <s v="ZONA1"/>
    <x v="3"/>
    <x v="13"/>
    <s v="AD. DIRECTA"/>
    <s v="VIALSUR"/>
    <m/>
    <n v="4.91"/>
    <n v="0"/>
    <s v="Acabado de Obra Básica existente"/>
    <s v="m2"/>
    <n v="0.35"/>
    <n v="27000"/>
    <m/>
    <d v="2014-06-01T00:00:00"/>
    <d v="2014-06-30T00:00:00"/>
    <s v="EJECUTADO"/>
    <n v="9450"/>
  </r>
  <r>
    <m/>
    <m/>
    <s v="MEJORAMIENTO"/>
    <x v="1"/>
    <x v="42"/>
    <s v="ZONA1"/>
    <x v="3"/>
    <x v="13"/>
    <s v="AD. DIRECTA"/>
    <s v="VIALSUR"/>
    <m/>
    <n v="1.47"/>
    <n v="0"/>
    <s v="Mejoramiento de la subrasante con suelo seleccionado"/>
    <s v="m3"/>
    <n v="5.92"/>
    <n v="1620"/>
    <m/>
    <d v="2014-06-01T00:00:00"/>
    <d v="2014-06-30T00:00:00"/>
    <s v="EJECUTADO"/>
    <n v="9590.4"/>
  </r>
  <r>
    <m/>
    <m/>
    <s v="MEJORAMIENTO"/>
    <x v="48"/>
    <x v="43"/>
    <s v="ZONA1"/>
    <x v="4"/>
    <x v="17"/>
    <s v="CONVENIO"/>
    <s v="VIALSUR"/>
    <n v="13.3"/>
    <m/>
    <n v="642"/>
    <s v="Excavación sin clasificar a maquina (explotación de material) "/>
    <s v="m3"/>
    <n v="1.62"/>
    <n v="13340"/>
    <m/>
    <d v="2014-01-01T00:00:00"/>
    <d v="2014-03-31T00:00:00"/>
    <s v="EJECUTADO"/>
    <n v="21610.799999999999"/>
  </r>
  <r>
    <m/>
    <m/>
    <s v="MANTENIMIENTO"/>
    <x v="1"/>
    <x v="43"/>
    <s v="ZONA1"/>
    <x v="4"/>
    <x v="17"/>
    <s v="CONVENIO"/>
    <s v="VIALSUR"/>
    <m/>
    <m/>
    <n v="0"/>
    <s v="Limpieza de derrumbes a máquina"/>
    <s v="m3"/>
    <n v="1.46"/>
    <n v="6176"/>
    <m/>
    <d v="2014-01-01T00:00:00"/>
    <d v="2014-03-31T00:00:00"/>
    <s v="EJECUTADO"/>
    <n v="9016.9599999999991"/>
  </r>
  <r>
    <m/>
    <m/>
    <s v="MANTENIMIENTO"/>
    <x v="1"/>
    <x v="43"/>
    <s v="ZONA1"/>
    <x v="4"/>
    <x v="17"/>
    <s v="CONVENIO"/>
    <s v="VIALSUR"/>
    <m/>
    <m/>
    <n v="0"/>
    <s v="Transporte de material de derrumbes (desalojo a escombrera)"/>
    <s v="m3/km"/>
    <n v="0.24"/>
    <n v="4328"/>
    <m/>
    <d v="2014-01-01T00:00:00"/>
    <d v="2014-03-31T00:00:00"/>
    <s v="EJECUTADO"/>
    <n v="1038.72"/>
  </r>
  <r>
    <m/>
    <m/>
    <s v="MEJORAMIENTO"/>
    <x v="1"/>
    <x v="43"/>
    <s v="ZONA1"/>
    <x v="4"/>
    <x v="17"/>
    <s v="CONVENIO"/>
    <s v="VIALSUR"/>
    <m/>
    <m/>
    <n v="0"/>
    <s v="Transporte de material para mejoramiento, inc cargado"/>
    <s v="m3/km"/>
    <n v="0.35"/>
    <n v="95305.2"/>
    <m/>
    <d v="2014-01-01T00:00:00"/>
    <d v="2014-03-31T00:00:00"/>
    <s v="EJECUTADO"/>
    <n v="33356.82"/>
  </r>
  <r>
    <m/>
    <m/>
    <s v="MANTENIMIENTO"/>
    <x v="1"/>
    <x v="43"/>
    <s v="ZONA1"/>
    <x v="4"/>
    <x v="17"/>
    <s v="CONVENIO"/>
    <s v="VIALSUR"/>
    <m/>
    <n v="9.74"/>
    <n v="0"/>
    <s v="Rasanteo y conformacion de cunetas con motoniveladora"/>
    <s v="m2"/>
    <n v="0.08"/>
    <n v="53520"/>
    <m/>
    <d v="2014-01-01T00:00:00"/>
    <d v="2014-03-31T00:00:00"/>
    <s v="EJECUTADO"/>
    <n v="4281.6000000000004"/>
  </r>
  <r>
    <m/>
    <m/>
    <s v="MANTENIMIENTO"/>
    <x v="1"/>
    <x v="43"/>
    <s v="ZONA1"/>
    <x v="4"/>
    <x v="17"/>
    <s v="CONVENIO"/>
    <s v="VIALSUR"/>
    <m/>
    <n v="4.87"/>
    <n v="0"/>
    <s v="Acabado de Obra Básica existente"/>
    <s v="m2"/>
    <n v="0.35"/>
    <n v="26760"/>
    <m/>
    <d v="2014-01-01T00:00:00"/>
    <d v="2014-03-31T00:00:00"/>
    <s v="EJECUTADO"/>
    <n v="9366"/>
  </r>
  <r>
    <m/>
    <m/>
    <s v="MEJORAMIENTO"/>
    <x v="1"/>
    <x v="43"/>
    <s v="ZONA1"/>
    <x v="4"/>
    <x v="17"/>
    <s v="CONVENIO"/>
    <s v="VIALSUR"/>
    <m/>
    <n v="10.79"/>
    <n v="0"/>
    <s v="Mejoramiento de la subrasante con suelo seleccionado"/>
    <s v="m3"/>
    <n v="5.92"/>
    <n v="11868"/>
    <m/>
    <d v="2014-01-01T00:00:00"/>
    <d v="2014-03-31T00:00:00"/>
    <s v="EJECUTADO"/>
    <n v="70258.559999999998"/>
  </r>
  <r>
    <m/>
    <m/>
    <s v="MANTENIMIENTO"/>
    <x v="1"/>
    <x v="43"/>
    <s v="ZONA1"/>
    <x v="4"/>
    <x v="17"/>
    <s v="CONVENIO"/>
    <s v="VIALSUR"/>
    <m/>
    <m/>
    <n v="0"/>
    <s v="Limpieza de alcantarillas y desalojo hasta 6m"/>
    <s v="m3"/>
    <n v="16.128"/>
    <n v="410"/>
    <m/>
    <d v="2014-01-01T00:00:00"/>
    <d v="2014-03-31T00:00:00"/>
    <s v="EJECUTADO"/>
    <n v="6612.48"/>
  </r>
  <r>
    <m/>
    <m/>
    <s v="MANTENIMIENTO"/>
    <x v="1"/>
    <x v="43"/>
    <s v="ZONA1"/>
    <x v="4"/>
    <x v="17"/>
    <s v="AD. DIRECTA"/>
    <s v="VIALSUR"/>
    <m/>
    <m/>
    <n v="0"/>
    <s v="Limpieza de derrumbes a máquina"/>
    <s v="m3"/>
    <n v="1.46"/>
    <n v="11950"/>
    <m/>
    <d v="2014-01-01T00:00:00"/>
    <d v="2014-05-31T00:00:00"/>
    <s v="EJECUTADO"/>
    <n v="17447"/>
  </r>
  <r>
    <m/>
    <m/>
    <s v="MANTENIMIENTO"/>
    <x v="49"/>
    <x v="44"/>
    <s v="ZONA1"/>
    <x v="6"/>
    <x v="18"/>
    <s v="CONTRATO"/>
    <s v="VIALSUR"/>
    <n v="92.72"/>
    <n v="152.44999999999999"/>
    <n v="6100"/>
    <s v="Rasanteo y conformacion de cunetas con motoniveladora"/>
    <s v="m2"/>
    <n v="0.08"/>
    <n v="838425"/>
    <m/>
    <d v="2014-01-01T00:00:00"/>
    <d v="2014-02-28T00:00:00"/>
    <s v="EJECUTADO"/>
    <n v="67074"/>
  </r>
  <r>
    <m/>
    <m/>
    <s v="MANTENIMIENTO"/>
    <x v="50"/>
    <x v="45"/>
    <s v="ZONA1"/>
    <x v="3"/>
    <x v="19"/>
    <s v="CONTRATO"/>
    <s v="VIALSUR"/>
    <n v="92.72"/>
    <n v="27.88"/>
    <n v="8187"/>
    <s v="MANTENIMIENTO RUTINARIO DE LA VIA"/>
    <s v="KM"/>
    <m/>
    <n v="27.88"/>
    <m/>
    <d v="2012-01-25T00:00:00"/>
    <d v="2013-11-20T00:00:00"/>
    <s v="EJECUTADO"/>
    <n v="0"/>
  </r>
  <r>
    <m/>
    <m/>
    <s v="MANTENIMIENTO"/>
    <x v="51"/>
    <x v="46"/>
    <s v="ZONA2"/>
    <x v="7"/>
    <x v="20"/>
    <s v="AD. DIRECTA"/>
    <s v="VIALSUR"/>
    <n v="9"/>
    <m/>
    <n v="489"/>
    <s v="Roza a mano"/>
    <s v="Ha"/>
    <n v="948.16"/>
    <n v="1"/>
    <m/>
    <d v="2014-09-01T00:00:00"/>
    <d v="2014-10-30T00:00:00"/>
    <s v="EJECUTADO"/>
    <n v="948.16"/>
  </r>
  <r>
    <m/>
    <m/>
    <s v="MEJORAMIENTO"/>
    <x v="1"/>
    <x v="46"/>
    <s v="ZONA2"/>
    <x v="7"/>
    <x v="20"/>
    <s v="AD. DIRECTA"/>
    <s v="VIALSUR"/>
    <m/>
    <m/>
    <n v="0"/>
    <s v="Excavación sin clasificar a máquina"/>
    <s v="m3"/>
    <n v="1.62"/>
    <n v="3000"/>
    <m/>
    <d v="2014-09-01T00:00:00"/>
    <d v="2014-10-30T00:00:00"/>
    <s v="EJECUTADO"/>
    <n v="4860"/>
  </r>
  <r>
    <m/>
    <m/>
    <s v="MANTENIMIENTO"/>
    <x v="1"/>
    <x v="46"/>
    <s v="ZONA2"/>
    <x v="7"/>
    <x v="20"/>
    <s v="AD. DIRECTA"/>
    <s v="VIALSUR"/>
    <m/>
    <m/>
    <n v="0"/>
    <s v="Limpieza de derrumbes a máquina"/>
    <s v="m3"/>
    <n v="1.46"/>
    <n v="600"/>
    <m/>
    <d v="2014-09-01T00:00:00"/>
    <d v="2014-10-30T00:00:00"/>
    <s v="EJECUTADO"/>
    <n v="876"/>
  </r>
  <r>
    <m/>
    <m/>
    <s v="MANTENIMIENTO"/>
    <x v="1"/>
    <x v="46"/>
    <s v="ZONA2"/>
    <x v="7"/>
    <x v="20"/>
    <s v="AD. DIRECTA"/>
    <s v="VIALSUR"/>
    <m/>
    <m/>
    <n v="0"/>
    <s v="Limpieza de cunetas y alcantarillas a maquina"/>
    <s v="m3"/>
    <n v="1.46"/>
    <n v="150"/>
    <m/>
    <d v="2014-09-01T00:00:00"/>
    <d v="2014-10-30T00:00:00"/>
    <s v="EJECUTADO"/>
    <n v="219"/>
  </r>
  <r>
    <m/>
    <m/>
    <s v="MANTENIMIENTO"/>
    <x v="1"/>
    <x v="46"/>
    <s v="ZONA2"/>
    <x v="7"/>
    <x v="20"/>
    <s v="AD. DIRECTA"/>
    <s v="VIALSUR"/>
    <m/>
    <m/>
    <n v="0"/>
    <s v="Transporte de material excavado ( desalojo de escombrera)"/>
    <s v="m3/km"/>
    <n v="0.3"/>
    <n v="9000"/>
    <m/>
    <d v="2014-09-01T00:00:00"/>
    <d v="2014-10-30T00:00:00"/>
    <s v="EJECUTADO"/>
    <n v="2700"/>
  </r>
  <r>
    <m/>
    <m/>
    <s v="MEJORAMIENTO"/>
    <x v="1"/>
    <x v="46"/>
    <s v="ZONA2"/>
    <x v="7"/>
    <x v="20"/>
    <s v="AD. DIRECTA"/>
    <s v="VIALSUR"/>
    <m/>
    <m/>
    <n v="0"/>
    <s v="Transporte de material de mejoramiento, inc cargado"/>
    <s v="m3/km"/>
    <n v="0.3"/>
    <n v="2812.5"/>
    <m/>
    <d v="2014-09-01T00:00:00"/>
    <d v="2014-10-30T00:00:00"/>
    <s v="EJECUTADO"/>
    <n v="843.75"/>
  </r>
  <r>
    <m/>
    <m/>
    <s v="MANTENIMIENTO"/>
    <x v="1"/>
    <x v="46"/>
    <s v="ZONA2"/>
    <x v="7"/>
    <x v="20"/>
    <s v="AD. DIRECTA"/>
    <s v="VIALSUR"/>
    <m/>
    <n v="10.91"/>
    <n v="0"/>
    <s v="Rasanteo y conformacion de cunetas con motoniveladora"/>
    <s v="m2"/>
    <n v="0.08"/>
    <n v="60000"/>
    <m/>
    <d v="2014-09-01T00:00:00"/>
    <d v="2014-10-30T00:00:00"/>
    <s v="EJECUTADO"/>
    <n v="4800"/>
  </r>
  <r>
    <m/>
    <m/>
    <s v="MANTENIMIENTO"/>
    <x v="1"/>
    <x v="46"/>
    <s v="ZONA2"/>
    <x v="7"/>
    <x v="20"/>
    <s v="AD. DIRECTA"/>
    <s v="VIALSUR"/>
    <m/>
    <n v="4.0999999999999996"/>
    <n v="0"/>
    <s v="Reconformación de la rasante"/>
    <s v="m2"/>
    <n v="0.35"/>
    <n v="22500"/>
    <m/>
    <d v="2014-09-01T00:00:00"/>
    <d v="2014-10-30T00:00:00"/>
    <s v="EJECUTADO"/>
    <n v="7875"/>
  </r>
  <r>
    <m/>
    <m/>
    <s v="MEJORAMIENTO"/>
    <x v="1"/>
    <x v="46"/>
    <s v="ZONA2"/>
    <x v="7"/>
    <x v="20"/>
    <s v="AD. DIRECTA"/>
    <s v="VIALSUR"/>
    <m/>
    <n v="1.02"/>
    <n v="0"/>
    <s v="Mejoramiento de la subrasante con suelo seleccionado"/>
    <s v="m3"/>
    <n v="5.92"/>
    <n v="1125"/>
    <m/>
    <d v="2014-09-01T00:00:00"/>
    <d v="2014-10-30T00:00:00"/>
    <s v="EJECUTADO"/>
    <n v="6660"/>
  </r>
  <r>
    <m/>
    <m/>
    <m/>
    <x v="1"/>
    <x v="34"/>
    <m/>
    <x v="5"/>
    <x v="16"/>
    <m/>
    <m/>
    <m/>
    <m/>
    <m/>
    <m/>
    <m/>
    <m/>
    <m/>
    <m/>
    <m/>
    <m/>
    <m/>
    <m/>
  </r>
  <r>
    <m/>
    <m/>
    <m/>
    <x v="1"/>
    <x v="34"/>
    <m/>
    <x v="5"/>
    <x v="16"/>
    <m/>
    <m/>
    <m/>
    <m/>
    <m/>
    <m/>
    <m/>
    <m/>
    <m/>
    <m/>
    <m/>
    <m/>
    <m/>
    <m/>
  </r>
  <r>
    <m/>
    <m/>
    <m/>
    <x v="1"/>
    <x v="34"/>
    <m/>
    <x v="5"/>
    <x v="16"/>
    <m/>
    <m/>
    <m/>
    <m/>
    <m/>
    <m/>
    <m/>
    <m/>
    <m/>
    <m/>
    <m/>
    <m/>
    <m/>
    <m/>
  </r>
  <r>
    <m/>
    <m/>
    <s v="MANTENIMIENTO"/>
    <x v="52"/>
    <x v="47"/>
    <s v="ZONA2"/>
    <x v="4"/>
    <x v="14"/>
    <s v="AD. DIRECTA"/>
    <s v="VIALSUR"/>
    <n v="14"/>
    <m/>
    <n v="1902"/>
    <s v="Roza a mano"/>
    <s v="Ha"/>
    <n v="948.16"/>
    <n v="0"/>
    <m/>
    <d v="2014-01-01T00:00:00"/>
    <d v="2014-01-31T00:00:00"/>
    <s v="EJECUTADO"/>
    <n v="0"/>
  </r>
  <r>
    <m/>
    <m/>
    <s v="MEJORAMIENTO"/>
    <x v="1"/>
    <x v="47"/>
    <s v="ZONA2"/>
    <x v="4"/>
    <x v="14"/>
    <s v="AD. DIRECTA"/>
    <s v="VIALSUR"/>
    <m/>
    <m/>
    <n v="0"/>
    <s v="Excavación sin clasificar a máquina"/>
    <s v="m3"/>
    <n v="1.62"/>
    <n v="4884"/>
    <m/>
    <d v="2014-01-01T00:00:00"/>
    <d v="2014-02-28T00:00:00"/>
    <s v="EJECUTADO"/>
    <n v="7912.08"/>
  </r>
  <r>
    <m/>
    <m/>
    <s v="MANTENIMIENTO"/>
    <x v="1"/>
    <x v="47"/>
    <s v="ZONA2"/>
    <x v="4"/>
    <x v="14"/>
    <s v="AD. DIRECTA"/>
    <s v="VIALSUR"/>
    <m/>
    <m/>
    <n v="0"/>
    <s v="Limpieza de derrumbes a máquina"/>
    <s v="m3"/>
    <n v="1.46"/>
    <n v="3300"/>
    <m/>
    <d v="2014-01-01T00:00:00"/>
    <d v="2014-02-28T00:00:00"/>
    <s v="EJECUTADO"/>
    <n v="4818"/>
  </r>
  <r>
    <m/>
    <m/>
    <s v="MANTENIMIENTO"/>
    <x v="1"/>
    <x v="47"/>
    <s v="ZONA2"/>
    <x v="4"/>
    <x v="14"/>
    <s v="AD. DIRECTA"/>
    <s v="VIALSUR"/>
    <m/>
    <m/>
    <n v="0"/>
    <s v="Limpieza de cunetas y alcantarillas a maquina"/>
    <s v="m3"/>
    <n v="1.47"/>
    <n v="0"/>
    <m/>
    <d v="2014-01-01T00:00:00"/>
    <d v="2014-01-31T00:00:00"/>
    <s v="EJECUTADO"/>
    <n v="0"/>
  </r>
  <r>
    <m/>
    <m/>
    <s v="MANTENIMIENTO"/>
    <x v="1"/>
    <x v="47"/>
    <s v="ZONA2"/>
    <x v="4"/>
    <x v="14"/>
    <s v="AD. DIRECTA"/>
    <s v="VIALSUR"/>
    <m/>
    <m/>
    <n v="0"/>
    <s v="Transporte de material excavado ( desalojo de escombrera)"/>
    <s v="m3/km"/>
    <n v="0.3"/>
    <n v="0"/>
    <m/>
    <d v="2014-01-01T00:00:00"/>
    <d v="2014-01-31T00:00:00"/>
    <s v="EJECUTADO"/>
    <n v="0"/>
  </r>
  <r>
    <m/>
    <m/>
    <s v="MEJORAMIENTO"/>
    <x v="1"/>
    <x v="47"/>
    <s v="ZONA2"/>
    <x v="4"/>
    <x v="14"/>
    <s v="AD. DIRECTA"/>
    <s v="VIALSUR"/>
    <m/>
    <m/>
    <n v="0"/>
    <s v="Transporte de material de mejoramiento, inc cargado"/>
    <s v="m3/km"/>
    <n v="0.3"/>
    <n v="32520"/>
    <m/>
    <d v="2014-01-01T00:00:00"/>
    <d v="2014-02-28T00:00:00"/>
    <s v="EJECUTADO"/>
    <n v="9756"/>
  </r>
  <r>
    <m/>
    <m/>
    <s v="MANTENIMIENTO"/>
    <x v="1"/>
    <x v="47"/>
    <s v="ZONA2"/>
    <x v="4"/>
    <x v="14"/>
    <s v="AD. DIRECTA"/>
    <s v="VIALSUR"/>
    <m/>
    <n v="11.82"/>
    <n v="0"/>
    <s v="Rasanteo y conformacion de cunetas con motoniveladora"/>
    <s v="m2"/>
    <n v="0.08"/>
    <n v="65000"/>
    <m/>
    <d v="2014-01-01T00:00:00"/>
    <d v="2014-02-28T00:00:00"/>
    <s v="EJECUTADO"/>
    <n v="5200"/>
  </r>
  <r>
    <m/>
    <m/>
    <s v="MANTENIMIENTO"/>
    <x v="1"/>
    <x v="47"/>
    <s v="ZONA2"/>
    <x v="4"/>
    <x v="14"/>
    <s v="AD. DIRECTA"/>
    <s v="VIALSUR"/>
    <m/>
    <n v="0"/>
    <n v="0"/>
    <s v="Reconformación de la rasante"/>
    <s v="m2"/>
    <n v="0.35"/>
    <n v="0"/>
    <m/>
    <d v="2014-01-01T00:00:00"/>
    <d v="2014-01-31T00:00:00"/>
    <s v="EJECUTADO"/>
    <n v="0"/>
  </r>
  <r>
    <m/>
    <m/>
    <s v="MEJORAMIENTO"/>
    <x v="1"/>
    <x v="47"/>
    <s v="ZONA2"/>
    <x v="4"/>
    <x v="14"/>
    <s v="AD. DIRECTA"/>
    <s v="VIALSUR"/>
    <m/>
    <n v="2.64"/>
    <n v="0"/>
    <s v="Mejoramiento de la subrasante con suelo seleccionado"/>
    <s v="m3"/>
    <n v="5.92"/>
    <n v="2904"/>
    <m/>
    <d v="2014-02-01T00:00:00"/>
    <d v="2014-02-28T00:00:00"/>
    <s v="EJECUTADO"/>
    <n v="17191.68"/>
  </r>
  <r>
    <m/>
    <m/>
    <s v="MANTENIMIENTO"/>
    <x v="53"/>
    <x v="48"/>
    <s v="ZONA2"/>
    <x v="7"/>
    <x v="21"/>
    <s v="AD. DIRECTA"/>
    <s v="VIALSUR"/>
    <n v="16"/>
    <m/>
    <n v="640"/>
    <s v="Roza a mano"/>
    <s v="Ha"/>
    <n v="948.16"/>
    <n v="0"/>
    <m/>
    <d v="2014-02-01T00:00:00"/>
    <d v="2014-02-28T00:00:00"/>
    <s v="EJECUTADO"/>
    <n v="0"/>
  </r>
  <r>
    <m/>
    <m/>
    <s v="MEJORAMIENTO"/>
    <x v="1"/>
    <x v="48"/>
    <s v="ZONA2"/>
    <x v="7"/>
    <x v="21"/>
    <s v="AD. DIRECTA"/>
    <s v="VIALSUR"/>
    <m/>
    <m/>
    <n v="0"/>
    <s v="Excavación sin clasificar a máquina"/>
    <s v="m3"/>
    <n v="1.62"/>
    <n v="700"/>
    <m/>
    <d v="2014-02-01T00:00:00"/>
    <d v="2014-02-28T00:00:00"/>
    <s v="EJECUTADO"/>
    <n v="1134"/>
  </r>
  <r>
    <m/>
    <m/>
    <s v="MANTENIMIENTO"/>
    <x v="1"/>
    <x v="48"/>
    <s v="ZONA2"/>
    <x v="7"/>
    <x v="21"/>
    <s v="AD. DIRECTA"/>
    <s v="VIALSUR"/>
    <m/>
    <m/>
    <n v="0"/>
    <s v="Limpieza de derrumbes a máquina"/>
    <s v="m3"/>
    <n v="1.46"/>
    <n v="1000"/>
    <m/>
    <d v="2014-02-01T00:00:00"/>
    <d v="2014-02-28T00:00:00"/>
    <s v="EJECUTADO"/>
    <n v="1460"/>
  </r>
  <r>
    <m/>
    <m/>
    <s v="MANTENIMIENTO"/>
    <x v="1"/>
    <x v="48"/>
    <s v="ZONA2"/>
    <x v="7"/>
    <x v="21"/>
    <s v="AD. DIRECTA"/>
    <s v="VIALSUR"/>
    <m/>
    <m/>
    <n v="0"/>
    <s v="Limpieza de cunetas y alcantarillas a maquina"/>
    <s v="m3"/>
    <n v="1.47"/>
    <n v="0"/>
    <m/>
    <d v="2014-02-01T00:00:00"/>
    <d v="2014-02-28T00:00:00"/>
    <s v="EJECUTADO"/>
    <n v="0"/>
  </r>
  <r>
    <m/>
    <m/>
    <s v="MANTENIMIENTO"/>
    <x v="1"/>
    <x v="48"/>
    <s v="ZONA2"/>
    <x v="7"/>
    <x v="21"/>
    <s v="AD. DIRECTA"/>
    <s v="VIALSUR"/>
    <m/>
    <m/>
    <n v="0"/>
    <s v="Transporte de material excavado ( desalojo de escombrera)"/>
    <s v="m3/km"/>
    <n v="0.3"/>
    <n v="0"/>
    <m/>
    <d v="2014-02-01T00:00:00"/>
    <d v="2014-02-28T00:00:00"/>
    <s v="EJECUTADO"/>
    <n v="0"/>
  </r>
  <r>
    <m/>
    <m/>
    <s v="MEJORAMIENTO"/>
    <x v="1"/>
    <x v="48"/>
    <s v="ZONA2"/>
    <x v="7"/>
    <x v="21"/>
    <s v="AD. DIRECTA"/>
    <s v="VIALSUR"/>
    <m/>
    <m/>
    <n v="0"/>
    <s v="Transporte de material de mejoramiento, inc cargado"/>
    <s v="m3/km"/>
    <n v="0.3"/>
    <n v="15900"/>
    <m/>
    <d v="2014-02-01T00:00:00"/>
    <d v="2014-02-28T00:00:00"/>
    <s v="EJECUTADO"/>
    <n v="4770"/>
  </r>
  <r>
    <m/>
    <m/>
    <s v="MANTENIMIENTO"/>
    <x v="1"/>
    <x v="48"/>
    <s v="ZONA2"/>
    <x v="7"/>
    <x v="21"/>
    <s v="AD. DIRECTA"/>
    <s v="VIALSUR"/>
    <m/>
    <n v="14.549999999999999"/>
    <n v="0"/>
    <s v="Rasanteo y conformacion de cunetas con motoniveladora"/>
    <s v="m2"/>
    <n v="0.08"/>
    <n v="80000"/>
    <m/>
    <d v="2014-02-01T00:00:00"/>
    <d v="2014-02-28T00:00:00"/>
    <s v="EJECUTADO"/>
    <n v="6400"/>
  </r>
  <r>
    <m/>
    <m/>
    <s v="MANTENIMIENTO"/>
    <x v="1"/>
    <x v="48"/>
    <s v="ZONA2"/>
    <x v="7"/>
    <x v="21"/>
    <s v="AD. DIRECTA"/>
    <s v="VIALSUR"/>
    <m/>
    <n v="19.100000000000001"/>
    <n v="0"/>
    <s v="Reconformación de la rasante"/>
    <s v="m2"/>
    <n v="0.35"/>
    <n v="105000"/>
    <m/>
    <d v="2014-02-01T00:00:00"/>
    <d v="2014-01-31T00:00:00"/>
    <s v="EJECUTADO"/>
    <n v="36750"/>
  </r>
  <r>
    <m/>
    <m/>
    <s v="MEJORAMIENTO"/>
    <x v="1"/>
    <x v="48"/>
    <s v="ZONA2"/>
    <x v="7"/>
    <x v="21"/>
    <s v="AD. DIRECTA"/>
    <s v="VIALSUR"/>
    <m/>
    <n v="0.64"/>
    <n v="0"/>
    <s v="Mejoramiento de la subrasante con suelo seleccionado"/>
    <s v="m3"/>
    <n v="5.92"/>
    <n v="700"/>
    <m/>
    <d v="2014-02-01T00:00:00"/>
    <d v="2014-02-28T00:00:00"/>
    <s v="EJECUTADO"/>
    <n v="4144"/>
  </r>
  <r>
    <m/>
    <m/>
    <s v="MANTENIMIENTO"/>
    <x v="54"/>
    <x v="49"/>
    <s v="ZONA2"/>
    <x v="7"/>
    <x v="22"/>
    <s v="AD. DIRECTA"/>
    <s v="VIALSUR"/>
    <n v="16"/>
    <m/>
    <n v="1388"/>
    <s v="Roza a mano"/>
    <s v="Ha"/>
    <n v="948.16"/>
    <n v="0"/>
    <m/>
    <d v="2014-01-01T00:00:00"/>
    <d v="2014-01-31T00:00:00"/>
    <s v="EJECUTADO"/>
    <n v="0"/>
  </r>
  <r>
    <m/>
    <m/>
    <s v="MEJORAMIENTO"/>
    <x v="1"/>
    <x v="49"/>
    <s v="ZONA2"/>
    <x v="7"/>
    <x v="22"/>
    <s v="AD. DIRECTA"/>
    <s v="VIALSUR"/>
    <m/>
    <m/>
    <n v="0"/>
    <s v="Excavación sin clasificar a máquina"/>
    <s v="m3"/>
    <n v="1.62"/>
    <n v="500"/>
    <m/>
    <d v="2014-01-01T00:00:00"/>
    <d v="2014-01-31T00:00:00"/>
    <s v="EJECUTADO"/>
    <n v="810"/>
  </r>
  <r>
    <m/>
    <m/>
    <s v="MANTENIMIENTO"/>
    <x v="1"/>
    <x v="49"/>
    <s v="ZONA2"/>
    <x v="7"/>
    <x v="22"/>
    <s v="AD. DIRECTA"/>
    <s v="VIALSUR"/>
    <m/>
    <m/>
    <n v="0"/>
    <s v="Limpieza de derrumbes a máquina"/>
    <s v="m3"/>
    <n v="1.46"/>
    <n v="600"/>
    <m/>
    <d v="2014-01-01T00:00:00"/>
    <d v="2014-01-31T00:00:00"/>
    <s v="EJECUTADO"/>
    <n v="876"/>
  </r>
  <r>
    <m/>
    <m/>
    <s v="MANTENIMIENTO"/>
    <x v="1"/>
    <x v="49"/>
    <s v="ZONA2"/>
    <x v="7"/>
    <x v="22"/>
    <s v="AD. DIRECTA"/>
    <s v="VIALSUR"/>
    <m/>
    <m/>
    <n v="0"/>
    <s v="Limpieza de cunetas y alcantarillas a maquina"/>
    <s v="m3"/>
    <n v="1.47"/>
    <n v="0"/>
    <m/>
    <d v="2014-01-01T00:00:00"/>
    <d v="2014-01-31T00:00:00"/>
    <s v="EJECUTADO"/>
    <n v="0"/>
  </r>
  <r>
    <m/>
    <m/>
    <s v="MANTENIMIENTO"/>
    <x v="1"/>
    <x v="49"/>
    <s v="ZONA2"/>
    <x v="7"/>
    <x v="22"/>
    <s v="AD. DIRECTA"/>
    <s v="VIALSUR"/>
    <m/>
    <m/>
    <n v="0"/>
    <s v="Transporte de material excavado ( desalojo de escombrera)"/>
    <s v="m3/km"/>
    <n v="0.3"/>
    <n v="0"/>
    <m/>
    <d v="2014-01-01T00:00:00"/>
    <d v="2014-01-31T00:00:00"/>
    <s v="EJECUTADO"/>
    <n v="0"/>
  </r>
  <r>
    <m/>
    <m/>
    <s v="MEJORAMIENTO"/>
    <x v="1"/>
    <x v="49"/>
    <s v="ZONA2"/>
    <x v="7"/>
    <x v="22"/>
    <s v="AD. DIRECTA"/>
    <s v="VIALSUR"/>
    <m/>
    <m/>
    <n v="0"/>
    <s v="Transporte de material de mejoramiento, inc cargado"/>
    <s v="m3/km"/>
    <n v="0.3"/>
    <n v="7500"/>
    <m/>
    <d v="2014-01-01T00:00:00"/>
    <d v="2014-01-31T00:00:00"/>
    <s v="EJECUTADO"/>
    <n v="2250"/>
  </r>
  <r>
    <m/>
    <m/>
    <s v="MANTENIMIENTO"/>
    <x v="1"/>
    <x v="49"/>
    <s v="ZONA2"/>
    <x v="7"/>
    <x v="22"/>
    <s v="AD. DIRECTA"/>
    <s v="VIALSUR"/>
    <m/>
    <n v="0"/>
    <n v="0"/>
    <s v="Rasanteo y conformacion de cunetas con motoniveladora"/>
    <s v="m2"/>
    <n v="0.08"/>
    <m/>
    <m/>
    <d v="2014-02-03T00:00:00"/>
    <d v="2014-01-31T00:00:00"/>
    <s v="EJECUTADO"/>
    <n v="0"/>
  </r>
  <r>
    <m/>
    <m/>
    <s v="MANTENIMIENTO"/>
    <x v="1"/>
    <x v="49"/>
    <s v="ZONA2"/>
    <x v="7"/>
    <x v="22"/>
    <s v="AD. DIRECTA"/>
    <s v="VIALSUR"/>
    <m/>
    <n v="19.100000000000001"/>
    <n v="0"/>
    <s v="Reconformación de la rasante"/>
    <s v="m2"/>
    <n v="0.35"/>
    <n v="105000"/>
    <m/>
    <d v="2014-01-01T00:00:00"/>
    <d v="2014-01-31T00:00:00"/>
    <s v="EJECUTADO"/>
    <n v="36750"/>
  </r>
  <r>
    <m/>
    <m/>
    <s v="MEJORAMIENTO"/>
    <x v="1"/>
    <x v="49"/>
    <s v="ZONA2"/>
    <x v="7"/>
    <x v="22"/>
    <s v="AD. DIRECTA"/>
    <s v="VIALSUR"/>
    <m/>
    <n v="0.45"/>
    <n v="0"/>
    <s v="Mejoramiento de la subrasante con suelo seleccionado"/>
    <s v="m3"/>
    <n v="5.92"/>
    <n v="500"/>
    <m/>
    <d v="2014-01-01T00:00:00"/>
    <d v="2014-01-31T00:00:00"/>
    <s v="EJECUTADO"/>
    <n v="2960"/>
  </r>
  <r>
    <m/>
    <m/>
    <s v="MANTENIMIENTO"/>
    <x v="55"/>
    <x v="50"/>
    <s v="ZONA2"/>
    <x v="7"/>
    <x v="21"/>
    <s v="AD. DIRECTA"/>
    <s v="VIALSUR"/>
    <n v="6.5"/>
    <m/>
    <n v="640"/>
    <s v="Roza a mano"/>
    <s v="Ha"/>
    <n v="948.16"/>
    <n v="0"/>
    <m/>
    <d v="2014-01-01T00:00:00"/>
    <d v="2014-02-28T00:00:00"/>
    <s v="EJECUTADO"/>
    <n v="0"/>
  </r>
  <r>
    <m/>
    <m/>
    <s v="MEJORAMIENTO"/>
    <x v="1"/>
    <x v="50"/>
    <s v="ZONA2"/>
    <x v="7"/>
    <x v="21"/>
    <s v="AD. DIRECTA"/>
    <s v="VIALSUR"/>
    <m/>
    <m/>
    <n v="0"/>
    <s v="Excavación sin clasificar a máquina"/>
    <s v="m3"/>
    <n v="1.62"/>
    <n v="1800"/>
    <m/>
    <d v="2014-01-01T00:00:00"/>
    <d v="2014-02-28T00:00:00"/>
    <s v="EJECUTADO"/>
    <n v="2916"/>
  </r>
  <r>
    <m/>
    <m/>
    <s v="MANTENIMIENTO"/>
    <x v="1"/>
    <x v="50"/>
    <s v="ZONA2"/>
    <x v="7"/>
    <x v="21"/>
    <s v="AD. DIRECTA"/>
    <s v="VIALSUR"/>
    <m/>
    <m/>
    <n v="0"/>
    <s v="Limpieza de derrumbes a máquina"/>
    <s v="m3"/>
    <n v="1.46"/>
    <n v="900"/>
    <m/>
    <d v="2014-01-01T00:00:00"/>
    <d v="2014-02-28T00:00:00"/>
    <s v="EJECUTADO"/>
    <n v="1314"/>
  </r>
  <r>
    <m/>
    <m/>
    <s v="MANTENIMIENTO"/>
    <x v="1"/>
    <x v="50"/>
    <s v="ZONA2"/>
    <x v="7"/>
    <x v="21"/>
    <s v="AD. DIRECTA"/>
    <s v="VIALSUR"/>
    <m/>
    <m/>
    <n v="0"/>
    <s v="Limpieza de cunetas y alcantarillas a maquina"/>
    <s v="m3"/>
    <n v="1.47"/>
    <n v="70"/>
    <m/>
    <d v="2014-02-03T00:00:00"/>
    <d v="2014-02-28T00:00:00"/>
    <s v="EJECUTADO"/>
    <n v="102.9"/>
  </r>
  <r>
    <m/>
    <m/>
    <s v="MANTENIMIENTO"/>
    <x v="1"/>
    <x v="50"/>
    <s v="ZONA2"/>
    <x v="7"/>
    <x v="21"/>
    <s v="AD. DIRECTA"/>
    <s v="VIALSUR"/>
    <m/>
    <m/>
    <n v="0"/>
    <s v="Transporte de material excavado ( desalojo de escombrera)"/>
    <s v="m3/km"/>
    <n v="0.3"/>
    <n v="0"/>
    <m/>
    <d v="2014-01-01T00:00:00"/>
    <d v="2014-02-28T00:00:00"/>
    <s v="EJECUTADO"/>
    <n v="0"/>
  </r>
  <r>
    <m/>
    <m/>
    <s v="MEJORAMIENTO"/>
    <x v="1"/>
    <x v="50"/>
    <s v="ZONA2"/>
    <x v="7"/>
    <x v="21"/>
    <s v="AD. DIRECTA"/>
    <s v="VIALSUR"/>
    <m/>
    <m/>
    <n v="0"/>
    <s v="Transporte de material de mejoramiento, inc cargado"/>
    <s v="m3/km"/>
    <n v="0.3"/>
    <n v="75600"/>
    <m/>
    <d v="2014-01-01T00:00:00"/>
    <d v="2014-02-28T00:00:00"/>
    <s v="EJECUTADO"/>
    <n v="22680"/>
  </r>
  <r>
    <m/>
    <m/>
    <s v="MANTENIMIENTO"/>
    <x v="1"/>
    <x v="50"/>
    <s v="ZONA2"/>
    <x v="7"/>
    <x v="21"/>
    <s v="AD. DIRECTA"/>
    <s v="VIALSUR"/>
    <m/>
    <n v="0.91"/>
    <n v="0"/>
    <s v="Rasanteo y conformacion de cunetas con motoniveladora"/>
    <s v="m2"/>
    <n v="0.08"/>
    <n v="5000"/>
    <m/>
    <d v="2014-01-01T00:00:00"/>
    <d v="2014-01-31T00:00:00"/>
    <s v="EJECUTADO"/>
    <n v="400"/>
  </r>
  <r>
    <m/>
    <m/>
    <s v="MANTENIMIENTO"/>
    <x v="1"/>
    <x v="50"/>
    <s v="ZONA2"/>
    <x v="7"/>
    <x v="21"/>
    <s v="AD. DIRECTA"/>
    <s v="VIALSUR"/>
    <m/>
    <n v="4.55"/>
    <n v="0"/>
    <s v="Reconformación de la rasante"/>
    <s v="m2"/>
    <n v="0.35"/>
    <n v="25000"/>
    <m/>
    <d v="2014-01-01T00:00:00"/>
    <d v="2014-02-28T00:00:00"/>
    <s v="EJECUTADO"/>
    <n v="8750"/>
  </r>
  <r>
    <m/>
    <m/>
    <s v="MEJORAMIENTO"/>
    <x v="1"/>
    <x v="50"/>
    <s v="ZONA2"/>
    <x v="7"/>
    <x v="21"/>
    <s v="AD. DIRECTA"/>
    <s v="VIALSUR"/>
    <m/>
    <n v="1.64"/>
    <n v="0"/>
    <s v="Mejoramiento de la subrasante con suelo seleccionado"/>
    <s v="m3"/>
    <n v="5.92"/>
    <n v="1800"/>
    <m/>
    <d v="2014-01-01T00:00:00"/>
    <d v="2014-02-28T00:00:00"/>
    <s v="EJECUTADO"/>
    <n v="10656"/>
  </r>
  <r>
    <s v="7"/>
    <s v="EJECUTADO"/>
    <s v="MANTENIMIENTO"/>
    <x v="56"/>
    <x v="51"/>
    <s v="ZONA2"/>
    <x v="7"/>
    <x v="23"/>
    <s v="AD. DIRECTA"/>
    <s v="VIALSUR"/>
    <n v="15"/>
    <m/>
    <n v="567"/>
    <s v="Roza a mano"/>
    <s v="Ha"/>
    <n v="948.16"/>
    <n v="0"/>
    <m/>
    <d v="2014-03-01T00:00:00"/>
    <d v="2014-03-31T00:00:00"/>
    <s v="EJECUTADO"/>
    <n v="0"/>
  </r>
  <r>
    <m/>
    <m/>
    <s v="MEJORAMIENTO"/>
    <x v="1"/>
    <x v="51"/>
    <s v="ZONA2"/>
    <x v="7"/>
    <x v="23"/>
    <s v="AD. DIRECTA"/>
    <s v="VIALSUR"/>
    <m/>
    <m/>
    <m/>
    <s v="Excavacion sin clasificar a maquina (explotación de material)"/>
    <s v="m3"/>
    <n v="1.62"/>
    <n v="5060"/>
    <m/>
    <d v="2014-03-01T00:00:00"/>
    <d v="2014-07-31T00:00:00"/>
    <s v="EJECUTADO"/>
    <n v="8197.2000000000007"/>
  </r>
  <r>
    <m/>
    <m/>
    <s v="MANTENIMIENTO"/>
    <x v="1"/>
    <x v="51"/>
    <s v="ZONA2"/>
    <x v="7"/>
    <x v="23"/>
    <s v="AD. DIRECTA"/>
    <s v="VIALSUR"/>
    <m/>
    <m/>
    <m/>
    <s v="Limpieza de derrumbes a máquina"/>
    <s v="m3"/>
    <n v="1.46"/>
    <n v="12898"/>
    <m/>
    <d v="2014-03-01T00:00:00"/>
    <d v="2014-07-31T00:00:00"/>
    <s v="EJECUTADO"/>
    <n v="18831.080000000002"/>
  </r>
  <r>
    <m/>
    <m/>
    <s v="MANTENIMIENTO"/>
    <x v="1"/>
    <x v="51"/>
    <s v="ZONA2"/>
    <x v="7"/>
    <x v="23"/>
    <s v="AD. DIRECTA"/>
    <s v="VIALSUR"/>
    <m/>
    <m/>
    <m/>
    <s v="Limpieza de cunetas y alcantarillas a máquina"/>
    <s v="m3"/>
    <n v="1.47"/>
    <n v="1140"/>
    <m/>
    <d v="2014-03-01T00:00:00"/>
    <d v="2014-05-31T00:00:00"/>
    <s v="EJECUTADO"/>
    <n v="1675.8"/>
  </r>
  <r>
    <m/>
    <m/>
    <s v="MANTENIMIENTO"/>
    <x v="1"/>
    <x v="51"/>
    <s v="ZONA2"/>
    <x v="7"/>
    <x v="23"/>
    <s v="AD. DIRECTA"/>
    <s v="VIALSUR"/>
    <m/>
    <m/>
    <m/>
    <s v="Transporte de material excavado (desalojo a escombrera)"/>
    <s v="m3/km"/>
    <n v="0.3"/>
    <n v="19252"/>
    <m/>
    <d v="2014-03-01T00:00:00"/>
    <d v="2014-07-31T00:00:00"/>
    <s v="EJECUTADO"/>
    <n v="5775.6"/>
  </r>
  <r>
    <m/>
    <m/>
    <s v="MEJORAMIENTO"/>
    <x v="1"/>
    <x v="51"/>
    <s v="ZONA2"/>
    <x v="7"/>
    <x v="23"/>
    <s v="AD. DIRECTA"/>
    <s v="VIALSUR"/>
    <m/>
    <m/>
    <m/>
    <s v="Transporte de material para mejoramiento, inc. cargado"/>
    <s v="m3/km"/>
    <n v="0.3"/>
    <n v="34928"/>
    <m/>
    <d v="2014-03-01T00:00:00"/>
    <d v="2014-07-31T00:00:00"/>
    <s v="EJECUTADO"/>
    <n v="10478.4"/>
  </r>
  <r>
    <m/>
    <m/>
    <s v="MANTENIMIENTO"/>
    <x v="1"/>
    <x v="51"/>
    <s v="ZONA2"/>
    <x v="7"/>
    <x v="23"/>
    <s v="AD. DIRECTA"/>
    <s v="VIALSUR"/>
    <m/>
    <n v="96.460000000000008"/>
    <m/>
    <s v="Rasanteo y conformacion de cunetas con motoniveladora"/>
    <s v="m2"/>
    <n v="0.08"/>
    <n v="530500"/>
    <m/>
    <d v="2014-03-01T00:00:00"/>
    <d v="2014-07-31T00:00:00"/>
    <s v="EJECUTADO"/>
    <n v="42440"/>
  </r>
  <r>
    <m/>
    <m/>
    <s v="MANTENIMIENTO"/>
    <x v="1"/>
    <x v="51"/>
    <s v="ZONA2"/>
    <x v="7"/>
    <x v="23"/>
    <s v="AD. DIRECTA"/>
    <s v="VIALSUR"/>
    <m/>
    <n v="0"/>
    <m/>
    <s v="Reconformación de la rasante"/>
    <s v="m2"/>
    <n v="0.35"/>
    <n v="0"/>
    <m/>
    <d v="2014-03-01T00:00:00"/>
    <d v="2014-04-30T00:00:00"/>
    <s v="EJECUTADO"/>
    <n v="0"/>
  </r>
  <r>
    <m/>
    <m/>
    <s v="MEJORAMIENTO"/>
    <x v="1"/>
    <x v="51"/>
    <s v="ZONA2"/>
    <x v="7"/>
    <x v="23"/>
    <s v="AD. DIRECTA"/>
    <s v="VIALSUR"/>
    <m/>
    <n v="4.33"/>
    <m/>
    <s v="Mejoramiento de la subrasante con suelo seleccionado"/>
    <s v="m3"/>
    <n v="5.92"/>
    <n v="4760"/>
    <m/>
    <d v="2014-03-01T00:00:00"/>
    <d v="2014-07-31T00:00:00"/>
    <s v="EJECUTADO"/>
    <n v="28179.200000000001"/>
  </r>
  <r>
    <s v="8"/>
    <s v="EN EJECUCION"/>
    <s v="MEJORAMIENTO"/>
    <x v="57"/>
    <x v="52"/>
    <s v="ZONA2"/>
    <x v="8"/>
    <x v="24"/>
    <s v="CONVENIO"/>
    <s v="VIALSUR"/>
    <n v="26"/>
    <n v="1.02"/>
    <n v="1969"/>
    <s v="Bacheo con material de base clase 3"/>
    <s v="m3"/>
    <n v="19.149999999999999"/>
    <n v="1100"/>
    <m/>
    <d v="2014-02-03T00:00:00"/>
    <d v="2014-07-31T00:00:00"/>
    <s v="EJECUTADO"/>
    <n v="21065"/>
  </r>
  <r>
    <m/>
    <m/>
    <s v="ASFALTO"/>
    <x v="1"/>
    <x v="52"/>
    <s v="ZONA2"/>
    <x v="8"/>
    <x v="24"/>
    <s v="CONVENIO"/>
    <s v="VIALSUR"/>
    <m/>
    <n v="6.89"/>
    <n v="0"/>
    <s v="Imprimación Asfaltica"/>
    <s v="Lt."/>
    <n v="0.98"/>
    <n v="59500"/>
    <m/>
    <d v="2014-02-03T00:00:00"/>
    <d v="2014-03-31T00:00:00"/>
    <s v="EJECUTADO"/>
    <n v="58310"/>
  </r>
  <r>
    <m/>
    <m/>
    <s v="ASFALTO"/>
    <x v="1"/>
    <x v="52"/>
    <s v="ZONA2"/>
    <x v="8"/>
    <x v="24"/>
    <s v="CONVENIO"/>
    <s v="VIALSUR"/>
    <m/>
    <n v="17.97"/>
    <n v="0"/>
    <s v="Bacheo asfaltico con material 3/4&quot; (manual)"/>
    <s v="m2"/>
    <n v="3.17"/>
    <n v="25880"/>
    <m/>
    <d v="2014-02-03T00:00:00"/>
    <d v="2014-07-31T00:00:00"/>
    <s v="EJECUTADO"/>
    <n v="82039.600000000006"/>
  </r>
  <r>
    <m/>
    <m/>
    <s v="ASFALTO"/>
    <x v="1"/>
    <x v="52"/>
    <s v="ZONA2"/>
    <x v="8"/>
    <x v="24"/>
    <s v="CONVENIO"/>
    <s v="VIALSUR"/>
    <m/>
    <n v="24.15"/>
    <n v="0"/>
    <s v="Sello asfaltico con material 3/8&quot;"/>
    <s v="m2"/>
    <n v="2.8"/>
    <n v="173874"/>
    <m/>
    <d v="2014-03-01T00:00:00"/>
    <d v="2014-07-31T00:00:00"/>
    <s v="EJECUTADO"/>
    <n v="486847.2"/>
  </r>
  <r>
    <m/>
    <m/>
    <s v="MEJORAMIENTO"/>
    <x v="1"/>
    <x v="52"/>
    <s v="ZONA2"/>
    <x v="8"/>
    <x v="24"/>
    <s v="CONVENIO"/>
    <s v="VIALSUR"/>
    <m/>
    <n v="8.59"/>
    <n v="0"/>
    <s v="Reconformación de base"/>
    <s v="m2"/>
    <n v="0.35"/>
    <n v="47200"/>
    <m/>
    <d v="2014-01-05T00:00:00"/>
    <d v="2014-07-31T00:00:00"/>
    <s v="EJECUTADO"/>
    <n v="16520"/>
  </r>
  <r>
    <m/>
    <m/>
    <s v="MEJORAMIENTO"/>
    <x v="1"/>
    <x v="52"/>
    <s v="ZONA2"/>
    <x v="8"/>
    <x v="24"/>
    <s v="CONVENIO"/>
    <s v="VIALSUR"/>
    <m/>
    <m/>
    <n v="0"/>
    <s v="Transporte de material  ( Catamayo - Loja)"/>
    <s v="m3/km"/>
    <n v="0.3"/>
    <n v="729900"/>
    <m/>
    <d v="2014-02-03T00:00:00"/>
    <d v="2014-07-31T00:00:00"/>
    <s v="EJECUTADO"/>
    <n v="218970"/>
  </r>
  <r>
    <s v="9"/>
    <s v="EJECUTADO"/>
    <s v="MEJORAMIENTO"/>
    <x v="58"/>
    <x v="53"/>
    <s v="ZONA2"/>
    <x v="9"/>
    <x v="25"/>
    <s v="CONVENIO"/>
    <s v="VIALSUR"/>
    <n v="42"/>
    <n v="0.51"/>
    <n v="6573"/>
    <s v="Bacheo con material de base clase 3"/>
    <s v="m3"/>
    <n v="19.149999999999999"/>
    <n v="732.5"/>
    <m/>
    <d v="2014-03-01T00:00:00"/>
    <d v="2014-07-31T00:00:00"/>
    <s v="EJECUTADO"/>
    <n v="14027.38"/>
  </r>
  <r>
    <m/>
    <m/>
    <s v="ASFALTO"/>
    <x v="1"/>
    <x v="53"/>
    <s v="ZONA2"/>
    <x v="9"/>
    <x v="25"/>
    <s v="CONVENIO"/>
    <s v="VIALSUR"/>
    <m/>
    <n v="8.75"/>
    <n v="0"/>
    <s v="Imprimación asfaltica"/>
    <s v="Lt"/>
    <n v="0.98"/>
    <n v="75582"/>
    <m/>
    <d v="2014-03-01T00:00:00"/>
    <d v="2014-07-31T00:00:00"/>
    <s v="EJECUTADO"/>
    <n v="74070.36"/>
  </r>
  <r>
    <m/>
    <m/>
    <s v="ASFALTO"/>
    <x v="1"/>
    <x v="53"/>
    <s v="ZONA2"/>
    <x v="9"/>
    <x v="25"/>
    <s v="CONVENIO"/>
    <s v="VIALSUR"/>
    <m/>
    <n v="1.1499999999999999"/>
    <n v="0"/>
    <s v="Bacheo asfaltico con material 3/4&quot; Y 3/8&quot; (manual)"/>
    <s v="m2"/>
    <n v="3.48"/>
    <n v="8314"/>
    <m/>
    <d v="2014-03-01T00:00:00"/>
    <d v="2014-07-31T00:00:00"/>
    <s v="EJECUTADO"/>
    <n v="28932.720000000001"/>
  </r>
  <r>
    <m/>
    <m/>
    <s v="MEJORAMIENTO"/>
    <x v="1"/>
    <x v="53"/>
    <s v="ZONA2"/>
    <x v="9"/>
    <x v="25"/>
    <s v="CONVENIO"/>
    <s v="VIALSUR"/>
    <m/>
    <m/>
    <n v="0"/>
    <s v="Transporte de material (Catamayo - Loja)"/>
    <s v="m3/km"/>
    <n v="0.3"/>
    <n v="295300"/>
    <m/>
    <d v="2014-03-01T00:00:00"/>
    <d v="2014-07-31T00:00:00"/>
    <s v="EJECUTADO"/>
    <n v="88590"/>
  </r>
  <r>
    <m/>
    <m/>
    <s v="MEJORAMIENTO"/>
    <x v="1"/>
    <x v="53"/>
    <s v="ZONA2"/>
    <x v="9"/>
    <x v="25"/>
    <s v="CONVENIO"/>
    <s v="VIALSUR"/>
    <m/>
    <n v="12.91"/>
    <n v="0"/>
    <s v="Reconformación de base"/>
    <s v="m2"/>
    <n v="0.35"/>
    <n v="71000"/>
    <m/>
    <d v="2014-01-05T00:00:00"/>
    <d v="2014-07-31T00:00:00"/>
    <s v="EJECUTADO"/>
    <n v="24850"/>
  </r>
  <r>
    <m/>
    <m/>
    <s v="ASFALTO"/>
    <x v="1"/>
    <x v="53"/>
    <s v="ZONA2"/>
    <x v="9"/>
    <x v="25"/>
    <s v="CONVENIO"/>
    <s v="VIALSUR"/>
    <m/>
    <n v="11.11"/>
    <n v="0"/>
    <s v="Doble tratamiento superficial bituminoso"/>
    <s v="m2"/>
    <n v="4.5"/>
    <n v="80000"/>
    <m/>
    <d v="2014-01-05T00:00:00"/>
    <d v="2014-05-31T00:00:00"/>
    <s v="EJECUTADO"/>
    <n v="360000"/>
  </r>
  <r>
    <m/>
    <m/>
    <s v="MANTENIMIENTO"/>
    <x v="59"/>
    <x v="54"/>
    <s v="ZONA2"/>
    <x v="10"/>
    <x v="26"/>
    <s v="CONTRATO"/>
    <s v="VIALSUR"/>
    <n v="3.1"/>
    <n v="15.709999999999999"/>
    <n v="2919"/>
    <s v="Rasanteo y conformacion de cunetas con motoniveladora"/>
    <s v="m²."/>
    <n v="0.08"/>
    <n v="86355"/>
    <m/>
    <d v="2014-02-17T00:00:00"/>
    <d v="2014-02-28T00:00:00"/>
    <s v="EJECUTADO"/>
    <n v="6908.4"/>
  </r>
  <r>
    <m/>
    <m/>
    <s v="MANTENIMIENTO"/>
    <x v="1"/>
    <x v="54"/>
    <s v="ZONA2"/>
    <x v="11"/>
    <x v="27"/>
    <s v="CONTRATO"/>
    <s v="VIALSUR"/>
    <n v="3.1"/>
    <n v="12.89"/>
    <n v="889"/>
    <s v="Rasanteo y conformacion de cunetas con motoniveladora"/>
    <s v="m²."/>
    <n v="0.08"/>
    <n v="70865"/>
    <m/>
    <d v="2014-02-17T00:00:00"/>
    <d v="2014-02-28T00:00:00"/>
    <s v="EJECUTADO"/>
    <n v="5669.2"/>
  </r>
  <r>
    <m/>
    <m/>
    <s v="MANTENIMIENTO"/>
    <x v="1"/>
    <x v="54"/>
    <s v="ZONA2"/>
    <x v="11"/>
    <x v="28"/>
    <s v="CONTRATO"/>
    <s v="VIALSUR"/>
    <n v="3.1"/>
    <n v="19.610000000000003"/>
    <n v="1426"/>
    <s v="Rasanteo y conformacion de cunetas con motoniveladora"/>
    <s v="m²."/>
    <n v="0.08"/>
    <n v="107820"/>
    <m/>
    <d v="2014-03-01T00:00:00"/>
    <d v="2014-03-31T00:00:00"/>
    <s v="EJECUTADO"/>
    <n v="8625.6"/>
  </r>
  <r>
    <m/>
    <m/>
    <s v="MANTENIMIENTO"/>
    <x v="1"/>
    <x v="54"/>
    <s v="ZONA2"/>
    <x v="11"/>
    <x v="29"/>
    <s v="CONTRATO"/>
    <s v="VIALSUR"/>
    <n v="3.1"/>
    <n v="48.01"/>
    <n v="879"/>
    <s v="Rasanteo y conformacion de cunetas con motoniveladora"/>
    <s v="m²."/>
    <n v="0.08"/>
    <n v="264017.5"/>
    <m/>
    <d v="2014-03-01T00:00:00"/>
    <d v="2014-03-31T00:00:00"/>
    <s v="EJECUTADO"/>
    <n v="21121.4"/>
  </r>
  <r>
    <m/>
    <m/>
    <s v="MANTENIMIENTO"/>
    <x v="1"/>
    <x v="54"/>
    <s v="ZONA2"/>
    <x v="7"/>
    <x v="22"/>
    <s v="CONTRATO"/>
    <s v="VIALSUR"/>
    <n v="3.1"/>
    <n v="24.25"/>
    <n v="1388"/>
    <s v="Rasanteo y conformacion de cunetas con motoniveladora"/>
    <s v="m²."/>
    <n v="0.08"/>
    <n v="133350"/>
    <m/>
    <d v="2014-03-01T00:00:00"/>
    <d v="2014-03-31T00:00:00"/>
    <s v="EJECUTADO"/>
    <n v="10668"/>
  </r>
  <r>
    <m/>
    <m/>
    <s v="MANTENIMIENTO"/>
    <x v="1"/>
    <x v="54"/>
    <s v="ZONA2"/>
    <x v="8"/>
    <x v="30"/>
    <s v="CONTRATO"/>
    <s v="VIALSUR"/>
    <n v="3.1"/>
    <n v="19.610000000000003"/>
    <n v="661"/>
    <s v="Rasanteo y conformacion de cunetas con motoniveladora"/>
    <s v="m²."/>
    <n v="0.08"/>
    <n v="107820"/>
    <m/>
    <d v="2014-03-01T00:00:00"/>
    <d v="2014-03-31T00:00:00"/>
    <s v="EJECUTADO"/>
    <n v="8625.6"/>
  </r>
  <r>
    <s v="10"/>
    <s v="EJECUTADO"/>
    <s v="MANTENIMIENTO"/>
    <x v="60"/>
    <x v="55"/>
    <s v="ZONA2"/>
    <x v="11"/>
    <x v="29"/>
    <s v="AD. DIRECTA"/>
    <s v="VIALSUR"/>
    <m/>
    <m/>
    <n v="0"/>
    <s v="Limpieza de derrumbes a máquina"/>
    <s v="m3"/>
    <n v="1.46"/>
    <n v="32000"/>
    <m/>
    <d v="2014-06-01T00:00:00"/>
    <d v="2014-07-31T00:00:00"/>
    <s v="EJECUTADO"/>
    <n v="46720"/>
  </r>
  <r>
    <m/>
    <m/>
    <s v="MANTENIMIENTO"/>
    <x v="1"/>
    <x v="55"/>
    <s v="ZONA2"/>
    <x v="11"/>
    <x v="29"/>
    <s v="AD. DIRECTA"/>
    <s v="VIALSUR"/>
    <m/>
    <n v="63.64"/>
    <n v="0"/>
    <s v="Pefilado de razante con tractor"/>
    <s v="m3"/>
    <n v="0.12"/>
    <n v="350000"/>
    <m/>
    <d v="2014-06-01T00:00:00"/>
    <d v="2014-07-31T00:00:00"/>
    <s v="EJECUTADO"/>
    <n v="42000"/>
  </r>
  <r>
    <m/>
    <m/>
    <s v="PUENTES"/>
    <x v="61"/>
    <x v="56"/>
    <s v="ZONA2"/>
    <x v="7"/>
    <x v="31"/>
    <s v="CONVENIO"/>
    <s v="VIALSUR"/>
    <n v="3.1"/>
    <n v="0"/>
    <n v="467"/>
    <m/>
    <s v="m3"/>
    <m/>
    <n v="0"/>
    <m/>
    <m/>
    <m/>
    <s v="EJECUTADO"/>
    <n v="0"/>
  </r>
  <r>
    <m/>
    <m/>
    <s v="PUENTES"/>
    <x v="62"/>
    <x v="57"/>
    <s v="ZONA2"/>
    <x v="7"/>
    <x v="23"/>
    <s v="CONVENIO"/>
    <s v="VIALSUR"/>
    <n v="3.1"/>
    <n v="0"/>
    <n v="567"/>
    <s v="ESTRIBOS CONSTRUIDOS"/>
    <s v="m3"/>
    <m/>
    <n v="0"/>
    <m/>
    <d v="2014-01-01T00:00:00"/>
    <d v="2014-01-31T00:00:00"/>
    <s v="EJECUTADO"/>
    <n v="10000"/>
  </r>
  <r>
    <s v="11"/>
    <s v="EJECUTADO"/>
    <s v="MEJORAMIENTO"/>
    <x v="63"/>
    <x v="58"/>
    <s v="ZONA3"/>
    <x v="12"/>
    <x v="32"/>
    <s v="AD. DIRECTA"/>
    <s v="VIALSUR"/>
    <n v="15"/>
    <m/>
    <n v="267"/>
    <s v="Excavación sin clasificar a máquina (ampliación de la vía en áreas críticas)"/>
    <s v="m³."/>
    <n v="1.62"/>
    <n v="700"/>
    <m/>
    <d v="2014-06-01T00:00:00"/>
    <d v="2014-06-30T00:00:00"/>
    <s v="EJECUTADO"/>
    <n v="1134"/>
  </r>
  <r>
    <m/>
    <m/>
    <s v="MEJORAMIENTO"/>
    <x v="1"/>
    <x v="58"/>
    <s v="ZONA3"/>
    <x v="12"/>
    <x v="32"/>
    <s v="AD. DIRECTA"/>
    <s v="VIALSUR"/>
    <m/>
    <m/>
    <n v="0"/>
    <s v="Explotación  de material (incluye cargado)"/>
    <s v="m³."/>
    <n v="2.54"/>
    <n v="800"/>
    <m/>
    <d v="2014-01-05T00:00:00"/>
    <d v="2014-05-31T00:00:00"/>
    <s v="EJECUTADO"/>
    <n v="2032"/>
  </r>
  <r>
    <m/>
    <m/>
    <s v="MEJORAMIENTO"/>
    <x v="1"/>
    <x v="58"/>
    <s v="ZONA3"/>
    <x v="12"/>
    <x v="32"/>
    <s v="AD. DIRECTA"/>
    <s v="VIALSUR"/>
    <m/>
    <m/>
    <n v="0"/>
    <s v="Clasificación de material."/>
    <s v="m³."/>
    <n v="1.47"/>
    <n v="300"/>
    <m/>
    <d v="2014-06-12T00:00:00"/>
    <d v="2014-06-30T00:00:00"/>
    <s v="EJECUTADO"/>
    <n v="441"/>
  </r>
  <r>
    <m/>
    <m/>
    <s v="MANTENIMIENTO"/>
    <x v="1"/>
    <x v="58"/>
    <s v="ZONA3"/>
    <x v="12"/>
    <x v="32"/>
    <s v="AD. DIRECTA"/>
    <s v="VIALSUR"/>
    <m/>
    <m/>
    <n v="0"/>
    <s v="Limpieza de derrumbes a maquina"/>
    <s v="m³."/>
    <n v="1.46"/>
    <n v="10858"/>
    <m/>
    <d v="2014-01-01T00:00:00"/>
    <d v="2014-06-30T00:00:00"/>
    <s v="EJECUTADO"/>
    <n v="15852.68"/>
  </r>
  <r>
    <m/>
    <m/>
    <s v="MANTENIMIENTO"/>
    <x v="1"/>
    <x v="58"/>
    <s v="ZONA3"/>
    <x v="12"/>
    <x v="32"/>
    <s v="AD. DIRECTA"/>
    <s v="VIALSUR"/>
    <m/>
    <m/>
    <n v="0"/>
    <s v="Limpieza de cunetas y alcantarillas a maquina"/>
    <s v="m³."/>
    <n v="1.47"/>
    <n v="2380"/>
    <m/>
    <d v="2014-01-05T00:00:00"/>
    <d v="2014-07-31T00:00:00"/>
    <s v="EJECUTADO"/>
    <n v="3498.6"/>
  </r>
  <r>
    <m/>
    <m/>
    <s v="MANTENIMIENTO"/>
    <x v="1"/>
    <x v="58"/>
    <s v="ZONA3"/>
    <x v="12"/>
    <x v="33"/>
    <s v="AD. DIRECTA"/>
    <s v="VIALSUR"/>
    <n v="17"/>
    <n v="8.5"/>
    <n v="144"/>
    <s v="Rasanteo y conformacion de cunetas con motoniveladora"/>
    <s v="m²."/>
    <n v="0.08"/>
    <n v="46732"/>
    <m/>
    <d v="2014-01-01T00:00:00"/>
    <d v="2014-04-30T00:00:00"/>
    <s v="EJECUTADO"/>
    <n v="3738.56"/>
  </r>
  <r>
    <m/>
    <m/>
    <s v="MANTENIMIENTO"/>
    <x v="1"/>
    <x v="58"/>
    <s v="ZONA3"/>
    <x v="12"/>
    <x v="33"/>
    <s v="AD. DIRECTA"/>
    <s v="VIALSUR"/>
    <m/>
    <n v="58.94"/>
    <n v="0"/>
    <s v="Reconformación de la Subrazante"/>
    <s v="m²."/>
    <n v="0.35"/>
    <n v="324141"/>
    <m/>
    <d v="2014-01-01T00:00:00"/>
    <d v="2014-06-30T00:00:00"/>
    <s v="EJECUTADO"/>
    <n v="113449.35"/>
  </r>
  <r>
    <m/>
    <m/>
    <s v="MEJORAMIENTO"/>
    <x v="1"/>
    <x v="58"/>
    <s v="ZONA3"/>
    <x v="12"/>
    <x v="33"/>
    <s v="AD. DIRECTA"/>
    <s v="VIALSUR"/>
    <m/>
    <m/>
    <n v="0"/>
    <s v="Transporte de material de mejoramiento"/>
    <s v="m3/km."/>
    <n v="0.3"/>
    <n v="5118.84"/>
    <m/>
    <d v="2014-01-05T00:00:00"/>
    <d v="2014-06-30T00:00:00"/>
    <s v="EJECUTADO"/>
    <n v="1535.65"/>
  </r>
  <r>
    <m/>
    <m/>
    <s v="MANTENIMIENTO"/>
    <x v="1"/>
    <x v="58"/>
    <s v="ZONA3"/>
    <x v="13"/>
    <x v="34"/>
    <s v="AD. DIRECTA"/>
    <s v="VIALSUR"/>
    <n v="24"/>
    <n v="0.15000000000000002"/>
    <n v="200"/>
    <s v="Reconformación de la rasante"/>
    <s v="m3"/>
    <n v="0.35"/>
    <n v="800"/>
    <m/>
    <d v="2014-05-01T00:00:00"/>
    <d v="2014-05-31T00:00:00"/>
    <s v="EJECUTADO"/>
    <n v="280"/>
  </r>
  <r>
    <m/>
    <m/>
    <s v="MANTENIMIENTO"/>
    <x v="64"/>
    <x v="59"/>
    <s v="ZONA3"/>
    <x v="12"/>
    <x v="33"/>
    <s v="AD. DIRECTA"/>
    <s v="VIALSUR"/>
    <n v="4.5"/>
    <m/>
    <n v="144"/>
    <s v="Limpieza de derrumbes a máquina"/>
    <s v="m³."/>
    <n v="1.46"/>
    <n v="440"/>
    <m/>
    <d v="2014-04-11T00:00:00"/>
    <d v="2014-06-30T00:00:00"/>
    <s v="EJECUTADO"/>
    <n v="642.4"/>
  </r>
  <r>
    <m/>
    <m/>
    <s v="MANTENIMIENTO"/>
    <x v="1"/>
    <x v="59"/>
    <s v="ZONA3"/>
    <x v="12"/>
    <x v="33"/>
    <s v="AD. DIRECTA"/>
    <s v="VIALSUR"/>
    <m/>
    <n v="2.21"/>
    <m/>
    <s v="Rasanteo y conformacion de cunetas con motoniveladora"/>
    <s v="m²."/>
    <n v="0.08"/>
    <n v="12150"/>
    <m/>
    <d v="2014-06-01T00:00:00"/>
    <d v="2014-06-30T00:00:00"/>
    <s v="EJECUTADO"/>
    <n v="972"/>
  </r>
  <r>
    <m/>
    <m/>
    <s v="MANTENIMIENTO"/>
    <x v="65"/>
    <x v="60"/>
    <s v="ZONA3"/>
    <x v="12"/>
    <x v="33"/>
    <s v="AD. DIRECTA"/>
    <s v="VIALSUR"/>
    <n v="3.1"/>
    <n v="2.2699999999999996"/>
    <n v="144"/>
    <s v="Rasanteo y conformacion de cunetas con motoniveladora"/>
    <s v="m²."/>
    <n v="0.08"/>
    <n v="12460"/>
    <m/>
    <d v="2014-02-07T00:00:00"/>
    <d v="2014-02-08T00:00:00"/>
    <s v="EJECUTADO"/>
    <n v="996.8"/>
  </r>
  <r>
    <m/>
    <m/>
    <s v="MANTENIMIENTO"/>
    <x v="66"/>
    <x v="61"/>
    <s v="ZONA3"/>
    <x v="12"/>
    <x v="32"/>
    <s v="AD. DIRECTA"/>
    <s v="VIALSUR"/>
    <n v="6.7"/>
    <m/>
    <n v="267"/>
    <s v="Limpieza de derrumbes a máquina"/>
    <s v="m³."/>
    <n v="1.46"/>
    <n v="300"/>
    <m/>
    <d v="2014-06-01T00:00:00"/>
    <d v="2014-06-30T00:00:00"/>
    <s v="EJECUTADO"/>
    <n v="438"/>
  </r>
  <r>
    <m/>
    <m/>
    <s v="MANTENIMIENTO"/>
    <x v="1"/>
    <x v="61"/>
    <s v="ZONA3"/>
    <x v="12"/>
    <x v="32"/>
    <s v="AD. DIRECTA"/>
    <s v="VIALSUR"/>
    <m/>
    <n v="4.8899999999999997"/>
    <m/>
    <s v="Reconformación de la Subrazante"/>
    <s v="m²."/>
    <n v="0.35"/>
    <n v="26880"/>
    <m/>
    <d v="2014-06-01T00:00:00"/>
    <d v="2014-06-30T00:00:00"/>
    <s v="EJECUTADO"/>
    <n v="9408"/>
  </r>
  <r>
    <m/>
    <m/>
    <s v="MANTENIMIENTO"/>
    <x v="67"/>
    <x v="62"/>
    <s v="ZONA3"/>
    <x v="12"/>
    <x v="32"/>
    <s v="AD. DIRECTA"/>
    <s v="VIALSUR"/>
    <m/>
    <m/>
    <n v="0"/>
    <s v="Limpieza de derrumbes a máquina"/>
    <s v="m³."/>
    <n v="1.46"/>
    <n v="850"/>
    <m/>
    <d v="2014-04-09T00:00:00"/>
    <d v="2014-06-30T00:00:00"/>
    <s v="EJECUTADO"/>
    <n v="1241"/>
  </r>
  <r>
    <m/>
    <m/>
    <s v="MANTENIMIENTO"/>
    <x v="1"/>
    <x v="62"/>
    <s v="ZONA3"/>
    <x v="12"/>
    <x v="32"/>
    <s v="AD. DIRECTA"/>
    <s v="VIALSUR"/>
    <m/>
    <n v="1.85"/>
    <n v="0"/>
    <s v="Rasanteo y conformacion de cunetas con motoniveladora"/>
    <s v="m²."/>
    <n v="0.08"/>
    <n v="10175"/>
    <m/>
    <d v="2014-04-09T00:00:00"/>
    <d v="2014-04-15T00:00:00"/>
    <s v="EJECUTADO"/>
    <n v="814"/>
  </r>
  <r>
    <m/>
    <m/>
    <s v="MANTENIMIENTO"/>
    <x v="1"/>
    <x v="62"/>
    <s v="ZONA3"/>
    <x v="12"/>
    <x v="32"/>
    <s v="AD. DIRECTA"/>
    <s v="VIALSUR"/>
    <n v="7.8"/>
    <n v="7.33"/>
    <n v="267"/>
    <s v="Acabado de Obra Básica existente"/>
    <s v="m²."/>
    <n v="0.35"/>
    <n v="40290"/>
    <m/>
    <d v="2014-04-09T00:00:00"/>
    <d v="2014-06-30T00:00:00"/>
    <s v="EJECUTADO"/>
    <n v="14101.5"/>
  </r>
  <r>
    <m/>
    <m/>
    <s v="MEJORAMIENTO"/>
    <x v="68"/>
    <x v="63"/>
    <s v="ZONA3"/>
    <x v="12"/>
    <x v="35"/>
    <s v="AD. DIRECTA"/>
    <s v="VIALSUR"/>
    <n v="1.65"/>
    <m/>
    <n v="245"/>
    <s v="Excavación sin clasificar a maquina (construcción de drenes y subdrenes)"/>
    <s v="m³."/>
    <n v="1.62"/>
    <n v="1920"/>
    <m/>
    <d v="2014-05-01T00:00:00"/>
    <d v="2014-05-31T00:00:00"/>
    <s v="EJECUTADO"/>
    <n v="3110.4"/>
  </r>
  <r>
    <m/>
    <m/>
    <s v="MEJORAMIENTO"/>
    <x v="1"/>
    <x v="63"/>
    <s v="ZONA3"/>
    <x v="12"/>
    <x v="35"/>
    <s v="AD. DIRECTA"/>
    <s v="VIALSUR"/>
    <m/>
    <m/>
    <n v="0"/>
    <s v="Explotación de material incluye cargado"/>
    <s v="m³."/>
    <n v="1.62"/>
    <n v="700"/>
    <m/>
    <d v="2014-04-16T00:00:00"/>
    <d v="2014-04-30T00:00:00"/>
    <s v="EJECUTADO"/>
    <n v="1134"/>
  </r>
  <r>
    <m/>
    <m/>
    <s v="MEJORAMIENTO"/>
    <x v="1"/>
    <x v="63"/>
    <s v="ZONA3"/>
    <x v="12"/>
    <x v="35"/>
    <s v="AD. DIRECTA"/>
    <s v="VIALSUR"/>
    <m/>
    <m/>
    <n v="0"/>
    <s v="Clasificación de material."/>
    <s v="m³."/>
    <n v="1.47"/>
    <n v="1500"/>
    <m/>
    <d v="2014-01-05T00:00:00"/>
    <d v="2014-05-31T00:00:00"/>
    <s v="EJECUTADO"/>
    <n v="2205"/>
  </r>
  <r>
    <m/>
    <m/>
    <s v="MANTENIMIENTO"/>
    <x v="1"/>
    <x v="63"/>
    <s v="ZONA3"/>
    <x v="12"/>
    <x v="35"/>
    <s v="AD. DIRECTA"/>
    <s v="VIALSUR"/>
    <m/>
    <m/>
    <n v="0"/>
    <s v="Limpieza de derrumbes a máquina"/>
    <s v="m³."/>
    <n v="1.46"/>
    <n v="875"/>
    <m/>
    <d v="2014-04-16T00:00:00"/>
    <d v="2014-04-30T00:00:00"/>
    <s v="EJECUTADO"/>
    <n v="1277.5"/>
  </r>
  <r>
    <m/>
    <m/>
    <s v="MANTENIMIENTO"/>
    <x v="1"/>
    <x v="63"/>
    <s v="ZONA3"/>
    <x v="12"/>
    <x v="35"/>
    <s v="AD. DIRECTA"/>
    <s v="VIALSUR"/>
    <m/>
    <n v="1.53"/>
    <n v="0"/>
    <s v="Rasanteo y conformacion de cunetas con motoniveladora"/>
    <s v="m²."/>
    <n v="0.08"/>
    <n v="8370"/>
    <m/>
    <d v="2014-04-16T00:00:00"/>
    <d v="2014-04-30T00:00:00"/>
    <s v="EJECUTADO"/>
    <n v="669.6"/>
  </r>
  <r>
    <m/>
    <m/>
    <s v="MANTENIMIENTO"/>
    <x v="1"/>
    <x v="63"/>
    <s v="ZONA3"/>
    <x v="12"/>
    <x v="35"/>
    <s v="AD. DIRECTA"/>
    <s v="VIALSUR"/>
    <m/>
    <m/>
    <n v="0"/>
    <s v="Transporte de material excavado, inc. cargado"/>
    <s v="m³/km."/>
    <n v="0.38"/>
    <n v="780"/>
    <m/>
    <d v="2014-04-16T00:00:00"/>
    <d v="2014-04-30T00:00:00"/>
    <s v="EJECUTADO"/>
    <n v="296.39999999999998"/>
  </r>
  <r>
    <m/>
    <m/>
    <s v="MEJORAMIENTO"/>
    <x v="1"/>
    <x v="63"/>
    <s v="ZONA3"/>
    <x v="12"/>
    <x v="35"/>
    <s v="AD. DIRECTA"/>
    <s v="VIALSUR"/>
    <m/>
    <m/>
    <n v="0"/>
    <s v="Transporte de material para mejoramiento, inc. cargado"/>
    <s v="m³/km."/>
    <n v="0.3"/>
    <n v="6429.36"/>
    <m/>
    <d v="2014-04-16T00:00:00"/>
    <d v="2014-05-31T00:00:00"/>
    <s v="EJECUTADO"/>
    <n v="1928.81"/>
  </r>
  <r>
    <m/>
    <m/>
    <s v="MEJORAMIENTO"/>
    <x v="1"/>
    <x v="63"/>
    <s v="ZONA3"/>
    <x v="12"/>
    <x v="35"/>
    <s v="AD. DIRECTA"/>
    <s v="VIALSUR"/>
    <m/>
    <n v="1.58"/>
    <n v="0"/>
    <s v="Mejoramiento de la subrasante con suelo seleccionado"/>
    <s v="m³."/>
    <n v="5.92"/>
    <n v="1742"/>
    <m/>
    <d v="2014-04-16T00:00:00"/>
    <d v="2014-05-31T00:00:00"/>
    <s v="EJECUTADO"/>
    <n v="10312.64"/>
  </r>
  <r>
    <m/>
    <m/>
    <s v="ALCANTARILLA"/>
    <x v="69"/>
    <x v="64"/>
    <s v="ZONA3"/>
    <x v="12"/>
    <x v="36"/>
    <s v="AD. DIRECTA"/>
    <s v="VIALSUR"/>
    <n v="12.7"/>
    <m/>
    <n v="2886"/>
    <s v="Suministro y colocación de alcantarilla D=1.20 m."/>
    <s v="ml."/>
    <n v="208.57"/>
    <n v="14"/>
    <m/>
    <d v="2014-01-05T00:00:00"/>
    <d v="2014-05-31T00:00:00"/>
    <s v="EJECUTADO"/>
    <n v="2919.98"/>
  </r>
  <r>
    <m/>
    <m/>
    <s v="MEJORAMIENTO"/>
    <x v="1"/>
    <x v="64"/>
    <s v="ZONA3"/>
    <x v="12"/>
    <x v="36"/>
    <s v="AD. DIRECTA"/>
    <s v="VIALSUR"/>
    <m/>
    <m/>
    <n v="0"/>
    <s v="Material filtrante (construcción de subdrenes)"/>
    <s v="m3"/>
    <n v="9.84"/>
    <n v="800"/>
    <m/>
    <d v="2014-01-05T00:00:00"/>
    <d v="2014-05-31T00:00:00"/>
    <s v="EJECUTADO"/>
    <n v="7872"/>
  </r>
  <r>
    <m/>
    <m/>
    <s v="MEJORAMIENTO"/>
    <x v="1"/>
    <x v="64"/>
    <s v="ZONA3"/>
    <x v="12"/>
    <x v="36"/>
    <s v="AD. DIRECTA"/>
    <s v="VIALSUR"/>
    <m/>
    <m/>
    <n v="0"/>
    <s v="Relleno Compactado con material mejorado (estructura de la vía)"/>
    <s v="m3"/>
    <n v="5.05"/>
    <n v="440"/>
    <m/>
    <d v="2014-01-05T00:00:00"/>
    <d v="2014-05-31T00:00:00"/>
    <s v="EJECUTADO"/>
    <n v="2222"/>
  </r>
  <r>
    <m/>
    <m/>
    <s v="MANTENIMIENTO"/>
    <x v="1"/>
    <x v="64"/>
    <s v="ZONA3"/>
    <x v="12"/>
    <x v="36"/>
    <s v="AD. DIRECTA"/>
    <s v="VIALSUR"/>
    <m/>
    <m/>
    <n v="0"/>
    <s v="ESCOMBRERAS"/>
    <s v="m3"/>
    <n v="0.92"/>
    <n v="4372.8"/>
    <m/>
    <d v="2014-01-05T00:00:00"/>
    <d v="2014-05-31T00:00:00"/>
    <s v="EJECUTADO"/>
    <n v="4022.98"/>
  </r>
  <r>
    <m/>
    <m/>
    <s v="MEJORAMIENTO"/>
    <x v="1"/>
    <x v="64"/>
    <s v="ZONA3"/>
    <x v="12"/>
    <x v="36"/>
    <s v="AD. DIRECTA"/>
    <s v="VIALSUR"/>
    <m/>
    <m/>
    <n v="0"/>
    <s v="Explotación de material (incluye cargado)."/>
    <s v="m³."/>
    <n v="2.54"/>
    <n v="1300"/>
    <m/>
    <d v="2014-03-07T00:00:00"/>
    <d v="2014-04-23T00:00:00"/>
    <s v="EJECUTADO"/>
    <n v="3302"/>
  </r>
  <r>
    <m/>
    <m/>
    <s v="MEJORAMIENTO"/>
    <x v="1"/>
    <x v="64"/>
    <s v="ZONA3"/>
    <x v="12"/>
    <x v="36"/>
    <s v="AD. DIRECTA"/>
    <s v="VIALSUR"/>
    <m/>
    <m/>
    <n v="0"/>
    <s v="Excavación sin clasificar a maquina (Ampliación de la vía)"/>
    <s v="m³."/>
    <n v="1.62"/>
    <n v="4930"/>
    <m/>
    <d v="2014-03-07T00:00:00"/>
    <d v="2014-04-23T00:00:00"/>
    <s v="EJECUTADO"/>
    <n v="7986.6"/>
  </r>
  <r>
    <m/>
    <m/>
    <s v="MEJORAMIENTO"/>
    <x v="1"/>
    <x v="64"/>
    <s v="ZONA3"/>
    <x v="12"/>
    <x v="36"/>
    <s v="AD. DIRECTA"/>
    <s v="VIALSUR"/>
    <m/>
    <m/>
    <n v="0"/>
    <s v="Clasificación de material."/>
    <s v="m³."/>
    <n v="1.47"/>
    <n v="2130"/>
    <m/>
    <d v="2014-03-07T00:00:00"/>
    <d v="2014-03-31T00:00:00"/>
    <s v="EJECUTADO"/>
    <n v="3131.1"/>
  </r>
  <r>
    <m/>
    <m/>
    <s v="MANTENIMIENTO"/>
    <x v="1"/>
    <x v="64"/>
    <s v="ZONA3"/>
    <x v="12"/>
    <x v="36"/>
    <s v="AD. DIRECTA"/>
    <s v="VIALSUR"/>
    <m/>
    <m/>
    <n v="0"/>
    <s v="Transporte de material excavado, inc. cargado"/>
    <s v="m³/km."/>
    <n v="0.38"/>
    <n v="1457"/>
    <m/>
    <d v="2014-03-07T00:00:00"/>
    <d v="2014-04-23T00:00:00"/>
    <s v="EJECUTADO"/>
    <n v="553.66"/>
  </r>
  <r>
    <m/>
    <m/>
    <s v="MEJORAMIENTO"/>
    <x v="1"/>
    <x v="64"/>
    <s v="ZONA3"/>
    <x v="12"/>
    <x v="36"/>
    <s v="AD. DIRECTA"/>
    <s v="VIALSUR"/>
    <m/>
    <m/>
    <n v="0"/>
    <s v="Transporte de material petreo, inc. cargado"/>
    <s v="m³/km."/>
    <n v="0.3"/>
    <n v="5902.4"/>
    <m/>
    <d v="2014-03-07T00:00:00"/>
    <d v="2014-04-23T00:00:00"/>
    <s v="EJECUTADO"/>
    <n v="1770.72"/>
  </r>
  <r>
    <m/>
    <m/>
    <s v="MEJORAMIENTO"/>
    <x v="1"/>
    <x v="64"/>
    <s v="ZONA3"/>
    <x v="12"/>
    <x v="36"/>
    <s v="AD. DIRECTA"/>
    <s v="VIALSUR"/>
    <m/>
    <m/>
    <n v="0"/>
    <s v="Transporte de material para mejoramiento, inc. cargado"/>
    <s v="m³/km."/>
    <n v="0.3"/>
    <n v="11572"/>
    <m/>
    <d v="2014-03-07T00:00:00"/>
    <d v="2014-04-23T00:00:00"/>
    <s v="EJECUTADO"/>
    <n v="3471.6"/>
  </r>
  <r>
    <m/>
    <m/>
    <s v="MEJORAMIENTO"/>
    <x v="1"/>
    <x v="64"/>
    <s v="ZONA3"/>
    <x v="12"/>
    <x v="36"/>
    <s v="AD. DIRECTA"/>
    <s v="VIALSUR"/>
    <m/>
    <n v="0.84"/>
    <n v="0"/>
    <s v="Mejoramiento de la subrasante con suelo seleccionado"/>
    <s v="m³"/>
    <n v="5.92"/>
    <n v="924"/>
    <m/>
    <d v="2014-03-07T00:00:00"/>
    <d v="2014-03-31T00:00:00"/>
    <s v="EJECUTADO"/>
    <n v="5470.08"/>
  </r>
  <r>
    <m/>
    <m/>
    <s v="MANTENIMIENTO"/>
    <x v="70"/>
    <x v="65"/>
    <s v="ZONA3"/>
    <x v="12"/>
    <x v="36"/>
    <s v="AD. DIRECTA"/>
    <s v="VIALSUR"/>
    <n v="12.7"/>
    <m/>
    <n v="2886"/>
    <s v="Limpieza de derrumbes a máquina"/>
    <s v="m³."/>
    <n v="1.46"/>
    <n v="1975"/>
    <m/>
    <d v="2014-02-18T00:00:00"/>
    <d v="2014-05-31T00:00:00"/>
    <s v="EJECUTADO"/>
    <n v="2883.5"/>
  </r>
  <r>
    <m/>
    <m/>
    <s v="MANTENIMIENTO"/>
    <x v="71"/>
    <x v="66"/>
    <s v="ZONA3"/>
    <x v="12"/>
    <x v="36"/>
    <s v="AD. DIRECTA"/>
    <s v="VIALSUR"/>
    <n v="18.2"/>
    <m/>
    <n v="2886"/>
    <s v="Limpieza de derrumbes a máquina"/>
    <s v="m³."/>
    <n v="1.46"/>
    <n v="2750"/>
    <m/>
    <d v="2014-04-04T00:00:00"/>
    <d v="2014-06-30T00:00:00"/>
    <s v="EJECUTADO"/>
    <n v="4015"/>
  </r>
  <r>
    <m/>
    <m/>
    <s v="MANTENIMIENTO"/>
    <x v="1"/>
    <x v="66"/>
    <s v="ZONA3"/>
    <x v="12"/>
    <x v="36"/>
    <s v="AD. DIRECTA"/>
    <s v="VIALSUR"/>
    <m/>
    <n v="3.5599999999999996"/>
    <n v="0"/>
    <s v="Reconformación de la Subrazante"/>
    <s v="m2"/>
    <n v="0.35"/>
    <n v="19550"/>
    <m/>
    <d v="2014-06-01T00:00:00"/>
    <d v="2014-06-30T00:00:00"/>
    <s v="EJECUTADO"/>
    <n v="6842.5"/>
  </r>
  <r>
    <m/>
    <m/>
    <s v="MANTENIMIENTO"/>
    <x v="72"/>
    <x v="67"/>
    <s v="ZONA3"/>
    <x v="12"/>
    <x v="36"/>
    <s v="AD. DIRECTA"/>
    <s v="VIALSUR"/>
    <n v="8.6"/>
    <m/>
    <n v="2886"/>
    <s v="Limpieza de derrumbes a máquina"/>
    <s v="m³."/>
    <n v="1.46"/>
    <n v="3200"/>
    <m/>
    <d v="2014-04-10T00:00:00"/>
    <d v="2014-06-30T00:00:00"/>
    <s v="EJECUTADO"/>
    <n v="4672"/>
  </r>
  <r>
    <m/>
    <m/>
    <s v="MANTENIMIENTO"/>
    <x v="1"/>
    <x v="67"/>
    <s v="ZONA3"/>
    <x v="12"/>
    <x v="36"/>
    <s v="AD. DIRECTA"/>
    <s v="VIALSUR"/>
    <m/>
    <m/>
    <n v="0"/>
    <s v="Relleno Compactado con material mejorado (estructura de la vía)"/>
    <s v="m³."/>
    <n v="5.05"/>
    <n v="360"/>
    <m/>
    <d v="2014-06-01T00:00:00"/>
    <d v="2014-06-30T00:00:00"/>
    <s v="EJECUTADO"/>
    <n v="1818"/>
  </r>
  <r>
    <m/>
    <m/>
    <s v="MEJORAMIENTO"/>
    <x v="1"/>
    <x v="67"/>
    <s v="ZONA3"/>
    <x v="12"/>
    <x v="36"/>
    <s v="AD. DIRECTA"/>
    <s v="VIALSUR"/>
    <m/>
    <m/>
    <n v="0"/>
    <s v="Transporte de material mejorado, inc. Cargado"/>
    <s v="m³./km."/>
    <n v="0.3"/>
    <n v="972"/>
    <m/>
    <d v="2014-06-01T00:00:00"/>
    <d v="2014-06-30T00:00:00"/>
    <s v="EJECUTADO"/>
    <n v="291.60000000000002"/>
  </r>
  <r>
    <m/>
    <m/>
    <s v="MANTENIMIENTO"/>
    <x v="1"/>
    <x v="67"/>
    <s v="ZONA3"/>
    <x v="12"/>
    <x v="36"/>
    <s v="AD. DIRECTA"/>
    <s v="VIALSUR"/>
    <m/>
    <n v="17.520000000000003"/>
    <n v="0"/>
    <s v="Reconformación de la Subrazante"/>
    <s v="m³."/>
    <n v="0.35"/>
    <n v="96320"/>
    <m/>
    <d v="2014-01-05T00:00:00"/>
    <d v="2014-06-30T00:00:00"/>
    <s v="EJECUTADO"/>
    <n v="33712"/>
  </r>
  <r>
    <m/>
    <m/>
    <s v="MANTENIMIENTO"/>
    <x v="73"/>
    <x v="68"/>
    <s v="ZONA3"/>
    <x v="12"/>
    <x v="36"/>
    <s v="AD. DIRECTA"/>
    <s v="VIALSUR"/>
    <n v="1.6"/>
    <m/>
    <n v="2886"/>
    <s v="Limpieza de derrumbes a máquina"/>
    <s v="m³."/>
    <n v="1.46"/>
    <n v="1050"/>
    <m/>
    <d v="2014-06-01T00:00:00"/>
    <d v="2014-06-30T00:00:00"/>
    <s v="EJECUTADO"/>
    <n v="1533"/>
  </r>
  <r>
    <m/>
    <m/>
    <s v="MANTENIMIENTO"/>
    <x v="1"/>
    <x v="68"/>
    <s v="ZONA3"/>
    <x v="12"/>
    <x v="36"/>
    <s v="AD. DIRECTA"/>
    <s v="VIALSUR"/>
    <m/>
    <n v="3.25"/>
    <n v="0"/>
    <s v="Reconformación de la Subrazante"/>
    <s v="m2"/>
    <n v="0.35"/>
    <n v="17850"/>
    <m/>
    <d v="2014-06-01T00:00:00"/>
    <d v="2014-06-30T00:00:00"/>
    <s v="EJECUTADO"/>
    <n v="6247.5"/>
  </r>
  <r>
    <m/>
    <m/>
    <s v="MEJORAMIENTO"/>
    <x v="74"/>
    <x v="69"/>
    <s v="ZONA3"/>
    <x v="12"/>
    <x v="36"/>
    <s v="AD. DIRECTA"/>
    <s v="VIALSUR"/>
    <n v="4.7"/>
    <m/>
    <n v="2886"/>
    <s v="Clasificación de material."/>
    <s v="m³."/>
    <n v="1.47"/>
    <n v="100"/>
    <m/>
    <d v="2014-04-10T00:00:00"/>
    <d v="2014-04-11T00:00:00"/>
    <s v="EJECUTADO"/>
    <n v="147"/>
  </r>
  <r>
    <m/>
    <m/>
    <s v="MEJORAMIENTO"/>
    <x v="1"/>
    <x v="69"/>
    <s v="ZONA3"/>
    <x v="12"/>
    <x v="36"/>
    <s v="AD. DIRECTA"/>
    <s v="VIALSUR"/>
    <n v="4.7"/>
    <m/>
    <n v="2886"/>
    <s v="Transporte de material para mejoramiento, inc. cargado"/>
    <s v="m³/km."/>
    <n v="0.3"/>
    <n v="180"/>
    <m/>
    <d v="2014-04-10T00:00:00"/>
    <d v="2014-04-11T00:00:00"/>
    <s v="EJECUTADO"/>
    <n v="54"/>
  </r>
  <r>
    <m/>
    <m/>
    <s v="MEJORAMIENTO"/>
    <x v="1"/>
    <x v="69"/>
    <s v="ZONA3"/>
    <x v="12"/>
    <x v="36"/>
    <s v="AD. DIRECTA"/>
    <s v="VIALSUR"/>
    <n v="4.7"/>
    <n v="7.0000000000000007E-2"/>
    <n v="2886"/>
    <s v="Mejoramiento de la subrasante con suelo seleccionado"/>
    <s v="m³."/>
    <n v="5.92"/>
    <n v="72"/>
    <m/>
    <d v="2014-04-10T00:00:00"/>
    <d v="2014-04-11T00:00:00"/>
    <s v="EJECUTADO"/>
    <n v="426.24"/>
  </r>
  <r>
    <s v="12"/>
    <s v="EJECUTADO"/>
    <s v="MANTENIMIENTO"/>
    <x v="75"/>
    <x v="70"/>
    <s v="ZONA3"/>
    <x v="13"/>
    <x v="34"/>
    <s v="AD. DIRECTA"/>
    <s v="VIALSUR"/>
    <n v="15.4"/>
    <m/>
    <n v="200"/>
    <s v="Limpieza de derrumbes a máquina"/>
    <s v="m³."/>
    <n v="1.46"/>
    <n v="8875"/>
    <m/>
    <d v="2014-02-18T00:00:00"/>
    <d v="2014-07-31T00:00:00"/>
    <s v="EJECUTADO"/>
    <n v="12957.5"/>
  </r>
  <r>
    <m/>
    <m/>
    <s v="MANTENIMIENTO"/>
    <x v="1"/>
    <x v="70"/>
    <s v="ZONA3"/>
    <x v="13"/>
    <x v="34"/>
    <s v="AD. DIRECTA"/>
    <s v="VIALSUR"/>
    <m/>
    <m/>
    <m/>
    <s v="Limpieza de cunetas y alcantarillas a máquina"/>
    <s v="m³."/>
    <n v="1.47"/>
    <n v="700"/>
    <m/>
    <d v="2014-07-01T00:00:00"/>
    <d v="2014-07-31T00:00:00"/>
    <s v="EJECUTADO"/>
    <n v="1029"/>
  </r>
  <r>
    <m/>
    <m/>
    <s v="MANTENIMIENTO"/>
    <x v="1"/>
    <x v="70"/>
    <s v="ZONA3"/>
    <x v="13"/>
    <x v="34"/>
    <s v="AD. DIRECTA"/>
    <s v="VIALSUR"/>
    <m/>
    <m/>
    <m/>
    <s v="Transporte de material excavado, inc. cargado"/>
    <s v="m³/km."/>
    <n v="0.38"/>
    <n v="639.36"/>
    <m/>
    <d v="2014-07-01T00:00:00"/>
    <d v="2014-07-31T00:00:00"/>
    <s v="EJECUTADO"/>
    <n v="242.96"/>
  </r>
  <r>
    <m/>
    <m/>
    <s v="MEJORAMIENTO"/>
    <x v="1"/>
    <x v="70"/>
    <s v="ZONA3"/>
    <x v="13"/>
    <x v="34"/>
    <s v="AD. DIRECTA"/>
    <s v="VIALSUR"/>
    <m/>
    <m/>
    <m/>
    <s v="Transporte de material para mejoramiento, inc. cargado"/>
    <s v="m³/km."/>
    <n v="0.38"/>
    <n v="6542.64"/>
    <m/>
    <d v="2014-07-01T00:00:00"/>
    <d v="2014-07-31T00:00:00"/>
    <s v="EJECUTADO"/>
    <n v="2486.1999999999998"/>
  </r>
  <r>
    <m/>
    <m/>
    <s v="MANTENIMIENTO"/>
    <x v="1"/>
    <x v="70"/>
    <s v="ZONA3"/>
    <x v="13"/>
    <x v="34"/>
    <s v="AD. DIRECTA"/>
    <s v="VIALSUR"/>
    <m/>
    <n v="16.07"/>
    <m/>
    <s v="Reconformación de la subrasante"/>
    <s v="m²."/>
    <n v="0.35"/>
    <n v="88350"/>
    <m/>
    <d v="2014-07-01T00:00:00"/>
    <d v="2014-07-31T00:00:00"/>
    <s v="EJECUTADO"/>
    <n v="30922.5"/>
  </r>
  <r>
    <m/>
    <m/>
    <s v="MEJORAMIENTO"/>
    <x v="1"/>
    <x v="70"/>
    <s v="ZONA3"/>
    <x v="13"/>
    <x v="34"/>
    <s v="AD. DIRECTA"/>
    <s v="VIALSUR"/>
    <m/>
    <n v="0.65"/>
    <m/>
    <s v="Mejoramiento de la subrasante con suelo seleccionado"/>
    <s v="m³."/>
    <n v="5.92"/>
    <n v="720"/>
    <m/>
    <d v="2014-07-01T00:00:00"/>
    <d v="2014-07-31T00:00:00"/>
    <s v="EJECUTADO"/>
    <n v="4262.3999999999996"/>
  </r>
  <r>
    <m/>
    <m/>
    <s v="MEJORAMIENTO"/>
    <x v="1"/>
    <x v="70"/>
    <s v="ZONA3"/>
    <x v="13"/>
    <x v="34"/>
    <s v="AD. DIRECTA"/>
    <s v="VIALSUR"/>
    <m/>
    <m/>
    <m/>
    <s v="Excavación y Relleno compactado, con material mejorado"/>
    <s v="m³."/>
    <n v="7.6"/>
    <n v="940"/>
    <m/>
    <d v="2014-07-01T00:00:00"/>
    <d v="2014-07-31T00:00:00"/>
    <s v="EJECUTADO"/>
    <n v="7144"/>
  </r>
  <r>
    <m/>
    <m/>
    <s v="MEJORAMIENTO"/>
    <x v="1"/>
    <x v="70"/>
    <s v="ZONA3"/>
    <x v="13"/>
    <x v="34"/>
    <s v="AD. DIRECTA"/>
    <s v="VIALSUR"/>
    <m/>
    <m/>
    <m/>
    <s v="Clasificación de material."/>
    <s v="m³."/>
    <n v="1.47"/>
    <n v="1580"/>
    <m/>
    <d v="2014-07-01T00:00:00"/>
    <d v="2014-07-31T00:00:00"/>
    <s v="EJECUTADO"/>
    <n v="2322.6"/>
  </r>
  <r>
    <s v="13"/>
    <s v="EJECUTADO"/>
    <s v="MANTENIMIENTO"/>
    <x v="76"/>
    <x v="71"/>
    <s v="ZONA3"/>
    <x v="13"/>
    <x v="34"/>
    <s v="AD. DIRECTA"/>
    <s v="VIALSUR"/>
    <n v="6.2"/>
    <m/>
    <n v="200"/>
    <s v="Reconformación de la subrasante"/>
    <s v="m²."/>
    <n v="0.35"/>
    <n v="27900"/>
    <m/>
    <d v="2014-07-29T00:00:00"/>
    <d v="2014-07-31T00:00:00"/>
    <s v="EJECUTADO"/>
    <n v="9765"/>
  </r>
  <r>
    <m/>
    <m/>
    <s v="MEJORAMIENTO"/>
    <x v="77"/>
    <x v="72"/>
    <s v="ZONA3"/>
    <x v="13"/>
    <x v="37"/>
    <s v="AD. DIRECTA"/>
    <s v="VIALSUR"/>
    <n v="7.3"/>
    <m/>
    <n v="483"/>
    <s v="Explotación de material (incluye cargado)."/>
    <s v="m³."/>
    <n v="2.54"/>
    <n v="4430"/>
    <m/>
    <d v="2014-01-21T00:00:00"/>
    <d v="2014-02-15T00:00:00"/>
    <s v="EJECUTADO"/>
    <n v="11252.2"/>
  </r>
  <r>
    <m/>
    <m/>
    <s v="MEJORAMIENTO"/>
    <x v="1"/>
    <x v="72"/>
    <s v="ZONA3"/>
    <x v="13"/>
    <x v="37"/>
    <s v="AD. DIRECTA"/>
    <s v="VIALSUR"/>
    <m/>
    <m/>
    <n v="0"/>
    <s v="Clasificación de material."/>
    <s v="m³."/>
    <n v="1.47"/>
    <n v="1350"/>
    <m/>
    <d v="2014-01-21T00:00:00"/>
    <d v="2014-02-15T00:00:00"/>
    <s v="EJECUTADO"/>
    <n v="1984.5"/>
  </r>
  <r>
    <m/>
    <m/>
    <s v="MANTENIMIENTO"/>
    <x v="1"/>
    <x v="72"/>
    <s v="ZONA3"/>
    <x v="13"/>
    <x v="37"/>
    <s v="AD. DIRECTA"/>
    <s v="VIALSUR"/>
    <m/>
    <m/>
    <n v="0"/>
    <s v="Limpieza de derrumbes a máquina"/>
    <s v="m³."/>
    <n v="1.46"/>
    <n v="1820"/>
    <m/>
    <d v="2014-01-21T00:00:00"/>
    <d v="2014-03-31T00:00:00"/>
    <s v="EJECUTADO"/>
    <n v="2657.2"/>
  </r>
  <r>
    <m/>
    <m/>
    <s v="MANTENIMIENTO"/>
    <x v="1"/>
    <x v="72"/>
    <s v="ZONA3"/>
    <x v="13"/>
    <x v="37"/>
    <s v="AD. DIRECTA"/>
    <s v="VIALSUR"/>
    <m/>
    <n v="7.68"/>
    <n v="0"/>
    <s v="Rasanteo y conformacion de cunetas con motoniveladora"/>
    <s v="m²."/>
    <n v="0.08"/>
    <n v="42195"/>
    <m/>
    <d v="2014-01-21T00:00:00"/>
    <d v="2014-03-31T00:00:00"/>
    <s v="EJECUTADO"/>
    <n v="3375.6"/>
  </r>
  <r>
    <m/>
    <m/>
    <s v="MEJORAMIENTO"/>
    <x v="1"/>
    <x v="72"/>
    <s v="ZONA3"/>
    <x v="13"/>
    <x v="37"/>
    <s v="AD. DIRECTA"/>
    <s v="VIALSUR"/>
    <m/>
    <n v="2.77"/>
    <n v="0"/>
    <s v="Mejoramiento de la subrasante con suelo seleccionado"/>
    <s v="m³."/>
    <n v="5.92"/>
    <n v="3044"/>
    <m/>
    <d v="2014-01-21T00:00:00"/>
    <d v="2014-02-15T00:00:00"/>
    <s v="EJECUTADO"/>
    <n v="18020.48"/>
  </r>
  <r>
    <m/>
    <m/>
    <s v="MEJORAMIENTO"/>
    <x v="1"/>
    <x v="72"/>
    <s v="ZONA3"/>
    <x v="13"/>
    <x v="37"/>
    <s v="AD. DIRECTA"/>
    <s v="VIALSUR"/>
    <m/>
    <m/>
    <n v="0"/>
    <s v="Transporte de material para mejoramiento, inc. cargado"/>
    <s v="m³/km."/>
    <n v="0.38"/>
    <n v="5665.78"/>
    <m/>
    <d v="2014-01-21T00:00:00"/>
    <d v="2014-02-15T00:00:00"/>
    <s v="EJECUTADO"/>
    <n v="2153"/>
  </r>
  <r>
    <m/>
    <m/>
    <s v="MEJORAMIENTO"/>
    <x v="78"/>
    <x v="73"/>
    <s v="ZONA3"/>
    <x v="13"/>
    <x v="38"/>
    <s v="AD. DIRECTA"/>
    <s v="VIALSUR"/>
    <n v="9.9"/>
    <m/>
    <n v="350"/>
    <s v="Explotación de material (incluye cargado)."/>
    <s v="m³."/>
    <n v="2.54"/>
    <n v="1600"/>
    <m/>
    <d v="2014-02-16T00:00:00"/>
    <d v="2014-02-21T00:00:00"/>
    <s v="EJECUTADO"/>
    <n v="4064"/>
  </r>
  <r>
    <m/>
    <m/>
    <s v="MEJORAMIENTO"/>
    <x v="1"/>
    <x v="73"/>
    <s v="ZONA3"/>
    <x v="13"/>
    <x v="38"/>
    <s v="AD. DIRECTA"/>
    <s v="VIALSUR"/>
    <m/>
    <m/>
    <n v="0"/>
    <s v="Clasificación de material."/>
    <s v="m³."/>
    <n v="1.47"/>
    <n v="300"/>
    <m/>
    <d v="2014-02-16T00:00:00"/>
    <d v="2014-02-21T00:00:00"/>
    <s v="EJECUTADO"/>
    <n v="441"/>
  </r>
  <r>
    <m/>
    <m/>
    <s v="MANTENIMIENTO"/>
    <x v="1"/>
    <x v="73"/>
    <s v="ZONA3"/>
    <x v="13"/>
    <x v="38"/>
    <s v="AD. DIRECTA"/>
    <s v="VIALSUR"/>
    <m/>
    <m/>
    <n v="0"/>
    <s v="Limpieza de derrumbes a máquina"/>
    <s v="m³."/>
    <n v="1.46"/>
    <n v="1650"/>
    <m/>
    <d v="2014-02-16T00:00:00"/>
    <d v="2014-02-21T00:00:00"/>
    <s v="EJECUTADO"/>
    <n v="2409"/>
  </r>
  <r>
    <m/>
    <m/>
    <s v="MANTENIMIENTO"/>
    <x v="1"/>
    <x v="73"/>
    <s v="ZONA3"/>
    <x v="13"/>
    <x v="38"/>
    <s v="AD. DIRECTA"/>
    <s v="VIALSUR"/>
    <m/>
    <n v="2.42"/>
    <n v="0"/>
    <s v="Rasanteo y conformacion de cunetas con motoniveladora"/>
    <s v="m²."/>
    <n v="0.08"/>
    <n v="13260"/>
    <m/>
    <d v="2014-02-16T00:00:00"/>
    <d v="2014-02-21T00:00:00"/>
    <s v="EJECUTADO"/>
    <n v="1060.8"/>
  </r>
  <r>
    <m/>
    <m/>
    <s v="MEJORAMIENTO"/>
    <x v="1"/>
    <x v="73"/>
    <s v="ZONA3"/>
    <x v="13"/>
    <x v="38"/>
    <s v="AD. DIRECTA"/>
    <s v="VIALSUR"/>
    <m/>
    <n v="0.98"/>
    <n v="0"/>
    <s v="Mejoramiento de la subrasante con suelo seleccionado"/>
    <s v="m³."/>
    <n v="5.92"/>
    <n v="1079"/>
    <m/>
    <d v="2014-02-16T00:00:00"/>
    <d v="2014-02-21T00:00:00"/>
    <s v="EJECUTADO"/>
    <n v="6387.68"/>
  </r>
  <r>
    <m/>
    <m/>
    <s v="MEJORAMIENTO"/>
    <x v="1"/>
    <x v="73"/>
    <s v="ZONA3"/>
    <x v="13"/>
    <x v="38"/>
    <s v="AD. DIRECTA"/>
    <s v="VIALSUR"/>
    <m/>
    <m/>
    <n v="0"/>
    <s v="Transporte de material para mejoramiento, inc. cargado"/>
    <s v="m³/km."/>
    <n v="0.38"/>
    <n v="4077.45"/>
    <m/>
    <d v="2014-02-16T00:00:00"/>
    <d v="2014-02-21T00:00:00"/>
    <s v="EJECUTADO"/>
    <n v="1549.43"/>
  </r>
  <r>
    <m/>
    <m/>
    <s v="MANTENIMIENTO"/>
    <x v="79"/>
    <x v="74"/>
    <s v="ZONA3"/>
    <x v="13"/>
    <x v="37"/>
    <s v="AD. DIRECTA"/>
    <s v="VIALSUR"/>
    <n v="13.6"/>
    <n v="4.2799999999999994"/>
    <n v="483"/>
    <s v="Rasanteo y conformacion de cunetas con motoniveladora"/>
    <s v="m²."/>
    <n v="0.08"/>
    <n v="23520"/>
    <m/>
    <d v="2014-02-25T00:00:00"/>
    <d v="2014-02-28T00:00:00"/>
    <s v="EJECUTADO"/>
    <n v="1881.6"/>
  </r>
  <r>
    <m/>
    <m/>
    <s v="MANTENIMIENTO"/>
    <x v="1"/>
    <x v="74"/>
    <s v="ZONA3"/>
    <x v="13"/>
    <x v="37"/>
    <s v="AD. DIRECTA"/>
    <s v="VIALSUR"/>
    <m/>
    <m/>
    <n v="0"/>
    <s v="Limpieza de derrumbes a máquina"/>
    <s v="m³."/>
    <n v="1.46"/>
    <n v="1190"/>
    <m/>
    <d v="2014-02-25T00:00:00"/>
    <d v="2014-04-30T00:00:00"/>
    <s v="EJECUTADO"/>
    <n v="1737.4"/>
  </r>
  <r>
    <m/>
    <m/>
    <s v="MEJORAMIENTO"/>
    <x v="80"/>
    <x v="75"/>
    <s v="ZONA3"/>
    <x v="13"/>
    <x v="39"/>
    <s v="AD. DIRECTA"/>
    <s v="VIALSUR"/>
    <n v="4.2"/>
    <m/>
    <n v="698"/>
    <s v="Clasificación de material."/>
    <s v="m³."/>
    <n v="1.47"/>
    <n v="870"/>
    <m/>
    <d v="2014-01-07T00:00:00"/>
    <d v="2014-01-31T00:00:00"/>
    <s v="EJECUTADO"/>
    <n v="1278.9000000000001"/>
  </r>
  <r>
    <m/>
    <m/>
    <s v="MANTENIMIENTO"/>
    <x v="1"/>
    <x v="75"/>
    <s v="ZONA3"/>
    <x v="13"/>
    <x v="39"/>
    <s v="AD. DIRECTA"/>
    <s v="VIALSUR"/>
    <m/>
    <n v="1.1100000000000001"/>
    <n v="0"/>
    <s v="Rasanteo y conformacion de cunetas con motoniveladora"/>
    <s v="m²."/>
    <n v="0.08"/>
    <n v="6080"/>
    <m/>
    <d v="2014-01-07T00:00:00"/>
    <d v="2014-01-31T00:00:00"/>
    <s v="EJECUTADO"/>
    <n v="486.4"/>
  </r>
  <r>
    <m/>
    <m/>
    <s v="MEJORAMIENTO"/>
    <x v="1"/>
    <x v="75"/>
    <s v="ZONA3"/>
    <x v="13"/>
    <x v="39"/>
    <s v="AD. DIRECTA"/>
    <s v="VIALSUR"/>
    <m/>
    <n v="0.41"/>
    <n v="0"/>
    <s v="Mejoramiento de la subrasante con suelo seleccionado"/>
    <s v="m³."/>
    <n v="5.92"/>
    <n v="456"/>
    <m/>
    <d v="2014-01-07T00:00:00"/>
    <d v="2014-01-31T00:00:00"/>
    <s v="EJECUTADO"/>
    <n v="2699.52"/>
  </r>
  <r>
    <m/>
    <m/>
    <s v="MEJORAMIENTO"/>
    <x v="1"/>
    <x v="75"/>
    <s v="ZONA3"/>
    <x v="13"/>
    <x v="39"/>
    <s v="AD. DIRECTA"/>
    <s v="VIALSUR"/>
    <m/>
    <m/>
    <n v="0"/>
    <s v="Transporte de material para mejoramiento, inc. cargado"/>
    <s v="m³/km."/>
    <n v="0.38"/>
    <n v="1322.4"/>
    <m/>
    <d v="2014-01-07T00:00:00"/>
    <d v="2014-01-31T00:00:00"/>
    <s v="EJECUTADO"/>
    <n v="502.51"/>
  </r>
  <r>
    <s v="14"/>
    <s v="EJECUTADO"/>
    <s v="MANTENIMIENTO"/>
    <x v="81"/>
    <x v="76"/>
    <s v="ZONA3"/>
    <x v="13"/>
    <x v="39"/>
    <s v="AD. DIRECTA"/>
    <s v="VIALSUR"/>
    <n v="11"/>
    <m/>
    <n v="698"/>
    <s v="Limpieza y desalojo de derrumbes a máquina"/>
    <s v="m³."/>
    <n v="1.46"/>
    <n v="1800"/>
    <m/>
    <d v="2014-07-26T00:00:00"/>
    <d v="2014-07-31T00:00:00"/>
    <s v="EJECUTADO"/>
    <n v="2628"/>
  </r>
  <r>
    <m/>
    <m/>
    <s v="MEJORAMIENTO"/>
    <x v="82"/>
    <x v="58"/>
    <s v="ZONA3"/>
    <x v="13"/>
    <x v="39"/>
    <s v="AD. DIRECTA"/>
    <s v="VIALSUR"/>
    <n v="5.7"/>
    <n v="5.7"/>
    <n v="267"/>
    <s v="Excavación sin clasificar a máquina (ampliación de la vía en áreas críticas)"/>
    <s v="m³."/>
    <n v="1.62"/>
    <m/>
    <m/>
    <d v="2014-06-01T00:00:00"/>
    <d v="2014-06-30T00:00:00"/>
    <s v="EJECUTADO"/>
    <n v="0"/>
  </r>
  <r>
    <m/>
    <m/>
    <s v="MEJORAMIENTO"/>
    <x v="1"/>
    <x v="58"/>
    <s v="ZONA3"/>
    <x v="13"/>
    <x v="39"/>
    <s v="AD. DIRECTA"/>
    <s v="VIALSUR"/>
    <m/>
    <m/>
    <n v="0"/>
    <s v="Explotación  de material (incluye cargado)"/>
    <s v="m³."/>
    <n v="2.54"/>
    <n v="1200"/>
    <m/>
    <d v="2014-01-05T00:00:00"/>
    <d v="2014-05-31T00:00:00"/>
    <s v="EJECUTADO"/>
    <n v="3048"/>
  </r>
  <r>
    <m/>
    <m/>
    <s v="MEJORAMIENTO"/>
    <x v="1"/>
    <x v="58"/>
    <s v="ZONA3"/>
    <x v="13"/>
    <x v="39"/>
    <s v="AD. DIRECTA"/>
    <s v="VIALSUR"/>
    <m/>
    <m/>
    <n v="0"/>
    <s v="Clasificación de material."/>
    <s v="m³."/>
    <n v="1.47"/>
    <n v="1100"/>
    <m/>
    <d v="2014-06-12T00:00:00"/>
    <d v="2014-06-30T00:00:00"/>
    <s v="EJECUTADO"/>
    <n v="1617"/>
  </r>
  <r>
    <m/>
    <m/>
    <s v="MANTENIMIENTO"/>
    <x v="1"/>
    <x v="58"/>
    <s v="ZONA3"/>
    <x v="13"/>
    <x v="39"/>
    <s v="AD. DIRECTA"/>
    <s v="VIALSUR"/>
    <m/>
    <m/>
    <n v="0"/>
    <s v="Limpieza de derrumbes a maquina"/>
    <s v="m³."/>
    <n v="1.46"/>
    <n v="1200"/>
    <m/>
    <d v="2014-01-01T00:00:00"/>
    <d v="2014-06-30T00:00:00"/>
    <s v="EJECUTADO"/>
    <n v="1752"/>
  </r>
  <r>
    <m/>
    <m/>
    <s v="MANTENIMIENTO"/>
    <x v="1"/>
    <x v="58"/>
    <s v="ZONA3"/>
    <x v="13"/>
    <x v="39"/>
    <s v="AD. DIRECTA"/>
    <s v="VIALSUR"/>
    <m/>
    <m/>
    <n v="0"/>
    <s v="Limpieza de cunetas y alcantarillas a maquina"/>
    <s v="m³."/>
    <n v="1.47"/>
    <m/>
    <m/>
    <d v="2014-01-05T00:00:00"/>
    <d v="2014-07-31T00:00:00"/>
    <s v="EN EJECUCION"/>
    <n v="0"/>
  </r>
  <r>
    <m/>
    <m/>
    <s v="MANTENIMIENTO"/>
    <x v="1"/>
    <x v="58"/>
    <s v="ZONA3"/>
    <x v="13"/>
    <x v="39"/>
    <s v="AD. DIRECTA"/>
    <s v="VIALSUR"/>
    <m/>
    <m/>
    <n v="144"/>
    <s v="Mejoramiento de la subrasante con suelo seleccionado"/>
    <s v="m³."/>
    <n v="5.92"/>
    <n v="1010"/>
    <m/>
    <d v="2014-01-01T00:00:00"/>
    <d v="2014-04-30T00:00:00"/>
    <s v="EJECUTADO"/>
    <n v="5979.2"/>
  </r>
  <r>
    <m/>
    <m/>
    <s v="MANTENIMIENTO"/>
    <x v="1"/>
    <x v="58"/>
    <s v="ZONA3"/>
    <x v="13"/>
    <x v="39"/>
    <s v="AD. DIRECTA"/>
    <s v="VIALSUR"/>
    <m/>
    <m/>
    <n v="0"/>
    <s v="Reconformación de la Subrazante"/>
    <s v="m²."/>
    <n v="0.35"/>
    <n v="34230"/>
    <m/>
    <d v="2014-01-01T00:00:00"/>
    <d v="2014-06-30T00:00:00"/>
    <s v="EJECUTADO"/>
    <n v="11980.5"/>
  </r>
  <r>
    <m/>
    <m/>
    <s v="MEJORAMIENTO"/>
    <x v="1"/>
    <x v="58"/>
    <s v="ZONA3"/>
    <x v="13"/>
    <x v="39"/>
    <s v="AD. DIRECTA"/>
    <s v="VIALSUR"/>
    <m/>
    <m/>
    <n v="0"/>
    <s v="Transporte de material de mejoramiento"/>
    <s v="m3/km."/>
    <n v="0.3"/>
    <n v="6831"/>
    <m/>
    <d v="2014-01-05T00:00:00"/>
    <d v="2014-06-30T00:00:00"/>
    <s v="EJECUTADO"/>
    <n v="2049.3000000000002"/>
  </r>
  <r>
    <m/>
    <m/>
    <s v="MANTENIMIENTO"/>
    <x v="1"/>
    <x v="58"/>
    <s v="ZONA3"/>
    <x v="13"/>
    <x v="39"/>
    <s v="AD. DIRECTA"/>
    <s v="VIALSUR"/>
    <m/>
    <m/>
    <n v="200"/>
    <s v="Transporte de material excavado, inc. cargado"/>
    <s v="m³/km."/>
    <n v="0.38"/>
    <n v="1176.48"/>
    <m/>
    <d v="2014-05-01T00:00:00"/>
    <d v="2014-05-31T00:00:00"/>
    <s v="EJECUTADO"/>
    <n v="447.06"/>
  </r>
  <r>
    <m/>
    <m/>
    <s v="MANTENIMIENTO"/>
    <x v="83"/>
    <x v="34"/>
    <s v="ZONA3"/>
    <x v="13"/>
    <x v="39"/>
    <s v="AD. DIRECTA"/>
    <s v="VIALSUR"/>
    <n v="2.8"/>
    <n v="2.8"/>
    <n v="0"/>
    <s v="Limpieza de cunetas y alcantarillas a maquina"/>
    <s v="m³."/>
    <n v="1.47"/>
    <n v="600"/>
    <m/>
    <d v="2014-01-05T00:00:00"/>
    <d v="2014-07-31T00:00:00"/>
    <s v="EN EJECUCION"/>
    <n v="882"/>
  </r>
  <r>
    <m/>
    <m/>
    <s v="MANTENIMIENTO"/>
    <x v="1"/>
    <x v="34"/>
    <s v="ZONA3"/>
    <x v="13"/>
    <x v="39"/>
    <s v="AD. DIRECTA"/>
    <s v="VIALSUR"/>
    <n v="1.7"/>
    <n v="1.7"/>
    <n v="0"/>
    <s v="Reconformación de la Subrazante"/>
    <s v="m²."/>
    <n v="0.35"/>
    <n v="16830"/>
    <m/>
    <d v="2014-01-01T00:00:00"/>
    <d v="2014-06-30T00:00:00"/>
    <s v="EJECUTADO"/>
    <n v="5890.5"/>
  </r>
  <r>
    <m/>
    <m/>
    <s v="MANTENIMIENTO"/>
    <x v="84"/>
    <x v="34"/>
    <s v="ZONA3"/>
    <x v="13"/>
    <x v="39"/>
    <s v="AD. DIRECTA"/>
    <s v="VIALSUR"/>
    <m/>
    <m/>
    <n v="0"/>
    <s v="Limpieza de cunetas y alcantarillas a maquina"/>
    <s v="m³."/>
    <n v="1.47"/>
    <m/>
    <m/>
    <d v="2014-01-05T00:00:00"/>
    <d v="2014-07-31T00:00:00"/>
    <s v="EN EJECUCION"/>
    <n v="0"/>
  </r>
  <r>
    <m/>
    <m/>
    <s v="MANTENIMIENTO"/>
    <x v="1"/>
    <x v="34"/>
    <s v="ZONA3"/>
    <x v="13"/>
    <x v="39"/>
    <s v="AD. DIRECTA"/>
    <s v="VIALSUR"/>
    <m/>
    <m/>
    <n v="0"/>
    <s v="Reconformación de la Subrazante"/>
    <s v="m²."/>
    <n v="0.35"/>
    <m/>
    <m/>
    <d v="2014-01-01T00:00:00"/>
    <d v="2014-06-30T00:00:00"/>
    <s v="EJECUTADO"/>
    <n v="0"/>
  </r>
  <r>
    <m/>
    <m/>
    <s v="MANTENIMIENTO"/>
    <x v="1"/>
    <x v="34"/>
    <s v="ZONA3"/>
    <x v="13"/>
    <x v="39"/>
    <s v="AD. DIRECTA"/>
    <s v="VIALSUR"/>
    <m/>
    <m/>
    <m/>
    <s v="Explotación  de material (incluye cargado)"/>
    <s v="m³."/>
    <n v="2.54"/>
    <n v="1100"/>
    <m/>
    <d v="2014-01-05T00:00:00"/>
    <d v="2014-05-31T00:00:00"/>
    <s v="EJECUTADO"/>
    <n v="2794"/>
  </r>
  <r>
    <m/>
    <m/>
    <s v="MANTENIMIENTO"/>
    <x v="1"/>
    <x v="34"/>
    <s v="ZONA3"/>
    <x v="13"/>
    <x v="39"/>
    <s v="AD. DIRECTA"/>
    <s v="VIALSUR"/>
    <m/>
    <m/>
    <m/>
    <s v="Clasificación de material."/>
    <s v="m³."/>
    <n v="1.47"/>
    <n v="1100"/>
    <m/>
    <d v="2014-06-12T00:00:00"/>
    <d v="2014-06-30T00:00:00"/>
    <s v="EJECUTADO"/>
    <n v="1617"/>
  </r>
  <r>
    <m/>
    <m/>
    <s v="MANTENIMIENTO"/>
    <x v="1"/>
    <x v="34"/>
    <s v="ZONA3"/>
    <x v="13"/>
    <x v="39"/>
    <s v="AD. DIRECTA"/>
    <s v="VIALSUR"/>
    <m/>
    <m/>
    <m/>
    <s v="Limpieza de derrumbes a maquina"/>
    <s v="m³."/>
    <n v="1.46"/>
    <n v="840"/>
    <m/>
    <d v="2014-01-01T00:00:00"/>
    <d v="2014-06-30T00:00:00"/>
    <s v="EJECUTADO"/>
    <n v="1226.4000000000001"/>
  </r>
  <r>
    <m/>
    <m/>
    <s v="MANTENIMIENTO"/>
    <x v="1"/>
    <x v="34"/>
    <s v="ZONA3"/>
    <x v="13"/>
    <x v="39"/>
    <s v="AD. DIRECTA"/>
    <s v="VIALSUR"/>
    <m/>
    <m/>
    <m/>
    <s v="Rasanteo y conformacion de cunetas con motoniveladora"/>
    <s v="m²."/>
    <n v="0.35"/>
    <n v="8500"/>
    <m/>
    <d v="2014-01-01T00:00:00"/>
    <d v="2014-06-30T00:00:00"/>
    <s v="EJECUTADO"/>
    <n v="2975"/>
  </r>
  <r>
    <m/>
    <m/>
    <s v="MANTENIMIENTO"/>
    <x v="1"/>
    <x v="34"/>
    <s v="ZONA3"/>
    <x v="13"/>
    <x v="39"/>
    <s v="AD. DIRECTA"/>
    <s v="VIALSUR"/>
    <m/>
    <m/>
    <m/>
    <s v="Mejoramiento de la subrasante con suelo seleccionado"/>
    <s v="m³."/>
    <n v="5.92"/>
    <n v="1070"/>
    <m/>
    <d v="2014-01-01T00:00:00"/>
    <d v="2014-04-30T00:00:00"/>
    <s v="EJECUTADO"/>
    <n v="6334.4"/>
  </r>
  <r>
    <m/>
    <m/>
    <s v="MANTENIMIENTO"/>
    <x v="1"/>
    <x v="34"/>
    <s v="ZONA3"/>
    <x v="13"/>
    <x v="39"/>
    <s v="AD. DIRECTA"/>
    <s v="VIALSUR"/>
    <m/>
    <m/>
    <m/>
    <s v="Transporte de material de mejoramiento"/>
    <s v="m3/km."/>
    <n v="0.3"/>
    <n v="9596.6200000000008"/>
    <m/>
    <d v="2014-01-05T00:00:00"/>
    <d v="2014-06-30T00:00:00"/>
    <s v="EJECUTADO"/>
    <n v="2878.99"/>
  </r>
  <r>
    <m/>
    <m/>
    <s v="MANTENIMIENTO"/>
    <x v="85"/>
    <x v="34"/>
    <s v="ZONA3"/>
    <x v="13"/>
    <x v="39"/>
    <s v="AD. DIRECTA"/>
    <s v="VIALSUR"/>
    <n v="0.8"/>
    <n v="0.8"/>
    <m/>
    <s v="Explotación  de material (incluye cargado)"/>
    <s v="m³."/>
    <n v="2.54"/>
    <n v="900"/>
    <m/>
    <d v="2014-01-05T00:00:00"/>
    <d v="2014-05-31T00:00:00"/>
    <s v="EJECUTADO"/>
    <n v="2286"/>
  </r>
  <r>
    <m/>
    <m/>
    <s v="MANTENIMIENTO"/>
    <x v="1"/>
    <x v="34"/>
    <s v="ZONA3"/>
    <x v="13"/>
    <x v="39"/>
    <s v="AD. DIRECTA"/>
    <s v="VIALSUR"/>
    <m/>
    <m/>
    <m/>
    <s v="Clasificación de material."/>
    <s v="m³."/>
    <n v="1.47"/>
    <n v="750"/>
    <m/>
    <d v="2014-06-12T00:00:00"/>
    <d v="2014-06-30T00:00:00"/>
    <s v="EJECUTADO"/>
    <n v="1102.5"/>
  </r>
  <r>
    <m/>
    <m/>
    <s v="MANTENIMIENTO"/>
    <x v="1"/>
    <x v="34"/>
    <s v="ZONA3"/>
    <x v="13"/>
    <x v="39"/>
    <s v="AD. DIRECTA"/>
    <s v="VIALSUR"/>
    <m/>
    <m/>
    <m/>
    <s v="Limpieza de derrumbes a maquina"/>
    <s v="m³."/>
    <n v="1.46"/>
    <n v="480"/>
    <m/>
    <d v="2014-01-01T00:00:00"/>
    <d v="2014-06-30T00:00:00"/>
    <s v="EJECUTADO"/>
    <n v="700.8"/>
  </r>
  <r>
    <m/>
    <m/>
    <s v="MANTENIMIENTO"/>
    <x v="1"/>
    <x v="34"/>
    <s v="ZONA3"/>
    <x v="13"/>
    <x v="39"/>
    <s v="AD. DIRECTA"/>
    <s v="VIALSUR"/>
    <m/>
    <m/>
    <m/>
    <s v="Rasanteo y conformacion de cunetas con motoniveladora"/>
    <s v="m²."/>
    <n v="0.35"/>
    <n v="4000"/>
    <m/>
    <d v="2014-01-01T00:00:00"/>
    <d v="2014-06-30T00:00:00"/>
    <s v="EJECUTADO"/>
    <n v="1400"/>
  </r>
  <r>
    <m/>
    <m/>
    <s v="MANTENIMIENTO"/>
    <x v="1"/>
    <x v="34"/>
    <s v="ZONA3"/>
    <x v="13"/>
    <x v="39"/>
    <s v="AD. DIRECTA"/>
    <s v="VIALSUR"/>
    <m/>
    <m/>
    <m/>
    <s v="Mejoramiento de la subrasante con suelo seleccionado"/>
    <s v="m³."/>
    <n v="5.92"/>
    <n v="540"/>
    <m/>
    <d v="2014-01-01T00:00:00"/>
    <d v="2014-04-30T00:00:00"/>
    <s v="EJECUTADO"/>
    <n v="3196.8"/>
  </r>
  <r>
    <m/>
    <m/>
    <s v="MANTENIMIENTO"/>
    <x v="1"/>
    <x v="34"/>
    <s v="ZONA3"/>
    <x v="13"/>
    <x v="39"/>
    <s v="AD. DIRECTA"/>
    <s v="VIALSUR"/>
    <m/>
    <m/>
    <m/>
    <s v="Transporte de material de mejoramiento"/>
    <s v="m3/km."/>
    <n v="0.3"/>
    <n v="5430"/>
    <m/>
    <d v="2014-01-05T00:00:00"/>
    <d v="2014-06-30T00:00:00"/>
    <s v="EJECUTADO"/>
    <n v="1629"/>
  </r>
  <r>
    <m/>
    <m/>
    <s v="MANTENIMIENTO"/>
    <x v="86"/>
    <x v="34"/>
    <s v="ZONA3"/>
    <x v="13"/>
    <x v="39"/>
    <s v="AD. DIRECTA"/>
    <s v="VIALSUR"/>
    <n v="9.6"/>
    <n v="9.6"/>
    <m/>
    <s v="Limpieza de derrumbes a maquina"/>
    <s v="m³."/>
    <n v="1.46"/>
    <n v="2240"/>
    <m/>
    <d v="2014-01-01T00:00:00"/>
    <d v="2014-06-30T00:00:00"/>
    <s v="EJECUTADO"/>
    <n v="3270.4"/>
  </r>
  <r>
    <m/>
    <m/>
    <s v="MANTENIMIENTO"/>
    <x v="1"/>
    <x v="34"/>
    <s v="ZONA3"/>
    <x v="13"/>
    <x v="39"/>
    <s v="AD. DIRECTA"/>
    <s v="VIALSUR"/>
    <m/>
    <m/>
    <m/>
    <s v="Reconformación de la Subrazante"/>
    <s v="m²."/>
    <n v="0.35"/>
    <n v="48000"/>
    <m/>
    <d v="2014-01-01T00:00:00"/>
    <d v="2014-06-30T00:00:00"/>
    <s v="EJECUTADO"/>
    <n v="16800"/>
  </r>
  <r>
    <m/>
    <m/>
    <s v="MANTENIMIENTO"/>
    <x v="1"/>
    <x v="34"/>
    <s v="ZONA3"/>
    <x v="13"/>
    <x v="39"/>
    <s v="AD. DIRECTA"/>
    <s v="VIALSUR"/>
    <m/>
    <m/>
    <m/>
    <s v="Mejoramiento de la subrasante con suelo seleccionado"/>
    <s v="m³."/>
    <n v="5.92"/>
    <n v="700"/>
    <m/>
    <d v="2014-01-01T00:00:00"/>
    <d v="2014-04-30T00:00:00"/>
    <s v="EJECUTADO"/>
    <n v="4144"/>
  </r>
  <r>
    <m/>
    <m/>
    <s v="MANTENIMIENTO"/>
    <x v="1"/>
    <x v="34"/>
    <s v="ZONA3"/>
    <x v="13"/>
    <x v="39"/>
    <s v="AD. DIRECTA"/>
    <s v="VIALSUR"/>
    <m/>
    <m/>
    <m/>
    <s v="Transporte de material de mejoramiento"/>
    <s v="m3/km."/>
    <n v="0.3"/>
    <n v="6852.16"/>
    <m/>
    <d v="2014-01-05T00:00:00"/>
    <d v="2014-06-30T00:00:00"/>
    <s v="EJECUTADO"/>
    <n v="2055.65"/>
  </r>
  <r>
    <m/>
    <m/>
    <s v="MANTENIMIENTO"/>
    <x v="1"/>
    <x v="34"/>
    <s v="ZONA3"/>
    <x v="13"/>
    <x v="39"/>
    <s v="AD. DIRECTA"/>
    <s v="VIALSUR"/>
    <m/>
    <m/>
    <m/>
    <s v="Clasificación de material."/>
    <s v="m³."/>
    <n v="1.47"/>
    <n v="840"/>
    <m/>
    <d v="2014-06-12T00:00:00"/>
    <d v="2014-06-30T00:00:00"/>
    <s v="EJECUTADO"/>
    <n v="1234.8"/>
  </r>
  <r>
    <m/>
    <m/>
    <s v="MANTENIMIENTO"/>
    <x v="87"/>
    <x v="34"/>
    <s v="ZONA3"/>
    <x v="13"/>
    <x v="39"/>
    <s v="AD. DIRECTA"/>
    <s v="VIALSUR"/>
    <n v="17.100000000000001"/>
    <n v="9.6"/>
    <m/>
    <s v="Limpieza de derrumbes a maquina"/>
    <s v="m³."/>
    <n v="1.46"/>
    <n v="2265"/>
    <m/>
    <d v="2014-01-01T00:00:00"/>
    <d v="2014-06-30T00:00:00"/>
    <s v="EJECUTADO"/>
    <n v="3306.9"/>
  </r>
  <r>
    <m/>
    <m/>
    <s v="MANTENIMIENTO"/>
    <x v="1"/>
    <x v="34"/>
    <s v="ZONA3"/>
    <x v="13"/>
    <x v="39"/>
    <s v="AD. DIRECTA"/>
    <s v="VIALSUR"/>
    <m/>
    <m/>
    <m/>
    <s v="Reconformación de la Subrazante"/>
    <s v="m²."/>
    <n v="0.35"/>
    <n v="68980"/>
    <m/>
    <d v="2014-01-01T00:00:00"/>
    <d v="2014-06-30T00:00:00"/>
    <s v="EJECUTADO"/>
    <n v="24143"/>
  </r>
  <r>
    <m/>
    <m/>
    <s v="MANTENIMIENTO"/>
    <x v="1"/>
    <x v="34"/>
    <s v="ZONA3"/>
    <x v="13"/>
    <x v="39"/>
    <s v="AD. DIRECTA"/>
    <s v="VIALSUR"/>
    <m/>
    <m/>
    <m/>
    <s v="Mejoramiento de la subrasante con suelo seleccionado"/>
    <s v="m³."/>
    <n v="5.92"/>
    <n v="2060"/>
    <m/>
    <d v="2014-01-01T00:00:00"/>
    <d v="2014-04-30T00:00:00"/>
    <s v="EJECUTADO"/>
    <n v="12195.2"/>
  </r>
  <r>
    <m/>
    <m/>
    <s v="MANTENIMIENTO"/>
    <x v="1"/>
    <x v="34"/>
    <s v="ZONA3"/>
    <x v="13"/>
    <x v="39"/>
    <s v="AD. DIRECTA"/>
    <s v="VIALSUR"/>
    <m/>
    <m/>
    <m/>
    <s v="Transporte de material de mejoramiento"/>
    <s v="m3/km."/>
    <n v="0.3"/>
    <n v="15232"/>
    <m/>
    <d v="2014-01-05T00:00:00"/>
    <d v="2014-06-30T00:00:00"/>
    <s v="EJECUTADO"/>
    <n v="4569.6000000000004"/>
  </r>
  <r>
    <m/>
    <m/>
    <s v="MANTENIMIENTO"/>
    <x v="1"/>
    <x v="34"/>
    <s v="ZONA3"/>
    <x v="13"/>
    <x v="39"/>
    <s v="AD. DIRECTA"/>
    <s v="VIALSUR"/>
    <m/>
    <m/>
    <m/>
    <s v="Clasificación de material."/>
    <s v="m³."/>
    <n v="1.47"/>
    <n v="2320"/>
    <m/>
    <d v="2014-06-12T00:00:00"/>
    <d v="2014-06-30T00:00:00"/>
    <s v="EJECUTADO"/>
    <n v="3410.4"/>
  </r>
  <r>
    <m/>
    <m/>
    <s v="MANTENIMIENTO"/>
    <x v="88"/>
    <x v="34"/>
    <s v="ZONA3"/>
    <x v="13"/>
    <x v="39"/>
    <s v="AD. DIRECTA"/>
    <s v="VIALSUR"/>
    <n v="12.1"/>
    <n v="12.1"/>
    <m/>
    <s v="Limpieza de derrumbes a maquina"/>
    <s v="m³."/>
    <n v="1.46"/>
    <n v="450"/>
    <m/>
    <d v="2014-01-01T00:00:00"/>
    <d v="2014-06-30T00:00:00"/>
    <s v="EJECUTADO"/>
    <n v="657"/>
  </r>
  <r>
    <m/>
    <m/>
    <s v="MANTENIMIENTO"/>
    <x v="1"/>
    <x v="34"/>
    <s v="ZONA3"/>
    <x v="13"/>
    <x v="39"/>
    <s v="AD. DIRECTA"/>
    <s v="VIALSUR"/>
    <m/>
    <m/>
    <m/>
    <s v="Reconformación de la Subrazante"/>
    <s v="m²."/>
    <n v="0.35"/>
    <n v="32450"/>
    <m/>
    <d v="2014-01-01T00:00:00"/>
    <d v="2014-06-30T00:00:00"/>
    <s v="EJECUTADO"/>
    <n v="11357.5"/>
  </r>
  <r>
    <m/>
    <m/>
    <s v="MANTENIMIENTO"/>
    <x v="1"/>
    <x v="34"/>
    <s v="ZONA3"/>
    <x v="13"/>
    <x v="39"/>
    <s v="AD. DIRECTA"/>
    <s v="VIALSUR"/>
    <m/>
    <m/>
    <m/>
    <s v="Mejoramiento de la subrasante con suelo seleccionado"/>
    <s v="m³."/>
    <n v="5.92"/>
    <n v="1040"/>
    <m/>
    <d v="2014-01-01T00:00:00"/>
    <d v="2014-04-30T00:00:00"/>
    <s v="EJECUTADO"/>
    <n v="6156.8"/>
  </r>
  <r>
    <m/>
    <m/>
    <s v="MANTENIMIENTO"/>
    <x v="1"/>
    <x v="34"/>
    <s v="ZONA3"/>
    <x v="13"/>
    <x v="39"/>
    <s v="AD. DIRECTA"/>
    <s v="VIALSUR"/>
    <m/>
    <m/>
    <m/>
    <s v="Transporte de material de mejoramiento"/>
    <s v="m3/km."/>
    <n v="0.3"/>
    <n v="14234.2"/>
    <m/>
    <d v="2014-01-05T00:00:00"/>
    <d v="2014-06-30T00:00:00"/>
    <s v="EJECUTADO"/>
    <n v="4270.26"/>
  </r>
  <r>
    <m/>
    <m/>
    <s v="MANTENIMIENTO"/>
    <x v="1"/>
    <x v="34"/>
    <s v="ZONA3"/>
    <x v="14"/>
    <x v="40"/>
    <s v="AD. DIRECTA"/>
    <s v="VIALSUR"/>
    <m/>
    <m/>
    <m/>
    <s v="Explotación de material (incluye cargado)."/>
    <s v="m³."/>
    <n v="2.54"/>
    <n v="1500"/>
    <m/>
    <d v="2014-01-02T00:00:00"/>
    <d v="2014-01-31T00:00:00"/>
    <s v="EJECUTADO"/>
    <n v="3810"/>
  </r>
  <r>
    <m/>
    <m/>
    <s v="MANTENIMIENTO"/>
    <x v="1"/>
    <x v="34"/>
    <s v="ZONA3"/>
    <x v="13"/>
    <x v="39"/>
    <s v="AD. DIRECTA"/>
    <s v="VIALSUR"/>
    <m/>
    <m/>
    <m/>
    <s v="Clasificación de material."/>
    <s v="m³."/>
    <n v="1.47"/>
    <n v="1200"/>
    <m/>
    <d v="2014-06-12T00:00:00"/>
    <d v="2014-06-30T00:00:00"/>
    <s v="EJECUTADO"/>
    <n v="1764"/>
  </r>
  <r>
    <m/>
    <m/>
    <s v="MEJORAMIENTO"/>
    <x v="89"/>
    <x v="77"/>
    <s v="ZONA3"/>
    <x v="14"/>
    <x v="40"/>
    <s v="AD. DIRECTA"/>
    <s v="VIALSUR"/>
    <n v="11"/>
    <m/>
    <n v="1083"/>
    <s v="Explotación de material (incluye cargado)."/>
    <s v="m³."/>
    <n v="2.54"/>
    <n v="960"/>
    <m/>
    <d v="2014-01-02T00:00:00"/>
    <d v="2014-01-31T00:00:00"/>
    <s v="EJECUTADO"/>
    <n v="2438.4"/>
  </r>
  <r>
    <m/>
    <m/>
    <s v="MANTENIMIENTO"/>
    <x v="1"/>
    <x v="77"/>
    <s v="ZONA3"/>
    <x v="14"/>
    <x v="40"/>
    <s v="AD. DIRECTA"/>
    <s v="VIALSUR"/>
    <m/>
    <m/>
    <n v="0"/>
    <s v="Limpieza de derrumbes a máquina"/>
    <s v="m³."/>
    <n v="1.46"/>
    <n v="1320"/>
    <m/>
    <d v="2014-06-01T00:00:00"/>
    <d v="2014-06-30T00:00:00"/>
    <s v="EJECUTADO"/>
    <n v="1927.2"/>
  </r>
  <r>
    <m/>
    <m/>
    <s v="MEJORAMIENTO"/>
    <x v="1"/>
    <x v="77"/>
    <s v="ZONA3"/>
    <x v="14"/>
    <x v="40"/>
    <s v="AD. DIRECTA"/>
    <s v="VIALSUR"/>
    <m/>
    <m/>
    <n v="0"/>
    <s v="Clasificación de material."/>
    <s v="m³."/>
    <n v="1.47"/>
    <n v="1700"/>
    <m/>
    <d v="2014-01-02T00:00:00"/>
    <d v="2014-01-31T00:00:00"/>
    <s v="EJECUTADO"/>
    <n v="2499"/>
  </r>
  <r>
    <m/>
    <m/>
    <s v="MANTENIMIENTO"/>
    <x v="1"/>
    <x v="77"/>
    <s v="ZONA3"/>
    <x v="14"/>
    <x v="40"/>
    <s v="AD. DIRECTA"/>
    <s v="VIALSUR"/>
    <m/>
    <n v="4.84"/>
    <n v="0"/>
    <s v="Rasanteo y conformacion de cunetas con motoniveladora"/>
    <s v="m²."/>
    <n v="0.08"/>
    <n v="26600"/>
    <m/>
    <d v="2014-01-02T00:00:00"/>
    <d v="2014-01-31T00:00:00"/>
    <s v="EJECUTADO"/>
    <n v="2128"/>
  </r>
  <r>
    <m/>
    <m/>
    <s v="MEJORAMIENTO"/>
    <x v="1"/>
    <x v="77"/>
    <s v="ZONA3"/>
    <x v="14"/>
    <x v="40"/>
    <s v="AD. DIRECTA"/>
    <s v="VIALSUR"/>
    <m/>
    <n v="1.3"/>
    <n v="0"/>
    <s v="Mejoramiento de la subrasante con suelo seleccionado"/>
    <s v="m³."/>
    <n v="5.92"/>
    <n v="1430"/>
    <m/>
    <d v="2014-01-02T00:00:00"/>
    <d v="2014-01-31T00:00:00"/>
    <s v="EJECUTADO"/>
    <n v="8465.6"/>
  </r>
  <r>
    <m/>
    <m/>
    <s v="MEJORAMIENTO"/>
    <x v="1"/>
    <x v="77"/>
    <s v="ZONA3"/>
    <x v="14"/>
    <x v="40"/>
    <s v="AD. DIRECTA"/>
    <s v="VIALSUR"/>
    <m/>
    <m/>
    <n v="0"/>
    <s v="Transporte de material para mejoramiento, inc. cargado"/>
    <s v="m³/km."/>
    <n v="0.3"/>
    <n v="15605"/>
    <m/>
    <d v="2014-01-02T00:00:00"/>
    <d v="2014-06-30T00:00:00"/>
    <s v="EJECUTADO"/>
    <n v="4681.5"/>
  </r>
  <r>
    <s v="15"/>
    <s v="EJECUTADO"/>
    <s v="MANTENIMIENTO"/>
    <x v="90"/>
    <x v="78"/>
    <s v="ZONA3"/>
    <x v="14"/>
    <x v="40"/>
    <s v="AD. DIRECTA"/>
    <s v="VIALSUR"/>
    <n v="17.8"/>
    <m/>
    <n v="1083"/>
    <s v="Limpieza de derrumbes a máquina"/>
    <s v="m³."/>
    <n v="1.46"/>
    <n v="17120"/>
    <m/>
    <d v="2014-01-19T00:00:00"/>
    <d v="2014-06-30T00:00:00"/>
    <s v="EJECUTADO"/>
    <n v="24995.200000000001"/>
  </r>
  <r>
    <m/>
    <m/>
    <s v="MEJORAMIENTO"/>
    <x v="1"/>
    <x v="78"/>
    <s v="ZONA3"/>
    <x v="14"/>
    <x v="40"/>
    <s v="AD. DIRECTA"/>
    <s v="VIALSUR"/>
    <m/>
    <m/>
    <n v="0"/>
    <s v="Excavación sin clasificar a maquina (estabilización de talud)"/>
    <s v="m³."/>
    <n v="1.62"/>
    <n v="36270"/>
    <m/>
    <d v="2014-07-19T00:00:00"/>
    <d v="2014-07-31T00:00:00"/>
    <s v="EJECUTADO"/>
    <n v="58757.4"/>
  </r>
  <r>
    <m/>
    <m/>
    <s v="MANTENIMIENTO"/>
    <x v="1"/>
    <x v="78"/>
    <s v="ZONA3"/>
    <x v="14"/>
    <x v="40"/>
    <s v="AD. DIRECTA"/>
    <s v="VIALSUR"/>
    <m/>
    <m/>
    <n v="0"/>
    <s v="Transporte de material excavado, inc. cargado"/>
    <s v="m³/km."/>
    <n v="0.38"/>
    <n v="5513.44"/>
    <m/>
    <d v="2014-07-19T00:00:00"/>
    <d v="2014-07-31T00:00:00"/>
    <s v="EJECUTADO"/>
    <n v="2095.11"/>
  </r>
  <r>
    <s v="16"/>
    <s v="EJECUTADO"/>
    <s v="MEJORAMIENTO"/>
    <x v="91"/>
    <x v="79"/>
    <s v="ZONA3"/>
    <x v="14"/>
    <x v="40"/>
    <s v="AD. DIRECTA"/>
    <s v="VIALSUR"/>
    <n v="23.2"/>
    <m/>
    <n v="1083"/>
    <s v="Excavación sin clasificar a maquina"/>
    <s v="m³."/>
    <n v="1.62"/>
    <n v="5580"/>
    <m/>
    <d v="2014-06-01T00:00:00"/>
    <d v="2014-07-31T00:00:00"/>
    <s v="EJECUTADO"/>
    <n v="9039.6"/>
  </r>
  <r>
    <m/>
    <m/>
    <s v="MANTENIMIENTO"/>
    <x v="1"/>
    <x v="79"/>
    <s v="ZONA3"/>
    <x v="14"/>
    <x v="40"/>
    <s v="AD. DIRECTA"/>
    <s v="VIALSUR"/>
    <m/>
    <m/>
    <n v="0"/>
    <s v="Limpieza de derrumbes a máquina"/>
    <s v="m³."/>
    <n v="1.46"/>
    <n v="7045"/>
    <m/>
    <d v="2014-06-01T00:00:00"/>
    <d v="2014-07-31T00:00:00"/>
    <s v="EJECUTADO"/>
    <n v="10285.700000000001"/>
  </r>
  <r>
    <m/>
    <m/>
    <s v="MANTENIMIENTO"/>
    <x v="1"/>
    <x v="79"/>
    <s v="ZONA3"/>
    <x v="14"/>
    <x v="40"/>
    <s v="AD. DIRECTA"/>
    <s v="VIALSUR"/>
    <m/>
    <n v="25.01"/>
    <n v="0"/>
    <s v="Reconformación de la Subrazante"/>
    <s v="m³."/>
    <n v="0.35"/>
    <n v="137520"/>
    <m/>
    <d v="2014-06-01T00:00:00"/>
    <d v="2014-06-30T00:00:00"/>
    <s v="EJECUTADO"/>
    <n v="48132"/>
  </r>
  <r>
    <m/>
    <m/>
    <s v="MANTENIMIENTO"/>
    <x v="1"/>
    <x v="34"/>
    <s v="ZONA3"/>
    <x v="14"/>
    <x v="40"/>
    <s v="AD. DIRECTA"/>
    <s v="VIALSUR"/>
    <m/>
    <m/>
    <n v="0"/>
    <s v="Mejoramiento de la subrasante con suelo seleccionado"/>
    <s v="m³."/>
    <n v="5.92"/>
    <n v="1297"/>
    <m/>
    <d v="2014-01-02T00:00:00"/>
    <d v="2014-01-31T00:00:00"/>
    <s v="EJECUTADO"/>
    <n v="7678.24"/>
  </r>
  <r>
    <m/>
    <m/>
    <s v="MEJORAMIENTO"/>
    <x v="1"/>
    <x v="79"/>
    <s v="ZONA3"/>
    <x v="14"/>
    <x v="40"/>
    <s v="AD. DIRECTA"/>
    <s v="VIALSUR"/>
    <m/>
    <n v="0.18000000000000002"/>
    <n v="0"/>
    <s v="Excavación y Relleno compactado, con material mejorado"/>
    <s v="m³."/>
    <n v="7.6"/>
    <n v="955"/>
    <m/>
    <d v="2014-07-01T00:00:00"/>
    <d v="2014-07-31T00:00:00"/>
    <s v="EJECUTADO"/>
    <n v="7258"/>
  </r>
  <r>
    <m/>
    <m/>
    <s v="MEJORAMIENTO"/>
    <x v="1"/>
    <x v="79"/>
    <s v="ZONA3"/>
    <x v="14"/>
    <x v="40"/>
    <s v="AD. DIRECTA"/>
    <s v="VIALSUR"/>
    <m/>
    <n v="3.8499999999999996"/>
    <n v="0"/>
    <s v="Clasificacion de material."/>
    <s v="m³."/>
    <n v="1.47"/>
    <n v="21150"/>
    <m/>
    <d v="2014-07-01T00:00:00"/>
    <d v="2014-07-31T00:00:00"/>
    <s v="EJECUTADO"/>
    <n v="31090.5"/>
  </r>
  <r>
    <m/>
    <m/>
    <s v="MEJORAMIENTO"/>
    <x v="1"/>
    <x v="79"/>
    <s v="ZONA3"/>
    <x v="14"/>
    <x v="40"/>
    <s v="AD. DIRECTA"/>
    <s v="VIALSUR"/>
    <m/>
    <n v="1.36"/>
    <n v="0"/>
    <s v="Transporte de material para mejoramiento, inc. cargado"/>
    <s v="m³/km."/>
    <n v="0.38"/>
    <n v="7461.2"/>
    <m/>
    <d v="2014-07-01T00:00:00"/>
    <d v="2014-07-31T00:00:00"/>
    <s v="EJECUTADO"/>
    <n v="2835.26"/>
  </r>
  <r>
    <s v="17"/>
    <s v="EJECUTADO"/>
    <s v="MEJORAMIENTO"/>
    <x v="92"/>
    <x v="80"/>
    <s v="ZONA3"/>
    <x v="14"/>
    <x v="40"/>
    <s v="AD. DIRECTA"/>
    <s v="VIALSUR"/>
    <n v="1"/>
    <m/>
    <n v="1083"/>
    <s v="Clasificacion de material."/>
    <s v="m³."/>
    <n v="1.47"/>
    <n v="300"/>
    <m/>
    <d v="2014-07-16T00:00:00"/>
    <d v="2014-07-31T00:00:00"/>
    <s v="EJECUTADO"/>
    <n v="441"/>
  </r>
  <r>
    <m/>
    <m/>
    <s v="MEJORAMIENTO"/>
    <x v="92"/>
    <x v="80"/>
    <s v="ZONA3"/>
    <x v="14"/>
    <x v="40"/>
    <s v="AD. DIRECTA"/>
    <s v="VIALSUR"/>
    <m/>
    <m/>
    <n v="0"/>
    <s v="Transporte de material para mejoramiento, inc. cargado"/>
    <s v="m³/km."/>
    <n v="0.38"/>
    <n v="926.9"/>
    <m/>
    <d v="2014-07-16T00:00:00"/>
    <d v="2014-07-31T00:00:00"/>
    <s v="EJECUTADO"/>
    <n v="352.22"/>
  </r>
  <r>
    <m/>
    <m/>
    <s v="MANTENIMIENTO"/>
    <x v="93"/>
    <x v="81"/>
    <s v="ZONA3"/>
    <x v="14"/>
    <x v="40"/>
    <s v="AD. DIRECTA"/>
    <s v="VIALSUR"/>
    <n v="7.7"/>
    <m/>
    <n v="1083"/>
    <s v="Limpieza de derrumbes a máquina"/>
    <s v="m³."/>
    <n v="1.46"/>
    <n v="7350"/>
    <m/>
    <d v="2014-02-14T00:00:00"/>
    <d v="2014-03-31T00:00:00"/>
    <s v="EJECUTADO"/>
    <n v="10731"/>
  </r>
  <r>
    <m/>
    <m/>
    <s v="MANTENIMIENTO"/>
    <x v="94"/>
    <x v="82"/>
    <s v="ZONA3"/>
    <x v="14"/>
    <x v="40"/>
    <s v="AD. DIRECTA"/>
    <s v="VIALSUR"/>
    <n v="4.5"/>
    <m/>
    <n v="1083"/>
    <s v="Limpieza de derrumbes a máquina"/>
    <s v="m³."/>
    <n v="1.46"/>
    <n v="2880"/>
    <m/>
    <d v="2014-02-17T00:00:00"/>
    <d v="2014-04-30T00:00:00"/>
    <s v="EJECUTADO"/>
    <n v="4204.8"/>
  </r>
  <r>
    <m/>
    <m/>
    <s v="MEJORAMIENTO"/>
    <x v="95"/>
    <x v="83"/>
    <s v="ZONA3"/>
    <x v="14"/>
    <x v="41"/>
    <s v="AD. DIRECTA"/>
    <s v="VIALSUR"/>
    <n v="11.1"/>
    <m/>
    <n v="1092"/>
    <s v="Explotación de material (incluye cargado)."/>
    <s v="m³."/>
    <n v="2.54"/>
    <n v="640"/>
    <m/>
    <d v="2014-02-03T00:00:00"/>
    <d v="2014-02-07T00:00:00"/>
    <s v="EJECUTADO"/>
    <n v="1625.6"/>
  </r>
  <r>
    <m/>
    <m/>
    <s v="MEJORAMIENTO"/>
    <x v="1"/>
    <x v="83"/>
    <s v="ZONA3"/>
    <x v="14"/>
    <x v="41"/>
    <s v="AD. DIRECTA"/>
    <s v="VIALSUR"/>
    <m/>
    <m/>
    <n v="0"/>
    <s v="Transporte de material para mejoramiento, inc. cargado"/>
    <s v="m³/km."/>
    <n v="0.38"/>
    <n v="514.5"/>
    <m/>
    <d v="2014-02-03T00:00:00"/>
    <d v="2014-02-07T00:00:00"/>
    <s v="EJECUTADO"/>
    <n v="195.51"/>
  </r>
  <r>
    <m/>
    <m/>
    <s v="MANTENIMIENTO"/>
    <x v="96"/>
    <x v="84"/>
    <s v="ZONA3"/>
    <x v="14"/>
    <x v="42"/>
    <s v="AD. DIRECTA"/>
    <s v="VIALSUR"/>
    <n v="6.9"/>
    <n v="4.97"/>
    <n v="797"/>
    <s v="Rasanteo y conformacion de cunetas con motoniveladora"/>
    <s v="m²."/>
    <n v="0.08"/>
    <n v="27300"/>
    <m/>
    <d v="2014-01-02T00:00:00"/>
    <d v="2014-01-05T00:00:00"/>
    <s v="EJECUTADO"/>
    <n v="2184"/>
  </r>
  <r>
    <m/>
    <m/>
    <s v="MEJORAMIENTO"/>
    <x v="97"/>
    <x v="85"/>
    <s v="ZONA3"/>
    <x v="14"/>
    <x v="42"/>
    <s v="AD. DIRECTA"/>
    <s v="VIALSUR"/>
    <n v="3.8"/>
    <m/>
    <n v="797"/>
    <s v="Clasificación de material."/>
    <s v="m³."/>
    <n v="1.47"/>
    <n v="1325"/>
    <m/>
    <d v="2014-01-02T00:00:00"/>
    <d v="2014-01-11T00:00:00"/>
    <s v="EJECUTADO"/>
    <n v="1947.75"/>
  </r>
  <r>
    <m/>
    <m/>
    <s v="MEJORAMIENTO"/>
    <x v="1"/>
    <x v="85"/>
    <s v="ZONA3"/>
    <x v="14"/>
    <x v="42"/>
    <s v="AD. DIRECTA"/>
    <s v="VIALSUR"/>
    <m/>
    <n v="1.08"/>
    <n v="0"/>
    <s v="Mejoramiento de la subrasante con suelo seleccionado"/>
    <s v="m³."/>
    <n v="5.92"/>
    <n v="1192"/>
    <m/>
    <d v="2014-01-02T00:00:00"/>
    <d v="2014-01-11T00:00:00"/>
    <s v="EJECUTADO"/>
    <n v="7056.64"/>
  </r>
  <r>
    <m/>
    <m/>
    <s v="MEJORAMIENTO"/>
    <x v="1"/>
    <x v="85"/>
    <s v="ZONA3"/>
    <x v="14"/>
    <x v="42"/>
    <s v="AD. DIRECTA"/>
    <s v="VIALSUR"/>
    <m/>
    <m/>
    <n v="0"/>
    <s v="Transporte de material para mejoramiento, inc. cargado"/>
    <s v="m³/km."/>
    <n v="0.38"/>
    <n v="764.4"/>
    <m/>
    <d v="2014-01-02T00:00:00"/>
    <d v="2014-01-11T00:00:00"/>
    <s v="EJECUTADO"/>
    <n v="290.47000000000003"/>
  </r>
  <r>
    <m/>
    <m/>
    <s v="MEJORAMIENTO"/>
    <x v="98"/>
    <x v="86"/>
    <s v="ZONA3"/>
    <x v="14"/>
    <x v="43"/>
    <s v="AD. DIRECTA"/>
    <s v="VIALSUR"/>
    <n v="9.6999999999999993"/>
    <m/>
    <n v="639"/>
    <s v="Explotación de material (incluye cargado)."/>
    <s v="m³."/>
    <n v="2.54"/>
    <n v="10895"/>
    <m/>
    <d v="2014-01-16T00:00:00"/>
    <d v="2014-03-31T00:00:00"/>
    <s v="EJECUTADO"/>
    <n v="27673.3"/>
  </r>
  <r>
    <m/>
    <m/>
    <s v="MEJORAMIENTO"/>
    <x v="1"/>
    <x v="86"/>
    <s v="ZONA3"/>
    <x v="14"/>
    <x v="43"/>
    <s v="AD. DIRECTA"/>
    <s v="VIALSUR"/>
    <m/>
    <m/>
    <m/>
    <s v="Clasificación de material."/>
    <s v="m³."/>
    <n v="1.47"/>
    <n v="8985"/>
    <m/>
    <d v="2014-01-16T00:00:00"/>
    <d v="2014-03-31T00:00:00"/>
    <s v="EJECUTADO"/>
    <n v="13207.95"/>
  </r>
  <r>
    <m/>
    <m/>
    <s v="MANTENIMIENTO"/>
    <x v="1"/>
    <x v="86"/>
    <s v="ZONA3"/>
    <x v="14"/>
    <x v="43"/>
    <s v="AD. DIRECTA"/>
    <s v="VIALSUR"/>
    <m/>
    <n v="4.0699999999999994"/>
    <m/>
    <s v="Rasanteo y conformacion de cunetas con motoniveladora"/>
    <s v="m²."/>
    <n v="0.08"/>
    <n v="22344"/>
    <m/>
    <d v="2014-01-16T00:00:00"/>
    <d v="2014-03-31T00:00:00"/>
    <s v="EJECUTADO"/>
    <n v="1787.52"/>
  </r>
  <r>
    <m/>
    <m/>
    <s v="MEJORAMIENTO"/>
    <x v="1"/>
    <x v="86"/>
    <s v="ZONA3"/>
    <x v="14"/>
    <x v="43"/>
    <s v="AD. DIRECTA"/>
    <s v="VIALSUR"/>
    <m/>
    <n v="8.19"/>
    <m/>
    <s v="Mejoramiento de la subrasante con suelo seleccionado"/>
    <s v="m³."/>
    <n v="5.92"/>
    <n v="9011"/>
    <m/>
    <d v="2014-01-16T00:00:00"/>
    <d v="2014-03-31T00:00:00"/>
    <s v="EJECUTADO"/>
    <n v="53345.120000000003"/>
  </r>
  <r>
    <m/>
    <m/>
    <s v="MEJORAMIENTO"/>
    <x v="1"/>
    <x v="86"/>
    <s v="ZONA3"/>
    <x v="14"/>
    <x v="43"/>
    <s v="AD. DIRECTA"/>
    <s v="VIALSUR"/>
    <m/>
    <m/>
    <m/>
    <s v="Transporte de material para mejoramiento, inc. cargado"/>
    <s v="m³/km."/>
    <n v="0.35"/>
    <n v="27961.8"/>
    <m/>
    <d v="2014-01-16T00:00:00"/>
    <d v="2014-03-31T00:00:00"/>
    <s v="EJECUTADO"/>
    <n v="9786.6299999999992"/>
  </r>
  <r>
    <m/>
    <m/>
    <s v="MEJORAMIENTO"/>
    <x v="99"/>
    <x v="87"/>
    <s v="ZONA3"/>
    <x v="14"/>
    <x v="43"/>
    <s v="AD. DIRECTA"/>
    <s v="VIALSUR"/>
    <n v="5.7"/>
    <m/>
    <m/>
    <s v="Explotación de material (incluye cargado)."/>
    <s v="m³."/>
    <n v="2.54"/>
    <n v="880"/>
    <m/>
    <d v="2014-03-21T00:00:00"/>
    <d v="2014-03-31T00:00:00"/>
    <s v="EJECUTADO"/>
    <n v="2235.1999999999998"/>
  </r>
  <r>
    <m/>
    <m/>
    <s v="MEJORAMIENTO"/>
    <x v="1"/>
    <x v="87"/>
    <s v="ZONA3"/>
    <x v="14"/>
    <x v="43"/>
    <s v="AD. DIRECTA"/>
    <s v="VIALSUR"/>
    <m/>
    <m/>
    <m/>
    <s v="Excavación sin clasificar a maquina (Ampliación de la vía)"/>
    <s v="m³."/>
    <n v="1.62"/>
    <n v="4070"/>
    <m/>
    <d v="2014-03-21T00:00:00"/>
    <d v="2014-03-31T00:00:00"/>
    <s v="EJECUTADO"/>
    <n v="6593.4"/>
  </r>
  <r>
    <m/>
    <m/>
    <s v="MEJORAMIENTO"/>
    <x v="1"/>
    <x v="87"/>
    <s v="ZONA3"/>
    <x v="14"/>
    <x v="43"/>
    <s v="AD. DIRECTA"/>
    <s v="VIALSUR"/>
    <m/>
    <m/>
    <m/>
    <s v="Clasificación de material."/>
    <s v="m³."/>
    <n v="1.47"/>
    <n v="2400"/>
    <m/>
    <d v="2014-03-21T00:00:00"/>
    <d v="2014-03-31T00:00:00"/>
    <s v="EJECUTADO"/>
    <n v="3528"/>
  </r>
  <r>
    <m/>
    <m/>
    <s v="MANTENIMIENTO"/>
    <x v="1"/>
    <x v="87"/>
    <s v="ZONA3"/>
    <x v="14"/>
    <x v="43"/>
    <s v="AD. DIRECTA"/>
    <s v="VIALSUR"/>
    <m/>
    <n v="3.6399999999999997"/>
    <m/>
    <s v="Rasanteo y conformacion de cunetas con motoniveladora"/>
    <s v="m²."/>
    <n v="0.08"/>
    <n v="20000"/>
    <m/>
    <d v="2014-03-21T00:00:00"/>
    <d v="2014-03-31T00:00:00"/>
    <s v="EJECUTADO"/>
    <n v="1600"/>
  </r>
  <r>
    <m/>
    <m/>
    <s v="MEJORAMIENTO"/>
    <x v="1"/>
    <x v="87"/>
    <s v="ZONA3"/>
    <x v="14"/>
    <x v="43"/>
    <s v="AD. DIRECTA"/>
    <s v="VIALSUR"/>
    <m/>
    <n v="0.76"/>
    <m/>
    <s v="Mejoramiento de la subrasante con suelo seleccionado"/>
    <s v="m³."/>
    <n v="5.92"/>
    <n v="840"/>
    <m/>
    <d v="2014-03-21T00:00:00"/>
    <d v="2014-03-31T00:00:00"/>
    <s v="EJECUTADO"/>
    <n v="4972.8"/>
  </r>
  <r>
    <m/>
    <m/>
    <s v="MEJORAMIENTO"/>
    <x v="1"/>
    <x v="87"/>
    <s v="ZONA3"/>
    <x v="14"/>
    <x v="43"/>
    <s v="AD. DIRECTA"/>
    <s v="VIALSUR"/>
    <m/>
    <m/>
    <m/>
    <s v="Transporte de material para mejoramiento, inc. cargado"/>
    <s v="m³/km."/>
    <n v="0.38"/>
    <n v="726"/>
    <m/>
    <d v="2014-03-21T00:00:00"/>
    <d v="2014-03-31T00:00:00"/>
    <s v="EJECUTADO"/>
    <n v="275.88"/>
  </r>
  <r>
    <m/>
    <m/>
    <s v="MANTENIMIENTO"/>
    <x v="100"/>
    <x v="88"/>
    <s v="ZONA3"/>
    <x v="14"/>
    <x v="43"/>
    <s v="AD. DIRECTA"/>
    <s v="VIALSUR"/>
    <n v="0.8"/>
    <n v="2.96"/>
    <n v="639"/>
    <s v="Rasanteo y conformacion de cunetas con motoniveladora"/>
    <s v="m²."/>
    <n v="0.08"/>
    <n v="16280"/>
    <m/>
    <d v="2014-04-01T00:00:00"/>
    <d v="2014-04-30T00:00:00"/>
    <s v="EJECUTADO"/>
    <n v="1302.4000000000001"/>
  </r>
  <r>
    <m/>
    <m/>
    <s v="MANTENIMIENTO"/>
    <x v="101"/>
    <x v="89"/>
    <s v="ZONA3"/>
    <x v="15"/>
    <x v="44"/>
    <s v="AD. DIRECTA"/>
    <s v="VIALSUR"/>
    <n v="6.3"/>
    <m/>
    <n v="512"/>
    <s v="Limpieza de derrumbes a maquina"/>
    <s v="m3."/>
    <n v="1.46"/>
    <n v="480"/>
    <m/>
    <d v="2014-01-05T00:00:00"/>
    <d v="2014-05-31T00:00:00"/>
    <s v="EJECUTADO"/>
    <n v="700.8"/>
  </r>
  <r>
    <m/>
    <m/>
    <s v="MANTENIMIENTO"/>
    <x v="102"/>
    <x v="90"/>
    <s v="ZONA3"/>
    <x v="15"/>
    <x v="44"/>
    <s v="AD. DIRECTA"/>
    <s v="VIALSUR"/>
    <n v="4.8"/>
    <m/>
    <n v="512"/>
    <s v="Limpieza de derrumbes a máquina"/>
    <s v="m³."/>
    <n v="1.46"/>
    <n v="840"/>
    <m/>
    <d v="2014-03-21T00:00:00"/>
    <d v="2014-05-31T00:00:00"/>
    <s v="EJECUTADO"/>
    <n v="1226.4000000000001"/>
  </r>
  <r>
    <m/>
    <m/>
    <s v="MANTENIMIENTO"/>
    <x v="103"/>
    <x v="34"/>
    <s v="ZONA 3"/>
    <x v="14"/>
    <x v="43"/>
    <s v="AD. DIRECTA"/>
    <s v="VIALSUR"/>
    <m/>
    <m/>
    <m/>
    <s v="Limpieza de derrumbes a máquina"/>
    <s v="m³."/>
    <n v="1.46"/>
    <n v="1440"/>
    <m/>
    <d v="2014-03-21T00:00:00"/>
    <d v="2014-05-31T00:00:00"/>
    <s v="EJECUTADO"/>
    <n v="2102.4"/>
  </r>
  <r>
    <m/>
    <m/>
    <s v="MANTENIMIENTO"/>
    <x v="104"/>
    <x v="91"/>
    <s v="ZONA3"/>
    <x v="14"/>
    <x v="43"/>
    <s v="AD. DIRECTA"/>
    <s v="VIALSUR"/>
    <n v="4.2"/>
    <n v="3.44"/>
    <n v="639"/>
    <s v="Rasanteo y conformacion de cunetas con motoniveladora"/>
    <s v="m²."/>
    <n v="0.08"/>
    <n v="18900"/>
    <m/>
    <d v="2014-02-01T00:00:00"/>
    <d v="2014-02-03T00:00:00"/>
    <s v="EJECUTADO"/>
    <n v="1512"/>
  </r>
  <r>
    <m/>
    <m/>
    <s v="MANTENIMIENTO"/>
    <x v="105"/>
    <x v="92"/>
    <s v="ZONA4"/>
    <x v="16"/>
    <x v="45"/>
    <s v="AD. DIRECTA"/>
    <s v="VIALSUR"/>
    <n v="18"/>
    <n v="12.73"/>
    <n v="716"/>
    <s v="Rasanteo y conformacion de cunetas con motoniveladora"/>
    <s v="m2"/>
    <n v="0.08"/>
    <n v="70000"/>
    <m/>
    <d v="2014-01-01T00:00:00"/>
    <d v="2014-02-28T00:00:00"/>
    <s v="EJECUTADO"/>
    <n v="5600"/>
  </r>
  <r>
    <m/>
    <m/>
    <s v="MEJORAMIENTO"/>
    <x v="1"/>
    <x v="92"/>
    <s v="ZONA4"/>
    <x v="16"/>
    <x v="45"/>
    <s v="AD. DIRECTA"/>
    <s v="VIALSUR"/>
    <m/>
    <n v="3.18"/>
    <n v="0"/>
    <s v="Mejoramiento de la subrasante con suelo seleccionado"/>
    <s v="m3"/>
    <n v="5.92"/>
    <n v="3500"/>
    <m/>
    <d v="2014-01-01T00:00:00"/>
    <d v="2014-02-28T00:00:00"/>
    <s v="EJECUTADO"/>
    <n v="20720"/>
  </r>
  <r>
    <m/>
    <m/>
    <s v="MEJORAMIENTO"/>
    <x v="1"/>
    <x v="92"/>
    <s v="ZONA4"/>
    <x v="16"/>
    <x v="45"/>
    <s v="AD. DIRECTA"/>
    <s v="VIALSUR"/>
    <m/>
    <m/>
    <n v="0"/>
    <s v="Transporte de material de mejoramiento, base , sub-base "/>
    <s v="M3-KM"/>
    <n v="0.3"/>
    <n v="28000"/>
    <m/>
    <d v="2014-01-01T00:00:00"/>
    <d v="2014-02-28T00:00:00"/>
    <s v="EJECUTADO"/>
    <n v="8400"/>
  </r>
  <r>
    <m/>
    <m/>
    <s v="MEJORAMIENTO"/>
    <x v="1"/>
    <x v="92"/>
    <s v="ZONA4"/>
    <x v="16"/>
    <x v="45"/>
    <s v="AD. DIRECTA"/>
    <s v="VIALSUR"/>
    <m/>
    <m/>
    <n v="0"/>
    <s v="Explotación de material de mejoramiento"/>
    <s v="m3"/>
    <n v="2.54"/>
    <n v="3500"/>
    <m/>
    <d v="2014-01-01T00:00:00"/>
    <d v="2014-02-28T00:00:00"/>
    <s v="EJECUTADO"/>
    <n v="8890"/>
  </r>
  <r>
    <m/>
    <m/>
    <s v="MANTENIMIENTO"/>
    <x v="106"/>
    <x v="93"/>
    <s v="ZONA4"/>
    <x v="16"/>
    <x v="46"/>
    <s v="AD. DIRECTA"/>
    <s v="VIALSUR"/>
    <n v="12"/>
    <n v="13.1"/>
    <n v="2132"/>
    <s v="Rasanteo y conformacion de cunetas con motoniveladora"/>
    <s v="m2"/>
    <n v="0.08"/>
    <n v="72000"/>
    <m/>
    <d v="2014-01-01T00:00:00"/>
    <d v="2014-01-31T00:00:00"/>
    <s v="EJECUTADO"/>
    <n v="5760"/>
  </r>
  <r>
    <m/>
    <m/>
    <s v="MEJORAMIENTO"/>
    <x v="1"/>
    <x v="93"/>
    <s v="ZONA4"/>
    <x v="16"/>
    <x v="46"/>
    <s v="AD. DIRECTA"/>
    <s v="VIALSUR"/>
    <m/>
    <m/>
    <n v="0"/>
    <s v="Excavación sin clasificar a máquina"/>
    <s v="m3"/>
    <n v="1.62"/>
    <n v="64"/>
    <m/>
    <d v="2014-01-01T00:00:00"/>
    <d v="2014-01-31T00:00:00"/>
    <s v="EJECUTADO"/>
    <n v="103.68"/>
  </r>
  <r>
    <m/>
    <m/>
    <s v="MANTENIMIENTO"/>
    <x v="107"/>
    <x v="94"/>
    <s v="ZONA4"/>
    <x v="17"/>
    <x v="47"/>
    <s v="AD. DIRECTA"/>
    <s v="VIALSUR"/>
    <n v="3"/>
    <n v="1.9"/>
    <n v="2611"/>
    <s v="Reconformación de la rasante"/>
    <s v="m2"/>
    <n v="0.35"/>
    <n v="10450"/>
    <m/>
    <d v="2014-01-01T00:00:00"/>
    <d v="2014-01-31T00:00:00"/>
    <s v="EJECUTADO"/>
    <n v="3657.5"/>
  </r>
  <r>
    <m/>
    <m/>
    <s v="MEJORAMIENTO"/>
    <x v="1"/>
    <x v="94"/>
    <s v="ZONA4"/>
    <x v="17"/>
    <x v="47"/>
    <s v="AD. DIRECTA"/>
    <s v="VIALSUR"/>
    <m/>
    <n v="0.11"/>
    <n v="0"/>
    <s v="Mejoramiento de la subrasante con suelo seleccionado"/>
    <s v="m3"/>
    <n v="5.92"/>
    <n v="118"/>
    <m/>
    <d v="2014-01-01T00:00:00"/>
    <d v="2014-01-31T00:00:00"/>
    <s v="EJECUTADO"/>
    <n v="698.56"/>
  </r>
  <r>
    <m/>
    <m/>
    <s v="MEJORAMIENTO"/>
    <x v="1"/>
    <x v="94"/>
    <s v="ZONA4"/>
    <x v="17"/>
    <x v="47"/>
    <s v="AD. DIRECTA"/>
    <s v="VIALSUR"/>
    <m/>
    <m/>
    <n v="0"/>
    <s v="Transporte de material de mejoramiento, base , sub-base "/>
    <s v="M3-KM"/>
    <n v="0.3"/>
    <n v="1416"/>
    <m/>
    <d v="2014-01-01T00:00:00"/>
    <d v="2014-01-31T00:00:00"/>
    <s v="EJECUTADO"/>
    <n v="424.8"/>
  </r>
  <r>
    <m/>
    <m/>
    <s v="MANTENIMIENTO"/>
    <x v="108"/>
    <x v="95"/>
    <s v="ZONA4"/>
    <x v="17"/>
    <x v="47"/>
    <s v="AD. DIRECTA"/>
    <s v="VIALSUR"/>
    <n v="3"/>
    <n v="3.28"/>
    <n v="2611"/>
    <s v="Reconformación de la rasante"/>
    <s v="m2"/>
    <n v="0.35"/>
    <n v="18000"/>
    <m/>
    <d v="2014-01-01T00:00:00"/>
    <d v="2014-01-31T00:00:00"/>
    <s v="EJECUTADO"/>
    <n v="6300"/>
  </r>
  <r>
    <m/>
    <m/>
    <s v="MEJORAMIENTO"/>
    <x v="1"/>
    <x v="95"/>
    <s v="ZONA4"/>
    <x v="17"/>
    <x v="47"/>
    <s v="AD. DIRECTA"/>
    <s v="VIALSUR"/>
    <m/>
    <m/>
    <n v="0"/>
    <s v="Excavación sin clasificar a máquina"/>
    <s v="m3"/>
    <n v="1.62"/>
    <n v="9000"/>
    <m/>
    <d v="2014-01-01T00:00:00"/>
    <d v="2014-01-31T00:00:00"/>
    <s v="EJECUTADO"/>
    <n v="14580"/>
  </r>
  <r>
    <m/>
    <m/>
    <s v="MANTENIMIENTO"/>
    <x v="109"/>
    <x v="96"/>
    <s v="ZONA4"/>
    <x v="17"/>
    <x v="48"/>
    <s v="AD. DIRECTA"/>
    <s v="VIALSUR"/>
    <n v="26"/>
    <n v="29.1"/>
    <n v="449"/>
    <s v="Reconformación de la rasante"/>
    <s v="m2"/>
    <n v="0.35"/>
    <n v="160002"/>
    <m/>
    <d v="2014-01-01T00:00:00"/>
    <d v="2014-02-28T00:00:00"/>
    <s v="EJECUTADO"/>
    <n v="56000.7"/>
  </r>
  <r>
    <m/>
    <m/>
    <s v="MEJORAMIENTO"/>
    <x v="1"/>
    <x v="96"/>
    <s v="ZONA4"/>
    <x v="17"/>
    <x v="48"/>
    <s v="AD. DIRECTA"/>
    <s v="VIALSUR"/>
    <m/>
    <n v="4.47"/>
    <n v="0"/>
    <s v="Mejoramiento de la subrasante con suelo seleccionado"/>
    <s v="m3"/>
    <n v="5.92"/>
    <n v="4920"/>
    <m/>
    <d v="2014-01-01T00:00:00"/>
    <d v="2014-02-28T00:00:00"/>
    <s v="EJECUTADO"/>
    <n v="29126.400000000001"/>
  </r>
  <r>
    <m/>
    <m/>
    <s v="MEJORAMIENTO"/>
    <x v="1"/>
    <x v="96"/>
    <s v="ZONA4"/>
    <x v="17"/>
    <x v="48"/>
    <s v="AD. DIRECTA"/>
    <s v="VIALSUR"/>
    <m/>
    <m/>
    <n v="0"/>
    <s v="Transporte de material de mejoramiento, base , sub-base "/>
    <s v="M3-KM"/>
    <n v="0.3"/>
    <n v="40200"/>
    <m/>
    <d v="2014-01-01T00:00:00"/>
    <d v="2014-02-28T00:00:00"/>
    <s v="EJECUTADO"/>
    <n v="12060"/>
  </r>
  <r>
    <m/>
    <m/>
    <s v="MEJORAMIENTO"/>
    <x v="1"/>
    <x v="96"/>
    <s v="ZONA4"/>
    <x v="17"/>
    <x v="48"/>
    <s v="AD. DIRECTA"/>
    <s v="VIALSUR"/>
    <m/>
    <m/>
    <n v="0"/>
    <s v="Excavación sin clasificar a máquina"/>
    <s v="m3"/>
    <n v="1.62"/>
    <n v="4752"/>
    <m/>
    <d v="2014-02-03T00:00:00"/>
    <d v="2014-04-15T00:00:00"/>
    <s v="EJECUTADO"/>
    <n v="7698.24"/>
  </r>
  <r>
    <m/>
    <m/>
    <s v="MANTENIMIENTO"/>
    <x v="110"/>
    <x v="97"/>
    <s v="ZONA4"/>
    <x v="17"/>
    <x v="49"/>
    <s v="CONVENIO"/>
    <s v="VIALSUR"/>
    <n v="180"/>
    <m/>
    <n v="20662"/>
    <s v="Cargada de material inadecuado a máquina"/>
    <s v="m3"/>
    <n v="0.6"/>
    <m/>
    <m/>
    <d v="2014-01-01T00:00:00"/>
    <d v="2014-01-31T00:00:00"/>
    <s v="EJECUTADO"/>
    <n v="0"/>
  </r>
  <r>
    <m/>
    <m/>
    <s v="MEJORAMIENTO"/>
    <x v="1"/>
    <x v="97"/>
    <s v="ZONA4"/>
    <x v="17"/>
    <x v="49"/>
    <s v="CONVENIO"/>
    <s v="VIALSUR"/>
    <m/>
    <m/>
    <n v="0"/>
    <s v="Transporte de material de mejoramiento, distancia 0 a 5,00 Km"/>
    <s v="m3"/>
    <n v="0.81"/>
    <n v="297.60000000000002"/>
    <m/>
    <d v="2014-01-01T00:00:00"/>
    <d v="2014-02-28T00:00:00"/>
    <s v="EJECUTADO"/>
    <n v="241.06"/>
  </r>
  <r>
    <m/>
    <m/>
    <s v="MANTENIMIENTO"/>
    <x v="1"/>
    <x v="97"/>
    <s v="ZONA4"/>
    <x v="17"/>
    <x v="49"/>
    <s v="CONVENIO"/>
    <s v="VIALSUR"/>
    <m/>
    <m/>
    <n v="0"/>
    <s v="Alquiler de excavadora"/>
    <s v="Horas"/>
    <n v="45"/>
    <m/>
    <m/>
    <d v="2014-01-01T00:00:00"/>
    <d v="2014-01-31T00:00:00"/>
    <s v="EJECUTADO"/>
    <n v="0"/>
  </r>
  <r>
    <m/>
    <m/>
    <s v="MANTENIMIENTO"/>
    <x v="1"/>
    <x v="97"/>
    <s v="ZONA4"/>
    <x v="17"/>
    <x v="49"/>
    <s v="CONVENIO"/>
    <s v="VIALSUR"/>
    <m/>
    <n v="0"/>
    <n v="0"/>
    <s v="Acabado de Obra Básica existente"/>
    <s v="Horas"/>
    <n v="50.6"/>
    <m/>
    <m/>
    <d v="2014-01-01T00:00:00"/>
    <d v="2014-02-28T00:00:00"/>
    <s v="EJECUTADO"/>
    <n v="0"/>
  </r>
  <r>
    <m/>
    <m/>
    <s v="SEÑALIZACION"/>
    <x v="1"/>
    <x v="97"/>
    <s v="ZONA4"/>
    <x v="17"/>
    <x v="49"/>
    <s v="CONVENIO"/>
    <s v="VIALSUR"/>
    <m/>
    <m/>
    <n v="0"/>
    <s v="Letrero de identificación"/>
    <s v="UNIDAD"/>
    <n v="704.58"/>
    <m/>
    <m/>
    <d v="2014-01-01T00:00:00"/>
    <d v="2014-01-31T00:00:00"/>
    <s v="EJECUTADO"/>
    <n v="0"/>
  </r>
  <r>
    <m/>
    <m/>
    <s v="MEJORAMIENTO"/>
    <x v="111"/>
    <x v="98"/>
    <s v="ZONA4"/>
    <x v="17"/>
    <x v="49"/>
    <s v="CONTRATO"/>
    <s v="CIA. JARAMILLO"/>
    <m/>
    <m/>
    <n v="0"/>
    <s v="Transporte de material de mejoramiento, distancia mayor a 5,00 Km"/>
    <s v="M3-KM"/>
    <n v="0.24"/>
    <n v="86140.05"/>
    <m/>
    <d v="2014-01-01T00:00:00"/>
    <d v="2014-05-31T00:00:00"/>
    <s v="EJECUTADO"/>
    <n v="20673.61"/>
  </r>
  <r>
    <s v="18"/>
    <s v="EJECUTADO"/>
    <s v="ASFALTO"/>
    <x v="112"/>
    <x v="99"/>
    <s v="ZONA4"/>
    <x v="17"/>
    <x v="47"/>
    <s v="CONTRATO"/>
    <s v="VIALSUR"/>
    <n v="4"/>
    <n v="6.25"/>
    <n v="2611"/>
    <s v="Asfalto para riego de imprimación"/>
    <s v="Lit."/>
    <n v="0.6"/>
    <n v="54000"/>
    <m/>
    <d v="2014-01-01T00:00:00"/>
    <d v="2014-04-30T00:00:00"/>
    <s v="EJECUTADO"/>
    <n v="32400"/>
  </r>
  <r>
    <m/>
    <m/>
    <s v="HORMIGONES"/>
    <x v="1"/>
    <x v="99"/>
    <s v="ZONA4"/>
    <x v="17"/>
    <x v="47"/>
    <s v="CONTRATO"/>
    <s v="VIALSUR"/>
    <m/>
    <m/>
    <n v="0"/>
    <s v="Hormigón estructural Clase C f´c=180 kg/cm2 , cunetas y canales"/>
    <s v="m3"/>
    <n v="130.65"/>
    <n v="1127"/>
    <m/>
    <d v="2014-03-01T00:00:00"/>
    <d v="2014-04-30T00:00:00"/>
    <s v="EJECUTADO"/>
    <n v="147242.54999999999"/>
  </r>
  <r>
    <m/>
    <m/>
    <s v="SEÑALIZACION"/>
    <x v="1"/>
    <x v="99"/>
    <s v="ZONA4"/>
    <x v="17"/>
    <x v="47"/>
    <s v="CONTRATO"/>
    <s v="VIALSUR"/>
    <m/>
    <n v="2.94"/>
    <n v="0"/>
    <s v="Señalización Horizontal"/>
    <s v="ml"/>
    <n v="0.49"/>
    <n v="11751"/>
    <m/>
    <d v="2014-06-01T00:00:00"/>
    <d v="2014-07-31T00:00:00"/>
    <s v="EJECUTADO"/>
    <n v="5757.99"/>
  </r>
  <r>
    <m/>
    <m/>
    <s v="SEÑALIZACION"/>
    <x v="1"/>
    <x v="99"/>
    <s v="ZONA4"/>
    <x v="17"/>
    <x v="47"/>
    <s v="CONTRATO"/>
    <s v="VIALSUR"/>
    <m/>
    <m/>
    <n v="0"/>
    <s v="Tachas Reflectivas"/>
    <s v="UNIDAD"/>
    <n v="8.33"/>
    <n v="450"/>
    <m/>
    <d v="2014-06-01T00:00:00"/>
    <d v="2014-07-31T00:00:00"/>
    <s v="EJECUTADO"/>
    <n v="3748.5"/>
  </r>
  <r>
    <m/>
    <m/>
    <s v="SEÑALIZACION"/>
    <x v="1"/>
    <x v="99"/>
    <s v="ZONA4"/>
    <x v="17"/>
    <x v="47"/>
    <s v="CONTRATO"/>
    <s v="VIALSUR"/>
    <m/>
    <m/>
    <n v="0"/>
    <s v="Barandas Reflectivas"/>
    <s v="UNIDAD"/>
    <n v="10"/>
    <n v="471"/>
    <m/>
    <d v="2014-06-01T00:00:00"/>
    <d v="2014-07-31T00:00:00"/>
    <s v="EJECUTADO"/>
    <n v="4710"/>
  </r>
  <r>
    <m/>
    <m/>
    <s v="ASFALTO"/>
    <x v="1"/>
    <x v="99"/>
    <s v="ZONA4"/>
    <x v="17"/>
    <x v="47"/>
    <s v="CONTRATO"/>
    <s v="VIALSUR"/>
    <m/>
    <n v="4.3099999999999996"/>
    <n v="0"/>
    <s v="Doble tratamiento superficial bituminoso"/>
    <s v="m2"/>
    <n v="2.79"/>
    <n v="31000"/>
    <m/>
    <d v="2014-01-01T00:00:00"/>
    <d v="2014-04-30T00:00:00"/>
    <s v="EJECUTADO"/>
    <n v="86490"/>
  </r>
  <r>
    <m/>
    <m/>
    <s v="MANTENIMIENTO"/>
    <x v="113"/>
    <x v="100"/>
    <s v="ZONA4"/>
    <x v="16"/>
    <x v="50"/>
    <s v="CONTRATO"/>
    <s v="ING. MANUEL PICOITA"/>
    <n v="100"/>
    <n v="49.98"/>
    <n v="1258"/>
    <s v="Rasanteo y conformacion de cunetas con motoniveladora"/>
    <s v="m2"/>
    <n v="0.08"/>
    <n v="274850"/>
    <m/>
    <d v="2014-01-01T00:00:00"/>
    <d v="2014-03-31T00:00:00"/>
    <s v="EJECUTADO"/>
    <n v="21988"/>
  </r>
  <r>
    <s v="19"/>
    <s v="EJECUTADO"/>
    <s v="HORMIGONES"/>
    <x v="114"/>
    <x v="101"/>
    <s v="ZONA4"/>
    <x v="17"/>
    <x v="49"/>
    <s v="CONTRATO"/>
    <s v="ING. MAXIMO CASTRO"/>
    <m/>
    <m/>
    <n v="0"/>
    <s v="Hormigon coclopeo F´c 180 Kg / cm 2( 60%)H. Simple"/>
    <s v="m3"/>
    <n v="135.74"/>
    <n v="2063.86"/>
    <m/>
    <d v="2014-03-01T00:00:00"/>
    <d v="2014-07-31T00:00:00"/>
    <s v="EJECUTADO"/>
    <n v="280148.36"/>
  </r>
  <r>
    <m/>
    <m/>
    <s v="HORMIGONES"/>
    <x v="1"/>
    <x v="101"/>
    <s v="ZONA4"/>
    <x v="17"/>
    <x v="49"/>
    <s v="CONTRATO"/>
    <s v="ING. MAXIMO CASTRO"/>
    <m/>
    <m/>
    <n v="0"/>
    <s v="Hormigón Simple f´c= 180 kg/cm2"/>
    <s v="m3"/>
    <n v="174.39"/>
    <n v="1887.72"/>
    <m/>
    <d v="2014-03-01T00:00:00"/>
    <d v="2014-07-31T00:00:00"/>
    <s v="EJECUTADO"/>
    <n v="329199.49"/>
  </r>
  <r>
    <m/>
    <m/>
    <s v="MANTENIMIENTO"/>
    <x v="1"/>
    <x v="101"/>
    <s v="ZONA4"/>
    <x v="17"/>
    <x v="49"/>
    <s v="CONTRATO"/>
    <s v="ING. MAXIMO CASTRO"/>
    <m/>
    <m/>
    <n v="0"/>
    <s v="Excavación sin clasificar no incluye desalojo"/>
    <s v="m3"/>
    <n v="1.62"/>
    <n v="66.98"/>
    <m/>
    <d v="2014-03-01T00:00:00"/>
    <d v="2014-07-31T00:00:00"/>
    <s v="EJECUTADO"/>
    <n v="108.51"/>
  </r>
  <r>
    <m/>
    <m/>
    <s v="MEJORAMIENTO"/>
    <x v="1"/>
    <x v="101"/>
    <s v="ZONA4"/>
    <x v="17"/>
    <x v="49"/>
    <s v="CONTRATO"/>
    <s v="ING. MAXIMO CASTRO"/>
    <m/>
    <m/>
    <n v="0"/>
    <s v="Relleno compactado con material de sitio"/>
    <s v="m3"/>
    <n v="8.11"/>
    <n v="22"/>
    <m/>
    <d v="2014-03-01T00:00:00"/>
    <d v="2014-07-31T00:00:00"/>
    <s v="EJECUTADO"/>
    <n v="178.42"/>
  </r>
  <r>
    <m/>
    <m/>
    <s v="MEJORAMIENTO"/>
    <x v="1"/>
    <x v="101"/>
    <s v="ZONA4"/>
    <x v="17"/>
    <x v="49"/>
    <s v="CONTRATO"/>
    <s v="ING. MAXIMO CASTRO"/>
    <m/>
    <m/>
    <n v="0"/>
    <s v="Relleno compactado con material granular"/>
    <s v="m3"/>
    <n v="9.9600000000000009"/>
    <n v="119.31"/>
    <m/>
    <d v="2014-03-01T00:00:00"/>
    <d v="2014-07-31T00:00:00"/>
    <s v="EJECUTADO"/>
    <n v="1188.33"/>
  </r>
  <r>
    <m/>
    <m/>
    <m/>
    <x v="1"/>
    <x v="101"/>
    <s v="ZONA4"/>
    <x v="17"/>
    <x v="49"/>
    <s v="CONTRATO"/>
    <s v="ING. MAXIMO CASTRO"/>
    <m/>
    <m/>
    <n v="0"/>
    <s v="Hormigón Estructural f´c=210 kg/cm2 I/E"/>
    <s v="m3"/>
    <n v="198.68"/>
    <n v="21.71"/>
    <m/>
    <d v="2014-03-01T00:00:00"/>
    <d v="2014-07-31T00:00:00"/>
    <s v="EJECUTADO"/>
    <n v="4313.34"/>
  </r>
  <r>
    <m/>
    <m/>
    <s v="MEJORAMIENTO"/>
    <x v="1"/>
    <x v="101"/>
    <s v="ZONA4"/>
    <x v="17"/>
    <x v="49"/>
    <s v="CONTRATO"/>
    <s v="ING. MAXIMO CASTRO"/>
    <m/>
    <m/>
    <n v="0"/>
    <s v="Excavación para cunetas y encauzamiento a mano"/>
    <s v="m3"/>
    <n v="9.5"/>
    <n v="7472.04"/>
    <m/>
    <d v="2014-03-01T00:00:00"/>
    <d v="2014-07-31T00:00:00"/>
    <s v="EJECUTADO"/>
    <n v="70984.38"/>
  </r>
  <r>
    <m/>
    <m/>
    <s v="MEJORAMIENTO"/>
    <x v="1"/>
    <x v="101"/>
    <s v="ZONA4"/>
    <x v="17"/>
    <x v="49"/>
    <s v="CONTRATO"/>
    <s v="ING. MAXIMO CASTRO"/>
    <m/>
    <m/>
    <n v="0"/>
    <s v="Excavación de suelo a mano cimientos de Piedra"/>
    <s v="m3"/>
    <n v="9.5"/>
    <n v="220.3"/>
    <m/>
    <d v="2014-03-01T00:00:00"/>
    <d v="2014-07-31T00:00:00"/>
    <s v="EJECUTADO"/>
    <n v="2092.85"/>
  </r>
  <r>
    <m/>
    <m/>
    <s v="MEJORAMIENTO"/>
    <x v="1"/>
    <x v="101"/>
    <s v="ZONA4"/>
    <x v="17"/>
    <x v="49"/>
    <s v="CONTRATO"/>
    <s v="ING. MAXIMO CASTRO"/>
    <m/>
    <m/>
    <n v="0"/>
    <s v="Relleno compactado"/>
    <s v="m3"/>
    <n v="6.44"/>
    <n v="1308.77"/>
    <m/>
    <d v="2014-04-01T00:00:00"/>
    <d v="2014-05-31T00:00:00"/>
    <s v="EJECUTADO"/>
    <n v="8428.48"/>
  </r>
  <r>
    <m/>
    <m/>
    <s v="MEJORAMIENTO"/>
    <x v="1"/>
    <x v="101"/>
    <s v="ZONA4"/>
    <x v="17"/>
    <x v="49"/>
    <s v="CONTRATO"/>
    <s v="ING. MAXIMO CASTRO"/>
    <m/>
    <m/>
    <n v="0"/>
    <s v="Transporte de material mayor a 5 km"/>
    <s v="M3-KM"/>
    <n v="0.3"/>
    <n v="38988.269999999997"/>
    <m/>
    <d v="2014-07-01T00:00:00"/>
    <d v="2014-07-31T00:00:00"/>
    <s v="EJECUTADO"/>
    <n v="11696.48"/>
  </r>
  <r>
    <m/>
    <m/>
    <s v="HORMIGONES"/>
    <x v="1"/>
    <x v="101"/>
    <s v="ZONA4"/>
    <x v="17"/>
    <x v="49"/>
    <s v="CONTRATO"/>
    <s v="ING. MAXIMO CASTRO"/>
    <m/>
    <m/>
    <n v="0"/>
    <s v="Hormigón estructural"/>
    <s v="m3"/>
    <n v="194.99"/>
    <n v="24.47"/>
    <m/>
    <d v="2014-07-01T00:00:00"/>
    <d v="2014-07-31T00:00:00"/>
    <s v="EJECUTADO"/>
    <n v="4771.41"/>
  </r>
  <r>
    <m/>
    <m/>
    <s v="HORMIGONES"/>
    <x v="1"/>
    <x v="101"/>
    <s v="ZONA4"/>
    <x v="17"/>
    <x v="49"/>
    <s v="CONTRATO"/>
    <s v="ING. MAXIMO CASTRO"/>
    <m/>
    <m/>
    <n v="0"/>
    <s v="Acero refuerzo fy= 4200 kg/cm2 ( Suminostro y colocación )"/>
    <s v="kg"/>
    <n v="2.5299999999999998"/>
    <n v="4633.32"/>
    <m/>
    <d v="2014-07-01T00:00:00"/>
    <d v="2014-07-31T00:00:00"/>
    <s v="EJECUTADO"/>
    <n v="11722.3"/>
  </r>
  <r>
    <m/>
    <m/>
    <s v="MEJORAMIENTO"/>
    <x v="1"/>
    <x v="34"/>
    <s v="ZONA4"/>
    <x v="17"/>
    <x v="49"/>
    <s v="CONTRATO"/>
    <s v="ING. MAXIMO CASTRO"/>
    <m/>
    <m/>
    <n v="0"/>
    <s v="Replanteo y Nivelación con aparatos ( Edificaciones) O.T. #2"/>
    <s v="m2"/>
    <n v="0.83"/>
    <n v="1122.57"/>
    <m/>
    <d v="2014-07-01T00:00:00"/>
    <d v="2014-07-31T00:00:00"/>
    <s v="EJECUTADO"/>
    <n v="931.73"/>
  </r>
  <r>
    <m/>
    <m/>
    <s v="MEJORAMIENTO"/>
    <x v="1"/>
    <x v="34"/>
    <s v="ZONA4"/>
    <x v="17"/>
    <x v="49"/>
    <s v="CONTRATO"/>
    <s v="ING. MAXIMO CASTRO"/>
    <m/>
    <m/>
    <n v="0"/>
    <s v="Replanteo y Nivelación con aparatos ( Edificaciones) O.T. #2"/>
    <s v="KM"/>
    <n v="548.87"/>
    <n v="4.82"/>
    <m/>
    <d v="2014-07-01T00:00:00"/>
    <d v="2014-07-31T00:00:00"/>
    <s v="EJECUTADO"/>
    <n v="2645.55"/>
  </r>
  <r>
    <m/>
    <m/>
    <s v="MANTENIMIENTO"/>
    <x v="1"/>
    <x v="34"/>
    <s v="ZONA4"/>
    <x v="17"/>
    <x v="49"/>
    <s v="CONTRATO"/>
    <s v="ING. MAXIMO CASTRO"/>
    <m/>
    <m/>
    <n v="0"/>
    <s v="Rosa a Mano"/>
    <s v="Ha"/>
    <n v="903"/>
    <n v="2.4300000000000002"/>
    <m/>
    <d v="2014-07-01T00:00:00"/>
    <d v="2014-07-31T00:00:00"/>
    <s v="EJECUTADO"/>
    <n v="2194.29"/>
  </r>
  <r>
    <m/>
    <m/>
    <s v="HORMIGONES"/>
    <x v="1"/>
    <x v="34"/>
    <s v="ZONA4"/>
    <x v="17"/>
    <x v="49"/>
    <s v="CONTRATO"/>
    <s v="ING. MAXIMO CASTRO"/>
    <m/>
    <m/>
    <n v="0"/>
    <s v="Acero refuerzo fy= 4200 kg/cm2 ( Suminostro y colocación )"/>
    <s v="kg"/>
    <n v="903"/>
    <n v="3633.05"/>
    <m/>
    <d v="2014-07-01T00:00:00"/>
    <d v="2014-07-31T00:00:00"/>
    <s v="EJECUTADO"/>
    <n v="3280644.15"/>
  </r>
  <r>
    <m/>
    <m/>
    <s v="SEÑALIZACION"/>
    <x v="1"/>
    <x v="34"/>
    <s v="ZONA4"/>
    <x v="17"/>
    <x v="49"/>
    <s v="CONTRATO"/>
    <s v="ING. MAXIMO CASTRO"/>
    <m/>
    <m/>
    <n v="0"/>
    <s v="Pintura de Pavimento ancho 10 cm"/>
    <s v="m2"/>
    <n v="0.53"/>
    <n v="18907.12"/>
    <m/>
    <d v="2014-07-01T00:00:00"/>
    <d v="2014-07-31T00:00:00"/>
    <s v="EJECUTADO"/>
    <n v="10020.77"/>
  </r>
  <r>
    <m/>
    <m/>
    <s v="SEÑALIZACION"/>
    <x v="1"/>
    <x v="101"/>
    <s v="ZONA4"/>
    <x v="17"/>
    <x v="49"/>
    <s v="CONTRATO"/>
    <s v="ING. MAXIMO CASTRO"/>
    <m/>
    <m/>
    <n v="0"/>
    <s v="Letrero de señalización de 2.4 x 7.48 "/>
    <s v="UNIDAD"/>
    <n v="913.74"/>
    <n v="102"/>
    <m/>
    <d v="2014-04-01T00:00:00"/>
    <d v="2014-04-30T00:00:00"/>
    <s v="EJECUTADO"/>
    <n v="93201.48"/>
  </r>
  <r>
    <m/>
    <m/>
    <s v="MANTENIMIENTO"/>
    <x v="115"/>
    <x v="102"/>
    <s v="ZONA4"/>
    <x v="16"/>
    <x v="51"/>
    <s v="AD. DIRECTA"/>
    <s v="VIALSUR"/>
    <m/>
    <m/>
    <n v="0"/>
    <s v="Limpieza de derrumbes"/>
    <s v="m3"/>
    <n v="1.46"/>
    <n v="9960"/>
    <m/>
    <d v="2014-03-01T00:00:00"/>
    <d v="2014-04-30T00:00:00"/>
    <s v="EJECUTADO"/>
    <n v="14541.6"/>
  </r>
  <r>
    <m/>
    <m/>
    <s v="MANTENIMIENTO"/>
    <x v="1"/>
    <x v="102"/>
    <s v="ZONA4"/>
    <x v="16"/>
    <x v="51"/>
    <s v="AD. DIRECTA"/>
    <s v="VIALSUR"/>
    <m/>
    <m/>
    <n v="0"/>
    <s v="Relleno con material granular"/>
    <s v="m3"/>
    <n v="9.9600000000000009"/>
    <n v="800"/>
    <m/>
    <d v="2014-03-01T00:00:00"/>
    <d v="2014-04-30T00:00:00"/>
    <s v="EJECUTADO"/>
    <n v="7968"/>
  </r>
  <r>
    <m/>
    <m/>
    <s v="MANTENIMIENTO"/>
    <x v="116"/>
    <x v="103"/>
    <s v="ZONA4"/>
    <x v="17"/>
    <x v="49"/>
    <s v="AD. DIRECTA"/>
    <s v="VIALSUR"/>
    <m/>
    <m/>
    <n v="0"/>
    <s v="Limpieza de derrumbes"/>
    <s v="m3"/>
    <n v="1.46"/>
    <n v="14400"/>
    <m/>
    <d v="2014-03-01T00:00:00"/>
    <d v="2014-03-31T00:00:00"/>
    <s v="EJECUTADO"/>
    <n v="21024"/>
  </r>
  <r>
    <m/>
    <m/>
    <s v="MANTENIMIENTO"/>
    <x v="117"/>
    <x v="104"/>
    <s v="ZONA4"/>
    <x v="17"/>
    <x v="49"/>
    <s v="AD. DIRECTA"/>
    <s v="VIALSUR"/>
    <m/>
    <m/>
    <n v="0"/>
    <s v="Limpieza de derrumbes"/>
    <s v="m3"/>
    <n v="1.46"/>
    <n v="5000"/>
    <m/>
    <d v="2014-03-01T00:00:00"/>
    <d v="2014-04-30T00:00:00"/>
    <s v="EJECUTADO"/>
    <n v="7300"/>
  </r>
  <r>
    <m/>
    <m/>
    <s v="MANTENIMIENTO"/>
    <x v="1"/>
    <x v="104"/>
    <s v="ZONA4"/>
    <x v="17"/>
    <x v="49"/>
    <s v="AD. DIRECTA"/>
    <s v="VIALSUR"/>
    <m/>
    <m/>
    <n v="0"/>
    <s v="Relleno  Compactado"/>
    <s v="m3"/>
    <n v="8.11"/>
    <n v="540"/>
    <m/>
    <d v="2014-04-01T00:00:00"/>
    <d v="2014-04-30T00:00:00"/>
    <s v="EJECUTADO"/>
    <n v="4379.3999999999996"/>
  </r>
  <r>
    <m/>
    <m/>
    <s v="MANTENIMIENTO"/>
    <x v="1"/>
    <x v="104"/>
    <s v="ZONA4"/>
    <x v="17"/>
    <x v="49"/>
    <s v="AD. DIRECTA"/>
    <s v="VIALSUR"/>
    <m/>
    <m/>
    <n v="0"/>
    <s v="Rasanteo de la via"/>
    <s v="m2"/>
    <n v="0.08"/>
    <n v="42000"/>
    <m/>
    <d v="2014-04-01T00:00:00"/>
    <d v="2014-04-30T00:00:00"/>
    <s v="EJECUTADO"/>
    <n v="3360"/>
  </r>
  <r>
    <m/>
    <m/>
    <s v="MANTENIMIENTO"/>
    <x v="1"/>
    <x v="104"/>
    <s v="ZONA4"/>
    <x v="17"/>
    <x v="49"/>
    <s v="AD. DIRECTA"/>
    <s v="VIALSUR"/>
    <m/>
    <m/>
    <n v="0"/>
    <s v="Reconformación de la vía con tractor, corrección de pendiente y rasanteo de la calzada"/>
    <s v="m2"/>
    <n v="0.12"/>
    <n v="6000"/>
    <m/>
    <d v="2014-04-01T00:00:00"/>
    <d v="2014-04-30T00:00:00"/>
    <s v="EJECUTADO"/>
    <n v="720"/>
  </r>
  <r>
    <m/>
    <m/>
    <s v="MANTENIMIENTO"/>
    <x v="118"/>
    <x v="105"/>
    <s v="ZONA4"/>
    <x v="17"/>
    <x v="49"/>
    <s v="AD. DIRECTA"/>
    <s v="VIALSUR"/>
    <m/>
    <m/>
    <n v="0"/>
    <s v="Limpieza de derrumbes"/>
    <s v="m3"/>
    <n v="1.46"/>
    <n v="864"/>
    <m/>
    <d v="2014-03-01T00:00:00"/>
    <d v="2014-04-30T00:00:00"/>
    <s v="EJECUTADO"/>
    <n v="1261.44"/>
  </r>
  <r>
    <m/>
    <m/>
    <s v="MANTENIMIENTO"/>
    <x v="119"/>
    <x v="106"/>
    <s v="ZONA4"/>
    <x v="17"/>
    <x v="49"/>
    <s v="AD. DIRECTA"/>
    <s v="VIALSUR"/>
    <n v="5.8"/>
    <n v="9.6"/>
    <n v="20662"/>
    <s v="Reconformación de la rasante"/>
    <s v="m2"/>
    <n v="0.35"/>
    <n v="52800"/>
    <m/>
    <d v="2014-03-01T00:00:00"/>
    <d v="2014-04-30T00:00:00"/>
    <s v="EJECUTADO"/>
    <n v="18480"/>
  </r>
  <r>
    <m/>
    <m/>
    <s v="MEJORAMIENTO"/>
    <x v="1"/>
    <x v="106"/>
    <s v="ZONA4"/>
    <x v="17"/>
    <x v="49"/>
    <s v="AD. DIRECTA"/>
    <s v="VIALSUR"/>
    <m/>
    <n v="3.27"/>
    <n v="0"/>
    <s v="Mejoramiento de la subrasante con suelo seleccionado"/>
    <s v="m3"/>
    <n v="5.92"/>
    <n v="3600"/>
    <m/>
    <d v="2014-03-01T00:00:00"/>
    <d v="2014-04-30T00:00:00"/>
    <s v="EJECUTADO"/>
    <n v="21312"/>
  </r>
  <r>
    <m/>
    <m/>
    <s v="MEJORAMIENTO"/>
    <x v="1"/>
    <x v="106"/>
    <s v="ZONA4"/>
    <x v="17"/>
    <x v="49"/>
    <s v="AD. DIRECTA"/>
    <s v="VIALSUR"/>
    <m/>
    <m/>
    <n v="0"/>
    <s v="Relleno con material granular"/>
    <s v="m3"/>
    <n v="9.9600000000000009"/>
    <n v="588"/>
    <m/>
    <d v="2014-03-01T00:00:00"/>
    <d v="2014-03-31T00:00:00"/>
    <s v="EJECUTADO"/>
    <n v="5856.48"/>
  </r>
  <r>
    <m/>
    <m/>
    <s v="MEJORAMIENTO"/>
    <x v="1"/>
    <x v="106"/>
    <s v="ZONA4"/>
    <x v="17"/>
    <x v="49"/>
    <s v="AD. DIRECTA"/>
    <s v="VIALSUR"/>
    <m/>
    <m/>
    <n v="0"/>
    <s v="Transporte de material de mejoramiento, distancia mayor a 5,00 Km"/>
    <s v="M3-KM"/>
    <n v="0.3"/>
    <n v="13432"/>
    <m/>
    <d v="2014-03-01T00:00:00"/>
    <d v="2014-04-30T00:00:00"/>
    <s v="EJECUTADO"/>
    <n v="4029.6"/>
  </r>
  <r>
    <m/>
    <m/>
    <s v="MANTENIMIENTO"/>
    <x v="120"/>
    <x v="107"/>
    <s v="ZONA4"/>
    <x v="17"/>
    <x v="52"/>
    <s v="AD. DIRECTA"/>
    <s v="VIALSUR"/>
    <n v="10.63"/>
    <n v="47.6"/>
    <n v="2613"/>
    <s v="Reconformación de la rasante"/>
    <s v="m2"/>
    <n v="0.35"/>
    <n v="261800"/>
    <m/>
    <d v="2014-03-01T00:00:00"/>
    <d v="2014-06-30T00:00:00"/>
    <s v="EJECUTADO"/>
    <n v="91630"/>
  </r>
  <r>
    <m/>
    <m/>
    <s v="MEJORAMIENTO"/>
    <x v="1"/>
    <x v="107"/>
    <s v="ZONA4"/>
    <x v="17"/>
    <x v="53"/>
    <s v="AD. DIRECTA"/>
    <s v="VIALSUR"/>
    <n v="10.63"/>
    <n v="14.87"/>
    <n v="696"/>
    <s v="Mejoramiento de la subrasante con suelo seleccionado S/T h= 20 cm. Incluye explotada"/>
    <s v="m3"/>
    <n v="5.92"/>
    <n v="16356"/>
    <m/>
    <d v="2014-03-01T00:00:00"/>
    <d v="2014-06-30T00:00:00"/>
    <s v="EJECUTADO"/>
    <n v="96827.520000000004"/>
  </r>
  <r>
    <m/>
    <m/>
    <s v="MEJORAMIENTO"/>
    <x v="1"/>
    <x v="107"/>
    <s v="ZONA4"/>
    <x v="17"/>
    <x v="54"/>
    <s v="AD. DIRECTA"/>
    <s v="VIALSUR"/>
    <n v="10.63"/>
    <m/>
    <n v="1446"/>
    <s v="Transporte de material de mejoramiento, distancia mayor a 5,00 Km"/>
    <s v="M3-KM"/>
    <n v="0.3"/>
    <n v="57760"/>
    <m/>
    <d v="2014-03-01T00:00:00"/>
    <d v="2014-06-30T00:00:00"/>
    <s v="EJECUTADO"/>
    <n v="17328"/>
  </r>
  <r>
    <m/>
    <m/>
    <s v="MEJORAMIENTO"/>
    <x v="1"/>
    <x v="107"/>
    <s v="ZONA4"/>
    <x v="17"/>
    <x v="54"/>
    <s v="AD. DIRECTA"/>
    <s v="VIALSUR"/>
    <m/>
    <m/>
    <m/>
    <s v="Relleno con material granular"/>
    <s v="m3"/>
    <n v="9.9600000000000009"/>
    <n v="400"/>
    <m/>
    <d v="2014-04-01T00:00:00"/>
    <d v="2014-04-30T00:00:00"/>
    <s v="EJECUTADO"/>
    <n v="3984"/>
  </r>
  <r>
    <m/>
    <m/>
    <s v="ALCANTARILLA"/>
    <x v="1"/>
    <x v="107"/>
    <s v="ZONA4"/>
    <x v="17"/>
    <x v="54"/>
    <s v="AD. DIRECTA"/>
    <s v="VIALSUR"/>
    <m/>
    <m/>
    <m/>
    <s v="Alcantarilla de armico D=1.80, e= 2.5 mm"/>
    <s v="ml"/>
    <n v="561.85"/>
    <n v="15"/>
    <m/>
    <d v="2014-04-01T00:00:00"/>
    <d v="2014-04-30T00:00:00"/>
    <s v="EJECUTADO"/>
    <n v="8427.75"/>
  </r>
  <r>
    <m/>
    <m/>
    <s v="MEJORAMIENTO"/>
    <x v="121"/>
    <x v="108"/>
    <s v="ZONA4"/>
    <x v="17"/>
    <x v="55"/>
    <s v="AD. DIRECTA"/>
    <s v="VIALSUR"/>
    <n v="7.5"/>
    <m/>
    <n v="589"/>
    <s v="Enrocado de piedra diámetro mayor a 70 cm."/>
    <s v="m3"/>
    <n v="36.880000000000003"/>
    <n v="700"/>
    <m/>
    <d v="2014-04-01T00:00:00"/>
    <d v="2014-04-30T00:00:00"/>
    <s v="EJECUTADO"/>
    <n v="25816"/>
  </r>
  <r>
    <m/>
    <m/>
    <s v="MEJORAMIENTO"/>
    <x v="1"/>
    <x v="108"/>
    <s v="ZONA4"/>
    <x v="17"/>
    <x v="55"/>
    <s v="AD. DIRECTA"/>
    <s v="VIALSUR"/>
    <m/>
    <m/>
    <n v="0"/>
    <s v="Relleno con material granular"/>
    <s v="m3"/>
    <n v="9.9600000000000009"/>
    <n v="3200"/>
    <m/>
    <d v="2014-04-01T00:00:00"/>
    <d v="2014-04-30T00:00:00"/>
    <s v="EJECUTADO"/>
    <n v="31872"/>
  </r>
  <r>
    <m/>
    <m/>
    <s v="MANTENIMIENTO"/>
    <x v="1"/>
    <x v="108"/>
    <s v="ZONA4"/>
    <x v="17"/>
    <x v="55"/>
    <s v="AD. DIRECTA"/>
    <s v="VIALSUR"/>
    <m/>
    <m/>
    <n v="0"/>
    <s v="Encauzamiento de río"/>
    <s v="m3"/>
    <n v="2.81"/>
    <n v="4000"/>
    <m/>
    <d v="2014-04-01T00:00:00"/>
    <d v="2014-04-30T00:00:00"/>
    <s v="EJECUTADO"/>
    <n v="11240"/>
  </r>
  <r>
    <m/>
    <m/>
    <s v="MANTENIMIENTO"/>
    <x v="122"/>
    <x v="109"/>
    <s v="ZONA4"/>
    <x v="17"/>
    <x v="56"/>
    <s v="AD. DIRECTA"/>
    <s v="VIALSUR"/>
    <n v="32"/>
    <n v="7.42"/>
    <n v="288"/>
    <s v="reconformación de la razante"/>
    <s v="m2"/>
    <n v="0.35"/>
    <n v="40800"/>
    <m/>
    <d v="2014-06-01T00:00:00"/>
    <d v="2014-06-30T00:00:00"/>
    <s v="EJECUTADO"/>
    <n v="14280"/>
  </r>
  <r>
    <m/>
    <m/>
    <s v="MANTENIMIENTO"/>
    <x v="1"/>
    <x v="109"/>
    <s v="ZONA4"/>
    <x v="17"/>
    <x v="56"/>
    <s v="AD. DIRECTA"/>
    <s v="VIALSUR"/>
    <m/>
    <m/>
    <n v="0"/>
    <s v="Desalojo de Material de escombros"/>
    <s v="m3"/>
    <n v="0.6"/>
    <n v="720"/>
    <m/>
    <d v="2014-06-01T00:00:00"/>
    <d v="2014-06-30T00:00:00"/>
    <s v="EJECUTADO"/>
    <n v="432"/>
  </r>
  <r>
    <m/>
    <m/>
    <s v="MEJORAMIENTO"/>
    <x v="1"/>
    <x v="109"/>
    <s v="ZONA4"/>
    <x v="17"/>
    <x v="56"/>
    <s v="AD. DIRECTA"/>
    <s v="VIALSUR"/>
    <m/>
    <m/>
    <n v="0"/>
    <s v="Excavación en plataforma suelo rocoso a máquina desalojo hasta 50 m(Variante)"/>
    <s v="m3"/>
    <n v="7.97"/>
    <n v="900"/>
    <m/>
    <d v="2014-06-01T00:00:00"/>
    <d v="2014-06-30T00:00:00"/>
    <s v="EJECUTADO"/>
    <n v="7173"/>
  </r>
  <r>
    <m/>
    <m/>
    <s v="MANTENIMIENTO"/>
    <x v="123"/>
    <x v="110"/>
    <s v="ZONA4"/>
    <x v="17"/>
    <x v="49"/>
    <s v="AD. DIRECTA"/>
    <s v="VIALSUR"/>
    <m/>
    <m/>
    <n v="0"/>
    <s v="Encauzamiento de río"/>
    <s v="m3"/>
    <n v="2.81"/>
    <n v="7200"/>
    <m/>
    <d v="2014-06-01T00:00:00"/>
    <d v="2014-06-30T00:00:00"/>
    <s v="EJECUTADO"/>
    <n v="20232"/>
  </r>
  <r>
    <s v="20"/>
    <s v="EJECUTADO"/>
    <s v="MANTENIMIENTO"/>
    <x v="124"/>
    <x v="111"/>
    <s v="ZONA4"/>
    <x v="17"/>
    <x v="49"/>
    <s v="AD. DIRECTA"/>
    <s v="VIALSUR"/>
    <m/>
    <m/>
    <n v="0"/>
    <s v="reconformación de la razante"/>
    <s v="m2"/>
    <n v="0.35"/>
    <n v="18000"/>
    <m/>
    <d v="2014-07-01T00:00:00"/>
    <d v="2014-07-31T00:00:00"/>
    <s v="EJECUTADO"/>
    <n v="6300"/>
  </r>
  <r>
    <m/>
    <m/>
    <s v="MANTENIMIENTO"/>
    <x v="1"/>
    <x v="111"/>
    <s v="ZONA4"/>
    <x v="17"/>
    <x v="49"/>
    <s v="AD. DIRECTA"/>
    <s v="VIALSUR"/>
    <m/>
    <m/>
    <n v="0"/>
    <s v="Desalojo de Material de escombros"/>
    <s v="m3"/>
    <n v="0.6"/>
    <n v="800"/>
    <m/>
    <d v="2014-07-01T00:00:00"/>
    <d v="2014-07-31T00:00:00"/>
    <s v="EJECUTADO"/>
    <n v="480"/>
  </r>
  <r>
    <m/>
    <m/>
    <s v="MEJORAMIENTO"/>
    <x v="1"/>
    <x v="111"/>
    <s v="ZONA4"/>
    <x v="17"/>
    <x v="49"/>
    <s v="AD. DIRECTA"/>
    <s v="VIALSUR"/>
    <m/>
    <m/>
    <n v="0"/>
    <s v="Mejoramiento de la subrasante con suelo seleccionado s/t h=20 cm incluye explotada"/>
    <s v="m3"/>
    <n v="5.92"/>
    <n v="769.5"/>
    <m/>
    <d v="2014-07-01T00:00:00"/>
    <d v="2014-07-31T00:00:00"/>
    <s v="EJECUTADO"/>
    <n v="4555.4399999999996"/>
  </r>
  <r>
    <m/>
    <m/>
    <s v="MEJORAMIENTO"/>
    <x v="1"/>
    <x v="111"/>
    <s v="ZONA4"/>
    <x v="17"/>
    <x v="49"/>
    <s v="AD. DIRECTA"/>
    <s v="VIALSUR"/>
    <m/>
    <m/>
    <n v="0"/>
    <s v="Transporte de mateial mayor a 5 km"/>
    <s v="M3-KM"/>
    <n v="0.3"/>
    <n v="11157.75"/>
    <m/>
    <d v="2014-07-01T00:00:00"/>
    <d v="2014-07-31T00:00:00"/>
    <s v="EJECUTADO"/>
    <n v="3347.33"/>
  </r>
  <r>
    <s v="21"/>
    <s v="EJECUTADO"/>
    <s v="MANTENIMIENTO"/>
    <x v="125"/>
    <x v="112"/>
    <s v="ZONA4"/>
    <x v="17"/>
    <x v="49"/>
    <s v="AD. DIRECTA"/>
    <s v="VIALSUR"/>
    <m/>
    <m/>
    <n v="0"/>
    <s v="reconformación de la razante"/>
    <s v="m2"/>
    <n v="0.35"/>
    <n v="18000"/>
    <m/>
    <d v="2014-07-01T00:00:00"/>
    <d v="2014-07-31T00:00:00"/>
    <s v="EJECUTADO"/>
    <n v="6300"/>
  </r>
  <r>
    <m/>
    <m/>
    <s v="MANTENIMIENTO"/>
    <x v="1"/>
    <x v="112"/>
    <s v="ZONA4"/>
    <x v="17"/>
    <x v="49"/>
    <s v="AD. DIRECTA"/>
    <s v="VIALSUR"/>
    <m/>
    <m/>
    <n v="0"/>
    <s v="Desalojo de Material de escombros"/>
    <s v="m3"/>
    <n v="0.6"/>
    <n v="352"/>
    <m/>
    <d v="2014-07-01T00:00:00"/>
    <d v="2014-07-31T00:00:00"/>
    <s v="EJECUTADO"/>
    <n v="211.2"/>
  </r>
  <r>
    <m/>
    <m/>
    <s v="MEJORAMIENTO"/>
    <x v="1"/>
    <x v="112"/>
    <s v="ZONA4"/>
    <x v="17"/>
    <x v="49"/>
    <s v="AD. DIRECTA"/>
    <s v="VIALSUR"/>
    <m/>
    <m/>
    <n v="0"/>
    <s v="Mejoramiento de la subrasante con suelo seleccionado s/t h=20 cm incluye explotada"/>
    <s v="m3"/>
    <n v="5.92"/>
    <n v="560"/>
    <m/>
    <d v="2014-07-01T00:00:00"/>
    <d v="2014-07-31T00:00:00"/>
    <s v="EJECUTADO"/>
    <n v="3315.2"/>
  </r>
  <r>
    <m/>
    <m/>
    <s v="MEJORAMIENTO"/>
    <x v="1"/>
    <x v="112"/>
    <s v="ZONA4"/>
    <x v="17"/>
    <x v="49"/>
    <s v="AD. DIRECTA"/>
    <s v="VIALSUR"/>
    <m/>
    <m/>
    <n v="0"/>
    <s v="Transporte de mateial mayor a 5 km"/>
    <s v="M3-KM"/>
    <n v="0.3"/>
    <n v="8960"/>
    <m/>
    <d v="2014-07-01T00:00:00"/>
    <d v="2014-07-31T00:00:00"/>
    <s v="EJECUTADO"/>
    <n v="2688"/>
  </r>
  <r>
    <m/>
    <m/>
    <s v="MANTENIMIENTO"/>
    <x v="126"/>
    <x v="113"/>
    <s v="ZONA4"/>
    <x v="17"/>
    <x v="57"/>
    <s v="AD. DIRECTA"/>
    <s v="VIALSUR"/>
    <n v="17"/>
    <m/>
    <n v="539"/>
    <s v="Reconformación de la rasante"/>
    <s v="m2"/>
    <n v="0.35"/>
    <n v="20000"/>
    <m/>
    <d v="2014-01-05T00:00:00"/>
    <d v="2014-05-31T00:00:00"/>
    <s v="EJECUTADO"/>
    <n v="7000"/>
  </r>
  <r>
    <m/>
    <m/>
    <s v="MANTENIMIENTO"/>
    <x v="1"/>
    <x v="113"/>
    <s v="ZONA4"/>
    <x v="17"/>
    <x v="57"/>
    <s v="AD. DIRECTA"/>
    <s v="VIALSUR"/>
    <m/>
    <n v="6.9999999999999993E-2"/>
    <n v="0"/>
    <s v="reconformación de la razante"/>
    <s v="m2"/>
    <n v="0.35"/>
    <n v="336"/>
    <m/>
    <d v="2014-04-01T00:00:00"/>
    <d v="2014-04-30T00:00:00"/>
    <s v="EJECUTADO"/>
    <n v="117.6"/>
  </r>
  <r>
    <m/>
    <m/>
    <s v="MANTENIMIENTO"/>
    <x v="127"/>
    <x v="114"/>
    <s v="ZONA4"/>
    <x v="17"/>
    <x v="49"/>
    <s v="AD. DIRECTA"/>
    <s v="VIALSUR"/>
    <m/>
    <m/>
    <n v="0"/>
    <s v="Encauzamiento de río"/>
    <s v="m3"/>
    <n v="1.46"/>
    <n v="246"/>
    <m/>
    <d v="2014-04-01T00:00:00"/>
    <d v="2014-04-30T00:00:00"/>
    <s v="EJECUTADO"/>
    <n v="359.16"/>
  </r>
  <r>
    <s v="19"/>
    <s v="EN EJECUCION"/>
    <s v="MEJORAMIENTO"/>
    <x v="128"/>
    <x v="115"/>
    <s v="ZONA4 - ST"/>
    <x v="16"/>
    <x v="51"/>
    <s v="CONVENIO"/>
    <s v="UNIDAD DE NEGOCIOS"/>
    <n v="6.17"/>
    <m/>
    <n v="17667"/>
    <s v="REPLANTEO Y NIVELACION CON APARATOS (VIAS)"/>
    <s v="KM"/>
    <n v="705.7"/>
    <n v="4.5599999999999996"/>
    <m/>
    <d v="2013-10-01T00:00:00"/>
    <d v="2014-01-31T00:00:00"/>
    <s v="EJECUTADO"/>
    <n v="3217.99"/>
  </r>
  <r>
    <m/>
    <m/>
    <s v="MANTENIMIENTO"/>
    <x v="1"/>
    <x v="115"/>
    <s v="ZONA4 - ST"/>
    <x v="16"/>
    <x v="51"/>
    <s v="CONVENIO"/>
    <s v="UNIDAD DE NEGOCIOS"/>
    <m/>
    <m/>
    <n v="0"/>
    <s v="ROZA A MANO"/>
    <s v="Ha"/>
    <n v="1744.8"/>
    <n v="1.73"/>
    <m/>
    <d v="2013-10-01T00:00:00"/>
    <d v="2014-01-31T00:00:00"/>
    <s v="EJECUTADO"/>
    <n v="3018.5"/>
  </r>
  <r>
    <m/>
    <m/>
    <s v="MEJORAMIENTO"/>
    <x v="1"/>
    <x v="115"/>
    <s v="ZONA4 - ST"/>
    <x v="16"/>
    <x v="51"/>
    <s v="CONVENIO"/>
    <s v="UNIDAD DE NEGOCIOS"/>
    <m/>
    <m/>
    <n v="0"/>
    <s v="REMOCIÓN DE ALCANTARILLAS DE TUBO (INCLUYE DESALOJO)"/>
    <s v="M"/>
    <n v="6.86"/>
    <n v="25"/>
    <m/>
    <d v="2013-10-01T00:00:00"/>
    <d v="2014-01-31T00:00:00"/>
    <s v="EJECUTADO"/>
    <n v="171.5"/>
  </r>
  <r>
    <m/>
    <m/>
    <s v="MEJORAMIENTO"/>
    <x v="1"/>
    <x v="115"/>
    <s v="ZONA4 - ST"/>
    <x v="16"/>
    <x v="51"/>
    <s v="CONVENIO"/>
    <s v="UNIDAD DE NEGOCIOS"/>
    <m/>
    <m/>
    <n v="0"/>
    <s v="REMOCION DE HORMIGON"/>
    <s v="m³"/>
    <n v="41.84"/>
    <n v="2.2200000000000002"/>
    <m/>
    <d v="2013-10-01T00:00:00"/>
    <d v="2014-01-31T00:00:00"/>
    <s v="EJECUTADO"/>
    <n v="92.88"/>
  </r>
  <r>
    <m/>
    <m/>
    <s v="MEJORAMIENTO"/>
    <x v="1"/>
    <x v="115"/>
    <s v="ZONA4 - ST"/>
    <x v="16"/>
    <x v="51"/>
    <s v="CONVENIO"/>
    <s v="UNIDAD DE NEGOCIOS"/>
    <m/>
    <m/>
    <n v="0"/>
    <s v="EXCAVACION EN PLATAFORMA SUELO SIN CLASIFICAR, A MAQUINA"/>
    <s v="m³"/>
    <n v="1.58"/>
    <n v="34437.360000000001"/>
    <m/>
    <d v="2013-10-01T00:00:00"/>
    <d v="2014-05-31T00:00:00"/>
    <s v="EJECUTADO"/>
    <n v="54411.03"/>
  </r>
  <r>
    <m/>
    <m/>
    <s v="MEJORAMIENTO"/>
    <x v="1"/>
    <x v="115"/>
    <s v="ZONA4 - ST"/>
    <x v="16"/>
    <x v="51"/>
    <s v="CONVENIO"/>
    <s v="UNIDAD DE NEGOCIOS"/>
    <m/>
    <m/>
    <n v="0"/>
    <s v="EXCAVACION EN ROCA"/>
    <s v="m³"/>
    <n v="6.78"/>
    <n v="7667.69"/>
    <m/>
    <d v="2013-10-01T00:00:00"/>
    <d v="2014-05-31T00:00:00"/>
    <s v="EJECUTADO"/>
    <n v="51986.94"/>
  </r>
  <r>
    <m/>
    <m/>
    <s v="MANTENIMIENTO"/>
    <x v="1"/>
    <x v="115"/>
    <s v="ZONA4 - ST"/>
    <x v="16"/>
    <x v="51"/>
    <s v="CONVENIO"/>
    <s v="UNIDAD DE NEGOCIOS"/>
    <m/>
    <n v="4.0199999999999996"/>
    <n v="0"/>
    <s v="Reconformación de la rasante"/>
    <s v="M²"/>
    <n v="0.35"/>
    <n v="22084.34"/>
    <m/>
    <d v="2013-10-01T00:00:00"/>
    <d v="2014-04-30T00:00:00"/>
    <s v="EJECUTADO"/>
    <n v="7729.52"/>
  </r>
  <r>
    <m/>
    <m/>
    <s v="MANTENIMIENTO"/>
    <x v="1"/>
    <x v="115"/>
    <s v="ZONA4 - ST"/>
    <x v="16"/>
    <x v="51"/>
    <s v="CONVENIO"/>
    <s v="UNIDAD DE NEGOCIOS"/>
    <m/>
    <m/>
    <n v="0"/>
    <s v="LIMPIEZA DE DERRUMBES"/>
    <s v="M²"/>
    <n v="1.46"/>
    <n v="1425.55"/>
    <m/>
    <d v="2014-03-01T00:00:00"/>
    <d v="2014-04-30T00:00:00"/>
    <s v="EJECUTADO"/>
    <n v="2081.3000000000002"/>
  </r>
  <r>
    <m/>
    <m/>
    <s v="MEJORAMIENTO"/>
    <x v="1"/>
    <x v="115"/>
    <s v="ZONA4 - ST"/>
    <x v="16"/>
    <x v="51"/>
    <s v="CONVENIO"/>
    <s v="UNIDAD DE NEGOCIOS"/>
    <m/>
    <m/>
    <n v="0"/>
    <s v="TRAN. MAT. PETREOS, BASE, SUB-BASE, MAT. TRITU, DE PRÉSTAMO Y OTROS D/L=0.5Km"/>
    <s v="M³-Km"/>
    <n v="0.3"/>
    <n v="95128.94"/>
    <m/>
    <d v="2013-10-01T00:00:00"/>
    <d v="2014-04-30T00:00:00"/>
    <s v="EJECUTADO"/>
    <n v="28538.68"/>
  </r>
  <r>
    <m/>
    <m/>
    <s v="MEJORAMIENTO"/>
    <x v="1"/>
    <x v="115"/>
    <s v="ZONA4 - ST"/>
    <x v="16"/>
    <x v="51"/>
    <s v="CONVENIO"/>
    <s v="UNIDAD DE NEGOCIOS"/>
    <m/>
    <m/>
    <n v="0"/>
    <s v="ESTABILIZACIÓN DE TALUDES MEDIANTE LA CONFORMACIÓN DE TERRAZAS"/>
    <s v="m³"/>
    <n v="1.1599999999999999"/>
    <n v="1020"/>
    <m/>
    <d v="2013-10-01T00:00:00"/>
    <d v="2014-01-31T00:00:00"/>
    <s v="EJECUTADO"/>
    <n v="1183.2"/>
  </r>
  <r>
    <m/>
    <m/>
    <s v="MEJORAMIENTO"/>
    <x v="1"/>
    <x v="115"/>
    <s v="ZONA4 - ST"/>
    <x v="16"/>
    <x v="51"/>
    <s v="CONVENIO"/>
    <s v="UNIDAD DE NEGOCIOS"/>
    <m/>
    <m/>
    <n v="0"/>
    <s v="TRAN. MAT. PETREOS, BASE, SUB-BASE, MAT. TRITU, DE PRÉSTAMO Y OTROS, D/L=0.5Km"/>
    <s v="M³-Km"/>
    <n v="0.3"/>
    <n v="216187.77"/>
    <m/>
    <d v="2013-10-01T00:00:00"/>
    <d v="2014-04-30T00:00:00"/>
    <s v="EJECUTADO"/>
    <n v="64856.33"/>
  </r>
  <r>
    <m/>
    <m/>
    <s v="MEJORAMIENTO"/>
    <x v="1"/>
    <x v="115"/>
    <s v="ZONA4 - ST"/>
    <x v="16"/>
    <x v="51"/>
    <s v="CONVENIO"/>
    <s v="UNIDAD DE NEGOCIOS"/>
    <m/>
    <n v="8.66"/>
    <n v="0"/>
    <s v="Mejoramiento de la subrasante con suelo seleccionado"/>
    <s v="m³"/>
    <n v="5.88"/>
    <n v="9523.2900000000009"/>
    <m/>
    <d v="2013-10-01T00:00:00"/>
    <d v="2014-04-30T00:00:00"/>
    <s v="EJECUTADO"/>
    <n v="55996.95"/>
  </r>
  <r>
    <m/>
    <m/>
    <s v="MEJORAMIENTO"/>
    <x v="1"/>
    <x v="115"/>
    <s v="ZONA4 - ST"/>
    <x v="16"/>
    <x v="51"/>
    <s v="CONVENIO"/>
    <s v="UNIDAD DE NEGOCIOS"/>
    <m/>
    <m/>
    <n v="0"/>
    <s v="SUBBASE CLASE 2"/>
    <s v="m³"/>
    <n v="9.32"/>
    <n v="3525"/>
    <m/>
    <d v="2013-10-01T00:00:00"/>
    <d v="2014-04-30T00:00:00"/>
    <s v="EJECUTADO"/>
    <n v="32853"/>
  </r>
  <r>
    <m/>
    <m/>
    <s v="ASFALTO"/>
    <x v="1"/>
    <x v="115"/>
    <s v="ZONA4 - ST"/>
    <x v="16"/>
    <x v="51"/>
    <s v="CONVENIO"/>
    <s v="UNIDAD DE NEGOCIOS"/>
    <m/>
    <m/>
    <n v="0"/>
    <s v="BASE CLASE 2"/>
    <s v="m³"/>
    <n v="19.100000000000001"/>
    <n v="1225.3599999999999"/>
    <m/>
    <d v="2013-10-01T00:00:00"/>
    <d v="2014-04-30T00:00:00"/>
    <s v="EJECUTADO"/>
    <n v="23404.38"/>
  </r>
  <r>
    <m/>
    <m/>
    <s v="MANTENIMIENTO"/>
    <x v="1"/>
    <x v="115"/>
    <s v="ZONA4 - ST"/>
    <x v="16"/>
    <x v="51"/>
    <s v="CONVENIO"/>
    <s v="UNIDAD DE NEGOCIOS"/>
    <m/>
    <m/>
    <n v="0"/>
    <s v="LIMPIEZA DE ALCANTARILLA"/>
    <s v="m³"/>
    <n v="10.87"/>
    <n v="36.85"/>
    <m/>
    <d v="2013-10-01T00:00:00"/>
    <d v="2014-03-31T00:00:00"/>
    <s v="EJECUTADO"/>
    <n v="400.56"/>
  </r>
  <r>
    <m/>
    <m/>
    <s v="MEJORAMIENTO"/>
    <x v="1"/>
    <x v="115"/>
    <s v="ZONA4 - ST"/>
    <x v="16"/>
    <x v="51"/>
    <s v="CONVENIO"/>
    <s v="UNIDAD DE NEGOCIOS"/>
    <m/>
    <m/>
    <n v="0"/>
    <s v="EXCAVACIÓN DE ZANJAS A MÁQUINA EN SUELO SIN CLASIFICAR"/>
    <s v="m³"/>
    <n v="1.57"/>
    <n v="486.62"/>
    <m/>
    <d v="2013-10-01T00:00:00"/>
    <d v="2014-04-30T00:00:00"/>
    <s v="EJECUTADO"/>
    <n v="763.99"/>
  </r>
  <r>
    <m/>
    <m/>
    <s v="MEJORAMIENTO"/>
    <x v="1"/>
    <x v="115"/>
    <s v="ZONA4 - ST"/>
    <x v="16"/>
    <x v="51"/>
    <s v="CONVENIO"/>
    <s v="UNIDAD DE NEGOCIOS"/>
    <m/>
    <m/>
    <n v="0"/>
    <s v="EXCAVACIÓN PARA CUNETAS Y ENCAUZAMIENTOS, A MÁQUINA D/L=200M"/>
    <s v="m³"/>
    <n v="1.73"/>
    <n v="432"/>
    <m/>
    <d v="2013-10-01T00:00:00"/>
    <d v="2014-04-30T00:00:00"/>
    <s v="EJECUTADO"/>
    <n v="747.36"/>
  </r>
  <r>
    <m/>
    <m/>
    <s v="ALCANTARILLA"/>
    <x v="1"/>
    <x v="115"/>
    <s v="ZONA4 - ST"/>
    <x v="16"/>
    <x v="51"/>
    <s v="CONVENIO"/>
    <s v="UNIDAD DE NEGOCIOS"/>
    <m/>
    <m/>
    <n v="0"/>
    <s v="ALCANTARILLA METALICA GALVANZADA CORRUGADA PP-68 D=1.20 e= 2MM"/>
    <s v="ml"/>
    <n v="208.57"/>
    <n v="33.36"/>
    <m/>
    <d v="2013-04-01T00:00:00"/>
    <d v="2014-04-30T00:00:00"/>
    <s v="EJECUTADO"/>
    <n v="6957.9"/>
  </r>
  <r>
    <m/>
    <m/>
    <s v="ALCANTARILLA"/>
    <x v="1"/>
    <x v="115"/>
    <s v="ZONA4 - ST"/>
    <x v="16"/>
    <x v="51"/>
    <s v="CONVENIO"/>
    <s v="UNIDAD DE NEGOCIOS"/>
    <m/>
    <m/>
    <n v="0"/>
    <s v="TUBERÍA CORRUGADA Y PERFORADA PARA SUBDRENES PVC D=200 MM"/>
    <s v="M"/>
    <n v="19.16"/>
    <n v="279.12"/>
    <m/>
    <d v="2013-10-01T00:00:00"/>
    <d v="2014-04-30T00:00:00"/>
    <s v="EJECUTADO"/>
    <n v="5347.94"/>
  </r>
  <r>
    <m/>
    <m/>
    <s v="MEJORAMIENTO"/>
    <x v="1"/>
    <x v="115"/>
    <s v="ZONA4 - ST"/>
    <x v="16"/>
    <x v="51"/>
    <s v="CONVENIO"/>
    <s v="UNIDAD DE NEGOCIOS"/>
    <m/>
    <m/>
    <n v="0"/>
    <s v="MEMBRANA DE FIBRA SINTETICA NT-1600"/>
    <s v="M²"/>
    <n v="1.91"/>
    <n v="1116.48"/>
    <m/>
    <d v="2013-10-01T00:00:00"/>
    <d v="2014-04-30T00:00:00"/>
    <s v="EJECUTADO"/>
    <n v="2132.48"/>
  </r>
  <r>
    <m/>
    <m/>
    <s v="MEJORAMIENTO"/>
    <x v="1"/>
    <x v="115"/>
    <s v="ZONA4 - ST"/>
    <x v="16"/>
    <x v="51"/>
    <s v="CONVENIO"/>
    <s v="UNIDAD DE NEGOCIOS"/>
    <m/>
    <m/>
    <n v="0"/>
    <s v="MATERIAL FILTRANTE PARA SUB-DREN S/T"/>
    <s v="m³"/>
    <n v="8.1999999999999993"/>
    <n v="325"/>
    <m/>
    <d v="2013-10-01T00:00:00"/>
    <d v="2014-04-30T00:00:00"/>
    <s v="EJECUTADO"/>
    <n v="2665"/>
  </r>
  <r>
    <m/>
    <m/>
    <s v="MEJORAMIENTO"/>
    <x v="1"/>
    <x v="115"/>
    <s v="ZONA4 - ST"/>
    <x v="16"/>
    <x v="51"/>
    <s v="CONVENIO"/>
    <s v="UNIDAD DE NEGOCIOS"/>
    <m/>
    <m/>
    <n v="0"/>
    <s v="TRAN. MAT. PETREOS, BASE, SUB-BASE, MAT. TRITU, DE PRÉSTAMO Y OTROS, D/L=0.5Km"/>
    <s v="M³-Km"/>
    <n v="0.3"/>
    <n v="22750"/>
    <m/>
    <d v="2013-10-01T00:00:00"/>
    <d v="2014-04-30T00:00:00"/>
    <s v="EJECUTADO"/>
    <n v="6825"/>
  </r>
  <r>
    <m/>
    <m/>
    <s v="MANTENIMIENTO"/>
    <x v="1"/>
    <x v="115"/>
    <s v="ZONA4 - ST"/>
    <x v="16"/>
    <x v="51"/>
    <s v="CONVENIO"/>
    <s v="UNIDAD DE NEGOCIOS"/>
    <m/>
    <m/>
    <n v="0"/>
    <s v="TRAMPA PARA GRASAS Y ACEITES"/>
    <s v="U"/>
    <n v="1040.57"/>
    <n v="1"/>
    <m/>
    <d v="2013-10-01T00:00:00"/>
    <d v="2014-01-31T00:00:00"/>
    <s v="EJECUTADO"/>
    <n v="1040.57"/>
  </r>
  <r>
    <m/>
    <m/>
    <s v="MANTENIMIENTO"/>
    <x v="1"/>
    <x v="115"/>
    <s v="ZONA4 - ST"/>
    <x v="16"/>
    <x v="51"/>
    <s v="CONVENIO"/>
    <s v="UNIDAD DE NEGOCIOS"/>
    <m/>
    <m/>
    <n v="0"/>
    <s v="LETRINA SANITARIA SIN ARRASTRE DE AGUA"/>
    <s v="U"/>
    <n v="664.56"/>
    <n v="2"/>
    <m/>
    <d v="2013-10-01T00:00:00"/>
    <d v="2014-01-31T00:00:00"/>
    <s v="EJECUTADO"/>
    <n v="1329.12"/>
  </r>
  <r>
    <m/>
    <m/>
    <s v="MANTENIMIENTO"/>
    <x v="1"/>
    <x v="115"/>
    <s v="ZONA4 - ST"/>
    <x v="16"/>
    <x v="51"/>
    <s v="CONVENIO"/>
    <s v="UNIDAD DE NEGOCIOS"/>
    <m/>
    <m/>
    <n v="0"/>
    <s v="ESCOMBRERAS"/>
    <s v="m³"/>
    <n v="0.42"/>
    <n v="38791.11"/>
    <m/>
    <d v="2013-10-01T00:00:00"/>
    <d v="2014-04-30T00:00:00"/>
    <s v="EJECUTADO"/>
    <n v="16292.27"/>
  </r>
  <r>
    <m/>
    <m/>
    <s v="MEJORAMIENTO"/>
    <x v="1"/>
    <x v="115"/>
    <s v="ZONA4 - ST"/>
    <x v="16"/>
    <x v="51"/>
    <s v="CONVENIO"/>
    <s v="UNIDAD DE NEGOCIOS"/>
    <m/>
    <m/>
    <n v="0"/>
    <s v="INSTALACION DE TRITURADORA"/>
    <s v="GBL"/>
    <n v="78920.429999999993"/>
    <n v="1"/>
    <m/>
    <d v="2013-10-01T00:00:00"/>
    <d v="2014-01-31T00:00:00"/>
    <s v="EJECUTADO"/>
    <n v="78920.429999999993"/>
  </r>
  <r>
    <m/>
    <m/>
    <s v="MANTENIMIENTO"/>
    <x v="1"/>
    <x v="115"/>
    <s v="ZONA4 - ST"/>
    <x v="16"/>
    <x v="51"/>
    <s v="CONVENIO"/>
    <s v="UNIDAD DE NEGOCIOS"/>
    <m/>
    <m/>
    <n v="0"/>
    <s v="EQUIPO DE PROTECCIÓN PERSONAL"/>
    <s v="U"/>
    <n v="300"/>
    <n v="11"/>
    <m/>
    <d v="2013-10-01T00:00:00"/>
    <d v="2014-01-31T00:00:00"/>
    <s v="EJECUTADO"/>
    <n v="33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72">
  <r>
    <m/>
    <m/>
    <x v="0"/>
    <s v="TERMINACIÓN DE RECONFORMACIÓN DE LA VÍA PURUNUMA - CHINGUILAMACA  ( L TOTAL = 18,8Km, TRABAJO EJECUTADO, 1 KM DE RECONFORMACIÓN Y 3KM DE RESANTEO EN ESTA JORNADA FINAL)"/>
    <s v="TERMINACIÓN DE RECONFORMACIÓN DE LA VÍA PURUNUMA - CHINGUILAMACA  ( L TOTAL = 18,8Km, TRABAJO EJECUTADO, 1 KM DE RECONFORMACIÓN Y 3KM DE RESANTEO EN ESTA JORNADA FINAL)"/>
    <x v="0"/>
    <s v="GONZANAMA"/>
    <s v="PURUNUMA"/>
    <s v="AD. DIRECTA"/>
    <s v="VIALSUR"/>
    <x v="0"/>
    <x v="0"/>
    <n v="494"/>
    <s v="Excavacion sin clasificar a maquina (explotación de material)"/>
    <s v="m3"/>
    <n v="1.62"/>
    <n v="1200"/>
    <m/>
    <d v="2014-01-01T00:00:00"/>
    <d v="2014-01-31T00:00:00"/>
    <s v="EJECUTADO"/>
    <n v="1944"/>
    <n v="1512"/>
    <n v="648"/>
    <m/>
    <m/>
  </r>
  <r>
    <m/>
    <m/>
    <x v="0"/>
    <m/>
    <s v="TERMINACIÓN DE RECONFORMACIÓN DE LA VÍA PURUNUMA - CHINGUILAMACA  ( L TOTAL = 18,8Km, TRABAJO EJECUTADO, 1 KM DE RECONFORMACIÓN Y 3KM DE RESANTEO EN ESTA JORNADA FINAL)"/>
    <x v="0"/>
    <s v="GONZANAMA"/>
    <s v="PURUNUMA"/>
    <s v="AD. DIRECTA"/>
    <s v="VIALSUR"/>
    <x v="1"/>
    <x v="0"/>
    <n v="0"/>
    <s v="Transporte de material para mejoramiento, inc. cargado"/>
    <s v="m3/km"/>
    <n v="0.35"/>
    <n v="6000"/>
    <m/>
    <d v="2014-01-01T00:00:00"/>
    <d v="2014-01-31T00:00:00"/>
    <s v="EJECUTADO"/>
    <n v="2100"/>
    <n v="2100"/>
    <n v="0"/>
    <m/>
    <m/>
  </r>
  <r>
    <m/>
    <m/>
    <x v="1"/>
    <m/>
    <s v="TERMINACIÓN DE RECONFORMACIÓN DE LA VÍA PURUNUMA - CHINGUILAMACA  ( L TOTAL = 18,8Km, TRABAJO EJECUTADO, 1 KM DE RECONFORMACIÓN Y 3KM DE RESANTEO EN ESTA JORNADA FINAL)"/>
    <x v="0"/>
    <s v="GONZANAMA"/>
    <s v="PURUNUMA"/>
    <s v="AD. DIRECTA"/>
    <s v="VIALSUR"/>
    <x v="1"/>
    <x v="1"/>
    <n v="0"/>
    <s v="Acabado de Obra Básica existente"/>
    <s v="m2"/>
    <n v="0.35"/>
    <n v="6000"/>
    <m/>
    <d v="2014-01-01T00:00:00"/>
    <d v="2014-01-31T00:00:00"/>
    <s v="EJECUTADO"/>
    <n v="2100"/>
    <n v="2100"/>
    <n v="0"/>
    <m/>
    <m/>
  </r>
  <r>
    <m/>
    <m/>
    <x v="1"/>
    <m/>
    <s v="TERMINACIÓN DE RECONFORMACIÓN DE LA VÍA PURUNUMA - CHINGUILAMACA  ( L TOTAL = 18,8Km, TRABAJO EJECUTADO, 1 KM DE RECONFORMACIÓN Y 3KM DE RESANTEO EN ESTA JORNADA FINAL)"/>
    <x v="0"/>
    <s v="GONZANAMA"/>
    <s v="PURUNUMA"/>
    <s v="AD. DIRECTA"/>
    <s v="VIALSUR"/>
    <x v="1"/>
    <x v="2"/>
    <n v="0"/>
    <s v="Rasanteo y conformacion de cunetas con motoniveladora"/>
    <s v="m2"/>
    <n v="0.08"/>
    <n v="18000"/>
    <m/>
    <d v="2014-01-01T00:00:00"/>
    <d v="2014-01-31T00:00:00"/>
    <s v="EJECUTADO"/>
    <n v="1440"/>
    <n v="1440"/>
    <n v="0"/>
    <m/>
    <m/>
  </r>
  <r>
    <m/>
    <m/>
    <x v="0"/>
    <s v="RECONFORMACIÓN DE LA VÍA PURUNUMA GONZANAMÁ (L INTERVENCIÓN = 5KM A LA FECHA, SON EN TOTAL 7KM)"/>
    <s v="RECONFORMACIÓN DE LA VÍA PURUNUMA GONZANAMÁ (L INTERVENCIÓN = 5KM A LA FECHA, SON EN TOTAL 7KM)"/>
    <x v="0"/>
    <s v="GONZANAMA"/>
    <s v="PURUNUMA"/>
    <s v="AD. DIRECTA"/>
    <s v="VIALSUR"/>
    <x v="2"/>
    <x v="0"/>
    <n v="494"/>
    <s v="Excavacion sin clasificar a maquina (explotación de material)"/>
    <s v="m3"/>
    <n v="1.62"/>
    <n v="2080"/>
    <m/>
    <d v="2014-01-01T00:00:00"/>
    <d v="2014-03-31T00:00:00"/>
    <s v="EJECUTADO"/>
    <n v="3369.6"/>
    <n v="2620.8000000000002"/>
    <n v="1123.1999999999996"/>
    <m/>
    <m/>
  </r>
  <r>
    <m/>
    <m/>
    <x v="0"/>
    <m/>
    <s v="RECONFORMACIÓN DE LA VÍA PURUNUMA GONZANAMÁ (L INTERVENCIÓN = 5KM A LA FECHA, SON EN TOTAL 7KM)"/>
    <x v="0"/>
    <s v="GONZANAMA"/>
    <s v="PURUNUMA"/>
    <s v="AD. DIRECTA"/>
    <s v="VIALSUR"/>
    <x v="1"/>
    <x v="0"/>
    <n v="0"/>
    <s v="Transporte de material para mejoramiento, inc. cargado"/>
    <s v="m3/km"/>
    <n v="0.35"/>
    <n v="46632"/>
    <m/>
    <d v="2014-01-01T00:00:00"/>
    <d v="2014-03-31T00:00:00"/>
    <s v="EJECUTADO"/>
    <n v="16321.2"/>
    <n v="16321.2"/>
    <n v="0"/>
    <m/>
    <m/>
  </r>
  <r>
    <m/>
    <m/>
    <x v="1"/>
    <m/>
    <s v="RECONFORMACIÓN DE LA VÍA PURUNUMA GONZANAMÁ (L INTERVENCIÓN = 5KM A LA FECHA, SON EN TOTAL 7KM)"/>
    <x v="0"/>
    <s v="GONZANAMA"/>
    <s v="PURUNUMA"/>
    <s v="AD. DIRECTA"/>
    <s v="VIALSUR"/>
    <x v="1"/>
    <x v="3"/>
    <n v="0"/>
    <s v="Acabado de Obra Básica existente"/>
    <s v="m2"/>
    <n v="0.35"/>
    <n v="34000"/>
    <m/>
    <d v="2014-01-01T00:00:00"/>
    <d v="2014-03-31T00:00:00"/>
    <s v="EJECUTADO"/>
    <n v="11900"/>
    <n v="11900"/>
    <n v="0"/>
    <m/>
    <m/>
  </r>
  <r>
    <m/>
    <m/>
    <x v="0"/>
    <s v="CONSTRUCCIÓN DE OBRAS DE ARTE EN LA VÍA CHIRIHUALA-CHANGAIMINA "/>
    <s v="CONSTRUCCIÓN DE OBRAS DE ARTE EN LA VÍA CHIRIHUALA-CHANGAIMINA "/>
    <x v="0"/>
    <s v="GONZANAMA"/>
    <s v="CHANGAIMINA"/>
    <s v="AD. DIRECTA"/>
    <s v="VIALSUR"/>
    <x v="1"/>
    <x v="0"/>
    <n v="0"/>
    <s v="Excavacion sin clasificar para cunetas"/>
    <s v="m3"/>
    <n v="10.55"/>
    <n v="42.16"/>
    <m/>
    <d v="2014-01-01T00:00:00"/>
    <d v="2014-03-31T00:00:00"/>
    <s v="EJECUTADO"/>
    <n v="444.79"/>
    <n v="444.79"/>
    <n v="0"/>
    <m/>
    <m/>
  </r>
  <r>
    <m/>
    <m/>
    <x v="2"/>
    <m/>
    <s v="CONSTRUCCIÓN DE OBRAS DE ARTE EN LA VÍA CHIRIHUALA-CHANGAIMINA "/>
    <x v="0"/>
    <s v="GONZANAMA"/>
    <s v="CHANGAIMINA"/>
    <s v="AD. DIRECTA"/>
    <s v="VIALSUR"/>
    <x v="1"/>
    <x v="0"/>
    <n v="0"/>
    <s v="Hormigon simple F´c 180 Kg / cm 2"/>
    <s v="m3"/>
    <n v="178.13"/>
    <n v="96.34"/>
    <m/>
    <d v="2014-01-01T00:00:00"/>
    <d v="2014-03-31T00:00:00"/>
    <s v="EJECUTADO"/>
    <n v="17161.04"/>
    <n v="17161.04"/>
    <n v="0"/>
    <m/>
    <m/>
  </r>
  <r>
    <m/>
    <m/>
    <x v="2"/>
    <m/>
    <s v="CONSTRUCCIÓN DE OBRAS DE ARTE EN LA VÍA CHIRIHUALA-CHANGAIMINA "/>
    <x v="0"/>
    <s v="GONZANAMA"/>
    <s v="CHANGAIMINA"/>
    <s v="AD. DIRECTA"/>
    <s v="VIALSUR"/>
    <x v="1"/>
    <x v="0"/>
    <n v="0"/>
    <s v="Bordillos de Hormigon F´c 180 Kg/cm2 incluye encofr."/>
    <s v="m "/>
    <n v="15.04"/>
    <m/>
    <m/>
    <d v="2014-01-01T00:00:00"/>
    <d v="2014-01-31T00:00:00"/>
    <s v="EJECUTADO"/>
    <n v="0"/>
    <m/>
    <n v="0"/>
    <m/>
    <m/>
  </r>
  <r>
    <m/>
    <m/>
    <x v="2"/>
    <m/>
    <s v="CONSTRUCCIÓN DE OBRAS DE ARTE EN LA VÍA CHIRIHUALA-CHANGAIMINA "/>
    <x v="0"/>
    <s v="GONZANAMA"/>
    <s v="CHANGAIMINA"/>
    <s v="AD. DIRECTA"/>
    <s v="VIALSUR"/>
    <x v="1"/>
    <x v="0"/>
    <n v="0"/>
    <s v="Hormigon coclopeo F´c 180 Kg / cm 2( 60%)H. Simple"/>
    <s v="m3"/>
    <n v="141.09"/>
    <m/>
    <m/>
    <d v="2014-01-01T00:00:00"/>
    <d v="2014-01-31T00:00:00"/>
    <s v="EJECUTADO"/>
    <n v="0"/>
    <m/>
    <n v="0"/>
    <m/>
    <m/>
  </r>
  <r>
    <m/>
    <m/>
    <x v="3"/>
    <m/>
    <s v="CONSTRUCCIÓN DE OBRAS DE ARTE EN LA VÍA CHIRIHUALA-CHANGAIMINA "/>
    <x v="0"/>
    <s v="GONZANAMA"/>
    <s v="CHANGAIMINA"/>
    <s v="AD. DIRECTA"/>
    <s v="VIALSUR"/>
    <x v="1"/>
    <x v="0"/>
    <n v="0"/>
    <s v="Señalizacion con Balizas Reflectivas"/>
    <s v="UNIDAD"/>
    <n v="11.32"/>
    <n v="29"/>
    <m/>
    <d v="2014-01-01T00:00:00"/>
    <d v="2014-02-28T00:00:00"/>
    <s v="EJECUTADO"/>
    <n v="328.28"/>
    <n v="328.28"/>
    <n v="0"/>
    <m/>
    <m/>
  </r>
  <r>
    <m/>
    <m/>
    <x v="1"/>
    <s v="LIMPIEZA DE DERRUMBES EN LA VIA GONZANAMÁ QUILANGA"/>
    <s v="LIMPIEZA DE DERRUMBES EN LA VIA GONZANAMÁ QUILANGA"/>
    <x v="0"/>
    <s v="QUILANGA"/>
    <s v="QUILANGA"/>
    <s v="AD. DIRECTA"/>
    <s v="VIALSUR"/>
    <x v="1"/>
    <x v="0"/>
    <n v="0"/>
    <s v="Limpieza de derrumbes a máquina"/>
    <s v="m3"/>
    <n v="1.46"/>
    <n v="120"/>
    <m/>
    <d v="2014-03-01T00:00:00"/>
    <d v="2014-03-31T00:00:00"/>
    <s v="EJECUTADO"/>
    <n v="175.2"/>
    <n v="171.6"/>
    <n v="5.3999999999999915"/>
    <m/>
    <m/>
  </r>
  <r>
    <m/>
    <m/>
    <x v="1"/>
    <s v="LIMPIEZA DE DERRUMBES EN LA VIA LLANO GRANDE - LUJINUMA"/>
    <s v="LIMPIEZA DE DERRUMBES EN LA VIA LLANO GRANDE - LUJINUMA"/>
    <x v="0"/>
    <s v="QUILANGA"/>
    <s v="QUILANGA"/>
    <s v="AD. DIRECTA"/>
    <s v="VIALSUR"/>
    <x v="1"/>
    <x v="0"/>
    <n v="0"/>
    <s v="Limpieza de derrumbes a máquina"/>
    <s v="m3"/>
    <n v="1.46"/>
    <n v="50"/>
    <m/>
    <d v="2014-03-01T00:00:00"/>
    <d v="2014-03-31T00:00:00"/>
    <s v="EJECUTADO"/>
    <n v="73"/>
    <n v="71.5"/>
    <n v="2.25"/>
    <m/>
    <m/>
  </r>
  <r>
    <m/>
    <m/>
    <x v="1"/>
    <s v="LIMPIEZA DE DERRUMBES EN LA VIA COMBOLO - POTRERILLOS"/>
    <s v="LIMPIEZA DE DERRUMBES EN LA VIA COMBOLO - POTRERILLOS"/>
    <x v="0"/>
    <s v="QUILANGA"/>
    <s v="QUILANGA"/>
    <s v="AD. DIRECTA"/>
    <s v="VIALSUR"/>
    <x v="1"/>
    <x v="0"/>
    <n v="0"/>
    <s v="Limpieza de derrumbes a máquina"/>
    <s v="m3"/>
    <n v="1.46"/>
    <n v="1960"/>
    <m/>
    <d v="2014-03-01T00:00:00"/>
    <d v="2014-03-31T00:00:00"/>
    <s v="EJECUTADO"/>
    <n v="2861.6"/>
    <n v="2802.8"/>
    <n v="88.199999999999591"/>
    <m/>
    <m/>
  </r>
  <r>
    <m/>
    <m/>
    <x v="1"/>
    <s v="LIMPIEZA DE DERRUMBES EN LA VIA CHIRIHUALA - CHANGAIMINA"/>
    <s v="LIMPIEZA DE DERRUMBES EN LA VIA CHIRIHUALA - CHANGAIMINA"/>
    <x v="0"/>
    <s v="GONZANAMA"/>
    <s v="CHANGAIMINA"/>
    <s v="AD. DIRECTA"/>
    <s v="VIALSUR"/>
    <x v="1"/>
    <x v="0"/>
    <n v="0"/>
    <s v="Limpieza de derrumbes a máquina"/>
    <s v="m3"/>
    <n v="1.46"/>
    <n v="250"/>
    <m/>
    <d v="2014-03-01T00:00:00"/>
    <d v="2014-03-31T00:00:00"/>
    <s v="EJECUTADO"/>
    <n v="365"/>
    <n v="357.5"/>
    <n v="11.25"/>
    <m/>
    <m/>
  </r>
  <r>
    <m/>
    <m/>
    <x v="1"/>
    <s v="LIMPIEZA DE DERRUMBES EN LA VIA ACCESO PRINCIPAL A SACAPALCA"/>
    <s v="LIMPIEZA DE DERRUMBES EN LA VIA ACCESO PRINCIPAL A SACAPALCA"/>
    <x v="0"/>
    <s v="GONZANAMA"/>
    <s v="SACAPALCA"/>
    <s v="AD. DIRECTA"/>
    <s v="VIALSUR"/>
    <x v="1"/>
    <x v="0"/>
    <n v="0"/>
    <s v="Limpieza de derrumbes a máquina"/>
    <s v="m3"/>
    <n v="1.46"/>
    <n v="250"/>
    <m/>
    <d v="2014-03-01T00:00:00"/>
    <d v="2014-03-31T00:00:00"/>
    <s v="EJECUTADO"/>
    <n v="365"/>
    <n v="357.5"/>
    <n v="11.25"/>
    <m/>
    <m/>
  </r>
  <r>
    <m/>
    <m/>
    <x v="1"/>
    <s v="RESANTEO Y LIMPIEZA DE DERRUMBES EN LA VIA NAMBACOLA-GERINOMA-CUCULAS"/>
    <s v="RESANTEO Y LIMPIEZA DE DERRUMBES EN LA VIA NAMBACOLA-GERINOMA-CUCULAS"/>
    <x v="0"/>
    <s v="GONZANAMA"/>
    <s v="NAMBACOLA"/>
    <s v="AD. DIRECTA"/>
    <s v="VIALSUR"/>
    <x v="1"/>
    <x v="4"/>
    <n v="0"/>
    <s v="Rasanteo y conformacion de cunetas con motoniveladora"/>
    <s v="m2"/>
    <n v="0.08"/>
    <n v="90000"/>
    <m/>
    <d v="2014-03-01T00:00:00"/>
    <d v="2014-03-31T00:00:00"/>
    <s v="EJECUTADO"/>
    <n v="7200"/>
    <n v="7200"/>
    <n v="0"/>
    <m/>
    <m/>
  </r>
  <r>
    <m/>
    <m/>
    <x v="1"/>
    <s v="RESANTEO Y LIMPIEZA DE CUNETAS EN LA VIA NAMBACOLA- PEÑA NEGRA"/>
    <s v="RESANTEO Y LIMPIEZA DE CUNETAS EN LA VIA NAMBACOLA- PEÑA NEGRA"/>
    <x v="0"/>
    <s v="GONZANAMA"/>
    <s v="NAMBACOLA"/>
    <s v="AD. DIRECTA"/>
    <s v="VIALSUR"/>
    <x v="1"/>
    <x v="5"/>
    <n v="0"/>
    <s v="Rasanteo y conformacion de cunetas con motoniveladora"/>
    <s v="m2"/>
    <n v="0.08"/>
    <n v="24750"/>
    <m/>
    <d v="2014-01-04T00:00:00"/>
    <d v="2014-04-30T00:00:00"/>
    <s v="EJECUTADO"/>
    <n v="1980"/>
    <n v="1980"/>
    <n v="0"/>
    <m/>
    <m/>
  </r>
  <r>
    <m/>
    <m/>
    <x v="1"/>
    <s v="RESANTEO Y LIMPIEZA DE CUNETAS EN LA VIA LANZACA - GRANJA DEPROSUR"/>
    <s v="RESANTEO Y LIMPIEZA DE CUNETAS EN LA VIA LANZACA - GRANJA DEPROSUR"/>
    <x v="0"/>
    <s v="GONZANAMA"/>
    <s v="NAMBACOLA"/>
    <s v="AD. DIRECTA"/>
    <s v="VIALSUR"/>
    <x v="1"/>
    <x v="6"/>
    <n v="0"/>
    <s v="Rasanteo y conformacion de cunetas con motoniveladora"/>
    <s v="m2"/>
    <n v="0.08"/>
    <n v="5000"/>
    <m/>
    <d v="2014-01-04T00:00:00"/>
    <d v="2014-04-30T00:00:00"/>
    <s v="EJECUTADO"/>
    <n v="400"/>
    <n v="400"/>
    <n v="0"/>
    <m/>
    <m/>
  </r>
  <r>
    <m/>
    <m/>
    <x v="1"/>
    <s v="RESANTEO Y LIMPIEZA DE CUNETAS EN LA VIA NAMBACOLA - LA CALERA - LA CALERA ALTO "/>
    <s v="RESANTEO Y LIMPIEZA DE CUNETAS EN LA VIA NAMBACOLA - LA CALERA - LA CALERA ALTO "/>
    <x v="0"/>
    <s v="GONZANAMA"/>
    <s v="NAMBACOLA"/>
    <s v="AD. DIRECTA"/>
    <s v="VIALSUR"/>
    <x v="1"/>
    <x v="7"/>
    <n v="0"/>
    <s v="Rasanteo y conformacion de cunetas con motoniveladora"/>
    <s v="m2"/>
    <n v="0.08"/>
    <n v="9900"/>
    <m/>
    <d v="2014-01-04T00:00:00"/>
    <d v="2014-04-30T00:00:00"/>
    <s v="EJECUTADO"/>
    <n v="792"/>
    <n v="792"/>
    <n v="0"/>
    <m/>
    <m/>
  </r>
  <r>
    <m/>
    <m/>
    <x v="1"/>
    <s v="RESANTEO Y LIMPIEZA DE CUNETAS EN LA VIA GERINOMA ALTO ILLIACA"/>
    <s v="RESANTEO Y LIMPIEZA DE CUNETAS EN LA VIA GERINOMA ALTO ILLIACA"/>
    <x v="0"/>
    <s v="GONZANAMA"/>
    <s v="NAMBACOLA"/>
    <s v="AD. DIRECTA"/>
    <s v="VIALSUR"/>
    <x v="1"/>
    <x v="8"/>
    <n v="0"/>
    <s v="Rasanteo y conformacion de cunetas con motoniveladora"/>
    <s v="m2"/>
    <n v="0.08"/>
    <n v="5500"/>
    <m/>
    <d v="2014-01-04T00:00:00"/>
    <d v="2014-04-30T00:00:00"/>
    <s v="EJECUTADO"/>
    <n v="440"/>
    <n v="440"/>
    <n v="0"/>
    <m/>
    <m/>
  </r>
  <r>
    <m/>
    <m/>
    <x v="1"/>
    <s v="LIMPIEZA DE DERRUMBES EN LA VIA LA HUACA - SACAPALCA - Y BACHEO CON LASTRES"/>
    <s v="LIMPIEZA DE DERRUMBES EN LA VIA LA HUACA - SACAPALCA - Y BACHEO CON LASTRES"/>
    <x v="0"/>
    <s v="GONZANAMA"/>
    <s v="SACAPALCA"/>
    <s v="AD. DIRECTA"/>
    <s v="VIALSUR"/>
    <x v="1"/>
    <x v="0"/>
    <n v="0"/>
    <s v="Limpieza de derrumbes a máquina"/>
    <s v="m3"/>
    <n v="1.46"/>
    <n v="720"/>
    <m/>
    <d v="2014-01-04T00:00:00"/>
    <d v="2014-04-30T00:00:00"/>
    <s v="EJECUTADO"/>
    <n v="1051.2"/>
    <n v="1029.5999999999999"/>
    <n v="32.400000000000205"/>
    <m/>
    <m/>
  </r>
  <r>
    <m/>
    <m/>
    <x v="0"/>
    <m/>
    <s v="LIMPIEZA DE DERRUMBES EN LA VIA LA HUACA - SACAPALCA - Y BACHEO CON LASTRES"/>
    <x v="0"/>
    <s v="GONZANAMA"/>
    <s v="SACAPALCA"/>
    <s v="AD. DIRECTA"/>
    <s v="VIALSUR"/>
    <x v="1"/>
    <x v="0"/>
    <n v="0"/>
    <s v="Transporte de material para mejoramiento, inc. cargado"/>
    <s v="m3/km"/>
    <n v="0.35"/>
    <n v="720"/>
    <m/>
    <d v="2014-01-04T00:00:00"/>
    <d v="2014-04-30T00:00:00"/>
    <s v="EJECUTADO"/>
    <n v="252"/>
    <n v="252"/>
    <n v="0"/>
    <m/>
    <m/>
  </r>
  <r>
    <m/>
    <m/>
    <x v="1"/>
    <s v="LIMPIEZA DE DERRUMBES EN LA VIA AYASAPA - CHANGAIMINA Y BACHEO CON LASTRE"/>
    <s v="LIMPIEZA DE DERRUMBES EN LA VIA AYASAPA - CHANGAIMINA Y BACHEO CON LASTRE"/>
    <x v="0"/>
    <s v="GONZANAMA"/>
    <s v="CHANGAIMINA"/>
    <s v="AD. DIRECTA"/>
    <s v="VIALSUR"/>
    <x v="1"/>
    <x v="0"/>
    <n v="0"/>
    <s v="Limpieza de derrumbes a máquina"/>
    <s v="m3"/>
    <n v="1.46"/>
    <n v="280"/>
    <m/>
    <d v="2014-01-04T00:00:00"/>
    <d v="2014-04-30T00:00:00"/>
    <s v="EJECUTADO"/>
    <n v="408.8"/>
    <n v="400.4"/>
    <n v="12.600000000000051"/>
    <m/>
    <m/>
  </r>
  <r>
    <m/>
    <m/>
    <x v="0"/>
    <m/>
    <s v="LIMPIEZA DE DERRUMBES EN LA VIA AYASAPA - CHANGAIMINA Y BACHEO CON LASTRE"/>
    <x v="0"/>
    <s v="GONZANAMA"/>
    <s v="CHANGAIMINA"/>
    <s v="AD. DIRECTA"/>
    <s v="VIALSUR"/>
    <x v="1"/>
    <x v="0"/>
    <n v="0"/>
    <s v="Transporte de material para mejoramiento, inc. cargado"/>
    <s v="m3/km"/>
    <n v="0.35"/>
    <n v="2160"/>
    <m/>
    <d v="2014-01-04T00:00:00"/>
    <d v="2014-04-30T00:00:00"/>
    <s v="EJECUTADO"/>
    <n v="756"/>
    <n v="756"/>
    <n v="0"/>
    <m/>
    <m/>
  </r>
  <r>
    <m/>
    <m/>
    <x v="1"/>
    <s v="RECONFORMACIÓN Y LIMPIEZA DE CUNETAS EN LA VIA PRINCIPAL - YACURA"/>
    <s v="RECONFORMACIÓN Y LIMPIEZA DE CUNETAS EN LA VIA PRINCIPAL - YACURA"/>
    <x v="0"/>
    <s v="GONZANAMA"/>
    <s v="CHANGAIMINA"/>
    <s v="AD. DIRECTA"/>
    <s v="VIALSUR"/>
    <x v="1"/>
    <x v="9"/>
    <n v="0"/>
    <s v="Acabado de Obra Básica existente"/>
    <s v="m2"/>
    <n v="0.35"/>
    <n v="9000"/>
    <m/>
    <d v="2014-04-01T00:00:00"/>
    <d v="2014-04-30T00:00:00"/>
    <s v="EJECUTADO"/>
    <n v="3150"/>
    <n v="3150"/>
    <n v="0"/>
    <m/>
    <m/>
  </r>
  <r>
    <m/>
    <m/>
    <x v="1"/>
    <s v="RECONFORMACIÓN Y LIMPIEZA DE CUNETAS EN LA VIA EL LIMON - CARBONERA - PLATANAL"/>
    <s v="RECONFORMACIÓN Y LIMPIEZA DE CUNETAS EN LA VIA EL LIMON - CARBONERA - PLATANAL"/>
    <x v="0"/>
    <s v="GONZANAMA"/>
    <s v="NAMBACOLA"/>
    <s v="AD. DIRECTA"/>
    <s v="VIALSUR"/>
    <x v="1"/>
    <x v="10"/>
    <n v="0"/>
    <s v="Acabado de Obra Básica existente"/>
    <s v="m2"/>
    <n v="0.35"/>
    <n v="20000"/>
    <m/>
    <d v="2014-04-01T00:00:00"/>
    <d v="2014-04-30T00:00:00"/>
    <s v="EJECUTADO"/>
    <n v="7000"/>
    <n v="7000"/>
    <n v="0"/>
    <m/>
    <m/>
  </r>
  <r>
    <m/>
    <m/>
    <x v="1"/>
    <s v="RECONFORMACIÓN Y LIMPIEZA DE CUNETAS EN LA VIA PRINCIPAL - PIEDRA GRANDE"/>
    <s v="RECONFORMACIÓN Y LIMPIEZA DE CUNETAS EN LA VIA PRINCIPAL - PIEDRA GRANDE"/>
    <x v="0"/>
    <s v="GONZANAMA"/>
    <s v="NAMBACOLA"/>
    <s v="AD. DIRECTA"/>
    <s v="VIALSUR"/>
    <x v="1"/>
    <x v="6"/>
    <n v="0"/>
    <s v="Acabado de Obra Básica existente"/>
    <s v="m2"/>
    <n v="0.35"/>
    <n v="5000"/>
    <m/>
    <d v="2014-04-01T00:00:00"/>
    <d v="2014-04-30T00:00:00"/>
    <s v="EJECUTADO"/>
    <n v="1750"/>
    <n v="1750"/>
    <n v="0"/>
    <m/>
    <m/>
  </r>
  <r>
    <m/>
    <m/>
    <x v="1"/>
    <s v="RECONFORMACIÓN Y LIMPIEZA DE CUNETAS EN LA VIA MOLLEPAMBA BAJO - MOLLEPAMBA ALTO"/>
    <s v="RECONFORMACIÓN Y LIMPIEZA DE CUNETAS EN LA VIA MOLLEPAMBA BAJO - MOLLEPAMBA ALTO"/>
    <x v="0"/>
    <s v="GONZANAMA"/>
    <s v="NAMBACOLA"/>
    <s v="AD. DIRECTA"/>
    <s v="VIALSUR"/>
    <x v="1"/>
    <x v="1"/>
    <n v="0"/>
    <s v="Acabado de Obra Básica existente"/>
    <s v="m2"/>
    <n v="0.35"/>
    <n v="6000"/>
    <m/>
    <d v="2014-04-01T00:00:00"/>
    <d v="2014-04-30T00:00:00"/>
    <s v="EJECUTADO"/>
    <n v="2100"/>
    <n v="2100"/>
    <n v="0"/>
    <m/>
    <m/>
  </r>
  <r>
    <m/>
    <m/>
    <x v="1"/>
    <s v="RECONFORMACION, BACHEO Y LIMPIEZA DE CUNETAS EN LA VIA ACCESO PRINCIPAL A LA PARROQUIA NAMBACOLA"/>
    <s v="RECONFORMACION, BACHEO Y LIMPIEZA DE CUNETAS EN LA VIA ACCESO PRINCIPAL A LA PARROQUIA NAMBACOLA"/>
    <x v="0"/>
    <s v="GONZANAMA"/>
    <s v="NAMBACOLA"/>
    <s v="AD. DIRECTA"/>
    <s v="VIALSUR"/>
    <x v="1"/>
    <x v="11"/>
    <n v="0"/>
    <s v="Acabado de Obra Básica existente"/>
    <s v="m2"/>
    <n v="0.35"/>
    <n v="22750"/>
    <m/>
    <d v="2014-01-05T00:00:00"/>
    <d v="2014-05-31T00:00:00"/>
    <s v="EJECUTADO"/>
    <n v="7962.5"/>
    <m/>
    <n v="11943.75"/>
    <m/>
    <m/>
  </r>
  <r>
    <m/>
    <m/>
    <x v="0"/>
    <m/>
    <s v="RECONFORMACION, BACHEO Y LIMPIEZA DE CUNETAS EN LA VIA ACCESO PRINCIPAL A LA PARROQUIA NAMBACOLA"/>
    <x v="0"/>
    <s v="GONZANAMA"/>
    <s v="NAMBACOLA"/>
    <s v="AD. DIRECTA"/>
    <s v="VIALSUR"/>
    <x v="1"/>
    <x v="0"/>
    <n v="0"/>
    <s v="Transporte de material para mejoramiento, inc cargado"/>
    <s v="m3"/>
    <n v="0.35"/>
    <n v="3774"/>
    <m/>
    <d v="2014-01-05T00:00:00"/>
    <d v="2014-05-31T00:00:00"/>
    <s v="EJECUTADO"/>
    <n v="1320.9"/>
    <m/>
    <n v="1981.3500000000001"/>
    <m/>
    <m/>
  </r>
  <r>
    <m/>
    <m/>
    <x v="1"/>
    <s v="RECONFORMACION, BACHEO Y LIMPIEZA DE CUNETAS EN LA VIA SACAPALCA CHANGAIMINA"/>
    <s v="RECONFORMACION, BACHEO Y LIMPIEZA DE CUNETAS EN LA VIA SACAPALCA CHANGAIMINA"/>
    <x v="0"/>
    <s v="GONZANAMA"/>
    <s v="SACAPALCA"/>
    <s v="AD. DIRECTA"/>
    <s v="VIALSUR"/>
    <x v="1"/>
    <x v="12"/>
    <n v="0"/>
    <s v="Acabado de Obra Básica existente"/>
    <s v="m2"/>
    <n v="0.35"/>
    <n v="117000"/>
    <m/>
    <d v="2014-06-01T00:00:00"/>
    <d v="2014-06-30T00:00:00"/>
    <s v="EJECUTADO"/>
    <n v="40950"/>
    <m/>
    <n v="61425"/>
    <m/>
    <m/>
  </r>
  <r>
    <m/>
    <m/>
    <x v="0"/>
    <m/>
    <s v="RECONFORMACION, BACHEO Y LIMPIEZA DE CUNETAS EN LA VIA SACAPALCA CHANGAIMINA"/>
    <x v="0"/>
    <s v="GONZANAMA"/>
    <s v="SACAPALCA"/>
    <s v="AD. DIRECTA"/>
    <s v="VIALSUR"/>
    <x v="1"/>
    <x v="0"/>
    <n v="0"/>
    <s v="Transporte de material para mejoramiento, inc cargado"/>
    <s v="m3"/>
    <n v="0.35"/>
    <n v="31590"/>
    <m/>
    <d v="2014-06-01T00:00:00"/>
    <d v="2014-06-30T00:00:00"/>
    <s v="EJECUTADO"/>
    <n v="11056.5"/>
    <m/>
    <n v="16584.75"/>
    <m/>
    <m/>
  </r>
  <r>
    <m/>
    <m/>
    <x v="1"/>
    <s v="RECONFORMACION, BACHEO Y LIMPIEZA DE CUNETAS EN LA VIA SUNAMANGA SACAPALCA"/>
    <s v="RECONFORMACION, BACHEO Y LIMPIEZA DE CUNETAS EN LA VIA SUNAMANGA SACAPALCA"/>
    <x v="0"/>
    <s v="GONZANAMA"/>
    <s v="SACAPALCA"/>
    <s v="AD. DIRECTA"/>
    <s v="VIALSUR"/>
    <x v="1"/>
    <x v="13"/>
    <n v="0"/>
    <s v="Acabado de Obra Básica existente"/>
    <s v="m2"/>
    <n v="0.35"/>
    <n v="84000"/>
    <m/>
    <d v="2014-09-01T00:00:00"/>
    <d v="2014-09-30T00:00:00"/>
    <s v="EJECUTADO"/>
    <n v="29400"/>
    <m/>
    <n v="44100"/>
    <m/>
    <m/>
  </r>
  <r>
    <m/>
    <m/>
    <x v="0"/>
    <m/>
    <s v="RECONFORMACION, BACHEO Y LIMPIEZA DE CUNETAS EN LA VIA SUNAMANGA SACAPALCA"/>
    <x v="0"/>
    <s v="GONZANAMA"/>
    <s v="SACAPALCA"/>
    <s v="AD. DIRECTA"/>
    <s v="VIALSUR"/>
    <x v="1"/>
    <x v="0"/>
    <n v="0"/>
    <s v="Transporte de material para mejoramiento, inc cargado"/>
    <s v="m3"/>
    <n v="0.35"/>
    <n v="22680"/>
    <m/>
    <d v="2014-09-01T00:00:00"/>
    <d v="2014-09-30T00:00:00"/>
    <s v="EJECUTADO"/>
    <n v="7938"/>
    <m/>
    <n v="11907"/>
    <m/>
    <m/>
  </r>
  <r>
    <m/>
    <m/>
    <x v="1"/>
    <s v="RECONFORMACION, BACHEO Y LIMPIEZA DE CUNETAS EN LA VIA SACAPALCA SAN VICENTE DEL RIO"/>
    <s v="RECONFORMACION, BACHEO Y LIMPIEZA DE CUNETAS EN LA VIA SACAPALCA SAN VICENTE DEL RIO"/>
    <x v="0"/>
    <s v="GONZANAMA"/>
    <s v="SACAPALCA"/>
    <s v="AD. DIRECTA"/>
    <s v="VIALSUR"/>
    <x v="1"/>
    <x v="14"/>
    <n v="0"/>
    <s v="Acabado de Obra Básica existente"/>
    <s v="m2"/>
    <n v="0.35"/>
    <n v="48000"/>
    <m/>
    <d v="2014-09-01T00:00:00"/>
    <d v="2014-09-30T00:00:00"/>
    <s v="EJECUTADO"/>
    <n v="16800"/>
    <m/>
    <n v="25200"/>
    <m/>
    <m/>
  </r>
  <r>
    <m/>
    <m/>
    <x v="0"/>
    <m/>
    <s v="RECONFORMACION, BACHEO Y LIMPIEZA DE CUNETAS EN LA VIA SACAPALCA SAN VICENTE DEL RIO"/>
    <x v="0"/>
    <s v="GONZANAMA"/>
    <s v="SACAPALCA"/>
    <s v="AD. DIRECTA"/>
    <s v="VIALSUR"/>
    <x v="1"/>
    <x v="0"/>
    <n v="0"/>
    <s v="Transporte de material para mejoramiento, inc cargado"/>
    <s v="m3"/>
    <n v="0.35"/>
    <n v="12960"/>
    <m/>
    <d v="2014-09-01T00:00:00"/>
    <d v="2014-09-30T00:00:00"/>
    <s v="EJECUTADO"/>
    <n v="4536"/>
    <m/>
    <n v="6804"/>
    <m/>
    <m/>
  </r>
  <r>
    <m/>
    <m/>
    <x v="1"/>
    <s v="RECONFORMACION, BACHEO Y LIMPIEZA DE CUNETAS EN LA VIA SACAPALCA  CHIRIMOYO"/>
    <s v="RECONFORMACION, BACHEO Y LIMPIEZA DE CUNETAS EN LA VIA SACAPALCA  CHIRIMOYO"/>
    <x v="0"/>
    <s v="GONZANAMA"/>
    <s v="SACAPALCA"/>
    <s v="AD. DIRECTA"/>
    <s v="VIALSUR"/>
    <x v="1"/>
    <x v="15"/>
    <n v="0"/>
    <s v="Acabado de Obra Básica existente"/>
    <s v="m2"/>
    <n v="0.35"/>
    <n v="12000"/>
    <m/>
    <d v="2014-09-01T00:00:00"/>
    <d v="2014-09-30T00:00:00"/>
    <s v="EJECUTADO"/>
    <n v="4200"/>
    <m/>
    <n v="6300"/>
    <m/>
    <m/>
  </r>
  <r>
    <m/>
    <m/>
    <x v="0"/>
    <m/>
    <s v="RECONFORMACION, BACHEO Y LIMPIEZA DE CUNETAS EN LA VIA SACAPALCA  CHIRIMOYO"/>
    <x v="0"/>
    <s v="GONZANAMA"/>
    <s v="SACAPALCA"/>
    <s v="AD. DIRECTA"/>
    <s v="VIALSUR"/>
    <x v="1"/>
    <x v="0"/>
    <n v="0"/>
    <s v="Transporte de material para mejoramiento, inc cargado"/>
    <s v="m3"/>
    <n v="0.35"/>
    <n v="3240"/>
    <m/>
    <d v="2014-09-01T00:00:00"/>
    <d v="2014-09-30T00:00:00"/>
    <s v="EJECUTADO"/>
    <n v="1134"/>
    <m/>
    <n v="1701"/>
    <m/>
    <m/>
  </r>
  <r>
    <m/>
    <m/>
    <x v="1"/>
    <s v="RECONFORMACION, BACHEO Y LIMPIEZA DE CUNETAS EN LA VIA CHIRIMOYO LIMON VEGA"/>
    <s v="RECONFORMACION, BACHEO Y LIMPIEZA DE CUNETAS EN LA VIA CHIRIMOYO LIMON VEGA"/>
    <x v="0"/>
    <s v="GONZANAMA"/>
    <s v="SACAPALCA"/>
    <s v="AD. DIRECTA"/>
    <s v="VIALSUR"/>
    <x v="1"/>
    <x v="16"/>
    <n v="0"/>
    <s v="Acabado de Obra Básica existente"/>
    <s v="m2"/>
    <n v="0.35"/>
    <n v="60000"/>
    <m/>
    <d v="2014-09-01T00:00:00"/>
    <d v="2014-09-30T00:00:00"/>
    <s v="EJECUTADO"/>
    <n v="21000"/>
    <m/>
    <n v="31500"/>
    <m/>
    <m/>
  </r>
  <r>
    <m/>
    <m/>
    <x v="0"/>
    <m/>
    <s v="RECONFORMACION, BACHEO Y LIMPIEZA DE CUNETAS EN LA VIA CHIRIMOYO LIMON VEGA"/>
    <x v="0"/>
    <s v="GONZANAMA"/>
    <s v="SACAPALCA"/>
    <s v="AD. DIRECTA"/>
    <s v="VIALSUR"/>
    <x v="1"/>
    <x v="0"/>
    <n v="0"/>
    <s v="Transporte de material para mejoramiento, inc cargado"/>
    <s v="m3"/>
    <n v="0.35"/>
    <n v="16200"/>
    <m/>
    <d v="2014-09-01T00:00:00"/>
    <d v="2014-09-30T00:00:00"/>
    <s v="EJECUTADO"/>
    <n v="5670"/>
    <m/>
    <n v="8505"/>
    <m/>
    <m/>
  </r>
  <r>
    <m/>
    <m/>
    <x v="1"/>
    <s v="TRABAJOS EMERGENTES PARA RAZANTEO Y LIMPIEZA DE CUNETAS BARRIO EL INGENIO"/>
    <s v="TRABAJOS EMERGENTES PARA RAZANTEO Y LIMPIEZA DE CUNETAS BARRIO EL INGENIO"/>
    <x v="0"/>
    <s v="ESPINDOLA"/>
    <s v="EL INGENIO"/>
    <s v="AD. DIRECTA"/>
    <s v="VIALSUR"/>
    <x v="1"/>
    <x v="17"/>
    <n v="0"/>
    <s v="Rasanteo y conformacion de cunetas con motoniveladora"/>
    <s v="m2"/>
    <n v="0.08"/>
    <n v="36000"/>
    <m/>
    <d v="2014-09-01T00:00:00"/>
    <d v="2014-09-30T00:00:00"/>
    <s v="EJECUTADO"/>
    <n v="2880"/>
    <n v="2880"/>
    <n v="0"/>
    <m/>
    <m/>
  </r>
  <r>
    <m/>
    <m/>
    <x v="0"/>
    <s v="AMPLIACIÓN DE CURVAS Y DE VIA EN EL BARRIO EL GUABO"/>
    <s v="AMPLIACIÓN DE CURVAS Y DE VIA EN EL BARRIO EL GUABO"/>
    <x v="0"/>
    <s v="ESPINDOLA"/>
    <s v="EL INGENIO"/>
    <s v="AD. DIRECTA"/>
    <s v="VIALSUR"/>
    <x v="1"/>
    <x v="0"/>
    <n v="0"/>
    <s v="Excavación sin clasificar a máquina"/>
    <s v="m3"/>
    <n v="1.62"/>
    <n v="8000"/>
    <m/>
    <d v="2014-09-01T00:00:00"/>
    <d v="2014-09-30T00:00:00"/>
    <s v="EJECUTADO"/>
    <n v="12960"/>
    <n v="10080"/>
    <n v="4320"/>
    <m/>
    <m/>
  </r>
  <r>
    <m/>
    <m/>
    <x v="0"/>
    <s v="MEJORAMIENTO DE LA VIA BARRIO EL GUABO - COLOCACION DE MATERIAL DE MEJORAMIENTO EN TRAMOS CRITICOS"/>
    <s v="MEJORAMIENTO DE LA VIA BARRIO EL GUABO - COLOCACION DE MATERIAL DE MEJORAMIENTO EN TRAMOS CRITICOS"/>
    <x v="0"/>
    <s v="ESPINDOLA"/>
    <s v="AMALUZA"/>
    <s v="AD. DIRECTA"/>
    <s v="VIALSUR"/>
    <x v="1"/>
    <x v="0"/>
    <n v="0"/>
    <s v="Excavacion sin clasificar a maquina (explotación de material)"/>
    <s v="m3"/>
    <n v="1.62"/>
    <n v="3000"/>
    <m/>
    <d v="2014-09-01T00:00:00"/>
    <d v="2014-09-30T00:00:00"/>
    <s v="EJECUTADO"/>
    <n v="4860"/>
    <n v="3150"/>
    <n v="2565"/>
    <m/>
    <m/>
  </r>
  <r>
    <m/>
    <m/>
    <x v="0"/>
    <m/>
    <s v="MEJORAMIENTO DE LA VIA BARRIO EL GUABO - COLOCACION DE MATERIAL DE MEJORAMIENTO EN TRAMOS CRITICOS"/>
    <x v="0"/>
    <s v="ESPINDOLA"/>
    <s v="AMALUZA"/>
    <s v="AD. DIRECTA"/>
    <s v="VIALSUR"/>
    <x v="1"/>
    <x v="0"/>
    <n v="0"/>
    <s v="Transporte de material para mejoramiento, inc. cargado"/>
    <s v="m3/km"/>
    <n v="0.35"/>
    <n v="3000"/>
    <m/>
    <d v="2014-09-01T00:00:00"/>
    <d v="2014-09-30T00:00:00"/>
    <s v="EJECUTADO"/>
    <n v="1050"/>
    <n v="612.5"/>
    <n v="656.25"/>
    <m/>
    <m/>
  </r>
  <r>
    <m/>
    <m/>
    <x v="0"/>
    <m/>
    <s v="MEJORAMIENTO DE LA VIA BARRIO EL GUABO - COLOCACION DE MATERIAL DE MEJORAMIENTO EN TRAMOS CRITICOS"/>
    <x v="0"/>
    <s v="ESPINDOLA"/>
    <s v="AMALUZA"/>
    <s v="AD. DIRECTA"/>
    <s v="VIALSUR"/>
    <x v="1"/>
    <x v="18"/>
    <n v="0"/>
    <s v="Mejoramiento de la subrasante con suelo seleccionado"/>
    <s v="m3"/>
    <n v="5.92"/>
    <n v="3000"/>
    <m/>
    <d v="2014-09-01T00:00:00"/>
    <d v="2014-09-30T00:00:00"/>
    <s v="EJECUTADO"/>
    <n v="17760"/>
    <n v="11075"/>
    <n v="10027.5"/>
    <m/>
    <m/>
  </r>
  <r>
    <m/>
    <m/>
    <x v="0"/>
    <s v="MEJORAMIENTO DE LA VIA BARRIO CONSAGUANA"/>
    <s v="MEJORAMIENTO DE LA VIA BARRIO CONSAGUANA"/>
    <x v="0"/>
    <s v="ESPINDOLA"/>
    <s v="AMALUZA"/>
    <s v="AD. DIRECTA"/>
    <s v="VIALSUR"/>
    <x v="1"/>
    <x v="0"/>
    <n v="0"/>
    <s v="Excavacion sin clasificar a maquina (explotación de material)"/>
    <s v="m3"/>
    <n v="1.62"/>
    <n v="2598"/>
    <m/>
    <d v="2014-09-01T00:00:00"/>
    <d v="2014-09-30T00:00:00"/>
    <s v="EJECUTADO"/>
    <n v="4208.76"/>
    <m/>
    <n v="6313.14"/>
    <m/>
    <m/>
  </r>
  <r>
    <m/>
    <m/>
    <x v="0"/>
    <m/>
    <s v="MEJORAMIENTO DE LA VIA BARRIO CONSAGUANA"/>
    <x v="0"/>
    <s v="ESPINDOLA"/>
    <s v="AMALUZA"/>
    <s v="AD. DIRECTA"/>
    <s v="VIALSUR"/>
    <x v="1"/>
    <x v="0"/>
    <n v="0"/>
    <s v="Transporte de material para mejoramiento, inc. cargado"/>
    <s v="m3/km"/>
    <n v="0.35"/>
    <n v="4724"/>
    <m/>
    <d v="2014-09-01T00:00:00"/>
    <d v="2014-09-30T00:00:00"/>
    <s v="EJECUTADO"/>
    <n v="1653.4"/>
    <m/>
    <n v="2480.1"/>
    <m/>
    <m/>
  </r>
  <r>
    <m/>
    <m/>
    <x v="0"/>
    <m/>
    <s v="MEJORAMIENTO DE LA VIA BARRIO CONSAGUANA"/>
    <x v="0"/>
    <s v="ESPINDOLA"/>
    <s v="AMALUZA"/>
    <s v="AD. DIRECTA"/>
    <s v="VIALSUR"/>
    <x v="1"/>
    <x v="19"/>
    <n v="0"/>
    <s v="Mejoramiento de la subrasante con suelo seleccionado"/>
    <s v="m3"/>
    <n v="5.92"/>
    <n v="2362"/>
    <m/>
    <d v="2014-09-01T00:00:00"/>
    <d v="2014-09-30T00:00:00"/>
    <s v="EJECUTADO"/>
    <n v="13983.04"/>
    <m/>
    <n v="20974.560000000001"/>
    <m/>
    <m/>
  </r>
  <r>
    <m/>
    <m/>
    <x v="1"/>
    <s v="TRABAJOS EMERGENTES DE LIMPIEZA DE DERRUMBES PARROQUIA EL AIRO; PARROQUIA SANTA TERESITA_x000a_"/>
    <s v="TRABAJOS EMERGENTES DE LIMPIEZA DE DERRUMBES PARROQUIA EL AIRO; PARROQUIA SANTA TERESITA_x000a_"/>
    <x v="0"/>
    <s v="ESPINDOLA"/>
    <s v="SANTA TERESITA EL AIRO"/>
    <s v="AD. DIRECTA"/>
    <s v="VIALSUR"/>
    <x v="1"/>
    <x v="0"/>
    <n v="0"/>
    <s v="Limpieza de derrumbes a máquina"/>
    <s v="m3"/>
    <n v="1.46"/>
    <n v="2500"/>
    <m/>
    <d v="2014-09-01T00:00:00"/>
    <d v="2014-09-30T00:00:00"/>
    <s v="EJECUTADO"/>
    <n v="3650"/>
    <m/>
    <n v="5475"/>
    <m/>
    <m/>
  </r>
  <r>
    <s v="1"/>
    <s v="EJECUTADO"/>
    <x v="1"/>
    <s v="MANTENIMIENTO DE VIAS DE LA PARROQUIA BELLAVISTA"/>
    <s v="MANTENIMIENTO DE VIAS DE LA PARROQUIA BELLAVISTA"/>
    <x v="0"/>
    <s v="ESPINDOLA"/>
    <s v="BELLAVISTA"/>
    <s v="AD. DIRECTA"/>
    <s v="VIALSUR"/>
    <x v="1"/>
    <x v="0"/>
    <n v="0"/>
    <s v="Limpieza de derrumbes a máquina"/>
    <s v="m3"/>
    <n v="1.46"/>
    <n v="4000"/>
    <m/>
    <d v="2014-09-01T00:00:00"/>
    <d v="2014-09-30T00:00:00"/>
    <s v="EJECUTADO"/>
    <n v="5840"/>
    <m/>
    <n v="8760"/>
    <m/>
    <m/>
  </r>
  <r>
    <s v="2"/>
    <s v="EJECUTADO"/>
    <x v="1"/>
    <s v="MANTENIMIENTO DE VIAS DE LA PARROQUIA JIMBURA"/>
    <s v="MANTENIMIENTO DE VIAS DE LA PARROQUIA JIMBURA"/>
    <x v="0"/>
    <s v="ESPINDOLA"/>
    <s v="JIMBURA"/>
    <s v="AD. DIRECTA"/>
    <s v="VIALSUR"/>
    <x v="1"/>
    <x v="0"/>
    <n v="0"/>
    <s v="Limpieza de derrumbes a máquina"/>
    <s v="m3"/>
    <n v="1.46"/>
    <n v="3000"/>
    <m/>
    <d v="2014-09-01T00:00:00"/>
    <d v="2014-09-30T00:00:00"/>
    <s v="EJECUTADO"/>
    <n v="4380"/>
    <m/>
    <n v="6570"/>
    <m/>
    <m/>
  </r>
  <r>
    <m/>
    <m/>
    <x v="0"/>
    <s v="MEJORAMIENTO DE LA VIA LA NARANJA BATALLADEROS"/>
    <s v="MEJORAMIENTO DE LA VIA LA NARANJA BATALLADEROS"/>
    <x v="0"/>
    <s v="ESPINDOLA"/>
    <s v="27 DE ABRIL"/>
    <s v="AD. DIRECTA"/>
    <s v="VIALSUR"/>
    <x v="1"/>
    <x v="16"/>
    <n v="0"/>
    <s v="Excavacion sin clasificar a maquina (explotación de material)"/>
    <s v="m3"/>
    <n v="1.62"/>
    <n v="1000"/>
    <m/>
    <d v="2014-09-01T00:00:00"/>
    <d v="2014-09-30T00:00:00"/>
    <s v="EJECUTADO"/>
    <n v="1620"/>
    <n v="4354.5600000000004"/>
    <n v="-4101.84"/>
    <m/>
    <m/>
  </r>
  <r>
    <m/>
    <m/>
    <x v="0"/>
    <m/>
    <s v="MEJORAMIENTO DE LA VIA LA NARANJA BATALLADEROS"/>
    <x v="0"/>
    <s v="ESPINDOLA"/>
    <s v="27 DE ABRIL"/>
    <s v="AD. DIRECTA"/>
    <s v="VIALSUR"/>
    <x v="1"/>
    <x v="0"/>
    <n v="0"/>
    <s v="Transporte de material para mejoramiento, inc. cargado"/>
    <s v="m3/km"/>
    <n v="0.35"/>
    <n v="2880"/>
    <m/>
    <d v="2014-09-01T00:00:00"/>
    <d v="2014-09-30T00:00:00"/>
    <s v="EJECUTADO"/>
    <n v="1008"/>
    <n v="15724.8"/>
    <n v="-22075.199999999997"/>
    <m/>
    <m/>
  </r>
  <r>
    <m/>
    <m/>
    <x v="0"/>
    <m/>
    <s v="MEJORAMIENTO DE LA VIA LA NARANJA BATALLADEROS"/>
    <x v="0"/>
    <s v="ESPINDOLA"/>
    <s v="27 DE ABRIL"/>
    <s v="AD. DIRECTA"/>
    <s v="VIALSUR"/>
    <x v="1"/>
    <x v="0"/>
    <n v="0"/>
    <s v="Mejoramiento de la subrasante con suelo seleccionado"/>
    <s v="m2"/>
    <n v="4.43"/>
    <n v="1440"/>
    <m/>
    <d v="2014-09-01T00:00:00"/>
    <d v="2014-09-30T00:00:00"/>
    <s v="EJECUTADO"/>
    <n v="6379.2"/>
    <n v="6370"/>
    <n v="13.799999999999727"/>
    <m/>
    <m/>
  </r>
  <r>
    <m/>
    <m/>
    <x v="0"/>
    <s v="MEJORAMIENTO DE LA VIA LA NARANJA EL SAUCO"/>
    <s v="MEJORAMIENTO DE LA VIA LA NARANJA EL SAUCO"/>
    <x v="0"/>
    <s v="ESPINDOLA"/>
    <s v="27 DE ABRIL"/>
    <s v="AD. DIRECTA"/>
    <s v="VIALSUR"/>
    <x v="1"/>
    <x v="0"/>
    <n v="0"/>
    <s v="Excavacion sin clasificar a maquina (explotación de material)"/>
    <s v="m3"/>
    <n v="1.62"/>
    <n v="12000"/>
    <m/>
    <d v="2014-09-01T00:00:00"/>
    <d v="2014-09-30T00:00:00"/>
    <s v="EJECUTADO"/>
    <n v="19440"/>
    <n v="4354.5600000000004"/>
    <n v="22628.159999999996"/>
    <m/>
    <m/>
  </r>
  <r>
    <m/>
    <m/>
    <x v="0"/>
    <m/>
    <s v="MEJORAMIENTO DE LA VIA LA NARANJA EL SAUCO"/>
    <x v="0"/>
    <s v="ESPINDOLA"/>
    <s v="27 DE ABRIL"/>
    <s v="AD. DIRECTA"/>
    <s v="VIALSUR"/>
    <x v="1"/>
    <x v="0"/>
    <n v="0"/>
    <s v="Transporte de material para mejoramiento, inc. cargado"/>
    <s v="m3/km"/>
    <n v="0.35"/>
    <n v="1800"/>
    <m/>
    <d v="2014-09-01T00:00:00"/>
    <d v="2014-09-30T00:00:00"/>
    <s v="EJECUTADO"/>
    <n v="630"/>
    <n v="15724.8"/>
    <n v="280"/>
    <m/>
    <m/>
  </r>
  <r>
    <m/>
    <m/>
    <x v="0"/>
    <m/>
    <s v="MEJORAMIENTO DE LA VIA LA NARANJA EL SAUCO"/>
    <x v="0"/>
    <s v="ESPINDOLA"/>
    <s v="27 DE ABRIL"/>
    <s v="AD. DIRECTA"/>
    <s v="VIALSUR"/>
    <x v="1"/>
    <x v="0"/>
    <n v="0"/>
    <s v="Mejoramiento de la subrasante con suelo seleccionado"/>
    <s v="m2"/>
    <n v="4.43"/>
    <n v="1800"/>
    <m/>
    <d v="2014-09-01T00:00:00"/>
    <d v="2014-09-30T00:00:00"/>
    <s v="EJECUTADO"/>
    <n v="7974"/>
    <n v="6370"/>
    <n v="2406"/>
    <m/>
    <m/>
  </r>
  <r>
    <m/>
    <m/>
    <x v="0"/>
    <s v="MEJORAMIENTO DE LA VIA LA NARANJA LA VEGA"/>
    <s v="MEJORAMIENTO DE LA VIA LA NARANJA LA VEGA"/>
    <x v="0"/>
    <s v="ESPINDOLA"/>
    <s v="27 DE ABRIL"/>
    <s v="AD. DIRECTA"/>
    <s v="VIALSUR"/>
    <x v="1"/>
    <x v="0"/>
    <n v="0"/>
    <s v="Excavacion sin clasificar a maquina (explotación de material)"/>
    <s v="m3"/>
    <n v="1.62"/>
    <n v="0"/>
    <m/>
    <d v="2014-09-01T00:00:00"/>
    <d v="2014-09-30T00:00:00"/>
    <s v="EJECUTADO"/>
    <n v="0"/>
    <n v="4354.5600000000004"/>
    <n v="-6531.8400000000011"/>
    <m/>
    <m/>
  </r>
  <r>
    <m/>
    <m/>
    <x v="0"/>
    <m/>
    <s v="MEJORAMIENTO DE LA VIA LA NARANJA LA VEGA"/>
    <x v="0"/>
    <s v="ESPINDOLA"/>
    <s v="27 DE ABRIL"/>
    <s v="AD. DIRECTA"/>
    <s v="VIALSUR"/>
    <x v="1"/>
    <x v="0"/>
    <n v="0"/>
    <s v="Transporte de material para mejoramiento, inc. cargado"/>
    <s v="m3/km"/>
    <n v="0.35"/>
    <n v="4050"/>
    <m/>
    <d v="2014-09-01T00:00:00"/>
    <d v="2014-09-30T00:00:00"/>
    <s v="EJECUTADO"/>
    <n v="1417.5"/>
    <n v="15724.8"/>
    <n v="280"/>
    <m/>
    <m/>
  </r>
  <r>
    <m/>
    <m/>
    <x v="0"/>
    <m/>
    <s v="MEJORAMIENTO DE LA VIA LA NARANJA LA VEGA"/>
    <x v="0"/>
    <s v="ESPINDOLA"/>
    <s v="27 DE ABRIL"/>
    <s v="AD. DIRECTA"/>
    <s v="VIALSUR"/>
    <x v="1"/>
    <x v="0"/>
    <n v="0"/>
    <s v="Mejoramiento de la subrasante con suelo seleccionado"/>
    <s v="m2"/>
    <n v="4.43"/>
    <n v="2700"/>
    <m/>
    <d v="2014-09-01T00:00:00"/>
    <d v="2014-09-30T00:00:00"/>
    <s v="EJECUTADO"/>
    <n v="11961"/>
    <n v="6370"/>
    <n v="8386.5"/>
    <m/>
    <m/>
  </r>
  <r>
    <m/>
    <m/>
    <x v="0"/>
    <s v="MEJORAMIENTO DE LA VIA LA NARANJA PINDO BAJO"/>
    <s v="MEJORAMIENTO DE LA VIA LA NARANJA PINDO BAJO"/>
    <x v="0"/>
    <s v="ESPINDOLA"/>
    <s v="27 DE ABRIL"/>
    <s v="AD. DIRECTA"/>
    <s v="VIALSUR"/>
    <x v="1"/>
    <x v="0"/>
    <n v="0"/>
    <s v="Excavacion sin clasificar a maquina (explotación de material)"/>
    <s v="m3"/>
    <n v="1.62"/>
    <n v="3000"/>
    <m/>
    <d v="2014-09-01T00:00:00"/>
    <d v="2014-09-30T00:00:00"/>
    <s v="EJECUTADO"/>
    <n v="4860"/>
    <n v="4354.5600000000004"/>
    <n v="758.1599999999994"/>
    <m/>
    <m/>
  </r>
  <r>
    <m/>
    <m/>
    <x v="0"/>
    <m/>
    <s v="MEJORAMIENTO DE LA VIA LA NARANJA PINDO BAJO"/>
    <x v="0"/>
    <s v="ESPINDOLA"/>
    <s v="27 DE ABRIL"/>
    <s v="AD. DIRECTA"/>
    <s v="VIALSUR"/>
    <x v="1"/>
    <x v="0"/>
    <n v="0"/>
    <s v="Transporte de material para mejoramiento, inc. cargado"/>
    <s v="m3/km"/>
    <n v="0.35"/>
    <n v="3375"/>
    <m/>
    <d v="2014-09-01T00:00:00"/>
    <d v="2014-09-30T00:00:00"/>
    <s v="EJECUTADO"/>
    <n v="1181.25"/>
    <n v="15724.8"/>
    <n v="280"/>
    <m/>
    <m/>
  </r>
  <r>
    <m/>
    <m/>
    <x v="0"/>
    <m/>
    <s v="MEJORAMIENTO DE LA VIA LA NARANJA PINDO BAJO"/>
    <x v="0"/>
    <s v="ESPINDOLA"/>
    <s v="27 DE ABRIL"/>
    <s v="AD. DIRECTA"/>
    <s v="VIALSUR"/>
    <x v="1"/>
    <x v="0"/>
    <n v="0"/>
    <s v="Mejoramiento de la subrasante con suelo seleccionado"/>
    <s v="m2"/>
    <n v="4.43"/>
    <n v="2250"/>
    <m/>
    <d v="2014-09-01T00:00:00"/>
    <d v="2014-09-30T00:00:00"/>
    <s v="EJECUTADO"/>
    <n v="9967.5"/>
    <n v="6370"/>
    <n v="5396.25"/>
    <m/>
    <m/>
  </r>
  <r>
    <m/>
    <m/>
    <x v="0"/>
    <s v="RECONFORMACIÓN DE LA VIA SAN ANTONIO DE LAS ARADAS - QUEBRADA QUIROZ (L TOTAL = 5,4KM, TRABAJO EJECUTADO)"/>
    <s v="RECONFORMACIÓN DE LA VIA SAN ANTONIO DE LAS ARADAS - QUEBRADA QUIROZ (L TOTAL = 5,4KM, TRABAJO EJECUTADO)"/>
    <x v="0"/>
    <s v="QUILANGA"/>
    <s v="SANANTONIODELASARADAS"/>
    <s v="AD. DIRECTA"/>
    <s v="VIALSUR"/>
    <x v="3"/>
    <x v="0"/>
    <n v="709"/>
    <s v="Excavacion sin clasificar a maquina (explotación de material)"/>
    <s v="m3"/>
    <n v="1.62"/>
    <n v="3456"/>
    <m/>
    <d v="2014-01-01T00:00:00"/>
    <d v="2014-01-31T00:00:00"/>
    <s v="EJECUTADO"/>
    <n v="5598.72"/>
    <n v="4354.5600000000004"/>
    <n v="1866.2399999999998"/>
    <m/>
    <m/>
  </r>
  <r>
    <m/>
    <m/>
    <x v="0"/>
    <m/>
    <s v="RECONFORMACIÓN DE LA VIA SAN ANTONIO DE LAS ARADAS - QUEBRADA QUIROZ (L TOTAL = 5,4KM, TRABAJO EJECUTADO)"/>
    <x v="0"/>
    <s v="QUILANGA"/>
    <s v="SANANTONIODELASARADAS"/>
    <s v="AD. DIRECTA"/>
    <s v="VIALSUR"/>
    <x v="1"/>
    <x v="0"/>
    <n v="0"/>
    <s v="Transporte de material para mejoramiento, inc. cargado"/>
    <s v="m3/km"/>
    <n v="0.35"/>
    <n v="44928"/>
    <m/>
    <d v="2014-01-01T00:00:00"/>
    <d v="2014-01-31T00:00:00"/>
    <s v="EJECUTADO"/>
    <n v="15724.8"/>
    <n v="15724.8"/>
    <n v="0"/>
    <m/>
    <m/>
  </r>
  <r>
    <m/>
    <m/>
    <x v="1"/>
    <m/>
    <s v="RECONFORMACIÓN DE LA VIA SAN ANTONIO DE LAS ARADAS - QUEBRADA QUIROZ (L TOTAL = 5,4KM, TRABAJO EJECUTADO)"/>
    <x v="0"/>
    <s v="QUILANGA"/>
    <s v="SANANTONIODELASARADAS"/>
    <s v="AD. DIRECTA"/>
    <s v="VIALSUR"/>
    <x v="1"/>
    <x v="20"/>
    <n v="0"/>
    <s v="Acabado de Obra Básica existente"/>
    <s v="m2"/>
    <n v="0.35"/>
    <n v="18200"/>
    <m/>
    <d v="2014-01-01T00:00:00"/>
    <d v="2014-01-31T00:00:00"/>
    <s v="EJECUTADO"/>
    <n v="6370"/>
    <n v="6370"/>
    <n v="0"/>
    <m/>
    <m/>
  </r>
  <r>
    <m/>
    <m/>
    <x v="0"/>
    <s v="MANTENIMIENTO DE LA VIA &quot; COLAISACA-PULPERIA&quot;, PARROQUIA COLAISACA, CANTON CALVAS"/>
    <s v="MANTENIMIENTO DE LA VIA &quot; COLAISACA-PULPERIA&quot;, PARROQUIA COLAISACA, CANTON CALVAS"/>
    <x v="0"/>
    <s v="CALVAS"/>
    <s v="COLAISACA"/>
    <s v="AD. DIRECTA"/>
    <s v="VIALSUR"/>
    <x v="4"/>
    <x v="0"/>
    <n v="1712"/>
    <s v="Excavacion sin clasificar a maquina (explotación de material)"/>
    <s v="m3"/>
    <n v="1.62"/>
    <n v="4974"/>
    <m/>
    <d v="2014-01-01T00:00:00"/>
    <d v="2014-01-31T00:00:00"/>
    <s v="EJECUTADO"/>
    <n v="8057.88"/>
    <n v="6267.24"/>
    <n v="2685.9600000000005"/>
    <m/>
    <m/>
  </r>
  <r>
    <m/>
    <m/>
    <x v="0"/>
    <m/>
    <s v="MANTENIMIENTO DE LA VIA &quot; COLAISACA-PULPERIA&quot;, PARROQUIA COLAISACA, CANTON CALVAS"/>
    <x v="0"/>
    <s v="CALVAS"/>
    <s v="COLAISACA"/>
    <s v="AD. DIRECTA"/>
    <s v="VIALSUR"/>
    <x v="1"/>
    <x v="0"/>
    <n v="0"/>
    <s v="Transporte de material para mejoramiento, inc. cargado"/>
    <s v="m3/km"/>
    <n v="0.35"/>
    <n v="24626"/>
    <m/>
    <d v="2014-01-01T00:00:00"/>
    <d v="2014-03-31T00:00:00"/>
    <s v="EJECUTADO"/>
    <n v="8619.1"/>
    <n v="8619.1"/>
    <n v="0"/>
    <m/>
    <m/>
  </r>
  <r>
    <m/>
    <m/>
    <x v="1"/>
    <m/>
    <s v="MANTENIMIENTO DE LA VIA &quot; COLAISACA-PULPERIA&quot;, PARROQUIA COLAISACA, CANTON CALVAS"/>
    <x v="0"/>
    <s v="CALVAS"/>
    <s v="COLAISACA"/>
    <s v="AD. DIRECTA"/>
    <s v="VIALSUR"/>
    <x v="1"/>
    <x v="21"/>
    <n v="0"/>
    <s v="Acabado de Obra Básica existente"/>
    <s v="m2"/>
    <n v="0.35"/>
    <n v="28500"/>
    <m/>
    <d v="2014-01-01T00:00:00"/>
    <d v="2014-03-31T00:00:00"/>
    <s v="EJECUTADO"/>
    <n v="9975"/>
    <n v="9975"/>
    <n v="0"/>
    <m/>
    <m/>
  </r>
  <r>
    <m/>
    <m/>
    <x v="0"/>
    <m/>
    <s v="MANTENIMIENTO DE LA VIA &quot; COLAISACA-PULPERIA&quot;, PARROQUIA COLAISACA, CANTON CALVAS"/>
    <x v="0"/>
    <s v="CALVAS"/>
    <s v="COLAISACA"/>
    <s v="AD. DIRECTA"/>
    <s v="VIALSUR"/>
    <x v="1"/>
    <x v="22"/>
    <n v="0"/>
    <s v="Mejoramiento de la subrasante con suelo seleccionado"/>
    <s v="m3"/>
    <n v="5.92"/>
    <n v="3182"/>
    <m/>
    <d v="2014-01-01T00:00:00"/>
    <d v="2014-03-31T00:00:00"/>
    <s v="EJECUTADO"/>
    <n v="18837.439999999999"/>
    <n v="14096.26"/>
    <n v="7111.7699999999977"/>
    <m/>
    <m/>
  </r>
  <r>
    <m/>
    <m/>
    <x v="0"/>
    <s v="APERTURA DE VIA SECTOR DE QUIZANGA Y AMPLIACION EN OTRAS PARTES DEL TRAMO SANGUILLIN - LUCERO (Longitud 100m)"/>
    <s v="APERTURA DE VIA SECTOR DE QUIZANGA Y AMPLIACION EN OTRAS PARTES DEL TRAMO SANGUILLIN - LUCERO (Longitud 100m)"/>
    <x v="0"/>
    <s v="CALVAS"/>
    <s v="SANGUILLÍN"/>
    <s v="AD. DIRECTA"/>
    <s v="VIALSUR"/>
    <x v="5"/>
    <x v="0"/>
    <n v="1506"/>
    <s v="Excavacion sin clasificar a maquina (explotación de material)"/>
    <s v="m3"/>
    <n v="1.62"/>
    <n v="6712"/>
    <m/>
    <d v="2014-01-01T00:00:00"/>
    <d v="2014-04-30T00:00:00"/>
    <s v="EJECUTADO"/>
    <n v="10873.44"/>
    <n v="8457.1200000000008"/>
    <n v="3624.4799999999996"/>
    <m/>
    <m/>
  </r>
  <r>
    <m/>
    <m/>
    <x v="0"/>
    <m/>
    <s v="APERTURA DE VIA SECTOR DE QUIZANGA Y AMPLIACION EN OTRAS PARTES DEL TRAMO SANGUILLIN - LUCERO (Longitud 100m)"/>
    <x v="0"/>
    <s v="CALVAS"/>
    <s v="SANGUILLÍN"/>
    <s v="AD. DIRECTA"/>
    <s v="VIALSUR"/>
    <x v="1"/>
    <x v="0"/>
    <n v="0"/>
    <s v="Transporte de material"/>
    <s v="m3/km"/>
    <n v="0.35"/>
    <n v="3720"/>
    <m/>
    <d v="2014-01-01T00:00:00"/>
    <d v="2014-04-30T00:00:00"/>
    <s v="EJECUTADO"/>
    <n v="1302"/>
    <n v="1302"/>
    <n v="0"/>
    <m/>
    <m/>
  </r>
  <r>
    <m/>
    <m/>
    <x v="1"/>
    <s v="MANTENIMIENTO DE EMERGENCIA A VIAS DE LA PARROQUIA TACAMOROS INICIA 7 MARZO 2014"/>
    <s v="MANTENIMIENTO DE EMERGENCIA A VIAS DE LA PARROQUIA TACAMOROS INICIA 7 MARZO 2014"/>
    <x v="0"/>
    <s v="SOZORANGA"/>
    <s v="TACAMOROS"/>
    <s v="AD. DIRECTA"/>
    <s v="VIALSUR"/>
    <x v="1"/>
    <x v="0"/>
    <n v="0"/>
    <s v="Limpieza de derrumbes a máquina"/>
    <s v="m3"/>
    <n v="1.46"/>
    <n v="1344"/>
    <m/>
    <d v="2014-01-01T00:00:00"/>
    <d v="2014-03-31T00:00:00"/>
    <s v="EJECUTADO"/>
    <n v="1962.24"/>
    <n v="1921.92"/>
    <n v="60.479999999999905"/>
    <m/>
    <m/>
  </r>
  <r>
    <m/>
    <m/>
    <x v="1"/>
    <m/>
    <s v="MANTENIMIENTO DE EMERGENCIA A VIAS DE LA PARROQUIA TACAMOROS INICIA 7 MARZO 2014"/>
    <x v="0"/>
    <s v="SOZORANGA"/>
    <s v="TACAMOROS"/>
    <s v="AD. DIRECTA"/>
    <s v="VIALSUR"/>
    <x v="1"/>
    <x v="0"/>
    <n v="0"/>
    <s v="Limpieza de alcantarillas y desalojo hasta 6m"/>
    <s v="m3"/>
    <n v="16.128"/>
    <n v="346.67"/>
    <m/>
    <d v="2014-01-01T00:00:00"/>
    <d v="2014-03-31T00:00:00"/>
    <s v="EJECUTADO"/>
    <n v="5591.09"/>
    <n v="5591.09"/>
    <n v="0"/>
    <m/>
    <m/>
  </r>
  <r>
    <m/>
    <m/>
    <x v="0"/>
    <s v="ENCAUSAMIENTO DE QUEBRADA TUNGANI"/>
    <s v="ENCAUSAMIENTO DE QUEBRADA TUNGANI"/>
    <x v="0"/>
    <s v="GONZANAMA"/>
    <s v="GONZANAMÁ"/>
    <s v="AD. DIRECTA"/>
    <s v="VIALSUR"/>
    <x v="1"/>
    <x v="0"/>
    <n v="0"/>
    <s v="Excavacion sin clasificar a maquina (explotación de material)"/>
    <s v="m3"/>
    <n v="1.62"/>
    <n v="500"/>
    <m/>
    <d v="2014-01-01T00:00:00"/>
    <d v="2014-03-31T00:00:00"/>
    <s v="EJECUTADO"/>
    <n v="810"/>
    <n v="630"/>
    <n v="270"/>
    <m/>
    <m/>
  </r>
  <r>
    <m/>
    <m/>
    <x v="0"/>
    <s v="MANTENIMIENTO DE LA VIA &quot; CARIAMANGA - SAN GUILLIN  DE LA PARROQUIA SAN GUILLIN, CANTON CALVAS&quot;"/>
    <s v="MANTENIMIENTO DE LA VIA &quot; CARIAMANGA - SAN GUILLIN  DE LA PARROQUIA SAN GUILLIN, CANTON CALVAS&quot;"/>
    <x v="0"/>
    <s v="CALVAS"/>
    <s v="SANGUILLÍN"/>
    <s v="AD. DIRECTA"/>
    <s v="VIALSUR"/>
    <x v="1"/>
    <x v="0"/>
    <n v="0"/>
    <s v="Excavación sin clasificar a maquina (explotación de material) "/>
    <s v="m3"/>
    <n v="1.62"/>
    <n v="7744"/>
    <m/>
    <d v="2014-04-01T00:00:00"/>
    <d v="2014-05-31T00:00:00"/>
    <s v="EJECUTADO"/>
    <n v="12545.28"/>
    <n v="8794.7999999999993"/>
    <n v="5625.7200000000021"/>
    <m/>
    <m/>
  </r>
  <r>
    <m/>
    <m/>
    <x v="0"/>
    <m/>
    <s v="MANTENIMIENTO DE LA VIA &quot; CARIAMANGA - SAN GUILLIN  DE LA PARROQUIA SAN GUILLIN, CANTON CALVAS&quot;"/>
    <x v="0"/>
    <s v="CALVAS"/>
    <s v="SANGUILLÍN"/>
    <s v="AD. DIRECTA"/>
    <s v="VIALSUR"/>
    <x v="1"/>
    <x v="0"/>
    <n v="0"/>
    <s v="Transporte de material para mejoramiento, inc cargado"/>
    <s v="m3/km"/>
    <n v="0.35"/>
    <n v="103483"/>
    <m/>
    <d v="2014-04-01T00:00:00"/>
    <d v="2014-05-31T00:00:00"/>
    <s v="EJECUTADO"/>
    <n v="36219.050000000003"/>
    <n v="12215"/>
    <n v="36006.075000000004"/>
    <m/>
    <m/>
  </r>
  <r>
    <m/>
    <m/>
    <x v="1"/>
    <m/>
    <s v="MANTENIMIENTO DE LA VIA &quot; CARIAMANGA - SAN GUILLIN  DE LA PARROQUIA SAN GUILLIN, CANTON CALVAS&quot;"/>
    <x v="0"/>
    <s v="CALVAS"/>
    <s v="SANGUILLÍN"/>
    <s v="AD. DIRECTA"/>
    <s v="VIALSUR"/>
    <x v="1"/>
    <x v="23"/>
    <n v="0"/>
    <s v="Acabado de Obra Básica existente"/>
    <s v="m2"/>
    <n v="0.35"/>
    <n v="23600"/>
    <m/>
    <d v="2014-04-01T00:00:00"/>
    <d v="2014-05-31T00:00:00"/>
    <s v="EJECUTADO"/>
    <n v="8260"/>
    <n v="6202.98"/>
    <n v="3085.5300000000007"/>
    <m/>
    <m/>
  </r>
  <r>
    <m/>
    <m/>
    <x v="0"/>
    <m/>
    <s v="MANTENIMIENTO DE LA VIA &quot; CARIAMANGA - SAN GUILLIN  DE LA PARROQUIA SAN GUILLIN, CANTON CALVAS&quot;"/>
    <x v="0"/>
    <s v="CALVAS"/>
    <s v="SANGUILLÍN"/>
    <s v="AD. DIRECTA"/>
    <s v="VIALSUR"/>
    <x v="1"/>
    <x v="24"/>
    <n v="0"/>
    <s v="Mejoramiento de la subrasante con suelo seleccionado"/>
    <s v="m3"/>
    <n v="5.92"/>
    <n v="7744"/>
    <m/>
    <d v="2014-04-01T00:00:00"/>
    <d v="2014-05-31T00:00:00"/>
    <s v="EJECUTADO"/>
    <n v="45844.480000000003"/>
    <n v="30921.4"/>
    <n v="22384.620000000003"/>
    <m/>
    <m/>
  </r>
  <r>
    <m/>
    <m/>
    <x v="1"/>
    <m/>
    <s v="MANTENIMIENTO DE LA VIA &quot; CARIAMANGA - SAN GUILLIN  DE LA PARROQUIA SAN GUILLIN, CANTON CALVAS&quot;"/>
    <x v="0"/>
    <s v="CALVAS"/>
    <s v="SANGUILLÍN"/>
    <s v="AD. DIRECTA"/>
    <s v="VIALSUR"/>
    <x v="1"/>
    <x v="0"/>
    <n v="0"/>
    <s v="Limpieza de derrumbes a máquina"/>
    <s v="m3"/>
    <n v="1.46"/>
    <n v="600"/>
    <m/>
    <d v="2014-04-01T00:00:00"/>
    <d v="2014-05-31T00:00:00"/>
    <s v="EJECUTADO"/>
    <n v="876"/>
    <n v="858"/>
    <n v="27"/>
    <m/>
    <m/>
  </r>
  <r>
    <m/>
    <m/>
    <x v="1"/>
    <m/>
    <s v="MANTENIMIENTO DE LA VIA &quot; CARIAMANGA - SAN GUILLIN  DE LA PARROQUIA SAN GUILLIN, CANTON CALVAS&quot;"/>
    <x v="0"/>
    <s v="CALVAS"/>
    <s v="SANGUILLÍN"/>
    <s v="AD. DIRECTA"/>
    <s v="VIALSUR"/>
    <x v="1"/>
    <x v="0"/>
    <n v="0"/>
    <s v="Limpieza de alcantarillas y desalojo hasta 6m"/>
    <s v="m3"/>
    <n v="16.13"/>
    <n v="1240"/>
    <m/>
    <d v="2014-04-01T00:00:00"/>
    <d v="2014-05-31T00:00:00"/>
    <s v="EJECUTADO"/>
    <n v="20001.2"/>
    <n v="645.20000000000005"/>
    <n v="29034"/>
    <m/>
    <m/>
  </r>
  <r>
    <m/>
    <m/>
    <x v="1"/>
    <m/>
    <s v="MANTENIMIENTO DE LA VIA &quot; CARIAMANGA - SAN GUILLIN  DE LA PARROQUIA SAN GUILLIN, CANTON CALVAS&quot;"/>
    <x v="0"/>
    <s v="CALVAS"/>
    <s v="SANGUILLÍN"/>
    <s v="AD. DIRECTA"/>
    <s v="VIALSUR"/>
    <x v="1"/>
    <x v="0"/>
    <n v="0"/>
    <s v="Rasanteo y conformacion de cunetas con motoniveladora"/>
    <s v="m2"/>
    <n v="0.08"/>
    <n v="167323"/>
    <m/>
    <d v="2014-01-05T00:00:00"/>
    <d v="2014-05-31T00:00:00"/>
    <s v="EJECUTADO"/>
    <n v="13385.84"/>
    <m/>
    <n v="20078.760000000002"/>
    <m/>
    <m/>
  </r>
  <r>
    <s v="3"/>
    <s v="EJECUTADO"/>
    <x v="0"/>
    <s v="Mejoramiento de la Vía  SAN GUILLIN-QUIZANGA DE LA PARROQUIA SAN GUILLIN, CANTON CALVAS"/>
    <s v="Mejoramiento de la Vía  SAN GUILLIN-QUIZANGA DE LA PARROQUIA SAN GUILLIN, CANTON CALVAS"/>
    <x v="0"/>
    <s v="CALVAS"/>
    <s v="SANGUILLÍN"/>
    <s v="AD. DIRECTA"/>
    <s v="VIALSUR"/>
    <x v="6"/>
    <x v="0"/>
    <n v="1506"/>
    <s v="Excavacion sin clasificar a maquina (explotación de material)"/>
    <s v="m3"/>
    <n v="1.62"/>
    <n v="1848"/>
    <m/>
    <d v="2014-07-01T00:00:00"/>
    <d v="2014-07-31T00:00:00"/>
    <s v="EJECUTADO"/>
    <n v="2993.76"/>
    <m/>
    <n v="4490.6400000000003"/>
    <m/>
    <m/>
  </r>
  <r>
    <m/>
    <m/>
    <x v="0"/>
    <m/>
    <s v="Mejoramiento de la Vía  SAN GUILLIN-QUIZANGA DE LA PARROQUIA SAN GUILLIN, CANTON CALVAS"/>
    <x v="0"/>
    <s v="CALVAS"/>
    <s v="SANGUILLÍN"/>
    <s v="AD. DIRECTA"/>
    <s v="VIALSUR"/>
    <x v="1"/>
    <x v="0"/>
    <n v="0"/>
    <s v="Transporte de material para mejoramiento, inc. cargado"/>
    <s v="m3/km"/>
    <n v="0.35"/>
    <n v="3696"/>
    <m/>
    <d v="2014-07-01T00:00:00"/>
    <d v="2014-07-31T00:00:00"/>
    <s v="EJECUTADO"/>
    <n v="1293.5999999999999"/>
    <m/>
    <n v="1940.3999999999999"/>
    <m/>
    <m/>
  </r>
  <r>
    <m/>
    <m/>
    <x v="1"/>
    <m/>
    <s v="Mejoramiento de la Vía  SAN GUILLIN-QUIZANGA DE LA PARROQUIA SAN GUILLIN, CANTON CALVAS"/>
    <x v="0"/>
    <s v="CALVAS"/>
    <s v="SANGUILLÍN"/>
    <s v="AD. DIRECTA"/>
    <s v="VIALSUR"/>
    <x v="1"/>
    <x v="2"/>
    <n v="0"/>
    <s v="Acabado de la obra básica existente"/>
    <s v="m2"/>
    <n v="0.35"/>
    <n v="18000"/>
    <m/>
    <d v="2014-07-01T00:00:00"/>
    <d v="2014-07-31T00:00:00"/>
    <s v="EJECUTADO"/>
    <n v="6300"/>
    <m/>
    <n v="9450"/>
    <m/>
    <m/>
  </r>
  <r>
    <m/>
    <m/>
    <x v="0"/>
    <m/>
    <s v="Mejoramiento de la Vía  SAN GUILLIN-QUIZANGA DE LA PARROQUIA SAN GUILLIN, CANTON CALVAS"/>
    <x v="0"/>
    <s v="CALVAS"/>
    <s v="SANGUILLÍN"/>
    <s v="AD. DIRECTA"/>
    <s v="VIALSUR"/>
    <x v="1"/>
    <x v="25"/>
    <n v="0"/>
    <s v="Mejoramiento de la subrasante con suelo seleccionado"/>
    <s v="m3"/>
    <n v="5.92"/>
    <n v="1848"/>
    <m/>
    <d v="2014-07-01T00:00:00"/>
    <d v="2014-07-31T00:00:00"/>
    <s v="EJECUTADO"/>
    <n v="10940.16"/>
    <m/>
    <n v="16410.239999999998"/>
    <m/>
    <m/>
  </r>
  <r>
    <s v="4"/>
    <s v="EJECUTADO"/>
    <x v="1"/>
    <s v="MANTENIMIENTO DE EMERGENCIA A VIAS DE LA PARROQUIA COLAISACA"/>
    <s v="MANTENIMIENTO DE EMERGENCIA A VIAS DE LA PARROQUIA COLAISACA"/>
    <x v="0"/>
    <s v="CALVAS"/>
    <s v="COLAISACA"/>
    <s v="AD. DIRECTA"/>
    <s v="VIALSUR"/>
    <x v="1"/>
    <x v="0"/>
    <n v="0"/>
    <s v="Limpieza de derrumbes a máquina"/>
    <s v="m3"/>
    <n v="1.46"/>
    <n v="8516"/>
    <m/>
    <d v="2014-07-01T00:00:00"/>
    <d v="2014-07-31T00:00:00"/>
    <s v="EJECUTADO"/>
    <n v="12433.36"/>
    <m/>
    <n v="18650.04"/>
    <m/>
    <m/>
  </r>
  <r>
    <s v="5"/>
    <s v="EJECUTADO"/>
    <x v="0"/>
    <s v="Mejoramiento de la Vía  SAN GUILLIN-USAIMA DE LA PARROQUIA SAN GUILLIN, CANTON CALVAS"/>
    <s v="Mejoramiento de la Vía  SAN GUILLIN-USAIMA DE LA PARROQUIA SAN GUILLIN, CANTON CALVAS"/>
    <x v="0"/>
    <s v="CALVAS"/>
    <s v="SANGUILLÍN"/>
    <s v="AD. DIRECTA"/>
    <s v="VIALSUR"/>
    <x v="4"/>
    <x v="0"/>
    <n v="1506"/>
    <s v="Excavacion sin clasificar a maquina (explotación de material)"/>
    <s v="m3"/>
    <n v="1.62"/>
    <n v="672"/>
    <m/>
    <d v="2014-07-01T00:00:00"/>
    <d v="2014-07-31T00:00:00"/>
    <s v="EJECUTADO"/>
    <n v="1088.6400000000001"/>
    <m/>
    <n v="1632.9600000000003"/>
    <m/>
    <m/>
  </r>
  <r>
    <m/>
    <m/>
    <x v="0"/>
    <m/>
    <s v="Mejoramiento de la Vía  SAN GUILLIN-USAIMA DE LA PARROQUIA SAN GUILLIN, CANTON CALVAS"/>
    <x v="0"/>
    <s v="CALVAS"/>
    <s v="SANGUILLÍN"/>
    <s v="AD. DIRECTA"/>
    <s v="VIALSUR"/>
    <x v="1"/>
    <x v="0"/>
    <n v="0"/>
    <s v="Transporte de material para mejoramiento, inc. cargado"/>
    <s v="m3/km"/>
    <n v="0.35"/>
    <n v="5376"/>
    <m/>
    <d v="2014-07-01T00:00:00"/>
    <d v="2014-07-31T00:00:00"/>
    <s v="EJECUTADO"/>
    <n v="1881.6"/>
    <m/>
    <n v="2822.3999999999996"/>
    <m/>
    <m/>
  </r>
  <r>
    <m/>
    <m/>
    <x v="1"/>
    <m/>
    <s v="Mejoramiento de la Vía  SAN GUILLIN-USAIMA DE LA PARROQUIA SAN GUILLIN, CANTON CALVAS"/>
    <x v="0"/>
    <s v="CALVAS"/>
    <s v="SANGUILLÍN"/>
    <s v="AD. DIRECTA"/>
    <s v="VIALSUR"/>
    <x v="1"/>
    <x v="26"/>
    <n v="0"/>
    <s v="Razanteo con Motoniveladora"/>
    <s v="m2"/>
    <n v="0.08"/>
    <n v="8147"/>
    <m/>
    <d v="2014-07-01T00:00:00"/>
    <d v="2014-07-31T00:00:00"/>
    <s v="EJECUTADO"/>
    <n v="651.76"/>
    <m/>
    <n v="977.64"/>
    <m/>
    <m/>
  </r>
  <r>
    <m/>
    <m/>
    <x v="0"/>
    <m/>
    <s v="Mejoramiento de la Vía  SAN GUILLIN-USAIMA DE LA PARROQUIA SAN GUILLIN, CANTON CALVAS"/>
    <x v="0"/>
    <s v="CALVAS"/>
    <s v="SANGUILLÍN"/>
    <s v="AD. DIRECTA"/>
    <s v="VIALSUR"/>
    <x v="1"/>
    <x v="27"/>
    <n v="0"/>
    <s v="Mejoramiento de la subrasante con suelo seleccionado"/>
    <s v="m3"/>
    <n v="5.92"/>
    <n v="560"/>
    <m/>
    <d v="2014-07-01T00:00:00"/>
    <d v="2014-07-31T00:00:00"/>
    <s v="EJECUTADO"/>
    <n v="3315.2"/>
    <m/>
    <n v="4972.7999999999993"/>
    <m/>
    <m/>
  </r>
  <r>
    <s v="6"/>
    <s v="EJECUTADO"/>
    <x v="0"/>
    <s v="Mejoramiento VIAL P. San Guillin :Camayos, San Joaquin,Chullafaique,Pasallal, CANTON CALVAS"/>
    <s v="Mejoramiento VIAL P. San Guillin :Camayos, San Joaquin,Chullafaique,Pasallal, CANTON CALVAS"/>
    <x v="0"/>
    <s v="CALVAS"/>
    <s v="SANGUILLÍN"/>
    <s v="AD. DIRECTA"/>
    <s v="VIALSUR"/>
    <x v="4"/>
    <x v="0"/>
    <n v="1506"/>
    <s v="Excavacion sin clasificar a maquina (explotación de material)"/>
    <s v="m3"/>
    <n v="1.62"/>
    <n v="1534"/>
    <m/>
    <d v="2014-07-01T00:00:00"/>
    <d v="2014-07-31T00:00:00"/>
    <s v="EJECUTADO"/>
    <n v="2485.08"/>
    <m/>
    <n v="3727.62"/>
    <m/>
    <m/>
  </r>
  <r>
    <m/>
    <m/>
    <x v="0"/>
    <m/>
    <s v="Mejoramiento VIAL P. San Guillin :Camayos, San Joaquin,Chullafaique,Pasallal, CANTON CALVAS"/>
    <x v="0"/>
    <s v="CALVAS"/>
    <s v="SANGUILLÍN"/>
    <s v="AD. DIRECTA"/>
    <s v="VIALSUR"/>
    <x v="1"/>
    <x v="0"/>
    <n v="0"/>
    <s v="Transporte de material para mejoramiento, inc. cargado"/>
    <s v="m3/km"/>
    <n v="0.35"/>
    <n v="4602"/>
    <m/>
    <d v="2014-07-01T00:00:00"/>
    <d v="2014-07-31T00:00:00"/>
    <s v="EJECUTADO"/>
    <n v="1610.7"/>
    <m/>
    <n v="2416.0499999999997"/>
    <m/>
    <m/>
  </r>
  <r>
    <m/>
    <m/>
    <x v="1"/>
    <m/>
    <s v="Mejoramiento VIAL P. San Guillin :Camayos, San Joaquin,Chullafaique,Pasallal, CANTON CALVAS"/>
    <x v="0"/>
    <s v="CALVAS"/>
    <s v="SANGUILLÍN"/>
    <s v="AD. DIRECTA"/>
    <s v="VIALSUR"/>
    <x v="1"/>
    <x v="28"/>
    <n v="0"/>
    <s v="Razanteo con Motoniveladora"/>
    <s v="m2"/>
    <n v="0.08"/>
    <n v="214500"/>
    <m/>
    <d v="2014-07-01T00:00:00"/>
    <d v="2014-07-31T00:00:00"/>
    <s v="EJECUTADO"/>
    <n v="17160"/>
    <m/>
    <n v="25740"/>
    <m/>
    <m/>
  </r>
  <r>
    <m/>
    <m/>
    <x v="0"/>
    <m/>
    <s v="Mejoramiento VIAL P. San Guillin :Camayos, San Joaquin,Chullafaique,Pasallal, CANTON CALVAS"/>
    <x v="0"/>
    <s v="CALVAS"/>
    <s v="SANGUILLÍN"/>
    <s v="AD. DIRECTA"/>
    <s v="VIALSUR"/>
    <x v="1"/>
    <x v="29"/>
    <n v="0"/>
    <s v="Mejoramiento de la subrasante con suelo seleccionado"/>
    <s v="m3"/>
    <n v="5.92"/>
    <n v="1534"/>
    <m/>
    <d v="2014-07-01T00:00:00"/>
    <d v="2014-07-31T00:00:00"/>
    <s v="EJECUTADO"/>
    <n v="9081.2800000000007"/>
    <m/>
    <n v="13621.920000000002"/>
    <m/>
    <m/>
  </r>
  <r>
    <m/>
    <m/>
    <x v="0"/>
    <s v="MANTENIMIENTO VIAL P. QUIZANGA - LUCERO"/>
    <s v="MANTENIMIENTO VIAL P. QUIZANGA - LUCERO"/>
    <x v="0"/>
    <s v="CALVAS"/>
    <s v="SANGUILLÍN"/>
    <s v="AD. DIRECTA"/>
    <s v="VIALSUR"/>
    <x v="1"/>
    <x v="0"/>
    <n v="0"/>
    <s v="Excavación sin clasificar a maquina (explotación de material) "/>
    <s v="m3"/>
    <n v="1.62"/>
    <m/>
    <m/>
    <d v="2014-06-01T00:00:00"/>
    <d v="2014-06-30T00:00:00"/>
    <s v="EJECUTADO"/>
    <n v="0"/>
    <m/>
    <n v="0"/>
    <m/>
    <m/>
  </r>
  <r>
    <m/>
    <m/>
    <x v="0"/>
    <m/>
    <s v="MANTENIMIENTO VIAL P. QUIZANGA - LUCERO"/>
    <x v="0"/>
    <s v="CALVAS"/>
    <s v="SANGUILLÍN"/>
    <s v="AD. DIRECTA"/>
    <s v="VIALSUR"/>
    <x v="1"/>
    <x v="0"/>
    <n v="0"/>
    <s v="Transporte de material para mejoramiento, inc cargado"/>
    <s v="m3/km"/>
    <n v="0.35"/>
    <n v="5670"/>
    <m/>
    <d v="2014-06-01T00:00:00"/>
    <d v="2014-06-30T00:00:00"/>
    <s v="EJECUTADO"/>
    <n v="1984.5"/>
    <m/>
    <n v="2976.75"/>
    <m/>
    <m/>
  </r>
  <r>
    <m/>
    <m/>
    <x v="1"/>
    <m/>
    <s v="MANTENIMIENTO VIAL P. QUIZANGA - LUCERO"/>
    <x v="0"/>
    <s v="CALVAS"/>
    <s v="SANGUILLÍN"/>
    <s v="AD. DIRECTA"/>
    <s v="VIALSUR"/>
    <x v="1"/>
    <x v="30"/>
    <n v="0"/>
    <s v="Acabado de Obra Básica existente"/>
    <s v="m2"/>
    <n v="0.35"/>
    <n v="27000"/>
    <m/>
    <d v="2014-06-01T00:00:00"/>
    <d v="2014-06-30T00:00:00"/>
    <s v="EJECUTADO"/>
    <n v="9450"/>
    <m/>
    <n v="14175"/>
    <m/>
    <m/>
  </r>
  <r>
    <m/>
    <m/>
    <x v="0"/>
    <m/>
    <s v="MANTENIMIENTO VIAL P. QUIZANGA - LUCERO"/>
    <x v="0"/>
    <s v="CALVAS"/>
    <s v="SANGUILLÍN"/>
    <s v="AD. DIRECTA"/>
    <s v="VIALSUR"/>
    <x v="1"/>
    <x v="31"/>
    <n v="0"/>
    <s v="Mejoramiento de la subrasante con suelo seleccionado"/>
    <s v="m3"/>
    <n v="5.92"/>
    <n v="1620"/>
    <m/>
    <d v="2014-06-01T00:00:00"/>
    <d v="2014-06-30T00:00:00"/>
    <s v="EJECUTADO"/>
    <n v="9590.4"/>
    <m/>
    <n v="14385.599999999999"/>
    <m/>
    <m/>
  </r>
  <r>
    <m/>
    <m/>
    <x v="0"/>
    <s v="CONVENIO DE MANTENIMIENTO DE LA VIA SOZORANGA - NUEVA FATIMA, CANTON SOZORANGA._x000a_Longtud 13,30KM"/>
    <s v="CONVENIO DE MANTENIMIENTO DE LA VIA SOZORANGA - NUEVA FATIMA, CANTON SOZORANGA._x000a_Longtud 13,30KM"/>
    <x v="0"/>
    <s v="SOZORANGA"/>
    <s v="NUEVAFÁTIMA"/>
    <s v="CONVENIO"/>
    <s v="VIALSUR"/>
    <x v="7"/>
    <x v="0"/>
    <n v="642"/>
    <s v="Excavación sin clasificar a maquina (explotación de material) "/>
    <s v="m3"/>
    <n v="1.62"/>
    <n v="13340"/>
    <m/>
    <d v="2014-01-01T00:00:00"/>
    <d v="2014-03-31T00:00:00"/>
    <s v="EJECUTADO"/>
    <n v="21610.799999999999"/>
    <n v="16808.400000000001"/>
    <n v="7203.5999999999967"/>
    <m/>
    <m/>
  </r>
  <r>
    <m/>
    <m/>
    <x v="1"/>
    <m/>
    <s v="CONVENIO DE MANTENIMIENTO DE LA VIA SOZORANGA - NUEVA FATIMA, CANTON SOZORANGA._x000a_Longtud 13,30KM"/>
    <x v="0"/>
    <s v="SOZORANGA"/>
    <s v="NUEVAFÁTIMA"/>
    <s v="CONVENIO"/>
    <s v="VIALSUR"/>
    <x v="1"/>
    <x v="0"/>
    <n v="0"/>
    <s v="Limpieza de derrumbes a máquina"/>
    <s v="m3"/>
    <n v="1.46"/>
    <n v="6176"/>
    <m/>
    <d v="2014-01-01T00:00:00"/>
    <d v="2014-03-31T00:00:00"/>
    <s v="EJECUTADO"/>
    <n v="9016.9599999999991"/>
    <n v="8831.68"/>
    <n v="277.91999999999825"/>
    <m/>
    <m/>
  </r>
  <r>
    <m/>
    <m/>
    <x v="1"/>
    <m/>
    <s v="CONVENIO DE MANTENIMIENTO DE LA VIA SOZORANGA - NUEVA FATIMA, CANTON SOZORANGA._x000a_Longtud 13,30KM"/>
    <x v="0"/>
    <s v="SOZORANGA"/>
    <s v="NUEVAFÁTIMA"/>
    <s v="CONVENIO"/>
    <s v="VIALSUR"/>
    <x v="1"/>
    <x v="0"/>
    <n v="0"/>
    <s v="Transporte de material de derrumbes (desalojo a escombrera)"/>
    <s v="m3/km"/>
    <n v="0.24"/>
    <n v="4328"/>
    <m/>
    <d v="2014-01-01T00:00:00"/>
    <d v="2014-03-31T00:00:00"/>
    <s v="EJECUTADO"/>
    <n v="1038.72"/>
    <n v="1038.72"/>
    <n v="0"/>
    <m/>
    <m/>
  </r>
  <r>
    <m/>
    <m/>
    <x v="0"/>
    <m/>
    <s v="CONVENIO DE MANTENIMIENTO DE LA VIA SOZORANGA - NUEVA FATIMA, CANTON SOZORANGA._x000a_Longtud 13,30KM"/>
    <x v="0"/>
    <s v="SOZORANGA"/>
    <s v="NUEVAFÁTIMA"/>
    <s v="CONVENIO"/>
    <s v="VIALSUR"/>
    <x v="1"/>
    <x v="0"/>
    <n v="0"/>
    <s v="Transporte de material para mejoramiento, inc cargado"/>
    <s v="m3/km"/>
    <n v="0.35"/>
    <n v="95305.2"/>
    <m/>
    <d v="2014-01-01T00:00:00"/>
    <d v="2014-03-31T00:00:00"/>
    <s v="EJECUTADO"/>
    <n v="33356.82"/>
    <n v="33356.82"/>
    <n v="0"/>
    <m/>
    <m/>
  </r>
  <r>
    <m/>
    <m/>
    <x v="1"/>
    <m/>
    <s v="CONVENIO DE MANTENIMIENTO DE LA VIA SOZORANGA - NUEVA FATIMA, CANTON SOZORANGA._x000a_Longtud 13,30KM"/>
    <x v="0"/>
    <s v="SOZORANGA"/>
    <s v="NUEVAFÁTIMA"/>
    <s v="CONVENIO"/>
    <s v="VIALSUR"/>
    <x v="1"/>
    <x v="32"/>
    <n v="0"/>
    <s v="Rasanteo y conformacion de cunetas con motoniveladora"/>
    <s v="m2"/>
    <n v="0.08"/>
    <n v="53520"/>
    <m/>
    <d v="2014-01-01T00:00:00"/>
    <d v="2014-03-31T00:00:00"/>
    <s v="EJECUTADO"/>
    <n v="4281.6000000000004"/>
    <n v="4281.6000000000004"/>
    <n v="0"/>
    <m/>
    <m/>
  </r>
  <r>
    <m/>
    <m/>
    <x v="1"/>
    <m/>
    <s v="CONVENIO DE MANTENIMIENTO DE LA VIA SOZORANGA - NUEVA FATIMA, CANTON SOZORANGA._x000a_Longtud 13,30KM"/>
    <x v="0"/>
    <s v="SOZORANGA"/>
    <s v="NUEVAFÁTIMA"/>
    <s v="CONVENIO"/>
    <s v="VIALSUR"/>
    <x v="1"/>
    <x v="33"/>
    <n v="0"/>
    <s v="Acabado de Obra Básica existente"/>
    <s v="m2"/>
    <n v="0.35"/>
    <n v="26760"/>
    <m/>
    <d v="2014-01-01T00:00:00"/>
    <d v="2014-03-31T00:00:00"/>
    <s v="EJECUTADO"/>
    <n v="9366"/>
    <n v="9366"/>
    <n v="0"/>
    <m/>
    <m/>
  </r>
  <r>
    <m/>
    <m/>
    <x v="0"/>
    <m/>
    <s v="CONVENIO DE MANTENIMIENTO DE LA VIA SOZORANGA - NUEVA FATIMA, CANTON SOZORANGA._x000a_Longtud 13,30KM"/>
    <x v="0"/>
    <s v="SOZORANGA"/>
    <s v="NUEVAFÁTIMA"/>
    <s v="CONVENIO"/>
    <s v="VIALSUR"/>
    <x v="1"/>
    <x v="34"/>
    <n v="0"/>
    <s v="Mejoramiento de la subrasante con suelo seleccionado"/>
    <s v="m3"/>
    <n v="5.92"/>
    <n v="11868"/>
    <m/>
    <d v="2014-01-01T00:00:00"/>
    <d v="2014-03-31T00:00:00"/>
    <s v="EJECUTADO"/>
    <n v="70258.559999999998"/>
    <n v="52575.24"/>
    <n v="26524.98"/>
    <m/>
    <m/>
  </r>
  <r>
    <m/>
    <m/>
    <x v="1"/>
    <m/>
    <s v="CONVENIO DE MANTENIMIENTO DE LA VIA SOZORANGA - NUEVA FATIMA, CANTON SOZORANGA._x000a_Longtud 13,30KM"/>
    <x v="0"/>
    <s v="SOZORANGA"/>
    <s v="NUEVAFÁTIMA"/>
    <s v="CONVENIO"/>
    <s v="VIALSUR"/>
    <x v="1"/>
    <x v="0"/>
    <n v="0"/>
    <s v="Limpieza de alcantarillas y desalojo hasta 6m"/>
    <s v="m3"/>
    <n v="16.128"/>
    <n v="410"/>
    <m/>
    <d v="2014-01-01T00:00:00"/>
    <d v="2014-03-31T00:00:00"/>
    <s v="EJECUTADO"/>
    <n v="6612.48"/>
    <n v="6612.48"/>
    <n v="0"/>
    <m/>
    <m/>
  </r>
  <r>
    <m/>
    <m/>
    <x v="1"/>
    <m/>
    <s v="CONVENIO DE MANTENIMIENTO DE LA VIA SOZORANGA - NUEVA FATIMA, CANTON SOZORANGA._x000a_Longtud 13,30KM"/>
    <x v="0"/>
    <s v="SOZORANGA"/>
    <s v="NUEVAFÁTIMA"/>
    <s v="AD. DIRECTA"/>
    <s v="VIALSUR"/>
    <x v="1"/>
    <x v="0"/>
    <n v="0"/>
    <s v="Limpieza de derrumbes a máquina"/>
    <s v="m3"/>
    <n v="1.46"/>
    <n v="11950"/>
    <m/>
    <d v="2014-01-01T00:00:00"/>
    <d v="2014-05-31T00:00:00"/>
    <s v="EJECUTADO"/>
    <n v="17447"/>
    <n v="5648.5"/>
    <n v="17697.75"/>
    <m/>
    <m/>
  </r>
  <r>
    <m/>
    <m/>
    <x v="1"/>
    <s v="MANTENIMIENTO RUTINARIO VIAL EN LOS CANTONES CALVAS, ESPINDOLA, GONZANAMÁ, QUILANGA Y SOZORANGA (CONTRATO SIE-NRO.821-VIALSUR E.P.-2013)"/>
    <s v="MANTENIMIENTO RUTINARIO VIAL EN LOS CANTONES CALVAS, ESPINDOLA, GONZANAMÁ, QUILANGA Y SOZORANGA (CONTRATO SIE-NRO.821-VIALSUR E.P.-2013)"/>
    <x v="0"/>
    <s v="CALVAS"/>
    <s v="EL LUCERO "/>
    <s v="CONTRATO"/>
    <s v="VIALSUR"/>
    <x v="8"/>
    <x v="35"/>
    <n v="677.77777777777783"/>
    <s v="Rasanteo y conformacion de cunetas con motoniveladora"/>
    <s v="m2"/>
    <n v="0.08"/>
    <n v="139737.5"/>
    <m/>
    <d v="2014-01-01T00:00:00"/>
    <d v="2014-02-28T00:00:00"/>
    <s v="EJECUTADO"/>
    <n v="11179"/>
    <n v="63049.56"/>
    <n v="-77805.84"/>
    <m/>
    <m/>
  </r>
  <r>
    <m/>
    <m/>
    <x v="1"/>
    <s v="MANTENIMIENTO RUTINARIO VIAL EN LOS CANTONES CALVAS, ESPINDOLA, GONZANAMÁ, QUILANGA Y SOZORANGA (CONTRATO SIE-NRO.821-VIALSUR E.P.-2013)"/>
    <s v="MANTENIMIENTO RUTINARIO VIAL EN LOS CANTONES CALVAS, ESPINDOLA, GONZANAMÁ, QUILANGA Y SOZORANGA (CONTRATO SIE-NRO.821-VIALSUR E.P.-2013)"/>
    <x v="0"/>
    <s v="GONZANAMA"/>
    <s v="PURUNUMA"/>
    <s v="CONTRATO"/>
    <s v="VIALSUR"/>
    <x v="8"/>
    <x v="35"/>
    <n v="677.77777777777783"/>
    <s v="Rasanteo y conformacion de cunetas con motoniveladora"/>
    <s v="m2"/>
    <n v="0.08"/>
    <n v="139737.5"/>
    <m/>
    <d v="2014-01-01T00:00:00"/>
    <d v="2014-02-28T00:00:00"/>
    <s v="EJECUTADO"/>
    <n v="11179"/>
    <n v="63049.56"/>
    <n v="-77805.84"/>
    <m/>
    <m/>
  </r>
  <r>
    <m/>
    <m/>
    <x v="1"/>
    <s v="MANTENIMIENTO RUTINARIO VIAL EN LOS CANTONES CALVAS, ESPINDOLA, GONZANAMÁ, QUILANGA Y SOZORANGA (CONTRATO SIE-NRO.821-VIALSUR E.P.-2013)"/>
    <s v="MANTENIMIENTO RUTINARIO VIAL EN LOS CANTONES CALVAS, ESPINDOLA, GONZANAMÁ, QUILANGA Y SOZORANGA (CONTRATO SIE-NRO.821-VIALSUR E.P.-2013)"/>
    <x v="0"/>
    <s v="GONZANAMA"/>
    <s v="SACAPALCA"/>
    <s v="CONTRATO"/>
    <s v="VIALSUR"/>
    <x v="8"/>
    <x v="35"/>
    <n v="677.77777777777783"/>
    <s v="Rasanteo y conformacion de cunetas con motoniveladora"/>
    <s v="m2"/>
    <n v="0.08"/>
    <n v="139737.5"/>
    <m/>
    <d v="2014-01-01T00:00:00"/>
    <d v="2014-02-28T00:00:00"/>
    <s v="EJECUTADO"/>
    <n v="11179"/>
    <n v="63049.56"/>
    <n v="-77805.84"/>
    <m/>
    <m/>
  </r>
  <r>
    <m/>
    <m/>
    <x v="1"/>
    <s v="MANTENIMIENTO RUTINARIO VIAL EN LOS CANTONES CALVAS, ESPINDOLA, GONZANAMÁ, QUILANGA Y SOZORANGA (CONTRATO SIE-NRO.821-VIALSUR E.P.-2013)"/>
    <s v="MANTENIMIENTO RUTINARIO VIAL EN LOS CANTONES CALVAS, ESPINDOLA, GONZANAMÁ, QUILANGA Y SOZORANGA (CONTRATO SIE-NRO.821-VIALSUR E.P.-2013)"/>
    <x v="0"/>
    <s v="QUILANGA"/>
    <s v="SAN ANTONIO DE LAS ARADAS"/>
    <s v="CONTRATO"/>
    <s v="VIALSUR"/>
    <x v="8"/>
    <x v="35"/>
    <n v="677.77777777777783"/>
    <s v="Rasanteo y conformacion de cunetas con motoniveladora"/>
    <s v="m2"/>
    <n v="0.08"/>
    <n v="139737.5"/>
    <m/>
    <d v="2014-01-01T00:00:00"/>
    <d v="2014-02-28T00:00:00"/>
    <s v="EJECUTADO"/>
    <n v="11179"/>
    <n v="63049.56"/>
    <n v="-77805.84"/>
    <m/>
    <m/>
  </r>
  <r>
    <m/>
    <m/>
    <x v="1"/>
    <s v="MANTENIMIENTO RUTINARIO VIAL EN LOS CANTONES CALVAS, ESPINDOLA, GONZANAMÁ, QUILANGA Y SOZORANGA (CONTRATO SIE-NRO.821-VIALSUR E.P.-2013)"/>
    <s v="MANTENIMIENTO RUTINARIO VIAL EN LOS CANTONES CALVAS, ESPINDOLA, GONZANAMÁ, QUILANGA Y SOZORANGA (CONTRATO SIE-NRO.821-VIALSUR E.P.-2013)"/>
    <x v="0"/>
    <s v="ESPINDOLA"/>
    <s v="JIMBURA"/>
    <s v="CONTRATO"/>
    <s v="VIALSUR"/>
    <x v="8"/>
    <x v="35"/>
    <n v="677.77777777777783"/>
    <s v="Rasanteo y conformacion de cunetas con motoniveladora"/>
    <s v="m2"/>
    <n v="0.08"/>
    <n v="139737.5"/>
    <m/>
    <d v="2014-01-01T00:00:00"/>
    <d v="2014-02-28T00:00:00"/>
    <s v="EJECUTADO"/>
    <n v="11179"/>
    <n v="63049.56"/>
    <n v="-77805.84"/>
    <m/>
    <m/>
  </r>
  <r>
    <m/>
    <m/>
    <x v="1"/>
    <s v="MANTENIMIENTO RUTINARIO VIAL EN LOS CANTONES CALVAS, ESPINDOLA, GONZANAMÁ, QUILANGA Y SOZORANGA (CONTRATO SIE-NRO.821-VIALSUR E.P.-2013)"/>
    <s v="MANTENIMIENTO RUTINARIO VIAL EN LOS CANTONES CALVAS, ESPINDOLA, GONZANAMÁ, QUILANGA Y SOZORANGA (CONTRATO SIE-NRO.821-VIALSUR E.P.-2013)"/>
    <x v="0"/>
    <s v="SOZORANGA"/>
    <s v="SOZORANGA"/>
    <s v="CONTRATO"/>
    <s v="VIALSUR"/>
    <x v="8"/>
    <x v="35"/>
    <n v="677.77777777777783"/>
    <s v="Rasanteo y conformacion de cunetas con motoniveladora"/>
    <s v="m2"/>
    <n v="0.08"/>
    <n v="139737.5"/>
    <m/>
    <d v="2014-01-01T00:00:00"/>
    <d v="2014-02-28T00:00:00"/>
    <s v="EJECUTADO"/>
    <n v="11179"/>
    <n v="63049.56"/>
    <n v="-77805.84"/>
    <m/>
    <m/>
  </r>
  <r>
    <m/>
    <m/>
    <x v="1"/>
    <s v="VIA MERCADILLO CHITOQUE GAUTUNUMA"/>
    <s v="VIA MERCADILLO CHITOQUE GAUTUNUMA"/>
    <x v="1"/>
    <s v="PUYANGO"/>
    <s v="MERCADILLO"/>
    <s v="AD. DIRECTA"/>
    <s v="VIALSUR"/>
    <x v="9"/>
    <x v="0"/>
    <n v="489"/>
    <s v="Roza a mano"/>
    <s v="Ha"/>
    <n v="948.16"/>
    <n v="1"/>
    <m/>
    <d v="2014-09-01T00:00:00"/>
    <d v="2014-10-30T00:00:00"/>
    <s v="EJECUTADO"/>
    <n v="948.16"/>
    <n v="0"/>
    <n v="1422.24"/>
    <m/>
    <m/>
  </r>
  <r>
    <m/>
    <m/>
    <x v="0"/>
    <m/>
    <s v="VIA MERCADILLO CHITOQUE GAUTUNUMA"/>
    <x v="1"/>
    <s v="PUYANGO"/>
    <s v="MERCADILLO"/>
    <s v="AD. DIRECTA"/>
    <s v="VIALSUR"/>
    <x v="1"/>
    <x v="0"/>
    <n v="0"/>
    <s v="Excavación sin clasificar a máquina"/>
    <s v="m3"/>
    <n v="1.62"/>
    <n v="3000"/>
    <m/>
    <d v="2014-09-01T00:00:00"/>
    <d v="2014-10-30T00:00:00"/>
    <s v="EJECUTADO"/>
    <n v="4860"/>
    <n v="810"/>
    <n v="6075"/>
    <m/>
    <m/>
  </r>
  <r>
    <m/>
    <m/>
    <x v="1"/>
    <m/>
    <s v="VIA MERCADILLO CHITOQUE GAUTUNUMA"/>
    <x v="1"/>
    <s v="PUYANGO"/>
    <s v="MERCADILLO"/>
    <s v="AD. DIRECTA"/>
    <s v="VIALSUR"/>
    <x v="1"/>
    <x v="0"/>
    <n v="0"/>
    <s v="Limpieza de derrumbes a máquina"/>
    <s v="m3"/>
    <n v="1.46"/>
    <n v="600"/>
    <m/>
    <d v="2014-09-01T00:00:00"/>
    <d v="2014-10-30T00:00:00"/>
    <s v="EJECUTADO"/>
    <n v="876"/>
    <n v="876"/>
    <n v="0"/>
    <m/>
    <m/>
  </r>
  <r>
    <m/>
    <m/>
    <x v="1"/>
    <m/>
    <s v="VIA MERCADILLO CHITOQUE GAUTUNUMA"/>
    <x v="1"/>
    <s v="PUYANGO"/>
    <s v="MERCADILLO"/>
    <s v="AD. DIRECTA"/>
    <s v="VIALSUR"/>
    <x v="1"/>
    <x v="0"/>
    <n v="0"/>
    <s v="Limpieza de cunetas y alcantarillas a maquina"/>
    <s v="m3"/>
    <n v="1.46"/>
    <n v="150"/>
    <m/>
    <d v="2014-09-01T00:00:00"/>
    <d v="2014-10-30T00:00:00"/>
    <s v="EJECUTADO"/>
    <n v="219"/>
    <n v="0"/>
    <n v="328.5"/>
    <m/>
    <m/>
  </r>
  <r>
    <m/>
    <m/>
    <x v="1"/>
    <m/>
    <s v="VIA MERCADILLO CHITOQUE GAUTUNUMA"/>
    <x v="1"/>
    <s v="PUYANGO"/>
    <s v="MERCADILLO"/>
    <s v="AD. DIRECTA"/>
    <s v="VIALSUR"/>
    <x v="1"/>
    <x v="0"/>
    <n v="0"/>
    <s v="Transporte de material excavado ( desalojo de escombrera)"/>
    <s v="m3/km"/>
    <n v="0.3"/>
    <n v="9000"/>
    <m/>
    <d v="2014-09-01T00:00:00"/>
    <d v="2014-10-30T00:00:00"/>
    <s v="EJECUTADO"/>
    <n v="2700"/>
    <n v="0"/>
    <n v="4050"/>
    <m/>
    <m/>
  </r>
  <r>
    <m/>
    <m/>
    <x v="0"/>
    <m/>
    <s v="VIA MERCADILLO CHITOQUE GAUTUNUMA"/>
    <x v="1"/>
    <s v="PUYANGO"/>
    <s v="MERCADILLO"/>
    <s v="AD. DIRECTA"/>
    <s v="VIALSUR"/>
    <x v="1"/>
    <x v="0"/>
    <n v="0"/>
    <s v="Transporte de material de mejoramiento, inc cargado"/>
    <s v="m3/km"/>
    <n v="0.3"/>
    <n v="2812.5"/>
    <m/>
    <d v="2014-09-01T00:00:00"/>
    <d v="2014-10-30T00:00:00"/>
    <s v="EJECUTADO"/>
    <n v="843.75"/>
    <n v="2250"/>
    <n v="-2109.375"/>
    <m/>
    <m/>
  </r>
  <r>
    <m/>
    <m/>
    <x v="1"/>
    <m/>
    <s v="VIA MERCADILLO CHITOQUE GAUTUNUMA"/>
    <x v="1"/>
    <s v="PUYANGO"/>
    <s v="MERCADILLO"/>
    <s v="AD. DIRECTA"/>
    <s v="VIALSUR"/>
    <x v="1"/>
    <x v="36"/>
    <n v="0"/>
    <s v="Rasanteo y conformacion de cunetas con motoniveladora"/>
    <s v="m2"/>
    <n v="0.08"/>
    <n v="60000"/>
    <m/>
    <d v="2014-09-01T00:00:00"/>
    <d v="2014-10-30T00:00:00"/>
    <s v="EJECUTADO"/>
    <n v="4800"/>
    <n v="0"/>
    <n v="7200"/>
    <m/>
    <m/>
  </r>
  <r>
    <m/>
    <m/>
    <x v="1"/>
    <m/>
    <s v="VIA MERCADILLO CHITOQUE GAUTUNUMA"/>
    <x v="1"/>
    <s v="PUYANGO"/>
    <s v="MERCADILLO"/>
    <s v="AD. DIRECTA"/>
    <s v="VIALSUR"/>
    <x v="1"/>
    <x v="37"/>
    <n v="0"/>
    <s v="Reconformación de la rasante"/>
    <s v="m2"/>
    <n v="0.35"/>
    <n v="22500"/>
    <m/>
    <d v="2014-09-01T00:00:00"/>
    <d v="2014-10-30T00:00:00"/>
    <s v="EJECUTADO"/>
    <n v="7875"/>
    <n v="36750"/>
    <n v="-43312.5"/>
    <m/>
    <m/>
  </r>
  <r>
    <m/>
    <m/>
    <x v="0"/>
    <m/>
    <s v="VIA MERCADILLO CHITOQUE GAUTUNUMA"/>
    <x v="1"/>
    <s v="PUYANGO"/>
    <s v="MERCADILLO"/>
    <s v="AD. DIRECTA"/>
    <s v="VIALSUR"/>
    <x v="1"/>
    <x v="38"/>
    <n v="0"/>
    <s v="Mejoramiento de la subrasante con suelo seleccionado"/>
    <s v="m3"/>
    <n v="5.92"/>
    <n v="1125"/>
    <m/>
    <d v="2014-09-01T00:00:00"/>
    <d v="2014-10-30T00:00:00"/>
    <s v="EJECUTADO"/>
    <n v="6660"/>
    <n v="2960"/>
    <n v="5550"/>
    <m/>
    <m/>
  </r>
  <r>
    <m/>
    <m/>
    <x v="1"/>
    <s v="VIA TACAMOROS - LA VICTORIA - LA BOCANA- EL LIMON; TRAMO - TACAMOROS - LA VICTORIA L= 14 KM._x000a_(PARALIZADO POR INVIERNO)"/>
    <s v="VIA TACAMOROS - LA VICTORIA - LA BOCANA- EL LIMON; TRAMO - TACAMOROS - LA VICTORIA L= 14 KM._x000a_(PARALIZADO POR INVIERNO)"/>
    <x v="1"/>
    <s v="SOZORANGA"/>
    <s v="TACAMOROS"/>
    <s v="AD. DIRECTA"/>
    <s v="VIALSUR"/>
    <x v="10"/>
    <x v="0"/>
    <n v="1902"/>
    <s v="Roza a mano"/>
    <s v="Ha"/>
    <n v="948.16"/>
    <n v="0"/>
    <m/>
    <d v="2014-01-01T00:00:00"/>
    <d v="2014-01-31T00:00:00"/>
    <s v="EJECUTADO"/>
    <n v="0"/>
    <n v="0"/>
    <n v="0"/>
    <m/>
    <m/>
  </r>
  <r>
    <m/>
    <m/>
    <x v="0"/>
    <m/>
    <s v="VIA TACAMOROS - LA VICTORIA - LA BOCANA- EL LIMON; TRAMO - TACAMOROS - LA VICTORIA L= 14 KM._x000a_(PARALIZADO POR INVIERNO)"/>
    <x v="1"/>
    <s v="SOZORANGA"/>
    <s v="TACAMOROS"/>
    <s v="AD. DIRECTA"/>
    <s v="VIALSUR"/>
    <x v="1"/>
    <x v="0"/>
    <n v="0"/>
    <s v="Excavación sin clasificar a máquina"/>
    <s v="m3"/>
    <n v="1.62"/>
    <n v="4884"/>
    <m/>
    <d v="2014-01-01T00:00:00"/>
    <d v="2014-02-28T00:00:00"/>
    <s v="EJECUTADO"/>
    <n v="7912.08"/>
    <n v="7912.08"/>
    <n v="0"/>
    <m/>
    <m/>
  </r>
  <r>
    <m/>
    <m/>
    <x v="1"/>
    <m/>
    <s v="VIA TACAMOROS - LA VICTORIA - LA BOCANA- EL LIMON; TRAMO - TACAMOROS - LA VICTORIA L= 14 KM._x000a_(PARALIZADO POR INVIERNO)"/>
    <x v="1"/>
    <s v="SOZORANGA"/>
    <s v="TACAMOROS"/>
    <s v="AD. DIRECTA"/>
    <s v="VIALSUR"/>
    <x v="1"/>
    <x v="0"/>
    <n v="0"/>
    <s v="Limpieza de derrumbes a máquina"/>
    <s v="m3"/>
    <n v="1.46"/>
    <n v="3300"/>
    <m/>
    <d v="2014-01-01T00:00:00"/>
    <d v="2014-02-28T00:00:00"/>
    <s v="EJECUTADO"/>
    <n v="4818"/>
    <n v="4818"/>
    <n v="0"/>
    <m/>
    <m/>
  </r>
  <r>
    <m/>
    <m/>
    <x v="1"/>
    <m/>
    <s v="VIA TACAMOROS - LA VICTORIA - LA BOCANA- EL LIMON; TRAMO - TACAMOROS - LA VICTORIA L= 14 KM._x000a_(PARALIZADO POR INVIERNO)"/>
    <x v="1"/>
    <s v="SOZORANGA"/>
    <s v="TACAMOROS"/>
    <s v="AD. DIRECTA"/>
    <s v="VIALSUR"/>
    <x v="1"/>
    <x v="0"/>
    <n v="0"/>
    <s v="Limpieza de cunetas y alcantarillas a maquina"/>
    <s v="m3"/>
    <n v="1.47"/>
    <n v="0"/>
    <m/>
    <d v="2014-01-01T00:00:00"/>
    <d v="2014-01-31T00:00:00"/>
    <s v="EJECUTADO"/>
    <n v="0"/>
    <n v="0"/>
    <n v="0"/>
    <m/>
    <m/>
  </r>
  <r>
    <m/>
    <m/>
    <x v="1"/>
    <m/>
    <s v="VIA TACAMOROS - LA VICTORIA - LA BOCANA- EL LIMON; TRAMO - TACAMOROS - LA VICTORIA L= 14 KM._x000a_(PARALIZADO POR INVIERNO)"/>
    <x v="1"/>
    <s v="SOZORANGA"/>
    <s v="TACAMOROS"/>
    <s v="AD. DIRECTA"/>
    <s v="VIALSUR"/>
    <x v="1"/>
    <x v="0"/>
    <n v="0"/>
    <s v="Transporte de material excavado ( desalojo de escombrera)"/>
    <s v="m3/km"/>
    <n v="0.3"/>
    <n v="0"/>
    <m/>
    <d v="2014-01-01T00:00:00"/>
    <d v="2014-01-31T00:00:00"/>
    <s v="EJECUTADO"/>
    <n v="0"/>
    <n v="0"/>
    <n v="0"/>
    <m/>
    <m/>
  </r>
  <r>
    <m/>
    <m/>
    <x v="0"/>
    <m/>
    <s v="VIA TACAMOROS - LA VICTORIA - LA BOCANA- EL LIMON; TRAMO - TACAMOROS - LA VICTORIA L= 14 KM._x000a_(PARALIZADO POR INVIERNO)"/>
    <x v="1"/>
    <s v="SOZORANGA"/>
    <s v="TACAMOROS"/>
    <s v="AD. DIRECTA"/>
    <s v="VIALSUR"/>
    <x v="1"/>
    <x v="0"/>
    <n v="0"/>
    <s v="Transporte de material de mejoramiento, inc cargado"/>
    <s v="m3/km"/>
    <n v="0.3"/>
    <n v="32520"/>
    <m/>
    <d v="2014-01-01T00:00:00"/>
    <d v="2014-02-28T00:00:00"/>
    <s v="EJECUTADO"/>
    <n v="9756"/>
    <n v="9756"/>
    <n v="0"/>
    <m/>
    <m/>
  </r>
  <r>
    <m/>
    <m/>
    <x v="1"/>
    <m/>
    <s v="VIA TACAMOROS - LA VICTORIA - LA BOCANA- EL LIMON; TRAMO - TACAMOROS - LA VICTORIA L= 14 KM._x000a_(PARALIZADO POR INVIERNO)"/>
    <x v="1"/>
    <s v="SOZORANGA"/>
    <s v="TACAMOROS"/>
    <s v="AD. DIRECTA"/>
    <s v="VIALSUR"/>
    <x v="1"/>
    <x v="39"/>
    <n v="0"/>
    <s v="Rasanteo y conformacion de cunetas con motoniveladora"/>
    <s v="m2"/>
    <n v="0.08"/>
    <n v="65000"/>
    <m/>
    <d v="2014-01-01T00:00:00"/>
    <d v="2014-02-28T00:00:00"/>
    <s v="EJECUTADO"/>
    <n v="5200"/>
    <n v="3900"/>
    <n v="1950"/>
    <m/>
    <m/>
  </r>
  <r>
    <m/>
    <m/>
    <x v="1"/>
    <m/>
    <s v="VIA TACAMOROS - LA VICTORIA - LA BOCANA- EL LIMON; TRAMO - TACAMOROS - LA VICTORIA L= 14 KM._x000a_(PARALIZADO POR INVIERNO)"/>
    <x v="1"/>
    <s v="SOZORANGA"/>
    <s v="TACAMOROS"/>
    <s v="AD. DIRECTA"/>
    <s v="VIALSUR"/>
    <x v="1"/>
    <x v="40"/>
    <n v="0"/>
    <s v="Reconformación de la rasante"/>
    <s v="m2"/>
    <n v="0.35"/>
    <n v="0"/>
    <m/>
    <d v="2014-01-01T00:00:00"/>
    <d v="2014-01-31T00:00:00"/>
    <s v="EJECUTADO"/>
    <n v="0"/>
    <n v="0"/>
    <n v="0"/>
    <m/>
    <m/>
  </r>
  <r>
    <m/>
    <m/>
    <x v="0"/>
    <m/>
    <s v="VIA TACAMOROS - LA VICTORIA - LA BOCANA- EL LIMON; TRAMO - TACAMOROS - LA VICTORIA L= 14 KM._x000a_(PARALIZADO POR INVIERNO)"/>
    <x v="1"/>
    <s v="SOZORANGA"/>
    <s v="TACAMOROS"/>
    <s v="AD. DIRECTA"/>
    <s v="VIALSUR"/>
    <x v="1"/>
    <x v="41"/>
    <n v="0"/>
    <s v="Mejoramiento de la subrasante con suelo seleccionado"/>
    <s v="m3"/>
    <n v="5.92"/>
    <n v="2904"/>
    <m/>
    <d v="2014-02-01T00:00:00"/>
    <d v="2014-02-28T00:00:00"/>
    <s v="EJECUTADO"/>
    <n v="17191.68"/>
    <n v="17191.68"/>
    <n v="0"/>
    <m/>
    <m/>
  </r>
  <r>
    <m/>
    <m/>
    <x v="1"/>
    <s v="VIA ALAMOR VICENTINO "/>
    <s v="VIA ALAMOR VICENTINO "/>
    <x v="1"/>
    <s v="PUYANGO"/>
    <s v="VICENTINO"/>
    <s v="AD. DIRECTA"/>
    <s v="VIALSUR"/>
    <x v="11"/>
    <x v="0"/>
    <n v="640"/>
    <s v="Roza a mano"/>
    <s v="Ha"/>
    <n v="948.16"/>
    <n v="0"/>
    <m/>
    <d v="2014-02-01T00:00:00"/>
    <d v="2014-02-28T00:00:00"/>
    <s v="EJECUTADO"/>
    <n v="0"/>
    <n v="0"/>
    <n v="0"/>
    <m/>
    <m/>
  </r>
  <r>
    <m/>
    <m/>
    <x v="0"/>
    <m/>
    <s v="VIA ALAMOR VICENTINO "/>
    <x v="1"/>
    <s v="PUYANGO"/>
    <s v="VICENTINO"/>
    <s v="AD. DIRECTA"/>
    <s v="VIALSUR"/>
    <x v="1"/>
    <x v="0"/>
    <n v="0"/>
    <s v="Excavación sin clasificar a máquina"/>
    <s v="m3"/>
    <n v="1.62"/>
    <n v="700"/>
    <m/>
    <d v="2014-02-01T00:00:00"/>
    <d v="2014-02-28T00:00:00"/>
    <s v="EJECUTADO"/>
    <n v="1134"/>
    <n v="1134"/>
    <n v="0"/>
    <m/>
    <m/>
  </r>
  <r>
    <m/>
    <m/>
    <x v="1"/>
    <m/>
    <s v="VIA ALAMOR VICENTINO "/>
    <x v="1"/>
    <s v="PUYANGO"/>
    <s v="VICENTINO"/>
    <s v="AD. DIRECTA"/>
    <s v="VIALSUR"/>
    <x v="1"/>
    <x v="0"/>
    <n v="0"/>
    <s v="Limpieza de derrumbes a máquina"/>
    <s v="m3"/>
    <n v="1.46"/>
    <n v="1000"/>
    <m/>
    <d v="2014-02-01T00:00:00"/>
    <d v="2014-02-28T00:00:00"/>
    <s v="EJECUTADO"/>
    <n v="1460"/>
    <n v="1460"/>
    <n v="0"/>
    <m/>
    <m/>
  </r>
  <r>
    <m/>
    <m/>
    <x v="1"/>
    <m/>
    <s v="VIA ALAMOR VICENTINO "/>
    <x v="1"/>
    <s v="PUYANGO"/>
    <s v="VICENTINO"/>
    <s v="AD. DIRECTA"/>
    <s v="VIALSUR"/>
    <x v="1"/>
    <x v="0"/>
    <n v="0"/>
    <s v="Limpieza de cunetas y alcantarillas a maquina"/>
    <s v="m3"/>
    <n v="1.47"/>
    <n v="0"/>
    <m/>
    <d v="2014-02-01T00:00:00"/>
    <d v="2014-02-28T00:00:00"/>
    <s v="EJECUTADO"/>
    <n v="0"/>
    <n v="0"/>
    <n v="0"/>
    <m/>
    <m/>
  </r>
  <r>
    <m/>
    <m/>
    <x v="1"/>
    <m/>
    <s v="VIA ALAMOR VICENTINO "/>
    <x v="1"/>
    <s v="PUYANGO"/>
    <s v="VICENTINO"/>
    <s v="AD. DIRECTA"/>
    <s v="VIALSUR"/>
    <x v="1"/>
    <x v="0"/>
    <n v="0"/>
    <s v="Transporte de material excavado ( desalojo de escombrera)"/>
    <s v="m3/km"/>
    <n v="0.3"/>
    <n v="0"/>
    <m/>
    <d v="2014-02-01T00:00:00"/>
    <d v="2014-02-28T00:00:00"/>
    <s v="EJECUTADO"/>
    <n v="0"/>
    <n v="0"/>
    <n v="0"/>
    <m/>
    <m/>
  </r>
  <r>
    <m/>
    <m/>
    <x v="0"/>
    <m/>
    <s v="VIA ALAMOR VICENTINO "/>
    <x v="1"/>
    <s v="PUYANGO"/>
    <s v="VICENTINO"/>
    <s v="AD. DIRECTA"/>
    <s v="VIALSUR"/>
    <x v="1"/>
    <x v="0"/>
    <n v="0"/>
    <s v="Transporte de material de mejoramiento, inc cargado"/>
    <s v="m3/km"/>
    <n v="0.3"/>
    <n v="15900"/>
    <m/>
    <d v="2014-02-01T00:00:00"/>
    <d v="2014-02-28T00:00:00"/>
    <s v="EJECUTADO"/>
    <n v="4770"/>
    <n v="4770"/>
    <n v="0"/>
    <m/>
    <m/>
  </r>
  <r>
    <m/>
    <m/>
    <x v="1"/>
    <m/>
    <s v="VIA ALAMOR VICENTINO "/>
    <x v="1"/>
    <s v="PUYANGO"/>
    <s v="VICENTINO"/>
    <s v="AD. DIRECTA"/>
    <s v="VIALSUR"/>
    <x v="1"/>
    <x v="42"/>
    <n v="0"/>
    <s v="Rasanteo y conformacion de cunetas con motoniveladora"/>
    <s v="m2"/>
    <n v="0.08"/>
    <n v="80000"/>
    <m/>
    <d v="2014-02-01T00:00:00"/>
    <d v="2014-02-28T00:00:00"/>
    <s v="EJECUTADO"/>
    <n v="6400"/>
    <n v="4800"/>
    <n v="2400"/>
    <m/>
    <m/>
  </r>
  <r>
    <m/>
    <m/>
    <x v="1"/>
    <m/>
    <s v="VIA ALAMOR VICENTINO "/>
    <x v="1"/>
    <s v="PUYANGO"/>
    <s v="VICENTINO"/>
    <s v="AD. DIRECTA"/>
    <s v="VIALSUR"/>
    <x v="1"/>
    <x v="43"/>
    <n v="0"/>
    <s v="Reconformación de la rasante"/>
    <s v="m2"/>
    <n v="0.35"/>
    <n v="105000"/>
    <m/>
    <d v="2014-02-01T00:00:00"/>
    <d v="2014-01-31T00:00:00"/>
    <s v="EJECUTADO"/>
    <n v="36750"/>
    <n v="36750"/>
    <n v="0"/>
    <m/>
    <m/>
  </r>
  <r>
    <m/>
    <m/>
    <x v="0"/>
    <m/>
    <s v="VIA ALAMOR VICENTINO "/>
    <x v="1"/>
    <s v="PUYANGO"/>
    <s v="VICENTINO"/>
    <s v="AD. DIRECTA"/>
    <s v="VIALSUR"/>
    <x v="1"/>
    <x v="44"/>
    <n v="0"/>
    <s v="Mejoramiento de la subrasante con suelo seleccionado"/>
    <s v="m3"/>
    <n v="5.92"/>
    <n v="700"/>
    <m/>
    <d v="2014-02-01T00:00:00"/>
    <d v="2014-02-28T00:00:00"/>
    <s v="EJECUTADO"/>
    <n v="4144"/>
    <n v="4144"/>
    <n v="0"/>
    <m/>
    <m/>
  </r>
  <r>
    <m/>
    <m/>
    <x v="1"/>
    <s v="VIA LA HOYADA EL LIMO (CANTON PUYANGO)"/>
    <s v="VIA LA HOYADA EL LIMO (CANTON PUYANGO)"/>
    <x v="1"/>
    <s v="PUYANGO"/>
    <s v="ELLIMO"/>
    <s v="AD. DIRECTA"/>
    <s v="VIALSUR"/>
    <x v="11"/>
    <x v="0"/>
    <n v="1388"/>
    <s v="Roza a mano"/>
    <s v="Ha"/>
    <n v="948.16"/>
    <n v="0"/>
    <m/>
    <d v="2014-01-01T00:00:00"/>
    <d v="2014-01-31T00:00:00"/>
    <s v="EJECUTADO"/>
    <n v="0"/>
    <n v="0"/>
    <n v="0"/>
    <m/>
    <m/>
  </r>
  <r>
    <m/>
    <m/>
    <x v="0"/>
    <m/>
    <s v="VIA LA HOYADA EL LIMO (CANTON PUYANGO)"/>
    <x v="1"/>
    <s v="PUYANGO"/>
    <s v="ELLIMO"/>
    <s v="AD. DIRECTA"/>
    <s v="VIALSUR"/>
    <x v="1"/>
    <x v="0"/>
    <n v="0"/>
    <s v="Excavación sin clasificar a máquina"/>
    <s v="m3"/>
    <n v="1.62"/>
    <n v="500"/>
    <m/>
    <d v="2014-01-01T00:00:00"/>
    <d v="2014-01-31T00:00:00"/>
    <s v="EJECUTADO"/>
    <n v="810"/>
    <n v="810"/>
    <n v="0"/>
    <m/>
    <m/>
  </r>
  <r>
    <m/>
    <m/>
    <x v="1"/>
    <m/>
    <s v="VIA LA HOYADA EL LIMO (CANTON PUYANGO)"/>
    <x v="1"/>
    <s v="PUYANGO"/>
    <s v="ELLIMO"/>
    <s v="AD. DIRECTA"/>
    <s v="VIALSUR"/>
    <x v="1"/>
    <x v="0"/>
    <n v="0"/>
    <s v="Limpieza de derrumbes a máquina"/>
    <s v="m3"/>
    <n v="1.46"/>
    <n v="600"/>
    <m/>
    <d v="2014-01-01T00:00:00"/>
    <d v="2014-01-31T00:00:00"/>
    <s v="EJECUTADO"/>
    <n v="876"/>
    <n v="876"/>
    <n v="0"/>
    <m/>
    <m/>
  </r>
  <r>
    <m/>
    <m/>
    <x v="1"/>
    <m/>
    <s v="VIA LA HOYADA EL LIMO (CANTON PUYANGO)"/>
    <x v="1"/>
    <s v="PUYANGO"/>
    <s v="ELLIMO"/>
    <s v="AD. DIRECTA"/>
    <s v="VIALSUR"/>
    <x v="1"/>
    <x v="0"/>
    <n v="0"/>
    <s v="Limpieza de cunetas y alcantarillas a maquina"/>
    <s v="m3"/>
    <n v="1.47"/>
    <n v="0"/>
    <m/>
    <d v="2014-01-01T00:00:00"/>
    <d v="2014-01-31T00:00:00"/>
    <s v="EJECUTADO"/>
    <n v="0"/>
    <n v="0"/>
    <n v="0"/>
    <m/>
    <m/>
  </r>
  <r>
    <m/>
    <m/>
    <x v="1"/>
    <m/>
    <s v="VIA LA HOYADA EL LIMO (CANTON PUYANGO)"/>
    <x v="1"/>
    <s v="PUYANGO"/>
    <s v="ELLIMO"/>
    <s v="AD. DIRECTA"/>
    <s v="VIALSUR"/>
    <x v="1"/>
    <x v="0"/>
    <n v="0"/>
    <s v="Transporte de material excavado ( desalojo de escombrera)"/>
    <s v="m3/km"/>
    <n v="0.3"/>
    <n v="0"/>
    <m/>
    <d v="2014-01-01T00:00:00"/>
    <d v="2014-01-31T00:00:00"/>
    <s v="EJECUTADO"/>
    <n v="0"/>
    <n v="0"/>
    <n v="0"/>
    <m/>
    <m/>
  </r>
  <r>
    <m/>
    <m/>
    <x v="0"/>
    <m/>
    <s v="VIA LA HOYADA EL LIMO (CANTON PUYANGO)"/>
    <x v="1"/>
    <s v="PUYANGO"/>
    <s v="ELLIMO"/>
    <s v="AD. DIRECTA"/>
    <s v="VIALSUR"/>
    <x v="1"/>
    <x v="0"/>
    <n v="0"/>
    <s v="Transporte de material de mejoramiento, inc cargado"/>
    <s v="m3/km"/>
    <n v="0.3"/>
    <n v="7500"/>
    <m/>
    <d v="2014-01-01T00:00:00"/>
    <d v="2014-01-31T00:00:00"/>
    <s v="EJECUTADO"/>
    <n v="2250"/>
    <n v="2250"/>
    <n v="0"/>
    <m/>
    <m/>
  </r>
  <r>
    <m/>
    <m/>
    <x v="1"/>
    <m/>
    <s v="VIA LA HOYADA EL LIMO (CANTON PUYANGO)"/>
    <x v="1"/>
    <s v="PUYANGO"/>
    <s v="ELLIMO"/>
    <s v="AD. DIRECTA"/>
    <s v="VIALSUR"/>
    <x v="1"/>
    <x v="40"/>
    <n v="0"/>
    <s v="Rasanteo y conformacion de cunetas con motoniveladora"/>
    <s v="m2"/>
    <n v="0.08"/>
    <m/>
    <m/>
    <d v="2014-02-03T00:00:00"/>
    <d v="2014-01-31T00:00:00"/>
    <s v="EJECUTADO"/>
    <n v="0"/>
    <n v="0"/>
    <n v="0"/>
    <m/>
    <m/>
  </r>
  <r>
    <m/>
    <m/>
    <x v="1"/>
    <m/>
    <s v="VIA LA HOYADA EL LIMO (CANTON PUYANGO)"/>
    <x v="1"/>
    <s v="PUYANGO"/>
    <s v="ELLIMO"/>
    <s v="AD. DIRECTA"/>
    <s v="VIALSUR"/>
    <x v="1"/>
    <x v="43"/>
    <n v="0"/>
    <s v="Reconformación de la rasante"/>
    <s v="m2"/>
    <n v="0.35"/>
    <n v="105000"/>
    <m/>
    <d v="2014-01-01T00:00:00"/>
    <d v="2014-01-31T00:00:00"/>
    <s v="EJECUTADO"/>
    <n v="36750"/>
    <n v="36750"/>
    <n v="0"/>
    <m/>
    <m/>
  </r>
  <r>
    <m/>
    <m/>
    <x v="0"/>
    <m/>
    <s v="VIA LA HOYADA EL LIMO (CANTON PUYANGO)"/>
    <x v="1"/>
    <s v="PUYANGO"/>
    <s v="ELLIMO"/>
    <s v="AD. DIRECTA"/>
    <s v="VIALSUR"/>
    <x v="1"/>
    <x v="45"/>
    <n v="0"/>
    <s v="Mejoramiento de la subrasante con suelo seleccionado"/>
    <s v="m3"/>
    <n v="5.92"/>
    <n v="500"/>
    <m/>
    <d v="2014-01-01T00:00:00"/>
    <d v="2014-01-31T00:00:00"/>
    <s v="EJECUTADO"/>
    <n v="2960"/>
    <n v="2960"/>
    <n v="0"/>
    <m/>
    <m/>
  </r>
  <r>
    <m/>
    <m/>
    <x v="1"/>
    <s v="VIA GUAYACAN - PALTAPAMBA - (CANTON PUYANGO)_x000a_(PARALIZADO POR INVIERNO)"/>
    <s v="VIA GUAYACAN - PALTAPAMBA - (CANTON PUYANGO)_x000a_(PARALIZADO POR INVIERNO)"/>
    <x v="1"/>
    <s v="PUYANGO"/>
    <s v="VICENTINO"/>
    <s v="AD. DIRECTA"/>
    <s v="VIALSUR"/>
    <x v="12"/>
    <x v="0"/>
    <n v="640"/>
    <s v="Roza a mano"/>
    <s v="Ha"/>
    <n v="948.16"/>
    <n v="0"/>
    <m/>
    <d v="2014-01-01T00:00:00"/>
    <d v="2014-02-28T00:00:00"/>
    <s v="EJECUTADO"/>
    <n v="0"/>
    <n v="0"/>
    <n v="0"/>
    <m/>
    <m/>
  </r>
  <r>
    <m/>
    <m/>
    <x v="0"/>
    <m/>
    <s v="VIA GUAYACAN - PALTAPAMBA - (CANTON PUYANGO)_x000a_(PARALIZADO POR INVIERNO)"/>
    <x v="1"/>
    <s v="PUYANGO"/>
    <s v="VICENTINO"/>
    <s v="AD. DIRECTA"/>
    <s v="VIALSUR"/>
    <x v="1"/>
    <x v="0"/>
    <n v="0"/>
    <s v="Excavación sin clasificar a máquina"/>
    <s v="m3"/>
    <n v="1.62"/>
    <n v="1800"/>
    <m/>
    <d v="2014-01-01T00:00:00"/>
    <d v="2014-02-28T00:00:00"/>
    <s v="EJECUTADO"/>
    <n v="2916"/>
    <n v="2916"/>
    <n v="0"/>
    <m/>
    <m/>
  </r>
  <r>
    <m/>
    <m/>
    <x v="1"/>
    <m/>
    <s v="VIA GUAYACAN - PALTAPAMBA - (CANTON PUYANGO)_x000a_(PARALIZADO POR INVIERNO)"/>
    <x v="1"/>
    <s v="PUYANGO"/>
    <s v="VICENTINO"/>
    <s v="AD. DIRECTA"/>
    <s v="VIALSUR"/>
    <x v="1"/>
    <x v="0"/>
    <n v="0"/>
    <s v="Limpieza de derrumbes a máquina"/>
    <s v="m3"/>
    <n v="1.46"/>
    <n v="900"/>
    <m/>
    <d v="2014-01-01T00:00:00"/>
    <d v="2014-02-28T00:00:00"/>
    <s v="EJECUTADO"/>
    <n v="1314"/>
    <n v="1314"/>
    <n v="0"/>
    <m/>
    <m/>
  </r>
  <r>
    <m/>
    <m/>
    <x v="1"/>
    <m/>
    <s v="VIA GUAYACAN - PALTAPAMBA - (CANTON PUYANGO)_x000a_(PARALIZADO POR INVIERNO)"/>
    <x v="1"/>
    <s v="PUYANGO"/>
    <s v="VICENTINO"/>
    <s v="AD. DIRECTA"/>
    <s v="VIALSUR"/>
    <x v="1"/>
    <x v="0"/>
    <n v="0"/>
    <s v="Limpieza de cunetas y alcantarillas a maquina"/>
    <s v="m3"/>
    <n v="1.47"/>
    <n v="70"/>
    <m/>
    <d v="2014-02-03T00:00:00"/>
    <d v="2014-02-28T00:00:00"/>
    <s v="EJECUTADO"/>
    <n v="102.9"/>
    <n v="102.2"/>
    <n v="1.0500000000000043"/>
    <m/>
    <m/>
  </r>
  <r>
    <m/>
    <m/>
    <x v="1"/>
    <m/>
    <s v="VIA GUAYACAN - PALTAPAMBA - (CANTON PUYANGO)_x000a_(PARALIZADO POR INVIERNO)"/>
    <x v="1"/>
    <s v="PUYANGO"/>
    <s v="VICENTINO"/>
    <s v="AD. DIRECTA"/>
    <s v="VIALSUR"/>
    <x v="1"/>
    <x v="0"/>
    <n v="0"/>
    <s v="Transporte de material excavado ( desalojo de escombrera)"/>
    <s v="m3/km"/>
    <n v="0.3"/>
    <n v="0"/>
    <m/>
    <d v="2014-01-01T00:00:00"/>
    <d v="2014-02-28T00:00:00"/>
    <s v="EJECUTADO"/>
    <n v="0"/>
    <n v="0"/>
    <n v="0"/>
    <m/>
    <m/>
  </r>
  <r>
    <m/>
    <m/>
    <x v="0"/>
    <m/>
    <s v="VIA GUAYACAN - PALTAPAMBA - (CANTON PUYANGO)_x000a_(PARALIZADO POR INVIERNO)"/>
    <x v="1"/>
    <s v="PUYANGO"/>
    <s v="VICENTINO"/>
    <s v="AD. DIRECTA"/>
    <s v="VIALSUR"/>
    <x v="1"/>
    <x v="0"/>
    <n v="0"/>
    <s v="Transporte de material de mejoramiento, inc cargado"/>
    <s v="m3/km"/>
    <n v="0.3"/>
    <n v="75600"/>
    <m/>
    <d v="2014-01-01T00:00:00"/>
    <d v="2014-02-28T00:00:00"/>
    <s v="EJECUTADO"/>
    <n v="22680"/>
    <n v="22680"/>
    <n v="0"/>
    <m/>
    <m/>
  </r>
  <r>
    <m/>
    <m/>
    <x v="1"/>
    <m/>
    <s v="VIA GUAYACAN - PALTAPAMBA - (CANTON PUYANGO)_x000a_(PARALIZADO POR INVIERNO)"/>
    <x v="1"/>
    <s v="PUYANGO"/>
    <s v="VICENTINO"/>
    <s v="AD. DIRECTA"/>
    <s v="VIALSUR"/>
    <x v="1"/>
    <x v="6"/>
    <n v="0"/>
    <s v="Rasanteo y conformacion de cunetas con motoniveladora"/>
    <s v="m2"/>
    <n v="0.08"/>
    <n v="5000"/>
    <m/>
    <d v="2014-01-01T00:00:00"/>
    <d v="2014-01-31T00:00:00"/>
    <s v="EJECUTADO"/>
    <n v="400"/>
    <n v="300"/>
    <n v="150"/>
    <m/>
    <m/>
  </r>
  <r>
    <m/>
    <m/>
    <x v="1"/>
    <m/>
    <s v="VIA GUAYACAN - PALTAPAMBA - (CANTON PUYANGO)_x000a_(PARALIZADO POR INVIERNO)"/>
    <x v="1"/>
    <s v="PUYANGO"/>
    <s v="VICENTINO"/>
    <s v="AD. DIRECTA"/>
    <s v="VIALSUR"/>
    <x v="1"/>
    <x v="46"/>
    <n v="0"/>
    <s v="Reconformación de la rasante"/>
    <s v="m2"/>
    <n v="0.35"/>
    <n v="25000"/>
    <m/>
    <d v="2014-01-01T00:00:00"/>
    <d v="2014-02-28T00:00:00"/>
    <s v="EJECUTADO"/>
    <n v="8750"/>
    <n v="8750"/>
    <n v="0"/>
    <m/>
    <m/>
  </r>
  <r>
    <m/>
    <m/>
    <x v="0"/>
    <m/>
    <s v="VIA GUAYACAN - PALTAPAMBA - (CANTON PUYANGO)_x000a_(PARALIZADO POR INVIERNO)"/>
    <x v="1"/>
    <s v="PUYANGO"/>
    <s v="VICENTINO"/>
    <s v="AD. DIRECTA"/>
    <s v="VIALSUR"/>
    <x v="1"/>
    <x v="9"/>
    <n v="0"/>
    <s v="Mejoramiento de la subrasante con suelo seleccionado"/>
    <s v="m3"/>
    <n v="5.92"/>
    <n v="1800"/>
    <m/>
    <d v="2014-01-01T00:00:00"/>
    <d v="2014-02-28T00:00:00"/>
    <s v="EJECUTADO"/>
    <n v="10656"/>
    <n v="10656"/>
    <n v="0"/>
    <m/>
    <m/>
  </r>
  <r>
    <s v="7"/>
    <s v="EJECUTADO"/>
    <x v="1"/>
    <s v="MANTENIEMIENTO DE VIAS DEL CANTON PUYANGO (PARROQUIAS ARENAL, CIANO, EL LIMO Y MERCADILLO)"/>
    <s v="MANTENIEMIENTO DE VIAS DEL CANTON PUYANGO (PARROQUIAS ARENAL, CIANO, EL LIMO Y MERCADILLO)"/>
    <x v="1"/>
    <s v="PUYANGO"/>
    <s v="CIANO"/>
    <s v="AD. DIRECTA"/>
    <s v="VIALSUR"/>
    <x v="13"/>
    <x v="0"/>
    <n v="567"/>
    <s v="Roza a mano"/>
    <s v="Ha"/>
    <n v="948.16"/>
    <n v="0"/>
    <m/>
    <d v="2014-03-01T00:00:00"/>
    <d v="2014-03-31T00:00:00"/>
    <s v="EJECUTADO"/>
    <n v="0"/>
    <n v="0"/>
    <n v="0"/>
    <m/>
    <m/>
  </r>
  <r>
    <m/>
    <m/>
    <x v="0"/>
    <m/>
    <s v="MANTENIEMIENTO DE VIAS DEL CANTON PUYANGO (PARROQUIAS ARENAL, CIANO, EL LIMO Y MERCADILLO)"/>
    <x v="1"/>
    <s v="PUYANGO"/>
    <s v="CIANO"/>
    <s v="AD. DIRECTA"/>
    <s v="VIALSUR"/>
    <x v="1"/>
    <x v="0"/>
    <m/>
    <s v="Excavacion sin clasificar a maquina (explotación de material)"/>
    <s v="m3"/>
    <n v="1.62"/>
    <n v="5060"/>
    <m/>
    <d v="2014-03-01T00:00:00"/>
    <d v="2014-07-31T00:00:00"/>
    <s v="EJECUTADO"/>
    <n v="8197.2000000000007"/>
    <n v="2025"/>
    <n v="9258.3000000000011"/>
    <m/>
    <m/>
  </r>
  <r>
    <m/>
    <m/>
    <x v="1"/>
    <m/>
    <s v="MANTENIEMIENTO DE VIAS DEL CANTON PUYANGO (PARROQUIAS ARENAL, CIANO, EL LIMO Y MERCADILLO)"/>
    <x v="1"/>
    <s v="PUYANGO"/>
    <s v="CIANO"/>
    <s v="AD. DIRECTA"/>
    <s v="VIALSUR"/>
    <x v="1"/>
    <x v="0"/>
    <m/>
    <s v="Limpieza de derrumbes a máquina"/>
    <s v="m3"/>
    <n v="1.46"/>
    <n v="12898"/>
    <m/>
    <d v="2014-03-01T00:00:00"/>
    <d v="2014-07-31T00:00:00"/>
    <s v="EJECUTADO"/>
    <n v="18831.080000000002"/>
    <n v="8380.4"/>
    <n v="15676.020000000004"/>
    <m/>
    <m/>
  </r>
  <r>
    <m/>
    <m/>
    <x v="1"/>
    <m/>
    <s v="MANTENIEMIENTO DE VIAS DEL CANTON PUYANGO (PARROQUIAS ARENAL, CIANO, EL LIMO Y MERCADILLO)"/>
    <x v="1"/>
    <s v="PUYANGO"/>
    <s v="CIANO"/>
    <s v="AD. DIRECTA"/>
    <s v="VIALSUR"/>
    <x v="1"/>
    <x v="0"/>
    <m/>
    <s v="Limpieza de cunetas y alcantarillas a máquina"/>
    <s v="m3"/>
    <n v="1.47"/>
    <n v="1140"/>
    <m/>
    <d v="2014-03-01T00:00:00"/>
    <d v="2014-05-31T00:00:00"/>
    <s v="EJECUTADO"/>
    <n v="1675.8"/>
    <n v="1401.6"/>
    <n v="411.30000000000007"/>
    <m/>
    <m/>
  </r>
  <r>
    <m/>
    <m/>
    <x v="1"/>
    <m/>
    <s v="MANTENIEMIENTO DE VIAS DEL CANTON PUYANGO (PARROQUIAS ARENAL, CIANO, EL LIMO Y MERCADILLO)"/>
    <x v="1"/>
    <s v="PUYANGO"/>
    <s v="CIANO"/>
    <s v="AD. DIRECTA"/>
    <s v="VIALSUR"/>
    <x v="1"/>
    <x v="0"/>
    <m/>
    <s v="Transporte de material excavado (desalojo a escombrera)"/>
    <s v="m3/km"/>
    <n v="0.3"/>
    <n v="19252"/>
    <m/>
    <d v="2014-03-01T00:00:00"/>
    <d v="2014-07-31T00:00:00"/>
    <s v="EJECUTADO"/>
    <n v="5775.6"/>
    <n v="3267.6"/>
    <n v="3762.0000000000005"/>
    <m/>
    <m/>
  </r>
  <r>
    <m/>
    <m/>
    <x v="0"/>
    <m/>
    <s v="MANTENIEMIENTO DE VIAS DEL CANTON PUYANGO (PARROQUIAS ARENAL, CIANO, EL LIMO Y MERCADILLO)"/>
    <x v="1"/>
    <s v="PUYANGO"/>
    <s v="CIANO"/>
    <s v="AD. DIRECTA"/>
    <s v="VIALSUR"/>
    <x v="1"/>
    <x v="0"/>
    <m/>
    <s v="Transporte de material para mejoramiento, inc. cargado"/>
    <s v="m3/km"/>
    <n v="0.3"/>
    <n v="34928"/>
    <m/>
    <d v="2014-03-01T00:00:00"/>
    <d v="2014-07-31T00:00:00"/>
    <s v="EJECUTADO"/>
    <n v="10478.4"/>
    <n v="2054.4"/>
    <n v="12636"/>
    <m/>
    <m/>
  </r>
  <r>
    <m/>
    <m/>
    <x v="1"/>
    <m/>
    <s v="MANTENIEMIENTO DE VIAS DEL CANTON PUYANGO (PARROQUIAS ARENAL, CIANO, EL LIMO Y MERCADILLO)"/>
    <x v="1"/>
    <s v="PUYANGO"/>
    <s v="CIANO"/>
    <s v="AD. DIRECTA"/>
    <s v="VIALSUR"/>
    <x v="1"/>
    <x v="47"/>
    <m/>
    <s v="Rasanteo y conformacion de cunetas con motoniveladora"/>
    <s v="m2"/>
    <n v="0.08"/>
    <n v="530500"/>
    <m/>
    <d v="2014-03-01T00:00:00"/>
    <d v="2014-07-31T00:00:00"/>
    <s v="EJECUTADO"/>
    <n v="42440"/>
    <n v="6480"/>
    <n v="53940"/>
    <m/>
    <m/>
  </r>
  <r>
    <m/>
    <m/>
    <x v="1"/>
    <m/>
    <s v="MANTENIEMIENTO DE VIAS DEL CANTON PUYANGO (PARROQUIAS ARENAL, CIANO, EL LIMO Y MERCADILLO)"/>
    <x v="1"/>
    <s v="PUYANGO"/>
    <s v="CIANO"/>
    <s v="AD. DIRECTA"/>
    <s v="VIALSUR"/>
    <x v="1"/>
    <x v="40"/>
    <m/>
    <s v="Reconformación de la rasante"/>
    <s v="m2"/>
    <n v="0.35"/>
    <n v="0"/>
    <m/>
    <d v="2014-03-01T00:00:00"/>
    <d v="2014-04-30T00:00:00"/>
    <s v="EJECUTADO"/>
    <n v="0"/>
    <n v="0"/>
    <n v="0"/>
    <m/>
    <m/>
  </r>
  <r>
    <m/>
    <m/>
    <x v="0"/>
    <m/>
    <s v="MANTENIEMIENTO DE VIAS DEL CANTON PUYANGO (PARROQUIAS ARENAL, CIANO, EL LIMO Y MERCADILLO)"/>
    <x v="1"/>
    <s v="PUYANGO"/>
    <s v="CIANO"/>
    <s v="AD. DIRECTA"/>
    <s v="VIALSUR"/>
    <x v="1"/>
    <x v="48"/>
    <m/>
    <s v="Mejoramiento de la subrasante con suelo seleccionado"/>
    <s v="m3"/>
    <n v="5.92"/>
    <n v="4760"/>
    <m/>
    <d v="2014-03-01T00:00:00"/>
    <d v="2014-07-31T00:00:00"/>
    <s v="EJECUTADO"/>
    <n v="28179.200000000001"/>
    <n v="7400"/>
    <n v="31168.800000000003"/>
    <m/>
    <m/>
  </r>
  <r>
    <s v="8"/>
    <s v="EN EJECUCION"/>
    <x v="0"/>
    <s v="REHABILITACION DE LA VIA Y CELICA - POZUL - PINDAL_x000a_(CONVENIO GPL - VIALSUR.EP RECURSOS)"/>
    <s v="REHABILITACION DE LA VIA Y CELICA - POZUL - PINDAL_x000a_(CONVENIO GPL - VIALSUR.EP RECURSOS)"/>
    <x v="1"/>
    <s v="PINDAL"/>
    <s v="PINDAL C"/>
    <s v="CONVENIO"/>
    <s v="VIALSUR"/>
    <x v="14"/>
    <x v="38"/>
    <n v="2919"/>
    <s v="Bacheo con material de base clase 3"/>
    <s v="m3"/>
    <n v="19.149999999999999"/>
    <n v="1100"/>
    <m/>
    <d v="2014-02-03T00:00:00"/>
    <d v="2014-07-31T00:00:00"/>
    <s v="EJECUTADO"/>
    <n v="21065"/>
    <n v="18958.5"/>
    <n v="3159.75"/>
    <m/>
    <m/>
  </r>
  <r>
    <m/>
    <m/>
    <x v="4"/>
    <m/>
    <s v="REHABILITACION DE LA VIA Y CELICA - POZUL - PINDAL_x000a_(CONVENIO GPL - VIALSUR.EP RECURSOS)"/>
    <x v="1"/>
    <s v="PINDAL"/>
    <s v="PINDAL C"/>
    <s v="CONVENIO"/>
    <s v="VIALSUR"/>
    <x v="1"/>
    <x v="49"/>
    <n v="0"/>
    <s v="Imprimación Asfaltica"/>
    <s v="Lt."/>
    <n v="0.98"/>
    <n v="59500"/>
    <m/>
    <d v="2014-02-03T00:00:00"/>
    <d v="2014-03-31T00:00:00"/>
    <s v="EJECUTADO"/>
    <n v="58310"/>
    <n v="18914"/>
    <n v="59094"/>
    <m/>
    <m/>
  </r>
  <r>
    <m/>
    <m/>
    <x v="4"/>
    <m/>
    <s v="REHABILITACION DE LA VIA Y CELICA - POZUL - PINDAL_x000a_(CONVENIO GPL - VIALSUR.EP RECURSOS)"/>
    <x v="1"/>
    <s v="PINDAL"/>
    <s v="PINDAL C"/>
    <s v="CONVENIO"/>
    <s v="VIALSUR"/>
    <x v="1"/>
    <x v="50"/>
    <n v="0"/>
    <s v="Bacheo asfaltico con material 3/4&quot; (manual)"/>
    <s v="m2"/>
    <n v="3.17"/>
    <n v="25880"/>
    <m/>
    <d v="2014-02-03T00:00:00"/>
    <d v="2014-07-31T00:00:00"/>
    <s v="EJECUTADO"/>
    <n v="82039.600000000006"/>
    <n v="56901.5"/>
    <n v="37707.150000000009"/>
    <m/>
    <m/>
  </r>
  <r>
    <m/>
    <m/>
    <x v="4"/>
    <m/>
    <s v="REHABILITACION DE LA VIA Y CELICA - POZUL - PINDAL_x000a_(CONVENIO GPL - VIALSUR.EP RECURSOS)"/>
    <x v="1"/>
    <s v="PINDAL"/>
    <s v="PINDAL C"/>
    <s v="CONVENIO"/>
    <s v="VIALSUR"/>
    <x v="1"/>
    <x v="51"/>
    <n v="0"/>
    <s v="Sello asfaltico con material 3/8&quot;"/>
    <s v="m2"/>
    <n v="2.8"/>
    <n v="173874"/>
    <m/>
    <d v="2014-03-01T00:00:00"/>
    <d v="2014-07-31T00:00:00"/>
    <s v="EJECUTADO"/>
    <n v="486847.2"/>
    <n v="184884"/>
    <n v="452944.80000000005"/>
    <m/>
    <m/>
  </r>
  <r>
    <m/>
    <m/>
    <x v="0"/>
    <m/>
    <s v="REHABILITACION DE LA VIA Y CELICA - POZUL - PINDAL_x000a_(CONVENIO GPL - VIALSUR.EP RECURSOS)"/>
    <x v="1"/>
    <s v="PINDAL"/>
    <s v="PINDAL C"/>
    <s v="CONVENIO"/>
    <s v="VIALSUR"/>
    <x v="1"/>
    <x v="52"/>
    <n v="0"/>
    <s v="Reconformación de base"/>
    <s v="m2"/>
    <n v="0.35"/>
    <n v="47200"/>
    <m/>
    <d v="2014-01-05T00:00:00"/>
    <d v="2014-07-31T00:00:00"/>
    <s v="EJECUTADO"/>
    <n v="16520"/>
    <m/>
    <n v="24780"/>
    <m/>
    <m/>
  </r>
  <r>
    <m/>
    <m/>
    <x v="0"/>
    <m/>
    <s v="REHABILITACION DE LA VIA Y CELICA - POZUL - PINDAL_x000a_(CONVENIO GPL - VIALSUR.EP RECURSOS)"/>
    <x v="1"/>
    <s v="CELICA"/>
    <s v="POZUL"/>
    <s v="CONVENIO"/>
    <s v="VIALSUR"/>
    <x v="1"/>
    <x v="0"/>
    <n v="0"/>
    <s v="Transporte de material  ( Catamayo - Loja)"/>
    <s v="m3/km"/>
    <n v="0.3"/>
    <n v="729900"/>
    <m/>
    <d v="2014-02-03T00:00:00"/>
    <d v="2014-07-31T00:00:00"/>
    <s v="EJECUTADO"/>
    <n v="218970"/>
    <n v="157800"/>
    <n v="91755"/>
    <m/>
    <m/>
  </r>
  <r>
    <s v="9"/>
    <s v="EJECUTADO"/>
    <x v="0"/>
    <s v="REHABILITACION DE LA VÍA MACARÁ - SAUCILLO_x000a_(CONVENIO GPL - VIALSUR.EP RECURSOS)"/>
    <s v="REHABILITACION DE LA VÍA MACARÁ - SAUCILLO_x000a_(CONVENIO GPL - VIALSUR.EP RECURSOS)"/>
    <x v="1"/>
    <s v="MACARA"/>
    <s v="MACARÁ"/>
    <s v="CONVENIO"/>
    <s v="VIALSUR"/>
    <x v="15"/>
    <x v="27"/>
    <n v="6573"/>
    <s v="Bacheo con material de base clase 3"/>
    <s v="m3"/>
    <n v="19.149999999999999"/>
    <n v="732.5"/>
    <m/>
    <d v="2014-03-01T00:00:00"/>
    <d v="2014-07-31T00:00:00"/>
    <s v="EJECUTADO"/>
    <n v="14027.38"/>
    <n v="1388.38"/>
    <n v="18958.5"/>
    <m/>
    <m/>
  </r>
  <r>
    <m/>
    <m/>
    <x v="4"/>
    <m/>
    <s v="REHABILITACION DE LA VÍA MACARÁ - SAUCILLO_x000a_(CONVENIO GPL - VIALSUR.EP RECURSOS)"/>
    <x v="1"/>
    <s v="MACARA"/>
    <s v="MACARÁ"/>
    <s v="CONVENIO"/>
    <s v="VIALSUR"/>
    <x v="1"/>
    <x v="53"/>
    <n v="0"/>
    <s v="Imprimación asfaltica"/>
    <s v="Lt"/>
    <n v="0.98"/>
    <n v="75582"/>
    <m/>
    <d v="2014-03-01T00:00:00"/>
    <d v="2014-07-31T00:00:00"/>
    <s v="EJECUTADO"/>
    <n v="74070.36"/>
    <n v="1666"/>
    <n v="108606.54000000001"/>
    <m/>
    <m/>
  </r>
  <r>
    <m/>
    <m/>
    <x v="4"/>
    <m/>
    <s v="REHABILITACION DE LA VÍA MACARÁ - SAUCILLO_x000a_(CONVENIO GPL - VIALSUR.EP RECURSOS)"/>
    <x v="1"/>
    <s v="MACARA"/>
    <s v="MACARÁ"/>
    <s v="CONVENIO"/>
    <s v="VIALSUR"/>
    <x v="1"/>
    <x v="54"/>
    <n v="0"/>
    <s v="Bacheo asfaltico con material 3/4&quot; Y 3/8&quot; (manual)"/>
    <s v="m2"/>
    <n v="3.48"/>
    <n v="8314"/>
    <m/>
    <d v="2014-03-01T00:00:00"/>
    <d v="2014-07-31T00:00:00"/>
    <s v="EJECUTADO"/>
    <n v="28932.720000000001"/>
    <n v="5230.5"/>
    <n v="35553.33"/>
    <m/>
    <m/>
  </r>
  <r>
    <m/>
    <m/>
    <x v="0"/>
    <m/>
    <s v="REHABILITACION DE LA VÍA MACARÁ - SAUCILLO_x000a_(CONVENIO GPL - VIALSUR.EP RECURSOS)"/>
    <x v="1"/>
    <s v="MACARA"/>
    <s v="MACARÁ"/>
    <s v="CONVENIO"/>
    <s v="VIALSUR"/>
    <x v="1"/>
    <x v="0"/>
    <n v="0"/>
    <s v="Transporte de material (Catamayo - Loja)"/>
    <s v="m3/km"/>
    <n v="0.3"/>
    <n v="295300"/>
    <m/>
    <d v="2014-03-01T00:00:00"/>
    <d v="2014-07-31T00:00:00"/>
    <s v="EJECUTADO"/>
    <n v="88590"/>
    <n v="34278"/>
    <n v="81468"/>
    <m/>
    <m/>
  </r>
  <r>
    <m/>
    <m/>
    <x v="0"/>
    <m/>
    <s v="REHABILITACION DE LA VÍA MACARÁ - SAUCILLO_x000a_(CONVENIO GPL - VIALSUR.EP RECURSOS)"/>
    <x v="1"/>
    <s v="MACARA"/>
    <s v="MACARÁ"/>
    <s v="CONVENIO"/>
    <s v="VIALSUR"/>
    <x v="1"/>
    <x v="55"/>
    <n v="0"/>
    <s v="Reconformación de base"/>
    <s v="m2"/>
    <n v="0.35"/>
    <n v="71000"/>
    <m/>
    <d v="2014-01-05T00:00:00"/>
    <d v="2014-07-31T00:00:00"/>
    <s v="EJECUTADO"/>
    <n v="24850"/>
    <m/>
    <n v="37275"/>
    <m/>
    <m/>
  </r>
  <r>
    <m/>
    <m/>
    <x v="4"/>
    <m/>
    <s v="REHABILITACION DE LA VÍA MACARÁ - SAUCILLO_x000a_(CONVENIO GPL - VIALSUR.EP RECURSOS)"/>
    <x v="1"/>
    <s v="MACARA"/>
    <s v="MACARÁ"/>
    <s v="CONVENIO"/>
    <s v="VIALSUR"/>
    <x v="1"/>
    <x v="56"/>
    <n v="0"/>
    <s v="Doble tratamiento superficial bituminoso"/>
    <s v="m2"/>
    <n v="4.5"/>
    <n v="80000"/>
    <m/>
    <d v="2014-01-05T00:00:00"/>
    <d v="2014-05-31T00:00:00"/>
    <s v="EJECUTADO"/>
    <n v="360000"/>
    <m/>
    <n v="540000"/>
    <m/>
    <m/>
  </r>
  <r>
    <m/>
    <m/>
    <x v="1"/>
    <s v="CONTRATO SIE-NRO-828-VIALSUR.EP-2013 CONTRATACION DE MAQUINARIA PARA EL MANTENIMIENTO RUTINARIO DE VIAS EN LOS CANTONES (PINDAL CELICA PUYANGO MACARA Y ZAPOTILLO)"/>
    <s v="CONTRATO SIE-NRO-828-VIALSUR.EP-2013 CONTRATACION DE MAQUINARIA PARA EL MANTENIMIENTO RUTINARIO DE VIAS EN LOS CANTONES (PINDAL CELICA PUYANGO MACARA Y ZAPOTILLO)"/>
    <x v="1"/>
    <s v="PINDAL"/>
    <s v="PINDAL C"/>
    <s v="CONTRATO"/>
    <s v="VIALSUR"/>
    <x v="16"/>
    <x v="57"/>
    <n v="2919"/>
    <s v="Rasanteo y conformacion de cunetas con motoniveladora"/>
    <s v="m²."/>
    <n v="0.08"/>
    <n v="86355"/>
    <m/>
    <d v="2014-02-17T00:00:00"/>
    <d v="2014-02-28T00:00:00"/>
    <s v="EJECUTADO"/>
    <n v="6908.4"/>
    <n v="5837.6"/>
    <n v="1606.1999999999989"/>
    <m/>
    <m/>
  </r>
  <r>
    <m/>
    <m/>
    <x v="1"/>
    <m/>
    <s v="CONTRATO SIE-NRO-828-VIALSUR.EP-2013 CONTRATACION DE MAQUINARIA PARA EL MANTENIMIENTO RUTINARIO DE VIAS EN LOS CANTONES (PINDAL CELICA PUYANGO MACARA Y ZAPOTILLO)"/>
    <x v="1"/>
    <s v="ZAPOTILLO"/>
    <s v="BOLASPAMBA"/>
    <s v="CONTRATO"/>
    <s v="VIALSUR"/>
    <x v="16"/>
    <x v="58"/>
    <n v="889"/>
    <s v="Rasanteo y conformacion de cunetas con motoniveladora"/>
    <s v="m²."/>
    <n v="0.08"/>
    <n v="70865"/>
    <m/>
    <d v="2014-02-17T00:00:00"/>
    <d v="2014-02-28T00:00:00"/>
    <s v="EJECUTADO"/>
    <n v="5669.2"/>
    <n v="4790.47"/>
    <n v="1318.0949999999993"/>
    <m/>
    <m/>
  </r>
  <r>
    <m/>
    <m/>
    <x v="1"/>
    <m/>
    <s v="CONTRATO SIE-NRO-828-VIALSUR.EP-2013 CONTRATACION DE MAQUINARIA PARA EL MANTENIMIENTO RUTINARIO DE VIAS EN LOS CANTONES (PINDAL CELICA PUYANGO MACARA Y ZAPOTILLO)"/>
    <x v="1"/>
    <s v="ZAPOTILLO"/>
    <s v="GARZAREAL"/>
    <s v="CONTRATO"/>
    <s v="VIALSUR"/>
    <x v="16"/>
    <x v="59"/>
    <n v="1426"/>
    <s v="Rasanteo y conformacion de cunetas con motoniveladora"/>
    <s v="m²."/>
    <n v="0.08"/>
    <n v="107820"/>
    <m/>
    <d v="2014-03-01T00:00:00"/>
    <d v="2014-03-31T00:00:00"/>
    <s v="EJECUTADO"/>
    <n v="8625.6"/>
    <n v="7288.63"/>
    <n v="2005.4550000000004"/>
    <m/>
    <m/>
  </r>
  <r>
    <m/>
    <m/>
    <x v="1"/>
    <m/>
    <s v="CONTRATO SIE-NRO-828-VIALSUR.EP-2013 CONTRATACION DE MAQUINARIA PARA EL MANTENIMIENTO RUTINARIO DE VIAS EN LOS CANTONES (PINDAL CELICA PUYANGO MACARA Y ZAPOTILLO)"/>
    <x v="1"/>
    <s v="ZAPOTILLO"/>
    <s v="CAZADEROS"/>
    <s v="CONTRATO"/>
    <s v="VIALSUR"/>
    <x v="16"/>
    <x v="60"/>
    <n v="879"/>
    <s v="Rasanteo y conformacion de cunetas con motoniveladora"/>
    <s v="m²."/>
    <n v="0.08"/>
    <n v="264017.5"/>
    <m/>
    <d v="2014-03-01T00:00:00"/>
    <d v="2014-03-31T00:00:00"/>
    <s v="EJECUTADO"/>
    <n v="21121.4"/>
    <n v="17847.580000000002"/>
    <n v="4910.7299999999996"/>
    <m/>
    <m/>
  </r>
  <r>
    <m/>
    <m/>
    <x v="1"/>
    <m/>
    <s v="CONTRATO SIE-NRO-828-VIALSUR.EP-2013 CONTRATACION DE MAQUINARIA PARA EL MANTENIMIENTO RUTINARIO DE VIAS EN LOS CANTONES (PINDAL CELICA PUYANGO MACARA Y ZAPOTILLO)"/>
    <x v="1"/>
    <s v="PUYANGO"/>
    <s v="ELLIMO"/>
    <s v="CONTRATO"/>
    <s v="VIALSUR"/>
    <x v="16"/>
    <x v="61"/>
    <n v="1388"/>
    <s v="Rasanteo y conformacion de cunetas con motoniveladora"/>
    <s v="m²."/>
    <n v="0.08"/>
    <n v="133350"/>
    <m/>
    <d v="2014-03-01T00:00:00"/>
    <d v="2014-03-31T00:00:00"/>
    <s v="EJECUTADO"/>
    <n v="10668"/>
    <n v="9014.4599999999991"/>
    <n v="2480.3100000000013"/>
    <m/>
    <m/>
  </r>
  <r>
    <m/>
    <m/>
    <x v="1"/>
    <m/>
    <s v="CONTRATO SIE-NRO-828-VIALSUR.EP-2013 CONTRATACION DE MAQUINARIA PARA EL MANTENIMIENTO RUTINARIO DE VIAS EN LOS CANTONES (PINDAL CELICA PUYANGO MACARA Y ZAPOTILLO)"/>
    <x v="1"/>
    <s v="CELICA"/>
    <s v="CRUZPAMBA "/>
    <s v="CONTRATO"/>
    <s v="VIALSUR"/>
    <x v="16"/>
    <x v="59"/>
    <n v="661"/>
    <s v="Rasanteo y conformacion de cunetas con motoniveladora"/>
    <s v="m²."/>
    <n v="0.08"/>
    <n v="107820"/>
    <m/>
    <d v="2014-03-01T00:00:00"/>
    <d v="2014-03-31T00:00:00"/>
    <s v="EJECUTADO"/>
    <n v="8625.6"/>
    <n v="7288.63"/>
    <n v="2005.4550000000004"/>
    <m/>
    <m/>
  </r>
  <r>
    <s v="10"/>
    <s v="EJECUTADO"/>
    <x v="1"/>
    <s v="MANTENIMIENTO DE LA VIA MANGAHURQUILLO CAZADEROS PROGRESO GRAMADALES LA LEONERA"/>
    <s v="MANTENIMIENTO DE LA VIA MANGAHURQUILLO CAZADEROS PROGRESO GRAMADALES LA LEONERA"/>
    <x v="1"/>
    <s v="ZAPOTILLO"/>
    <s v="CAZADEROS"/>
    <s v="AD. DIRECTA"/>
    <s v="VIALSUR"/>
    <x v="1"/>
    <x v="0"/>
    <n v="0"/>
    <s v="Limpieza de derrumbes a máquina"/>
    <s v="m3"/>
    <n v="1.46"/>
    <n v="32000"/>
    <m/>
    <d v="2014-06-01T00:00:00"/>
    <d v="2014-07-31T00:00:00"/>
    <s v="EJECUTADO"/>
    <n v="46720"/>
    <m/>
    <n v="70080"/>
    <m/>
    <m/>
  </r>
  <r>
    <m/>
    <m/>
    <x v="1"/>
    <m/>
    <s v="MANTENIMIENTO DE LA VIA MANGAHURQUILLO CAZADEROS PROGRESO GRAMADALES LA LEONERA"/>
    <x v="1"/>
    <s v="ZAPOTILLO"/>
    <s v="CAZADEROS"/>
    <s v="AD. DIRECTA"/>
    <s v="VIALSUR"/>
    <x v="1"/>
    <x v="62"/>
    <n v="0"/>
    <s v="Pefilado de razante con tractor"/>
    <s v="m3"/>
    <n v="0.12"/>
    <n v="350000"/>
    <m/>
    <d v="2014-06-01T00:00:00"/>
    <d v="2014-07-31T00:00:00"/>
    <s v="EJECUTADO"/>
    <n v="42000"/>
    <m/>
    <n v="63000"/>
    <m/>
    <m/>
  </r>
  <r>
    <m/>
    <m/>
    <x v="5"/>
    <s v="CONSTRUCCION DE ESTRIBOS PARA PUENTE BAYLEY SECTOR EL ARENAL CONVENIO NRO 007-2013 GADM PUYANGO - VIALSUR.EP(MUNICIPIO AUN NO INICIA LOS TRABAJOS) APORTES GAD $ 10000,00 Y VIALSUR $ 10 500,00, las estructuras se encuentran en bodega del GAP. PUYANGO, en espera de firma de convenio para realizar entrega"/>
    <s v="CONSTRUCCION DE ESTRIBOS PARA PUENTE BAYLEY SECTOR EL ARENAL CONVENIO NRO 007-2013 GADM PUYANGO - VIALSUR.EP(MUNICIPIO AUN NO INICIA LOS TRABAJOS) APORTES GAD $ 10000,00 Y VIALSUR $ 10 500,00, las estructuras se encuentran en bodega del GAP. PUYANGO, en espera de firma de convenio para realizar entrega"/>
    <x v="1"/>
    <s v="PUYANGO"/>
    <s v="ELARENAL"/>
    <s v="CONVENIO"/>
    <s v="VIALSUR"/>
    <x v="16"/>
    <x v="40"/>
    <n v="467"/>
    <m/>
    <s v="m3"/>
    <m/>
    <n v="0"/>
    <m/>
    <m/>
    <m/>
    <s v="EJECUTADO"/>
    <n v="0"/>
    <n v="0"/>
    <n v="0"/>
    <m/>
    <m/>
  </r>
  <r>
    <m/>
    <m/>
    <x v="5"/>
    <s v="CONSTRUCCION DE ESTRIBOS PARA PUENTE BAYLEY SECTOR CIANO CONVENIO  NRO. 006-2013 GADP CIANO - VIALSUR.EP(ESTRIBOS EJECUTADOS) GADP $ 15 000, 00 Y VIALSUR. EP $ 10 000,00. Las estructuras se encuentran en bodega del GAP. PUYANGO, en espera de firma de convenio para realizar entrega"/>
    <s v="CONSTRUCCION DE ESTRIBOS PARA PUENTE BAYLEY SECTOR CIANO CONVENIO  NRO. 006-2013 GADP CIANO - VIALSUR.EP(ESTRIBOS EJECUTADOS) GADP $ 15 000, 00 Y VIALSUR. EP $ 10 000,00. Las estructuras se encuentran en bodega del GAP. PUYANGO, en espera de firma de convenio para realizar entrega"/>
    <x v="1"/>
    <s v="PUYANGO"/>
    <s v="CIANO"/>
    <s v="CONVENIO"/>
    <s v="VIALSUR"/>
    <x v="16"/>
    <x v="40"/>
    <n v="567"/>
    <s v="ESTRIBOS CONSTRUIDOS"/>
    <s v="m3"/>
    <m/>
    <n v="0"/>
    <m/>
    <d v="2014-01-01T00:00:00"/>
    <d v="2014-01-31T00:00:00"/>
    <s v="EJECUTADO"/>
    <n v="10000"/>
    <n v="10000"/>
    <n v="0"/>
    <m/>
    <m/>
  </r>
  <r>
    <s v="11"/>
    <s v="EJECUTADO"/>
    <x v="0"/>
    <s v="VIA, CHINCHAS-ZAMBI-RIO PINDO, L=55,88 km. (Catamayo)"/>
    <s v="VIA, CHINCHAS-ZAMBI-RIO PINDO, L=55,88 km. (Catamayo)"/>
    <x v="2"/>
    <s v="CATAMAYO"/>
    <s v="ZAMBI"/>
    <s v="AD. DIRECTA"/>
    <s v="VIALSUR"/>
    <x v="13"/>
    <x v="0"/>
    <n v="267"/>
    <s v="Excavación sin clasificar a máquina (ampliación de la vía en áreas críticas)"/>
    <s v="m³."/>
    <n v="1.62"/>
    <n v="700"/>
    <m/>
    <d v="2014-06-01T00:00:00"/>
    <d v="2014-06-30T00:00:00"/>
    <s v="EJECUTADO"/>
    <n v="1134"/>
    <m/>
    <n v="1701"/>
    <m/>
    <m/>
  </r>
  <r>
    <m/>
    <m/>
    <x v="0"/>
    <m/>
    <s v="VIA, CHINCHAS-ZAMBI-RIO PINDO, L=55,88 km. (Catamayo)"/>
    <x v="2"/>
    <s v="CATAMAYO"/>
    <s v="ZAMBI"/>
    <s v="AD. DIRECTA"/>
    <s v="VIALSUR"/>
    <x v="1"/>
    <x v="0"/>
    <n v="0"/>
    <s v="Explotación  de material (incluye cargado)"/>
    <s v="m³."/>
    <n v="2.54"/>
    <n v="800"/>
    <m/>
    <d v="2014-01-05T00:00:00"/>
    <d v="2014-05-31T00:00:00"/>
    <s v="EJECUTADO"/>
    <n v="2032"/>
    <m/>
    <n v="3048"/>
    <m/>
    <m/>
  </r>
  <r>
    <m/>
    <m/>
    <x v="0"/>
    <m/>
    <s v="VIA, CHINCHAS-ZAMBI-RIO PINDO, L=55,88 km. (Catamayo)"/>
    <x v="2"/>
    <s v="CATAMAYO"/>
    <s v="ZAMBI"/>
    <s v="AD. DIRECTA"/>
    <s v="VIALSUR"/>
    <x v="1"/>
    <x v="0"/>
    <n v="0"/>
    <s v="Clasificación de material."/>
    <s v="m³."/>
    <n v="1.47"/>
    <n v="300"/>
    <m/>
    <d v="2014-06-12T00:00:00"/>
    <d v="2014-06-30T00:00:00"/>
    <s v="EJECUTADO"/>
    <n v="441"/>
    <m/>
    <n v="661.5"/>
    <m/>
    <m/>
  </r>
  <r>
    <m/>
    <m/>
    <x v="1"/>
    <m/>
    <s v="VIA, CHINCHAS-ZAMBI-RIO PINDO, L=55,88 km. (Catamayo)"/>
    <x v="2"/>
    <s v="CATAMAYO"/>
    <s v="ZAMBI"/>
    <s v="AD. DIRECTA"/>
    <s v="VIALSUR"/>
    <x v="1"/>
    <x v="0"/>
    <n v="0"/>
    <s v="Limpieza de derrumbes a maquina"/>
    <s v="m³."/>
    <n v="1.46"/>
    <n v="10858"/>
    <m/>
    <d v="2014-01-01T00:00:00"/>
    <d v="2014-06-30T00:00:00"/>
    <s v="EJECUTADO"/>
    <n v="15852.68"/>
    <n v="8959.65"/>
    <n v="10339.545"/>
    <m/>
    <m/>
  </r>
  <r>
    <m/>
    <m/>
    <x v="1"/>
    <m/>
    <s v="VIA, CHINCHAS-ZAMBI-RIO PINDO, L=55,88 km. (Catamayo)"/>
    <x v="2"/>
    <s v="CATAMAYO"/>
    <s v="ZAMBI"/>
    <s v="AD. DIRECTA"/>
    <s v="VIALSUR"/>
    <x v="1"/>
    <x v="0"/>
    <n v="0"/>
    <s v="Limpieza de cunetas y alcantarillas a maquina"/>
    <s v="m³."/>
    <n v="1.47"/>
    <n v="2380"/>
    <m/>
    <d v="2014-01-05T00:00:00"/>
    <d v="2014-07-31T00:00:00"/>
    <s v="EJECUTADO"/>
    <n v="3498.6"/>
    <m/>
    <n v="5247.9000000000005"/>
    <m/>
    <m/>
  </r>
  <r>
    <m/>
    <m/>
    <x v="1"/>
    <m/>
    <s v="VIA, CHINCHAS-ZAMBI-RIO PINDO, L=55,88 km. (Catamayo)"/>
    <x v="2"/>
    <s v="CATAMAYO"/>
    <s v="GUAYQUICHUMA"/>
    <s v="AD. DIRECTA"/>
    <s v="VIALSUR"/>
    <x v="17"/>
    <x v="63"/>
    <n v="144"/>
    <s v="Rasanteo y conformacion de cunetas con motoniveladora"/>
    <s v="m²."/>
    <n v="0.08"/>
    <n v="46732"/>
    <m/>
    <d v="2014-01-01T00:00:00"/>
    <d v="2014-04-30T00:00:00"/>
    <s v="EJECUTADO"/>
    <n v="3738.56"/>
    <n v="3738.56"/>
    <n v="0"/>
    <m/>
    <m/>
  </r>
  <r>
    <m/>
    <m/>
    <x v="1"/>
    <m/>
    <s v="VIA, CHINCHAS-ZAMBI-RIO PINDO, L=55,88 km. (Catamayo)"/>
    <x v="2"/>
    <s v="CATAMAYO"/>
    <s v="GUAYQUICHUMA"/>
    <s v="AD. DIRECTA"/>
    <s v="VIALSUR"/>
    <x v="1"/>
    <x v="64"/>
    <n v="0"/>
    <s v="Reconformación de la Subrazante"/>
    <s v="m²."/>
    <n v="0.35"/>
    <n v="324141"/>
    <m/>
    <d v="2014-01-01T00:00:00"/>
    <d v="2014-06-30T00:00:00"/>
    <s v="EJECUTADO"/>
    <n v="113449.35"/>
    <n v="71080.100000000006"/>
    <n v="63553.875"/>
    <m/>
    <m/>
  </r>
  <r>
    <m/>
    <m/>
    <x v="0"/>
    <m/>
    <s v="VIA, CHINCHAS-ZAMBI-RIO PINDO, L=55,88 km. (Catamayo)"/>
    <x v="2"/>
    <s v="CATAMAYO"/>
    <s v="GUAYQUICHUMA"/>
    <s v="AD. DIRECTA"/>
    <s v="VIALSUR"/>
    <x v="1"/>
    <x v="0"/>
    <n v="0"/>
    <s v="Transporte de material de mejoramiento"/>
    <s v="m3/km."/>
    <n v="0.3"/>
    <n v="5118.84"/>
    <m/>
    <d v="2014-01-05T00:00:00"/>
    <d v="2014-06-30T00:00:00"/>
    <s v="EJECUTADO"/>
    <n v="1535.65"/>
    <m/>
    <n v="2303.4750000000004"/>
    <m/>
    <m/>
  </r>
  <r>
    <m/>
    <m/>
    <x v="1"/>
    <m/>
    <s v="VIA, CHINCHAS-ZAMBI-RIO PINDO, L=55,88 km. (Catamayo)"/>
    <x v="2"/>
    <s v="CHAGUARPAMBA"/>
    <s v="EL ROSARIO"/>
    <s v="AD. DIRECTA"/>
    <s v="VIALSUR"/>
    <x v="18"/>
    <x v="65"/>
    <n v="200"/>
    <s v="Reconformación de la rasante"/>
    <s v="m3"/>
    <n v="0.35"/>
    <n v="800"/>
    <m/>
    <d v="2014-05-01T00:00:00"/>
    <d v="2014-05-31T00:00:00"/>
    <s v="EJECUTADO"/>
    <n v="280"/>
    <m/>
    <n v="420"/>
    <m/>
    <m/>
  </r>
  <r>
    <m/>
    <m/>
    <x v="1"/>
    <s v="VIA, ACCESO A RUMIPOTRERO, L=4,5 km. (Catamayo)"/>
    <s v="VIA, ACCESO A RUMIPOTRERO, L=4,5 km. (Catamayo)"/>
    <x v="2"/>
    <s v="CATAMAYO"/>
    <s v="GUAYQUICHUMA"/>
    <s v="AD. DIRECTA"/>
    <s v="VIALSUR"/>
    <x v="19"/>
    <x v="0"/>
    <n v="144"/>
    <s v="Limpieza de derrumbes a máquina"/>
    <s v="m³."/>
    <n v="1.46"/>
    <n v="440"/>
    <m/>
    <d v="2014-04-11T00:00:00"/>
    <d v="2014-06-30T00:00:00"/>
    <s v="EJECUTADO"/>
    <n v="642.4"/>
    <n v="294"/>
    <n v="522.59999999999991"/>
    <m/>
    <m/>
  </r>
  <r>
    <m/>
    <m/>
    <x v="1"/>
    <m/>
    <s v="VIA, ACCESO A RUMIPOTRERO, L=4,5 km. (Catamayo)"/>
    <x v="2"/>
    <s v="CATAMAYO"/>
    <s v="GUAYQUICHUMA"/>
    <s v="AD. DIRECTA"/>
    <s v="VIALSUR"/>
    <x v="1"/>
    <x v="66"/>
    <m/>
    <s v="Rasanteo y conformacion de cunetas con motoniveladora"/>
    <s v="m²."/>
    <n v="0.08"/>
    <n v="12150"/>
    <m/>
    <d v="2014-06-01T00:00:00"/>
    <d v="2014-06-30T00:00:00"/>
    <s v="EJECUTADO"/>
    <n v="972"/>
    <m/>
    <n v="1458"/>
    <m/>
    <m/>
  </r>
  <r>
    <m/>
    <m/>
    <x v="1"/>
    <s v="VIA, CHIGUANGO-CHIGUANGO ALTO, L=3,1 km. (Catamayo)"/>
    <s v="VIA, CHIGUANGO-CHIGUANGO ALTO, L=3,1 km. (Catamayo)"/>
    <x v="2"/>
    <s v="CATAMAYO"/>
    <s v="GUAYQUICHUMA"/>
    <s v="AD. DIRECTA"/>
    <s v="VIALSUR"/>
    <x v="16"/>
    <x v="67"/>
    <n v="144"/>
    <s v="Rasanteo y conformacion de cunetas con motoniveladora"/>
    <s v="m²."/>
    <n v="0.08"/>
    <n v="12460"/>
    <m/>
    <d v="2014-02-07T00:00:00"/>
    <d v="2014-02-08T00:00:00"/>
    <s v="EJECUTADO"/>
    <n v="996.8"/>
    <n v="996.8"/>
    <n v="0"/>
    <m/>
    <m/>
  </r>
  <r>
    <m/>
    <m/>
    <x v="1"/>
    <s v="VIA CHINCHAS LA ARADA, L=6.7 KM. (incluye 0.4 km accesos al sitio la Cruz ( ( Zambi - Catamayo)"/>
    <s v="VIA CHINCHAS LA ARADA, L=6.7 KM. (incluye 0.4 km accesos al sitio la Cruz ( ( Zambi - Catamayo)"/>
    <x v="2"/>
    <s v="CATAMAYO"/>
    <s v="ZAMBI"/>
    <s v="AD. DIRECTA"/>
    <s v="VIALSUR"/>
    <x v="20"/>
    <x v="0"/>
    <n v="267"/>
    <s v="Limpieza de derrumbes a máquina"/>
    <s v="m³."/>
    <n v="1.46"/>
    <n v="300"/>
    <m/>
    <d v="2014-06-01T00:00:00"/>
    <d v="2014-06-30T00:00:00"/>
    <s v="EJECUTADO"/>
    <n v="438"/>
    <m/>
    <n v="657"/>
    <m/>
    <m/>
  </r>
  <r>
    <m/>
    <m/>
    <x v="1"/>
    <m/>
    <s v="VIA CHINCHAS LA ARADA, L=6.7 KM. (incluye 0.4 km accesos al sitio la Cruz ( ( Zambi - Catamayo)"/>
    <x v="2"/>
    <s v="CATAMAYO"/>
    <s v="ZAMBI"/>
    <s v="AD. DIRECTA"/>
    <s v="VIALSUR"/>
    <x v="1"/>
    <x v="68"/>
    <m/>
    <s v="Reconformación de la Subrazante"/>
    <s v="m²."/>
    <n v="0.35"/>
    <n v="26880"/>
    <m/>
    <d v="2014-06-01T00:00:00"/>
    <d v="2014-06-30T00:00:00"/>
    <s v="EJECUTADO"/>
    <n v="9408"/>
    <m/>
    <n v="14112"/>
    <m/>
    <m/>
  </r>
  <r>
    <m/>
    <m/>
    <x v="1"/>
    <s v="VIA, ACCESO A BARRIOS: LA CHORA-LA LIBERTAD, L=6,7 km, AL PORVENIR, L=1,1 km.  (Catamayo)"/>
    <s v="VIA, ACCESO A BARRIOS: LA CHORA-LA LIBERTAD, L=6,7 km, AL PORVENIR, L=1,1 km.  (Catamayo)"/>
    <x v="2"/>
    <s v="CATAMAYO"/>
    <s v="ZAMBI"/>
    <s v="AD. DIRECTA"/>
    <s v="VIALSUR"/>
    <x v="1"/>
    <x v="0"/>
    <n v="0"/>
    <s v="Limpieza de derrumbes a máquina"/>
    <s v="m³."/>
    <n v="1.46"/>
    <n v="850"/>
    <m/>
    <d v="2014-04-09T00:00:00"/>
    <d v="2014-06-30T00:00:00"/>
    <s v="EJECUTADO"/>
    <n v="1241"/>
    <n v="808.5"/>
    <n v="648.75"/>
    <m/>
    <m/>
  </r>
  <r>
    <m/>
    <m/>
    <x v="1"/>
    <m/>
    <s v="VIA, ACCESO A BARRIOS: LA CHORA-LA LIBERTAD, L=6,7 km, AL PORVENIR, L=1,1 km.  (Catamayo)"/>
    <x v="2"/>
    <s v="CATAMAYO"/>
    <s v="ZAMBI"/>
    <s v="AD. DIRECTA"/>
    <s v="VIALSUR"/>
    <x v="1"/>
    <x v="69"/>
    <n v="0"/>
    <s v="Rasanteo y conformacion de cunetas con motoniveladora"/>
    <s v="m²."/>
    <n v="0.08"/>
    <n v="10175"/>
    <m/>
    <d v="2014-04-09T00:00:00"/>
    <d v="2014-04-15T00:00:00"/>
    <s v="EJECUTADO"/>
    <n v="814"/>
    <n v="814"/>
    <n v="0"/>
    <m/>
    <m/>
  </r>
  <r>
    <m/>
    <m/>
    <x v="1"/>
    <m/>
    <s v="VIA, ACCESO A BARRIOS: LA CHORA-LA LIBERTAD, L=6,7 km, AL PORVENIR, L=1,1 km.  (Catamayo)"/>
    <x v="2"/>
    <s v="CATAMAYO"/>
    <s v="ZAMBI"/>
    <s v="AD. DIRECTA"/>
    <s v="VIALSUR"/>
    <x v="21"/>
    <x v="70"/>
    <n v="267"/>
    <s v="Acabado de Obra Básica existente"/>
    <s v="m²."/>
    <n v="0.35"/>
    <n v="40290"/>
    <m/>
    <d v="2014-04-09T00:00:00"/>
    <d v="2014-06-30T00:00:00"/>
    <s v="EJECUTADO"/>
    <n v="14101.5"/>
    <n v="5365.5"/>
    <n v="13104"/>
    <m/>
    <m/>
  </r>
  <r>
    <m/>
    <m/>
    <x v="0"/>
    <s v="VIA, ACCESO AL BARRIO, TOGUEROS, L=1,65 km (Catamayo)"/>
    <s v="VIA, ACCESO AL BARRIO, TOGUEROS, L=1,65 km (Catamayo)"/>
    <x v="2"/>
    <s v="CATAMAYO"/>
    <s v="SAN PEDRO DE LA BENDITA"/>
    <s v="AD. DIRECTA"/>
    <s v="VIALSUR"/>
    <x v="22"/>
    <x v="0"/>
    <n v="245"/>
    <s v="Excavación sin clasificar a maquina (construcción de drenes y subdrenes)"/>
    <s v="m³."/>
    <n v="1.62"/>
    <n v="1920"/>
    <m/>
    <d v="2014-05-01T00:00:00"/>
    <d v="2014-05-31T00:00:00"/>
    <s v="EJECUTADO"/>
    <n v="3110.4"/>
    <m/>
    <n v="4665.5999999999995"/>
    <m/>
    <m/>
  </r>
  <r>
    <m/>
    <m/>
    <x v="0"/>
    <m/>
    <s v="VIA, ACCESO AL BARRIO, TOGUEROS, L=1,65 km (Catamayo)"/>
    <x v="2"/>
    <s v="CATAMAYO"/>
    <s v="SAN PEDRO DE LA BENDITA"/>
    <s v="AD. DIRECTA"/>
    <s v="VIALSUR"/>
    <x v="1"/>
    <x v="0"/>
    <n v="0"/>
    <s v="Explotación de material incluye cargado"/>
    <s v="m³."/>
    <n v="1.62"/>
    <n v="700"/>
    <m/>
    <d v="2014-04-16T00:00:00"/>
    <d v="2014-04-30T00:00:00"/>
    <s v="EJECUTADO"/>
    <n v="1134"/>
    <n v="1134"/>
    <n v="0"/>
    <m/>
    <m/>
  </r>
  <r>
    <m/>
    <m/>
    <x v="0"/>
    <m/>
    <s v="VIA, ACCESO AL BARRIO, TOGUEROS, L=1,65 km (Catamayo)"/>
    <x v="2"/>
    <s v="CATAMAYO"/>
    <s v="SAN PEDRO DE LA BENDITA"/>
    <s v="AD. DIRECTA"/>
    <s v="VIALSUR"/>
    <x v="1"/>
    <x v="0"/>
    <n v="0"/>
    <s v="Clasificación de material."/>
    <s v="m³."/>
    <n v="1.47"/>
    <n v="1500"/>
    <m/>
    <d v="2014-01-05T00:00:00"/>
    <d v="2014-05-31T00:00:00"/>
    <s v="EJECUTADO"/>
    <n v="2205"/>
    <m/>
    <n v="3307.5"/>
    <m/>
    <m/>
  </r>
  <r>
    <m/>
    <m/>
    <x v="1"/>
    <m/>
    <s v="VIA, ACCESO AL BARRIO, TOGUEROS, L=1,65 km (Catamayo)"/>
    <x v="2"/>
    <s v="CATAMAYO"/>
    <s v="SAN PEDRO DE LA BENDITA"/>
    <s v="AD. DIRECTA"/>
    <s v="VIALSUR"/>
    <x v="1"/>
    <x v="0"/>
    <n v="0"/>
    <s v="Limpieza de derrumbes a máquina"/>
    <s v="m³."/>
    <n v="1.46"/>
    <n v="875"/>
    <m/>
    <d v="2014-04-16T00:00:00"/>
    <d v="2014-04-30T00:00:00"/>
    <s v="EJECUTADO"/>
    <n v="1277.5"/>
    <n v="1277.5"/>
    <n v="0"/>
    <m/>
    <m/>
  </r>
  <r>
    <m/>
    <m/>
    <x v="1"/>
    <m/>
    <s v="VIA, ACCESO AL BARRIO, TOGUEROS, L=1,65 km (Catamayo)"/>
    <x v="2"/>
    <s v="CATAMAYO"/>
    <s v="SAN PEDRO DE LA BENDITA"/>
    <s v="AD. DIRECTA"/>
    <s v="VIALSUR"/>
    <x v="1"/>
    <x v="71"/>
    <n v="0"/>
    <s v="Rasanteo y conformacion de cunetas con motoniveladora"/>
    <s v="m²."/>
    <n v="0.08"/>
    <n v="8370"/>
    <m/>
    <d v="2014-04-16T00:00:00"/>
    <d v="2014-04-30T00:00:00"/>
    <s v="EJECUTADO"/>
    <n v="669.6"/>
    <n v="669.6"/>
    <n v="0"/>
    <m/>
    <m/>
  </r>
  <r>
    <m/>
    <m/>
    <x v="1"/>
    <m/>
    <s v="VIA, ACCESO AL BARRIO, TOGUEROS, L=1,65 km (Catamayo)"/>
    <x v="2"/>
    <s v="CATAMAYO"/>
    <s v="SAN PEDRO DE LA BENDITA"/>
    <s v="AD. DIRECTA"/>
    <s v="VIALSUR"/>
    <x v="1"/>
    <x v="0"/>
    <n v="0"/>
    <s v="Transporte de material excavado, inc. cargado"/>
    <s v="m³/km."/>
    <n v="0.38"/>
    <n v="780"/>
    <m/>
    <d v="2014-04-16T00:00:00"/>
    <d v="2014-04-30T00:00:00"/>
    <s v="EJECUTADO"/>
    <n v="296.39999999999998"/>
    <n v="296.39999999999998"/>
    <n v="0"/>
    <m/>
    <m/>
  </r>
  <r>
    <m/>
    <m/>
    <x v="0"/>
    <m/>
    <s v="VIA, ACCESO AL BARRIO, TOGUEROS, L=1,65 km (Catamayo)"/>
    <x v="2"/>
    <s v="CATAMAYO"/>
    <s v="SAN PEDRO DE LA BENDITA"/>
    <s v="AD. DIRECTA"/>
    <s v="VIALSUR"/>
    <x v="1"/>
    <x v="0"/>
    <n v="0"/>
    <s v="Transporte de material para mejoramiento, inc. cargado"/>
    <s v="m³/km."/>
    <n v="0.3"/>
    <n v="6429.36"/>
    <m/>
    <d v="2014-04-16T00:00:00"/>
    <d v="2014-05-31T00:00:00"/>
    <s v="EJECUTADO"/>
    <n v="1928.81"/>
    <n v="78.12"/>
    <n v="2776.0349999999999"/>
    <m/>
    <m/>
  </r>
  <r>
    <m/>
    <m/>
    <x v="0"/>
    <m/>
    <s v="VIA, ACCESO AL BARRIO, TOGUEROS, L=1,65 km (Catamayo)"/>
    <x v="2"/>
    <s v="CATAMAYO"/>
    <s v="SAN PEDRO DE LA BENDITA"/>
    <s v="AD. DIRECTA"/>
    <s v="VIALSUR"/>
    <x v="1"/>
    <x v="72"/>
    <n v="0"/>
    <s v="Mejoramiento de la subrasante con suelo seleccionado"/>
    <s v="m³."/>
    <n v="5.92"/>
    <n v="1742"/>
    <m/>
    <d v="2014-04-16T00:00:00"/>
    <d v="2014-05-31T00:00:00"/>
    <s v="EJECUTADO"/>
    <n v="10312.64"/>
    <n v="693.6"/>
    <n v="14428.559999999998"/>
    <m/>
    <m/>
  </r>
  <r>
    <m/>
    <m/>
    <x v="6"/>
    <s v="VIA, INDIUCHO-EL TAMBO, L=12,7 km. (Catamayo)  FALLA GEOLOGICA, ABS. 8+500  Inicio: 7 de marzo, continúa."/>
    <s v="VIA, INDIUCHO-EL TAMBO, L=12,7 km. (Catamayo)  FALLA GEOLOGICA, ABS. 8+500  Inicio: 7 de marzo, continúa."/>
    <x v="2"/>
    <s v="CATAMAYO"/>
    <s v="EL TAMBO"/>
    <s v="AD. DIRECTA"/>
    <s v="VIALSUR"/>
    <x v="23"/>
    <x v="0"/>
    <n v="2886"/>
    <s v="Suministro y colocación de alcantarilla D=1.20 m."/>
    <s v="ml."/>
    <n v="208.57"/>
    <n v="14"/>
    <m/>
    <d v="2014-01-05T00:00:00"/>
    <d v="2014-05-31T00:00:00"/>
    <s v="EJECUTADO"/>
    <n v="2919.98"/>
    <m/>
    <n v="4379.97"/>
    <m/>
    <m/>
  </r>
  <r>
    <m/>
    <m/>
    <x v="0"/>
    <m/>
    <s v="VIA, INDIUCHO-EL TAMBO, L=12,7 km. (Catamayo)  FALLA GEOLOGICA, ABS. 8+500  Inicio: 7 de marzo, continúa."/>
    <x v="2"/>
    <s v="CATAMAYO"/>
    <s v="EL TAMBO"/>
    <s v="AD. DIRECTA"/>
    <s v="VIALSUR"/>
    <x v="1"/>
    <x v="0"/>
    <n v="0"/>
    <s v="Material filtrante (construcción de subdrenes)"/>
    <s v="m3"/>
    <n v="9.84"/>
    <n v="800"/>
    <m/>
    <d v="2014-01-05T00:00:00"/>
    <d v="2014-05-31T00:00:00"/>
    <s v="EJECUTADO"/>
    <n v="7872"/>
    <m/>
    <n v="11808"/>
    <m/>
    <m/>
  </r>
  <r>
    <m/>
    <m/>
    <x v="0"/>
    <m/>
    <s v="VIA, INDIUCHO-EL TAMBO, L=12,7 km. (Catamayo)  FALLA GEOLOGICA, ABS. 8+500  Inicio: 7 de marzo, continúa."/>
    <x v="2"/>
    <s v="CATAMAYO"/>
    <s v="EL TAMBO"/>
    <s v="AD. DIRECTA"/>
    <s v="VIALSUR"/>
    <x v="1"/>
    <x v="0"/>
    <n v="0"/>
    <s v="Relleno Compactado con material mejorado (estructura de la vía)"/>
    <s v="m3"/>
    <n v="5.05"/>
    <n v="440"/>
    <m/>
    <d v="2014-01-05T00:00:00"/>
    <d v="2014-05-31T00:00:00"/>
    <s v="EJECUTADO"/>
    <n v="2222"/>
    <m/>
    <n v="3333"/>
    <m/>
    <m/>
  </r>
  <r>
    <m/>
    <m/>
    <x v="1"/>
    <m/>
    <s v="VIA, INDIUCHO-EL TAMBO, L=12,7 km. (Catamayo)  FALLA GEOLOGICA, ABS. 8+500  Inicio: 7 de marzo, continúa."/>
    <x v="2"/>
    <s v="CATAMAYO"/>
    <s v="EL TAMBO"/>
    <s v="AD. DIRECTA"/>
    <s v="VIALSUR"/>
    <x v="1"/>
    <x v="0"/>
    <n v="0"/>
    <s v="ESCOMBRERAS"/>
    <s v="m3"/>
    <n v="0.92"/>
    <n v="4372.8"/>
    <m/>
    <d v="2014-01-05T00:00:00"/>
    <d v="2014-05-31T00:00:00"/>
    <s v="EJECUTADO"/>
    <n v="4022.98"/>
    <m/>
    <n v="6034.47"/>
    <m/>
    <m/>
  </r>
  <r>
    <m/>
    <m/>
    <x v="0"/>
    <m/>
    <s v="VIA, INDIUCHO-EL TAMBO, L=12,7 km. (Catamayo)  FALLA GEOLOGICA, ABS. 8+500  Inicio: 7 de marzo, continúa."/>
    <x v="2"/>
    <s v="CATAMAYO"/>
    <s v="EL TAMBO"/>
    <s v="AD. DIRECTA"/>
    <s v="VIALSUR"/>
    <x v="1"/>
    <x v="0"/>
    <n v="0"/>
    <s v="Explotación de material (incluye cargado)."/>
    <s v="m³."/>
    <n v="2.54"/>
    <n v="1300"/>
    <m/>
    <d v="2014-03-07T00:00:00"/>
    <d v="2014-04-23T00:00:00"/>
    <s v="EJECUTADO"/>
    <n v="3302"/>
    <n v="3302"/>
    <n v="0"/>
    <m/>
    <m/>
  </r>
  <r>
    <m/>
    <m/>
    <x v="0"/>
    <m/>
    <s v="VIA, INDIUCHO-EL TAMBO, L=12,7 km. (Catamayo)  FALLA GEOLOGICA, ABS. 8+500  Inicio: 7 de marzo, continúa."/>
    <x v="2"/>
    <s v="CATAMAYO"/>
    <s v="EL TAMBO"/>
    <s v="AD. DIRECTA"/>
    <s v="VIALSUR"/>
    <x v="1"/>
    <x v="0"/>
    <n v="0"/>
    <s v="Excavación sin clasificar a maquina (Ampliación de la vía)"/>
    <s v="m³."/>
    <n v="1.62"/>
    <n v="4930"/>
    <m/>
    <d v="2014-03-07T00:00:00"/>
    <d v="2014-04-23T00:00:00"/>
    <s v="EJECUTADO"/>
    <n v="7986.6"/>
    <n v="7986.6"/>
    <n v="0"/>
    <m/>
    <m/>
  </r>
  <r>
    <m/>
    <m/>
    <x v="0"/>
    <m/>
    <s v="VIA, INDIUCHO-EL TAMBO, L=12,7 km. (Catamayo)  FALLA GEOLOGICA, ABS. 8+500  Inicio: 7 de marzo, continúa."/>
    <x v="2"/>
    <s v="CATAMAYO"/>
    <s v="EL TAMBO"/>
    <s v="AD. DIRECTA"/>
    <s v="VIALSUR"/>
    <x v="1"/>
    <x v="0"/>
    <n v="0"/>
    <s v="Clasificación de material."/>
    <s v="m³."/>
    <n v="1.47"/>
    <n v="2130"/>
    <m/>
    <d v="2014-03-07T00:00:00"/>
    <d v="2014-03-31T00:00:00"/>
    <s v="EJECUTADO"/>
    <n v="3131.1"/>
    <n v="3131.1"/>
    <n v="0"/>
    <m/>
    <m/>
  </r>
  <r>
    <m/>
    <m/>
    <x v="1"/>
    <m/>
    <s v="VIA, INDIUCHO-EL TAMBO, L=12,7 km. (Catamayo)  FALLA GEOLOGICA, ABS. 8+500  Inicio: 7 de marzo, continúa."/>
    <x v="2"/>
    <s v="CATAMAYO"/>
    <s v="EL TAMBO"/>
    <s v="AD. DIRECTA"/>
    <s v="VIALSUR"/>
    <x v="1"/>
    <x v="0"/>
    <n v="0"/>
    <s v="Transporte de material excavado, inc. cargado"/>
    <s v="m³/km."/>
    <n v="0.38"/>
    <n v="1457"/>
    <m/>
    <d v="2014-03-07T00:00:00"/>
    <d v="2014-04-23T00:00:00"/>
    <s v="EJECUTADO"/>
    <n v="553.66"/>
    <n v="553.66"/>
    <n v="0"/>
    <m/>
    <m/>
  </r>
  <r>
    <m/>
    <m/>
    <x v="0"/>
    <m/>
    <s v="VIA, INDIUCHO-EL TAMBO, L=12,7 km. (Catamayo)  FALLA GEOLOGICA, ABS. 8+500  Inicio: 7 de marzo, continúa."/>
    <x v="2"/>
    <s v="CATAMAYO"/>
    <s v="EL TAMBO"/>
    <s v="AD. DIRECTA"/>
    <s v="VIALSUR"/>
    <x v="1"/>
    <x v="0"/>
    <n v="0"/>
    <s v="Transporte de material petreo, inc. cargado"/>
    <s v="m³/km."/>
    <n v="0.3"/>
    <n v="5902.4"/>
    <m/>
    <d v="2014-03-07T00:00:00"/>
    <d v="2014-04-23T00:00:00"/>
    <s v="EJECUTADO"/>
    <n v="1770.72"/>
    <n v="1770.72"/>
    <n v="0"/>
    <m/>
    <m/>
  </r>
  <r>
    <m/>
    <m/>
    <x v="0"/>
    <m/>
    <s v="VIA, INDIUCHO-EL TAMBO, L=12,7 km. (Catamayo)  FALLA GEOLOGICA, ABS. 8+500  Inicio: 7 de marzo, continúa."/>
    <x v="2"/>
    <s v="CATAMAYO"/>
    <s v="EL TAMBO"/>
    <s v="AD. DIRECTA"/>
    <s v="VIALSUR"/>
    <x v="1"/>
    <x v="0"/>
    <n v="0"/>
    <s v="Transporte de material para mejoramiento, inc. cargado"/>
    <s v="m³/km."/>
    <n v="0.3"/>
    <n v="11572"/>
    <m/>
    <d v="2014-03-07T00:00:00"/>
    <d v="2014-04-23T00:00:00"/>
    <s v="EJECUTADO"/>
    <n v="3471.6"/>
    <n v="3471.6"/>
    <n v="0"/>
    <m/>
    <m/>
  </r>
  <r>
    <m/>
    <m/>
    <x v="0"/>
    <m/>
    <s v="VIA, INDIUCHO-EL TAMBO, L=12,7 km. (Catamayo)  FALLA GEOLOGICA, ABS. 8+500  Inicio: 7 de marzo, continúa."/>
    <x v="2"/>
    <s v="CATAMAYO"/>
    <s v="EL TAMBO"/>
    <s v="AD. DIRECTA"/>
    <s v="VIALSUR"/>
    <x v="1"/>
    <x v="73"/>
    <n v="0"/>
    <s v="Mejoramiento de la subrasante con suelo seleccionado"/>
    <s v="m³"/>
    <n v="5.92"/>
    <n v="924"/>
    <m/>
    <d v="2014-03-07T00:00:00"/>
    <d v="2014-03-31T00:00:00"/>
    <s v="EJECUTADO"/>
    <n v="5470.08"/>
    <n v="5340.72"/>
    <n v="194.03999999999951"/>
    <m/>
    <m/>
  </r>
  <r>
    <m/>
    <m/>
    <x v="1"/>
    <s v="VIA, INDIUCHO-EL TAMBO, L=12,7 km. (Catamayo)"/>
    <s v="VIA, INDIUCHO-EL TAMBO, L=12,7 km. (Catamayo)"/>
    <x v="2"/>
    <s v="CATAMAYO"/>
    <s v="EL TAMBO"/>
    <s v="AD. DIRECTA"/>
    <s v="VIALSUR"/>
    <x v="23"/>
    <x v="0"/>
    <n v="2886"/>
    <s v="Limpieza de derrumbes a máquina"/>
    <s v="m³."/>
    <n v="1.46"/>
    <n v="1975"/>
    <m/>
    <d v="2014-02-18T00:00:00"/>
    <d v="2014-05-31T00:00:00"/>
    <s v="EJECUTADO"/>
    <n v="2883.5"/>
    <n v="2080.0500000000002"/>
    <n v="1205.1749999999997"/>
    <m/>
    <m/>
  </r>
  <r>
    <m/>
    <m/>
    <x v="1"/>
    <s v="VIA, EL TAMBO-CHAPAMARCA-VILLONACO, L=18,2 km. (Catamayo)"/>
    <s v="VIA, EL TAMBO-CHAPAMARCA-VILLONACO, L=18,2 km. (Catamayo)"/>
    <x v="2"/>
    <s v="CATAMAYO"/>
    <s v="EL TAMBO"/>
    <s v="AD. DIRECTA"/>
    <s v="VIALSUR"/>
    <x v="24"/>
    <x v="0"/>
    <n v="2886"/>
    <s v="Limpieza de derrumbes a máquina"/>
    <s v="m³."/>
    <n v="1.46"/>
    <n v="2750"/>
    <m/>
    <d v="2014-04-04T00:00:00"/>
    <d v="2014-06-30T00:00:00"/>
    <s v="EJECUTADO"/>
    <n v="4015"/>
    <n v="1359.75"/>
    <n v="3982.875"/>
    <m/>
    <m/>
  </r>
  <r>
    <m/>
    <m/>
    <x v="1"/>
    <m/>
    <s v="VIA, EL TAMBO-CHAPAMARCA-VILLONACO, L=18,2 km. (Catamayo)"/>
    <x v="2"/>
    <s v="CATAMAYO"/>
    <s v="EL TAMBO"/>
    <s v="AD. DIRECTA"/>
    <s v="VIALSUR"/>
    <x v="1"/>
    <x v="74"/>
    <n v="0"/>
    <s v="Reconformación de la Subrazante"/>
    <s v="m2"/>
    <n v="0.35"/>
    <n v="19550"/>
    <m/>
    <d v="2014-06-01T00:00:00"/>
    <d v="2014-06-30T00:00:00"/>
    <s v="EJECUTADO"/>
    <n v="6842.5"/>
    <m/>
    <n v="10263.75"/>
    <m/>
    <m/>
  </r>
  <r>
    <m/>
    <m/>
    <x v="1"/>
    <s v="VIA, EL TAMBO-LA ERA, L=8,6 km. (Catamayo)"/>
    <s v="VIA, EL TAMBO-LA ERA, L=8,6 km. (Catamayo)"/>
    <x v="2"/>
    <s v="CATAMAYO"/>
    <s v="EL TAMBO"/>
    <s v="AD. DIRECTA"/>
    <s v="VIALSUR"/>
    <x v="25"/>
    <x v="0"/>
    <n v="2886"/>
    <s v="Limpieza de derrumbes a máquina"/>
    <s v="m³."/>
    <n v="1.46"/>
    <n v="3200"/>
    <m/>
    <d v="2014-04-10T00:00:00"/>
    <d v="2014-06-30T00:00:00"/>
    <s v="EJECUTADO"/>
    <n v="4672"/>
    <n v="514.5"/>
    <n v="6236.25"/>
    <m/>
    <m/>
  </r>
  <r>
    <m/>
    <m/>
    <x v="1"/>
    <m/>
    <s v="VIA, EL TAMBO-LA ERA, L=8,6 km. (Catamayo)"/>
    <x v="2"/>
    <s v="CATAMAYO"/>
    <s v="EL TAMBO"/>
    <s v="AD. DIRECTA"/>
    <s v="VIALSUR"/>
    <x v="1"/>
    <x v="0"/>
    <n v="0"/>
    <s v="Relleno Compactado con material mejorado (estructura de la vía)"/>
    <s v="m³."/>
    <n v="5.05"/>
    <n v="360"/>
    <m/>
    <d v="2014-06-01T00:00:00"/>
    <d v="2014-06-30T00:00:00"/>
    <s v="EJECUTADO"/>
    <n v="1818"/>
    <m/>
    <n v="2727"/>
    <m/>
    <m/>
  </r>
  <r>
    <m/>
    <m/>
    <x v="0"/>
    <m/>
    <s v="VIA, EL TAMBO-LA ERA, L=8,6 km. (Catamayo)"/>
    <x v="2"/>
    <s v="CATAMAYO"/>
    <s v="EL TAMBO"/>
    <s v="AD. DIRECTA"/>
    <s v="VIALSUR"/>
    <x v="1"/>
    <x v="0"/>
    <n v="0"/>
    <s v="Transporte de material mejorado, inc. Cargado"/>
    <s v="m³./km."/>
    <n v="0.3"/>
    <n v="972"/>
    <m/>
    <d v="2014-06-01T00:00:00"/>
    <d v="2014-06-30T00:00:00"/>
    <s v="EJECUTADO"/>
    <n v="291.60000000000002"/>
    <m/>
    <n v="437.40000000000003"/>
    <m/>
    <m/>
  </r>
  <r>
    <m/>
    <m/>
    <x v="1"/>
    <m/>
    <s v="VIA, EL TAMBO-LA ERA, L=8,6 km. (Catamayo)"/>
    <x v="2"/>
    <s v="CATAMAYO"/>
    <s v="EL TAMBO"/>
    <s v="AD. DIRECTA"/>
    <s v="VIALSUR"/>
    <x v="1"/>
    <x v="75"/>
    <n v="0"/>
    <s v="Reconformación de la Subrazante"/>
    <s v="m³."/>
    <n v="0.35"/>
    <n v="96320"/>
    <m/>
    <d v="2014-01-05T00:00:00"/>
    <d v="2014-06-30T00:00:00"/>
    <s v="EJECUTADO"/>
    <n v="33712"/>
    <m/>
    <n v="50568"/>
    <m/>
    <m/>
  </r>
  <r>
    <m/>
    <m/>
    <x v="1"/>
    <s v="VIA ACCESO A LA MERCED BAJA, L= 1.6 KM. VIA ANTIGUA, LA ERA - &quot;Y&quot; DEL CANAL, L= 2,3 KM (EL TAMBO - CATAMAYO)"/>
    <s v="VIA ACCESO A LA MERCED BAJA, L= 1.6 KM. VIA ANTIGUA, LA ERA - &quot;Y&quot; DEL CANAL, L= 2,3 KM (EL TAMBO - CATAMAYO)"/>
    <x v="2"/>
    <s v="CATAMAYO"/>
    <s v="EL TAMBO"/>
    <s v="AD. DIRECTA"/>
    <s v="VIALSUR"/>
    <x v="26"/>
    <x v="0"/>
    <n v="2886"/>
    <s v="Limpieza de derrumbes a máquina"/>
    <s v="m³."/>
    <n v="1.46"/>
    <n v="1050"/>
    <m/>
    <d v="2014-06-01T00:00:00"/>
    <d v="2014-06-30T00:00:00"/>
    <s v="EJECUTADO"/>
    <n v="1533"/>
    <m/>
    <n v="2299.5"/>
    <m/>
    <m/>
  </r>
  <r>
    <m/>
    <m/>
    <x v="1"/>
    <m/>
    <s v="VIA ACCESO A LA MERCED BAJA, L= 1.6 KM. VIA ANTIGUA, LA ERA - &quot;Y&quot; DEL CANAL, L= 2,3 KM (EL TAMBO - CATAMAYO)"/>
    <x v="2"/>
    <s v="CATAMAYO"/>
    <s v="EL TAMBO"/>
    <s v="AD. DIRECTA"/>
    <s v="VIALSUR"/>
    <x v="1"/>
    <x v="76"/>
    <n v="0"/>
    <s v="Reconformación de la Subrazante"/>
    <s v="m2"/>
    <n v="0.35"/>
    <n v="17850"/>
    <m/>
    <d v="2014-06-01T00:00:00"/>
    <d v="2014-06-30T00:00:00"/>
    <s v="EJECUTADO"/>
    <n v="6247.5"/>
    <m/>
    <n v="9371.25"/>
    <m/>
    <m/>
  </r>
  <r>
    <m/>
    <m/>
    <x v="0"/>
    <s v="VIA, SOBRINOSPAMBA-EL HUAYCO, L=4,7 km. (Catamayo)"/>
    <s v="VIA, SOBRINOSPAMBA-EL HUAYCO, L=4,7 km. (Catamayo)"/>
    <x v="2"/>
    <s v="CATAMAYO"/>
    <s v="EL TAMBO"/>
    <s v="AD. DIRECTA"/>
    <s v="VIALSUR"/>
    <x v="27"/>
    <x v="0"/>
    <n v="2886"/>
    <s v="Clasificación de material."/>
    <s v="m³."/>
    <n v="1.47"/>
    <n v="100"/>
    <m/>
    <d v="2014-04-10T00:00:00"/>
    <d v="2014-04-11T00:00:00"/>
    <s v="EJECUTADO"/>
    <n v="147"/>
    <n v="147"/>
    <n v="0"/>
    <m/>
    <m/>
  </r>
  <r>
    <m/>
    <m/>
    <x v="0"/>
    <m/>
    <s v="VIA, SOBRINOSPAMBA-EL HUAYCO, L=4,7 km. (Catamayo)"/>
    <x v="2"/>
    <s v="CATAMAYO"/>
    <s v="EL TAMBO"/>
    <s v="AD. DIRECTA"/>
    <s v="VIALSUR"/>
    <x v="27"/>
    <x v="0"/>
    <n v="2886"/>
    <s v="Transporte de material para mejoramiento, inc. cargado"/>
    <s v="m³/km."/>
    <n v="0.3"/>
    <n v="180"/>
    <m/>
    <d v="2014-04-10T00:00:00"/>
    <d v="2014-04-11T00:00:00"/>
    <s v="EJECUTADO"/>
    <n v="54"/>
    <n v="54"/>
    <n v="0"/>
    <m/>
    <m/>
  </r>
  <r>
    <m/>
    <m/>
    <x v="0"/>
    <m/>
    <s v="VIA, SOBRINOSPAMBA-EL HUAYCO, L=4,7 km. (Catamayo)"/>
    <x v="2"/>
    <s v="CATAMAYO"/>
    <s v="EL TAMBO"/>
    <s v="AD. DIRECTA"/>
    <s v="VIALSUR"/>
    <x v="27"/>
    <x v="77"/>
    <n v="2886"/>
    <s v="Mejoramiento de la subrasante con suelo seleccionado"/>
    <s v="m³."/>
    <n v="5.92"/>
    <n v="72"/>
    <m/>
    <d v="2014-04-10T00:00:00"/>
    <d v="2014-04-11T00:00:00"/>
    <s v="EJECUTADO"/>
    <n v="426.24"/>
    <n v="416.16"/>
    <n v="15.119999999999976"/>
    <m/>
    <m/>
  </r>
  <r>
    <s v="12"/>
    <s v="EJECUTADO"/>
    <x v="1"/>
    <s v="VIA, &quot;Y&quot; del ROSARIO-RIO YAGUACHI, L=15,4 km. (Chaguar.)"/>
    <s v="VIA, &quot;Y&quot; del ROSARIO-RIO YAGUACHI, L=15,4 km. (Chaguar.)"/>
    <x v="2"/>
    <s v="CHAGUARPAMBA"/>
    <s v="EL ROSARIO"/>
    <s v="AD. DIRECTA"/>
    <s v="VIALSUR"/>
    <x v="28"/>
    <x v="0"/>
    <n v="200"/>
    <s v="Limpieza de derrumbes a máquina"/>
    <s v="m³."/>
    <n v="1.46"/>
    <n v="8875"/>
    <m/>
    <d v="2014-02-18T00:00:00"/>
    <d v="2014-07-31T00:00:00"/>
    <s v="EJECUTADO"/>
    <n v="12957.5"/>
    <n v="3689.7"/>
    <n v="13901.699999999999"/>
    <m/>
    <m/>
  </r>
  <r>
    <m/>
    <m/>
    <x v="1"/>
    <m/>
    <s v="VIA, &quot;Y&quot; del ROSARIO-RIO YAGUACHI, L=15,4 km. (Chaguar.)"/>
    <x v="2"/>
    <s v="CHAGUARPAMBA"/>
    <s v="EL ROSARIO"/>
    <s v="AD. DIRECTA"/>
    <s v="VIALSUR"/>
    <x v="1"/>
    <x v="0"/>
    <m/>
    <s v="Limpieza de cunetas y alcantarillas a máquina"/>
    <s v="m³."/>
    <n v="1.47"/>
    <n v="700"/>
    <m/>
    <d v="2014-07-01T00:00:00"/>
    <d v="2014-07-31T00:00:00"/>
    <s v="EJECUTADO"/>
    <n v="1029"/>
    <m/>
    <n v="1543.5"/>
    <m/>
    <m/>
  </r>
  <r>
    <m/>
    <m/>
    <x v="1"/>
    <m/>
    <s v="VIA, &quot;Y&quot; del ROSARIO-RIO YAGUACHI, L=15,4 km. (Chaguar.)"/>
    <x v="2"/>
    <s v="CHAGUARPAMBA"/>
    <s v="EL ROSARIO"/>
    <s v="AD. DIRECTA"/>
    <s v="VIALSUR"/>
    <x v="1"/>
    <x v="0"/>
    <m/>
    <s v="Transporte de material excavado, inc. cargado"/>
    <s v="m³/km."/>
    <n v="0.38"/>
    <n v="639.36"/>
    <m/>
    <d v="2014-07-01T00:00:00"/>
    <d v="2014-07-31T00:00:00"/>
    <s v="EJECUTADO"/>
    <n v="242.96"/>
    <m/>
    <n v="364.44"/>
    <m/>
    <m/>
  </r>
  <r>
    <m/>
    <m/>
    <x v="0"/>
    <m/>
    <s v="VIA, &quot;Y&quot; del ROSARIO-RIO YAGUACHI, L=15,4 km. (Chaguar.)"/>
    <x v="2"/>
    <s v="CHAGUARPAMBA"/>
    <s v="EL ROSARIO"/>
    <s v="AD. DIRECTA"/>
    <s v="VIALSUR"/>
    <x v="1"/>
    <x v="0"/>
    <m/>
    <s v="Transporte de material para mejoramiento, inc. cargado"/>
    <s v="m³/km."/>
    <n v="0.38"/>
    <n v="6542.64"/>
    <m/>
    <d v="2014-07-01T00:00:00"/>
    <d v="2014-07-31T00:00:00"/>
    <s v="EJECUTADO"/>
    <n v="2486.1999999999998"/>
    <m/>
    <n v="3729.2999999999997"/>
    <m/>
    <m/>
  </r>
  <r>
    <m/>
    <m/>
    <x v="1"/>
    <m/>
    <s v="VIA, &quot;Y&quot; del ROSARIO-RIO YAGUACHI, L=15,4 km. (Chaguar.)"/>
    <x v="2"/>
    <s v="CHAGUARPAMBA"/>
    <s v="EL ROSARIO"/>
    <s v="AD. DIRECTA"/>
    <s v="VIALSUR"/>
    <x v="1"/>
    <x v="78"/>
    <m/>
    <s v="Reconformación de la subrasante"/>
    <s v="m²."/>
    <n v="0.35"/>
    <n v="88350"/>
    <m/>
    <d v="2014-07-01T00:00:00"/>
    <d v="2014-07-31T00:00:00"/>
    <s v="EJECUTADO"/>
    <n v="30922.5"/>
    <m/>
    <n v="46383.75"/>
    <m/>
    <m/>
  </r>
  <r>
    <m/>
    <m/>
    <x v="0"/>
    <m/>
    <s v="VIA, &quot;Y&quot; del ROSARIO-RIO YAGUACHI, L=15,4 km. (Chaguar.)"/>
    <x v="2"/>
    <s v="CHAGUARPAMBA"/>
    <s v="EL ROSARIO"/>
    <s v="AD. DIRECTA"/>
    <s v="VIALSUR"/>
    <x v="1"/>
    <x v="79"/>
    <m/>
    <s v="Mejoramiento de la subrasante con suelo seleccionado"/>
    <s v="m³."/>
    <n v="5.92"/>
    <n v="720"/>
    <m/>
    <d v="2014-07-01T00:00:00"/>
    <d v="2014-07-31T00:00:00"/>
    <s v="EJECUTADO"/>
    <n v="4262.3999999999996"/>
    <m/>
    <n v="6393.5999999999995"/>
    <m/>
    <m/>
  </r>
  <r>
    <m/>
    <m/>
    <x v="0"/>
    <m/>
    <s v="VIA, &quot;Y&quot; del ROSARIO-RIO YAGUACHI, L=15,4 km. (Chaguar.)"/>
    <x v="2"/>
    <s v="CHAGUARPAMBA"/>
    <s v="EL ROSARIO"/>
    <s v="AD. DIRECTA"/>
    <s v="VIALSUR"/>
    <x v="1"/>
    <x v="0"/>
    <m/>
    <s v="Excavación y Relleno compactado, con material mejorado"/>
    <s v="m³."/>
    <n v="7.6"/>
    <n v="940"/>
    <m/>
    <d v="2014-07-01T00:00:00"/>
    <d v="2014-07-31T00:00:00"/>
    <s v="EJECUTADO"/>
    <n v="7144"/>
    <m/>
    <n v="10716"/>
    <m/>
    <m/>
  </r>
  <r>
    <m/>
    <m/>
    <x v="0"/>
    <m/>
    <s v="VIA, &quot;Y&quot; del ROSARIO-RIO YAGUACHI, L=15,4 km. (Chaguar.)"/>
    <x v="2"/>
    <s v="CHAGUARPAMBA"/>
    <s v="EL ROSARIO"/>
    <s v="AD. DIRECTA"/>
    <s v="VIALSUR"/>
    <x v="1"/>
    <x v="0"/>
    <m/>
    <s v="Clasificación de material."/>
    <s v="m³."/>
    <n v="1.47"/>
    <n v="1580"/>
    <m/>
    <d v="2014-07-01T00:00:00"/>
    <d v="2014-07-31T00:00:00"/>
    <s v="EJECUTADO"/>
    <n v="2322.6"/>
    <m/>
    <n v="3483.8999999999996"/>
    <m/>
    <m/>
  </r>
  <r>
    <s v="13"/>
    <s v="EJECUTADO"/>
    <x v="1"/>
    <s v="VIA, CORDILLERA DE RAMOS-4 LOMAS, L=6,2 km. (Chaguar.)"/>
    <s v="VIA, CORDILLERA DE RAMOS-4 LOMAS, L=6,2 km. (Chaguar.)"/>
    <x v="2"/>
    <s v="CHAGUARPAMBA"/>
    <s v="EL ROSARIO"/>
    <s v="AD. DIRECTA"/>
    <s v="VIALSUR"/>
    <x v="29"/>
    <x v="0"/>
    <n v="200"/>
    <s v="Reconformación de la subrasante"/>
    <s v="m²."/>
    <n v="0.35"/>
    <n v="27900"/>
    <m/>
    <d v="2014-07-29T00:00:00"/>
    <d v="2014-07-31T00:00:00"/>
    <s v="EJECUTADO"/>
    <n v="9765"/>
    <m/>
    <n v="14647.5"/>
    <m/>
    <m/>
  </r>
  <r>
    <m/>
    <m/>
    <x v="0"/>
    <s v="VIA,PANAMERICANA - SAN JOSE-BUENAVISTA, L=7,3 km. (Chaguarpamba)"/>
    <s v="VIA,PANAMERICANA - SAN JOSE-BUENAVISTA, L=7,3 km. (Chaguarpamba)"/>
    <x v="2"/>
    <s v="CHAGUARPAMBA"/>
    <s v="BUENAVISTA"/>
    <s v="AD. DIRECTA"/>
    <s v="VIALSUR"/>
    <x v="30"/>
    <x v="0"/>
    <n v="483"/>
    <s v="Explotación de material (incluye cargado)."/>
    <s v="m³."/>
    <n v="2.54"/>
    <n v="4430"/>
    <m/>
    <d v="2014-01-21T00:00:00"/>
    <d v="2014-02-15T00:00:00"/>
    <s v="EJECUTADO"/>
    <n v="11252.2"/>
    <n v="11252.2"/>
    <n v="0"/>
    <m/>
    <m/>
  </r>
  <r>
    <m/>
    <m/>
    <x v="0"/>
    <m/>
    <s v="VIA,PANAMERICANA - SAN JOSE-BUENAVISTA, L=7,3 km. (Chaguarpamba)"/>
    <x v="2"/>
    <s v="CHAGUARPAMBA"/>
    <s v="BUENAVISTA"/>
    <s v="AD. DIRECTA"/>
    <s v="VIALSUR"/>
    <x v="1"/>
    <x v="0"/>
    <n v="0"/>
    <s v="Clasificación de material."/>
    <s v="m³."/>
    <n v="1.47"/>
    <n v="1350"/>
    <m/>
    <d v="2014-01-21T00:00:00"/>
    <d v="2014-02-15T00:00:00"/>
    <s v="EJECUTADO"/>
    <n v="1984.5"/>
    <n v="1984.5"/>
    <n v="0"/>
    <m/>
    <m/>
  </r>
  <r>
    <m/>
    <m/>
    <x v="1"/>
    <m/>
    <s v="VIA,PANAMERICANA - SAN JOSE-BUENAVISTA, L=7,3 km. (Chaguarpamba)"/>
    <x v="2"/>
    <s v="CHAGUARPAMBA"/>
    <s v="BUENAVISTA"/>
    <s v="AD. DIRECTA"/>
    <s v="VIALSUR"/>
    <x v="1"/>
    <x v="0"/>
    <n v="0"/>
    <s v="Limpieza de derrumbes a máquina"/>
    <s v="m³."/>
    <n v="1.46"/>
    <n v="1820"/>
    <m/>
    <d v="2014-01-21T00:00:00"/>
    <d v="2014-03-31T00:00:00"/>
    <s v="EJECUTADO"/>
    <n v="2657.2"/>
    <n v="2657.2"/>
    <n v="0"/>
    <m/>
    <m/>
  </r>
  <r>
    <m/>
    <m/>
    <x v="1"/>
    <m/>
    <s v="VIA,PANAMERICANA - SAN JOSE-BUENAVISTA, L=7,3 km. (Chaguarpamba)"/>
    <x v="2"/>
    <s v="CHAGUARPAMBA"/>
    <s v="BUENAVISTA"/>
    <s v="AD. DIRECTA"/>
    <s v="VIALSUR"/>
    <x v="1"/>
    <x v="80"/>
    <n v="0"/>
    <s v="Rasanteo y conformacion de cunetas con motoniveladora"/>
    <s v="m²."/>
    <n v="0.08"/>
    <n v="42195"/>
    <m/>
    <d v="2014-01-21T00:00:00"/>
    <d v="2014-03-31T00:00:00"/>
    <s v="EJECUTADO"/>
    <n v="3375.6"/>
    <n v="3375.6"/>
    <n v="0"/>
    <m/>
    <m/>
  </r>
  <r>
    <m/>
    <m/>
    <x v="0"/>
    <m/>
    <s v="VIA,PANAMERICANA - SAN JOSE-BUENAVISTA, L=7,3 km. (Chaguarpamba)"/>
    <x v="2"/>
    <s v="CHAGUARPAMBA"/>
    <s v="BUENAVISTA"/>
    <s v="AD. DIRECTA"/>
    <s v="VIALSUR"/>
    <x v="1"/>
    <x v="81"/>
    <n v="0"/>
    <s v="Mejoramiento de la subrasante con suelo seleccionado"/>
    <s v="m³."/>
    <n v="5.92"/>
    <n v="3044"/>
    <m/>
    <d v="2014-01-21T00:00:00"/>
    <d v="2014-02-15T00:00:00"/>
    <s v="EJECUTADO"/>
    <n v="18020.48"/>
    <n v="17594.32"/>
    <n v="639.23999999999978"/>
    <m/>
    <m/>
  </r>
  <r>
    <m/>
    <m/>
    <x v="0"/>
    <m/>
    <s v="VIA,PANAMERICANA - SAN JOSE-BUENAVISTA, L=7,3 km. (Chaguarpamba)"/>
    <x v="2"/>
    <s v="CHAGUARPAMBA"/>
    <s v="BUENAVISTA"/>
    <s v="AD. DIRECTA"/>
    <s v="VIALSUR"/>
    <x v="1"/>
    <x v="0"/>
    <n v="0"/>
    <s v="Transporte de material para mejoramiento, inc. cargado"/>
    <s v="m³/km."/>
    <n v="0.38"/>
    <n v="5665.78"/>
    <m/>
    <d v="2014-01-21T00:00:00"/>
    <d v="2014-02-15T00:00:00"/>
    <s v="EJECUTADO"/>
    <n v="2153"/>
    <n v="2153"/>
    <n v="0"/>
    <m/>
    <m/>
  </r>
  <r>
    <m/>
    <m/>
    <x v="0"/>
    <s v="VIA, BUENAVISTA-AMARILLOS, L=9,9 km. (Chaguarpamba)"/>
    <s v="VIA, BUENAVISTA-AMARILLOS, L=9,9 km. (Chaguarpamba)"/>
    <x v="2"/>
    <s v="CHAGUARPAMBA"/>
    <s v="AMARILLOS"/>
    <s v="AD. DIRECTA"/>
    <s v="VIALSUR"/>
    <x v="31"/>
    <x v="0"/>
    <n v="350"/>
    <s v="Explotación de material (incluye cargado)."/>
    <s v="m³."/>
    <n v="2.54"/>
    <n v="1600"/>
    <m/>
    <d v="2014-02-16T00:00:00"/>
    <d v="2014-02-21T00:00:00"/>
    <s v="EJECUTADO"/>
    <n v="4064"/>
    <n v="4064"/>
    <n v="0"/>
    <m/>
    <m/>
  </r>
  <r>
    <m/>
    <m/>
    <x v="0"/>
    <m/>
    <s v="VIA, BUENAVISTA-AMARILLOS, L=9,9 km. (Chaguarpamba)"/>
    <x v="2"/>
    <s v="CHAGUARPAMBA"/>
    <s v="AMARILLOS"/>
    <s v="AD. DIRECTA"/>
    <s v="VIALSUR"/>
    <x v="1"/>
    <x v="0"/>
    <n v="0"/>
    <s v="Clasificación de material."/>
    <s v="m³."/>
    <n v="1.47"/>
    <n v="300"/>
    <m/>
    <d v="2014-02-16T00:00:00"/>
    <d v="2014-02-21T00:00:00"/>
    <s v="EJECUTADO"/>
    <n v="441"/>
    <n v="441"/>
    <n v="0"/>
    <m/>
    <m/>
  </r>
  <r>
    <m/>
    <m/>
    <x v="1"/>
    <m/>
    <s v="VIA, BUENAVISTA-AMARILLOS, L=9,9 km. (Chaguarpamba)"/>
    <x v="2"/>
    <s v="CHAGUARPAMBA"/>
    <s v="AMARILLOS"/>
    <s v="AD. DIRECTA"/>
    <s v="VIALSUR"/>
    <x v="1"/>
    <x v="0"/>
    <n v="0"/>
    <s v="Limpieza de derrumbes a máquina"/>
    <s v="m³."/>
    <n v="1.46"/>
    <n v="1650"/>
    <m/>
    <d v="2014-02-16T00:00:00"/>
    <d v="2014-02-21T00:00:00"/>
    <s v="EJECUTADO"/>
    <n v="2409"/>
    <n v="2409"/>
    <n v="0"/>
    <m/>
    <m/>
  </r>
  <r>
    <m/>
    <m/>
    <x v="1"/>
    <m/>
    <s v="VIA, BUENAVISTA-AMARILLOS, L=9,9 km. (Chaguarpamba)"/>
    <x v="2"/>
    <s v="CHAGUARPAMBA"/>
    <s v="AMARILLOS"/>
    <s v="AD. DIRECTA"/>
    <s v="VIALSUR"/>
    <x v="1"/>
    <x v="82"/>
    <n v="0"/>
    <s v="Rasanteo y conformacion de cunetas con motoniveladora"/>
    <s v="m²."/>
    <n v="0.08"/>
    <n v="13260"/>
    <m/>
    <d v="2014-02-16T00:00:00"/>
    <d v="2014-02-21T00:00:00"/>
    <s v="EJECUTADO"/>
    <n v="1060.8"/>
    <n v="1060.8"/>
    <n v="0"/>
    <m/>
    <m/>
  </r>
  <r>
    <m/>
    <m/>
    <x v="0"/>
    <m/>
    <s v="VIA, BUENAVISTA-AMARILLOS, L=9,9 km. (Chaguarpamba)"/>
    <x v="2"/>
    <s v="CHAGUARPAMBA"/>
    <s v="AMARILLOS"/>
    <s v="AD. DIRECTA"/>
    <s v="VIALSUR"/>
    <x v="1"/>
    <x v="83"/>
    <n v="0"/>
    <s v="Mejoramiento de la subrasante con suelo seleccionado"/>
    <s v="m³."/>
    <n v="5.92"/>
    <n v="1079"/>
    <m/>
    <d v="2014-02-16T00:00:00"/>
    <d v="2014-02-21T00:00:00"/>
    <s v="EJECUTADO"/>
    <n v="6387.68"/>
    <n v="6236.62"/>
    <n v="226.5900000000006"/>
    <m/>
    <m/>
  </r>
  <r>
    <m/>
    <m/>
    <x v="0"/>
    <m/>
    <s v="VIA, BUENAVISTA-AMARILLOS, L=9,9 km. (Chaguarpamba)"/>
    <x v="2"/>
    <s v="CHAGUARPAMBA"/>
    <s v="AMARILLOS"/>
    <s v="AD. DIRECTA"/>
    <s v="VIALSUR"/>
    <x v="1"/>
    <x v="0"/>
    <n v="0"/>
    <s v="Transporte de material para mejoramiento, inc. cargado"/>
    <s v="m³/km."/>
    <n v="0.38"/>
    <n v="4077.45"/>
    <m/>
    <d v="2014-02-16T00:00:00"/>
    <d v="2014-02-21T00:00:00"/>
    <s v="EJECUTADO"/>
    <n v="1549.43"/>
    <n v="1549.43"/>
    <n v="0"/>
    <m/>
    <m/>
  </r>
  <r>
    <m/>
    <m/>
    <x v="1"/>
    <s v="VIAS DESDE BUENAVISTA A, VALLE HERMOSO, PALMAL Y PAN DE AZUCAR"/>
    <s v="VIAS DESDE BUENAVISTA A, VALLE HERMOSO, PALMAL Y PAN DE AZUCAR"/>
    <x v="2"/>
    <s v="CHAGUARPAMBA"/>
    <s v="BUENAVISTA"/>
    <s v="AD. DIRECTA"/>
    <s v="VIALSUR"/>
    <x v="32"/>
    <x v="84"/>
    <n v="483"/>
    <s v="Rasanteo y conformacion de cunetas con motoniveladora"/>
    <s v="m²."/>
    <n v="0.08"/>
    <n v="23520"/>
    <m/>
    <d v="2014-02-25T00:00:00"/>
    <d v="2014-02-28T00:00:00"/>
    <s v="EJECUTADO"/>
    <n v="1881.6"/>
    <n v="1881.6"/>
    <n v="0"/>
    <m/>
    <m/>
  </r>
  <r>
    <m/>
    <m/>
    <x v="1"/>
    <m/>
    <s v="VIAS DESDE BUENAVISTA A, VALLE HERMOSO, PALMAL Y PAN DE AZUCAR"/>
    <x v="2"/>
    <s v="CHAGUARPAMBA"/>
    <s v="BUENAVISTA"/>
    <s v="AD. DIRECTA"/>
    <s v="VIALSUR"/>
    <x v="1"/>
    <x v="0"/>
    <n v="0"/>
    <s v="Limpieza de derrumbes a máquina"/>
    <s v="m³."/>
    <n v="1.46"/>
    <n v="1190"/>
    <m/>
    <d v="2014-02-25T00:00:00"/>
    <d v="2014-04-30T00:00:00"/>
    <s v="EJECUTADO"/>
    <n v="1737.4"/>
    <n v="1737.4"/>
    <n v="0"/>
    <m/>
    <m/>
  </r>
  <r>
    <m/>
    <m/>
    <x v="0"/>
    <s v="VIA, LAS JUNTAS-&quot;Y&quot; del GUINEO, RIO PINDO L=5.6 km. "/>
    <s v="VIA, LAS JUNTAS-&quot;Y&quot; del GUINEO, RIO PINDO L=5.6 km. "/>
    <x v="2"/>
    <s v="CHAGUARPAMBA"/>
    <s v="SANTA RUFINA"/>
    <s v="AD. DIRECTA"/>
    <s v="VIALSUR"/>
    <x v="33"/>
    <x v="0"/>
    <n v="698"/>
    <s v="Clasificación de material."/>
    <s v="m³."/>
    <n v="1.47"/>
    <n v="870"/>
    <m/>
    <d v="2014-01-07T00:00:00"/>
    <d v="2014-01-31T00:00:00"/>
    <s v="EJECUTADO"/>
    <n v="1278.9000000000001"/>
    <n v="1278.9000000000001"/>
    <n v="0"/>
    <m/>
    <m/>
  </r>
  <r>
    <m/>
    <m/>
    <x v="1"/>
    <m/>
    <s v="VIA, LAS JUNTAS-&quot;Y&quot; del GUINEO, RIO PINDO L=5.6 km. "/>
    <x v="2"/>
    <s v="CHAGUARPAMBA"/>
    <s v="SANTA RUFINA"/>
    <s v="AD. DIRECTA"/>
    <s v="VIALSUR"/>
    <x v="1"/>
    <x v="85"/>
    <n v="0"/>
    <s v="Rasanteo y conformacion de cunetas con motoniveladora"/>
    <s v="m²."/>
    <n v="0.08"/>
    <n v="6080"/>
    <m/>
    <d v="2014-01-07T00:00:00"/>
    <d v="2014-01-31T00:00:00"/>
    <s v="EJECUTADO"/>
    <n v="486.4"/>
    <n v="486.4"/>
    <n v="0"/>
    <m/>
    <m/>
  </r>
  <r>
    <m/>
    <m/>
    <x v="0"/>
    <m/>
    <s v="VIA, LAS JUNTAS-&quot;Y&quot; del GUINEO, RIO PINDO L=5.6 km. "/>
    <x v="2"/>
    <s v="CHAGUARPAMBA"/>
    <s v="SANTA RUFINA"/>
    <s v="AD. DIRECTA"/>
    <s v="VIALSUR"/>
    <x v="1"/>
    <x v="86"/>
    <n v="0"/>
    <s v="Mejoramiento de la subrasante con suelo seleccionado"/>
    <s v="m³."/>
    <n v="5.92"/>
    <n v="456"/>
    <m/>
    <d v="2014-01-07T00:00:00"/>
    <d v="2014-01-31T00:00:00"/>
    <s v="EJECUTADO"/>
    <n v="2699.52"/>
    <n v="2635.68"/>
    <n v="95.760000000000218"/>
    <m/>
    <m/>
  </r>
  <r>
    <m/>
    <m/>
    <x v="0"/>
    <m/>
    <s v="VIA, LAS JUNTAS-&quot;Y&quot; del GUINEO, RIO PINDO L=5.6 km. "/>
    <x v="2"/>
    <s v="CHAGUARPAMBA"/>
    <s v="SANTA RUFINA"/>
    <s v="AD. DIRECTA"/>
    <s v="VIALSUR"/>
    <x v="1"/>
    <x v="0"/>
    <n v="0"/>
    <s v="Transporte de material para mejoramiento, inc. cargado"/>
    <s v="m³/km."/>
    <n v="0.38"/>
    <n v="1322.4"/>
    <m/>
    <d v="2014-01-07T00:00:00"/>
    <d v="2014-01-31T00:00:00"/>
    <s v="EJECUTADO"/>
    <n v="502.51"/>
    <n v="502.51"/>
    <n v="0"/>
    <m/>
    <m/>
  </r>
  <r>
    <s v="14"/>
    <s v="EJECUTADO"/>
    <x v="1"/>
    <s v="PLATAFORMA DEL CANAL,&quot;Y&quot; del GUINEO, L=4,2 km. (Chaguarpamba)"/>
    <s v="PLATAFORMA DEL CANAL,&quot;Y&quot; del GUINEO, L=4,2 km. (Chaguarpamba)"/>
    <x v="2"/>
    <s v="CHAGUARPAMBA"/>
    <s v="SANTA RUFINA"/>
    <s v="AD. DIRECTA"/>
    <s v="VIALSUR"/>
    <x v="34"/>
    <x v="0"/>
    <n v="698"/>
    <s v="Limpieza y desalojo de derrumbes a máquina"/>
    <s v="m³."/>
    <n v="1.46"/>
    <n v="1800"/>
    <m/>
    <d v="2014-07-26T00:00:00"/>
    <d v="2014-07-31T00:00:00"/>
    <s v="EJECUTADO"/>
    <n v="2628"/>
    <m/>
    <n v="3942"/>
    <m/>
    <m/>
  </r>
  <r>
    <m/>
    <m/>
    <x v="0"/>
    <s v="VIA YEE DEL GUINEO SANTA RUFINA 7.5 KM"/>
    <s v="VIA, CHINCHAS-ZAMBI-RIO PINDO, L=55,88 km. (Catamayo)"/>
    <x v="2"/>
    <s v="CHAGUARPAMBA"/>
    <s v="SANTA RUFINA"/>
    <s v="AD. DIRECTA"/>
    <s v="VIALSUR"/>
    <x v="35"/>
    <x v="87"/>
    <n v="267"/>
    <s v="Excavación sin clasificar a máquina (ampliación de la vía en áreas críticas)"/>
    <s v="m³."/>
    <n v="1.62"/>
    <m/>
    <m/>
    <d v="2014-06-01T00:00:00"/>
    <d v="2014-06-30T00:00:00"/>
    <s v="EJECUTADO"/>
    <n v="0"/>
    <m/>
    <m/>
    <n v="141961.84"/>
    <m/>
  </r>
  <r>
    <m/>
    <m/>
    <x v="0"/>
    <m/>
    <s v="VIA, CHINCHAS-ZAMBI-RIO PINDO, L=55,88 km. (Catamayo)"/>
    <x v="2"/>
    <s v="CHAGUARPAMBA"/>
    <s v="SANTA RUFINA"/>
    <s v="AD. DIRECTA"/>
    <s v="VIALSUR"/>
    <x v="1"/>
    <x v="0"/>
    <n v="0"/>
    <s v="Explotación  de material (incluye cargado)"/>
    <s v="m³."/>
    <n v="2.54"/>
    <n v="1200"/>
    <m/>
    <d v="2014-01-05T00:00:00"/>
    <d v="2014-05-31T00:00:00"/>
    <s v="EJECUTADO"/>
    <n v="3048"/>
    <m/>
    <m/>
    <m/>
    <m/>
  </r>
  <r>
    <m/>
    <m/>
    <x v="0"/>
    <m/>
    <s v="VIA, CHINCHAS-ZAMBI-RIO PINDO, L=55,88 km. (Catamayo)"/>
    <x v="2"/>
    <s v="CHAGUARPAMBA"/>
    <s v="SANTA RUFINA"/>
    <s v="AD. DIRECTA"/>
    <s v="VIALSUR"/>
    <x v="1"/>
    <x v="0"/>
    <n v="0"/>
    <s v="Clasificación de material."/>
    <s v="m³."/>
    <n v="1.47"/>
    <n v="1100"/>
    <m/>
    <d v="2014-06-12T00:00:00"/>
    <d v="2014-06-30T00:00:00"/>
    <s v="EJECUTADO"/>
    <n v="1617"/>
    <m/>
    <m/>
    <m/>
    <m/>
  </r>
  <r>
    <m/>
    <m/>
    <x v="1"/>
    <m/>
    <s v="VIA, CHINCHAS-ZAMBI-RIO PINDO, L=55,88 km. (Catamayo)"/>
    <x v="2"/>
    <s v="CHAGUARPAMBA"/>
    <s v="SANTA RUFINA"/>
    <s v="AD. DIRECTA"/>
    <s v="VIALSUR"/>
    <x v="1"/>
    <x v="0"/>
    <n v="0"/>
    <s v="Limpieza de derrumbes a maquina"/>
    <s v="m³."/>
    <n v="1.46"/>
    <n v="1200"/>
    <m/>
    <d v="2014-01-01T00:00:00"/>
    <d v="2014-06-30T00:00:00"/>
    <s v="EJECUTADO"/>
    <n v="1752"/>
    <m/>
    <m/>
    <m/>
    <m/>
  </r>
  <r>
    <m/>
    <m/>
    <x v="1"/>
    <m/>
    <s v="VIA, CHINCHAS-ZAMBI-RIO PINDO, L=55,88 km. (Catamayo)"/>
    <x v="2"/>
    <s v="CHAGUARPAMBA"/>
    <s v="SANTA RUFINA"/>
    <s v="AD. DIRECTA"/>
    <s v="VIALSUR"/>
    <x v="1"/>
    <x v="0"/>
    <n v="0"/>
    <s v="Limpieza de cunetas y alcantarillas a maquina"/>
    <s v="m³."/>
    <n v="1.47"/>
    <m/>
    <m/>
    <d v="2014-01-05T00:00:00"/>
    <d v="2014-07-31T00:00:00"/>
    <s v="EN EJECUCION"/>
    <n v="0"/>
    <m/>
    <m/>
    <m/>
    <m/>
  </r>
  <r>
    <m/>
    <m/>
    <x v="0"/>
    <m/>
    <s v="VIA, CHINCHAS-ZAMBI-RIO PINDO, L=55,88 km. (Catamayo)"/>
    <x v="2"/>
    <s v="CHAGUARPAMBA"/>
    <s v="SANTA RUFINA"/>
    <s v="AD. DIRECTA"/>
    <s v="VIALSUR"/>
    <x v="1"/>
    <x v="0"/>
    <n v="144"/>
    <s v="Mejoramiento de la subrasante con suelo seleccionado"/>
    <s v="m³."/>
    <n v="5.92"/>
    <n v="1010"/>
    <m/>
    <d v="2014-01-01T00:00:00"/>
    <d v="2014-04-30T00:00:00"/>
    <s v="EJECUTADO"/>
    <n v="5979.2"/>
    <m/>
    <m/>
    <m/>
    <m/>
  </r>
  <r>
    <m/>
    <m/>
    <x v="1"/>
    <m/>
    <s v="VIA, CHINCHAS-ZAMBI-RIO PINDO, L=55,88 km. (Catamayo)"/>
    <x v="2"/>
    <s v="CHAGUARPAMBA"/>
    <s v="SANTA RUFINA"/>
    <s v="AD. DIRECTA"/>
    <s v="VIALSUR"/>
    <x v="1"/>
    <x v="0"/>
    <n v="0"/>
    <s v="Reconformación de la Subrazante"/>
    <s v="m²."/>
    <n v="0.35"/>
    <n v="34230"/>
    <m/>
    <d v="2014-01-01T00:00:00"/>
    <d v="2014-06-30T00:00:00"/>
    <s v="EJECUTADO"/>
    <n v="11980.5"/>
    <m/>
    <m/>
    <m/>
    <m/>
  </r>
  <r>
    <m/>
    <m/>
    <x v="0"/>
    <m/>
    <s v="VIA, CHINCHAS-ZAMBI-RIO PINDO, L=55,88 km. (Catamayo)"/>
    <x v="2"/>
    <s v="CHAGUARPAMBA"/>
    <s v="SANTA RUFINA"/>
    <s v="AD. DIRECTA"/>
    <s v="VIALSUR"/>
    <x v="1"/>
    <x v="0"/>
    <n v="0"/>
    <s v="Transporte de material de mejoramiento"/>
    <s v="m3/km."/>
    <n v="0.3"/>
    <n v="6831"/>
    <m/>
    <d v="2014-01-05T00:00:00"/>
    <d v="2014-06-30T00:00:00"/>
    <s v="EJECUTADO"/>
    <n v="2049.3000000000002"/>
    <m/>
    <m/>
    <m/>
    <m/>
  </r>
  <r>
    <m/>
    <m/>
    <x v="1"/>
    <m/>
    <s v="VIA, CHINCHAS-ZAMBI-RIO PINDO, L=55,88 km. (Catamayo)"/>
    <x v="2"/>
    <s v="CHAGUARPAMBA"/>
    <s v="SANTA RUFINA"/>
    <s v="AD. DIRECTA"/>
    <s v="VIALSUR"/>
    <x v="1"/>
    <x v="0"/>
    <n v="200"/>
    <s v="Transporte de material excavado, inc. cargado"/>
    <s v="m³/km."/>
    <n v="0.38"/>
    <n v="1176.48"/>
    <m/>
    <d v="2014-05-01T00:00:00"/>
    <d v="2014-05-31T00:00:00"/>
    <s v="EJECUTADO"/>
    <n v="447.06"/>
    <m/>
    <m/>
    <m/>
    <m/>
  </r>
  <r>
    <m/>
    <m/>
    <x v="1"/>
    <s v="VIA SANTARUFINA PUEBLO NUEVO 2.8 KM"/>
    <s v="VIA SANTARUFINA PUEBLO NUEVO 2.8 KM"/>
    <x v="2"/>
    <s v="CHAGUARPAMBA"/>
    <s v="SANTA RUFINA"/>
    <s v="AD. DIRECTA"/>
    <s v="VIALSUR"/>
    <x v="36"/>
    <x v="88"/>
    <n v="0"/>
    <s v="Limpieza de cunetas y alcantarillas a maquina"/>
    <s v="m³."/>
    <n v="1.47"/>
    <n v="600"/>
    <m/>
    <d v="2014-01-05T00:00:00"/>
    <d v="2014-07-31T00:00:00"/>
    <s v="EN EJECUCION"/>
    <n v="882"/>
    <m/>
    <m/>
    <m/>
    <m/>
  </r>
  <r>
    <m/>
    <m/>
    <x v="1"/>
    <s v="VIA AMANCAY SANTARUFINA PUEBLO NUEVO 1,7 KM"/>
    <s v="VIA AMANCAY SANTARUFINA PUEBLO NUEVO 1,7 KM"/>
    <x v="2"/>
    <s v="CHAGUARPAMBA"/>
    <s v="SANTA RUFINA"/>
    <s v="AD. DIRECTA"/>
    <s v="VIALSUR"/>
    <x v="37"/>
    <x v="89"/>
    <n v="0"/>
    <s v="Reconformación de la Subrazante"/>
    <s v="m²."/>
    <n v="0.35"/>
    <n v="16830"/>
    <m/>
    <d v="2014-01-01T00:00:00"/>
    <d v="2014-06-30T00:00:00"/>
    <s v="EJECUTADO"/>
    <n v="5890.5"/>
    <m/>
    <m/>
    <m/>
    <m/>
  </r>
  <r>
    <m/>
    <m/>
    <x v="1"/>
    <s v="VIA AMANCAY SANTARUFINA PUEBLO NUEVO 1,7 KM"/>
    <s v="VIA AMANCAY SANTARUFINA PUEBLO NUEVO 1,7 KM"/>
    <x v="2"/>
    <s v="CHAGUARPAMBA"/>
    <s v="SANTA RUFINA"/>
    <s v="AD. DIRECTA"/>
    <s v="VIALSUR"/>
    <x v="1"/>
    <x v="0"/>
    <n v="0"/>
    <s v="Limpieza de cunetas y alcantarillas a maquina"/>
    <s v="m³."/>
    <n v="1.47"/>
    <m/>
    <m/>
    <d v="2014-01-05T00:00:00"/>
    <d v="2014-07-31T00:00:00"/>
    <s v="EN EJECUCION"/>
    <n v="0"/>
    <m/>
    <m/>
    <m/>
    <m/>
  </r>
  <r>
    <m/>
    <m/>
    <x v="1"/>
    <m/>
    <s v="VIA AMANCAY SANTARUFINA PUEBLO NUEVO 1,7 KM"/>
    <x v="2"/>
    <s v="CHAGUARPAMBA"/>
    <s v="SANTA RUFINA"/>
    <s v="AD. DIRECTA"/>
    <s v="VIALSUR"/>
    <x v="1"/>
    <x v="0"/>
    <n v="0"/>
    <s v="Reconformación de la Subrazante"/>
    <s v="m²."/>
    <n v="0.35"/>
    <m/>
    <m/>
    <d v="2014-01-01T00:00:00"/>
    <d v="2014-06-30T00:00:00"/>
    <s v="EJECUTADO"/>
    <n v="0"/>
    <m/>
    <m/>
    <m/>
    <m/>
  </r>
  <r>
    <m/>
    <m/>
    <x v="1"/>
    <m/>
    <s v="VIA AMANCAY SANTARUFINA PUEBLO NUEVO 1,7 KM"/>
    <x v="2"/>
    <s v="CHAGUARPAMBA"/>
    <s v="SANTA RUFINA"/>
    <s v="AD. DIRECTA"/>
    <s v="VIALSUR"/>
    <x v="1"/>
    <x v="0"/>
    <m/>
    <s v="Explotación  de material (incluye cargado)"/>
    <s v="m³."/>
    <n v="2.54"/>
    <n v="1100"/>
    <m/>
    <d v="2014-01-05T00:00:00"/>
    <d v="2014-05-31T00:00:00"/>
    <s v="EJECUTADO"/>
    <n v="2794"/>
    <m/>
    <m/>
    <m/>
    <m/>
  </r>
  <r>
    <m/>
    <m/>
    <x v="1"/>
    <m/>
    <s v="VIA AMANCAY SANTARUFINA PUEBLO NUEVO 1,7 KM"/>
    <x v="2"/>
    <s v="CHAGUARPAMBA"/>
    <s v="SANTA RUFINA"/>
    <s v="AD. DIRECTA"/>
    <s v="VIALSUR"/>
    <x v="1"/>
    <x v="0"/>
    <m/>
    <s v="Clasificación de material."/>
    <s v="m³."/>
    <n v="1.47"/>
    <n v="1100"/>
    <m/>
    <d v="2014-06-12T00:00:00"/>
    <d v="2014-06-30T00:00:00"/>
    <s v="EJECUTADO"/>
    <n v="1617"/>
    <m/>
    <m/>
    <m/>
    <m/>
  </r>
  <r>
    <m/>
    <m/>
    <x v="1"/>
    <m/>
    <s v="VIA AMANCAY SANTARUFINA PUEBLO NUEVO 1,7 KM"/>
    <x v="2"/>
    <s v="CHAGUARPAMBA"/>
    <s v="SANTA RUFINA"/>
    <s v="AD. DIRECTA"/>
    <s v="VIALSUR"/>
    <x v="1"/>
    <x v="0"/>
    <m/>
    <s v="Limpieza de derrumbes a maquina"/>
    <s v="m³."/>
    <n v="1.46"/>
    <n v="840"/>
    <m/>
    <d v="2014-01-01T00:00:00"/>
    <d v="2014-06-30T00:00:00"/>
    <s v="EJECUTADO"/>
    <n v="1226.4000000000001"/>
    <m/>
    <m/>
    <m/>
    <m/>
  </r>
  <r>
    <m/>
    <m/>
    <x v="1"/>
    <m/>
    <s v="VIA AMANCAY SANTARUFINA PUEBLO NUEVO 1,7 KM"/>
    <x v="2"/>
    <s v="CHAGUARPAMBA"/>
    <s v="SANTA RUFINA"/>
    <s v="AD. DIRECTA"/>
    <s v="VIALSUR"/>
    <x v="1"/>
    <x v="0"/>
    <m/>
    <s v="Rasanteo y conformacion de cunetas con motoniveladora"/>
    <s v="m²."/>
    <n v="0.35"/>
    <n v="8500"/>
    <m/>
    <d v="2014-01-01T00:00:00"/>
    <d v="2014-06-30T00:00:00"/>
    <s v="EJECUTADO"/>
    <n v="2975"/>
    <m/>
    <m/>
    <m/>
    <m/>
  </r>
  <r>
    <m/>
    <m/>
    <x v="0"/>
    <m/>
    <s v="VIA AMANCAY SANTARUFINA PUEBLO NUEVO 1,7 KM"/>
    <x v="2"/>
    <s v="CHAGUARPAMBA"/>
    <s v="SANTA RUFINA"/>
    <s v="AD. DIRECTA"/>
    <s v="VIALSUR"/>
    <x v="1"/>
    <x v="0"/>
    <m/>
    <s v="Mejoramiento de la subrasante con suelo seleccionado"/>
    <s v="m³."/>
    <n v="5.92"/>
    <n v="1070"/>
    <m/>
    <d v="2014-01-01T00:00:00"/>
    <d v="2014-04-30T00:00:00"/>
    <s v="EJECUTADO"/>
    <n v="6334.4"/>
    <m/>
    <m/>
    <m/>
    <m/>
  </r>
  <r>
    <m/>
    <m/>
    <x v="0"/>
    <m/>
    <s v="VIA AMANCAY SANTARUFINA PUEBLO NUEVO 1,7 KM"/>
    <x v="2"/>
    <s v="CHAGUARPAMBA"/>
    <s v="SANTA RUFINA"/>
    <s v="AD. DIRECTA"/>
    <s v="VIALSUR"/>
    <x v="1"/>
    <x v="0"/>
    <m/>
    <s v="Transporte de material de mejoramiento"/>
    <s v="m3/km."/>
    <n v="0.3"/>
    <n v="9596.6200000000008"/>
    <m/>
    <d v="2014-01-05T00:00:00"/>
    <d v="2014-06-30T00:00:00"/>
    <s v="EJECUTADO"/>
    <n v="2878.99"/>
    <m/>
    <m/>
    <m/>
    <m/>
  </r>
  <r>
    <m/>
    <m/>
    <x v="0"/>
    <s v="CALLES DE SANTA RUFINA  0,8 KM"/>
    <s v="CALLES DE SANTA RUFINA  0,8 KM"/>
    <x v="2"/>
    <s v="CHAGUARPAMBA"/>
    <s v="SANTA RUFINA"/>
    <s v="AD. DIRECTA"/>
    <s v="VIALSUR"/>
    <x v="38"/>
    <x v="90"/>
    <m/>
    <s v="Explotación  de material (incluye cargado)"/>
    <s v="m³."/>
    <n v="2.54"/>
    <n v="900"/>
    <m/>
    <d v="2014-01-05T00:00:00"/>
    <d v="2014-05-31T00:00:00"/>
    <s v="EJECUTADO"/>
    <n v="2286"/>
    <m/>
    <m/>
    <m/>
    <m/>
  </r>
  <r>
    <m/>
    <m/>
    <x v="0"/>
    <m/>
    <s v="CALLES DE SANTA RUFINA  0,8 KM"/>
    <x v="2"/>
    <s v="CHAGUARPAMBA"/>
    <s v="SANTA RUFINA"/>
    <s v="AD. DIRECTA"/>
    <s v="VIALSUR"/>
    <x v="1"/>
    <x v="0"/>
    <m/>
    <s v="Clasificación de material."/>
    <s v="m³."/>
    <n v="1.47"/>
    <n v="750"/>
    <m/>
    <d v="2014-06-12T00:00:00"/>
    <d v="2014-06-30T00:00:00"/>
    <s v="EJECUTADO"/>
    <n v="1102.5"/>
    <m/>
    <m/>
    <m/>
    <m/>
  </r>
  <r>
    <m/>
    <m/>
    <x v="1"/>
    <m/>
    <s v="CALLES DE SANTA RUFINA  0,8 KM"/>
    <x v="2"/>
    <s v="CHAGUARPAMBA"/>
    <s v="SANTA RUFINA"/>
    <s v="AD. DIRECTA"/>
    <s v="VIALSUR"/>
    <x v="1"/>
    <x v="0"/>
    <m/>
    <s v="Limpieza de derrumbes a maquina"/>
    <s v="m³."/>
    <n v="1.46"/>
    <n v="480"/>
    <m/>
    <d v="2014-01-01T00:00:00"/>
    <d v="2014-06-30T00:00:00"/>
    <s v="EJECUTADO"/>
    <n v="700.8"/>
    <m/>
    <m/>
    <m/>
    <m/>
  </r>
  <r>
    <m/>
    <m/>
    <x v="1"/>
    <m/>
    <s v="CALLES DE SANTA RUFINA  0,8 KM"/>
    <x v="2"/>
    <s v="CHAGUARPAMBA"/>
    <s v="SANTA RUFINA"/>
    <s v="AD. DIRECTA"/>
    <s v="VIALSUR"/>
    <x v="1"/>
    <x v="0"/>
    <m/>
    <s v="Rasanteo y conformacion de cunetas con motoniveladora"/>
    <s v="m²."/>
    <n v="0.35"/>
    <n v="4000"/>
    <m/>
    <d v="2014-01-01T00:00:00"/>
    <d v="2014-06-30T00:00:00"/>
    <s v="EJECUTADO"/>
    <n v="1400"/>
    <m/>
    <m/>
    <m/>
    <m/>
  </r>
  <r>
    <m/>
    <m/>
    <x v="0"/>
    <m/>
    <s v="CALLES DE SANTA RUFINA  0,8 KM"/>
    <x v="2"/>
    <s v="CHAGUARPAMBA"/>
    <s v="SANTA RUFINA"/>
    <s v="AD. DIRECTA"/>
    <s v="VIALSUR"/>
    <x v="1"/>
    <x v="0"/>
    <m/>
    <s v="Mejoramiento de la subrasante con suelo seleccionado"/>
    <s v="m³."/>
    <n v="5.92"/>
    <n v="540"/>
    <m/>
    <d v="2014-01-01T00:00:00"/>
    <d v="2014-04-30T00:00:00"/>
    <s v="EJECUTADO"/>
    <n v="3196.8"/>
    <m/>
    <m/>
    <m/>
    <m/>
  </r>
  <r>
    <m/>
    <m/>
    <x v="0"/>
    <m/>
    <s v="CALLES DE SANTA RUFINA  0,8 KM"/>
    <x v="2"/>
    <s v="CHAGUARPAMBA"/>
    <s v="SANTA RUFINA"/>
    <s v="AD. DIRECTA"/>
    <s v="VIALSUR"/>
    <x v="1"/>
    <x v="0"/>
    <m/>
    <s v="Transporte de material de mejoramiento"/>
    <s v="m3/km."/>
    <n v="0.3"/>
    <n v="5430"/>
    <m/>
    <d v="2014-01-05T00:00:00"/>
    <d v="2014-06-30T00:00:00"/>
    <s v="EJECUTADO"/>
    <n v="1629"/>
    <m/>
    <m/>
    <m/>
    <m/>
  </r>
  <r>
    <m/>
    <m/>
    <x v="1"/>
    <s v="VIA GUACHANAMA CELICA 9,6 KM"/>
    <s v="VIA GUACHANAMA CELICA 9,6 KM"/>
    <x v="2"/>
    <s v="CHAGUARPAMBA"/>
    <s v="SANTA RUFINA"/>
    <s v="AD. DIRECTA"/>
    <s v="VIALSUR"/>
    <x v="39"/>
    <x v="91"/>
    <m/>
    <s v="Limpieza de derrumbes a maquina"/>
    <s v="m³."/>
    <n v="1.46"/>
    <n v="2240"/>
    <m/>
    <d v="2014-01-01T00:00:00"/>
    <d v="2014-06-30T00:00:00"/>
    <s v="EJECUTADO"/>
    <n v="3270.4"/>
    <m/>
    <m/>
    <m/>
    <m/>
  </r>
  <r>
    <m/>
    <m/>
    <x v="1"/>
    <m/>
    <s v="VIA GUACHANAMA CELICA 9,6 KM"/>
    <x v="2"/>
    <s v="CHAGUARPAMBA"/>
    <s v="SANTA RUFINA"/>
    <s v="AD. DIRECTA"/>
    <s v="VIALSUR"/>
    <x v="1"/>
    <x v="0"/>
    <m/>
    <s v="Reconformación de la Subrazante"/>
    <s v="m²."/>
    <n v="0.35"/>
    <n v="48000"/>
    <m/>
    <d v="2014-01-01T00:00:00"/>
    <d v="2014-06-30T00:00:00"/>
    <s v="EJECUTADO"/>
    <n v="16800"/>
    <m/>
    <m/>
    <m/>
    <m/>
  </r>
  <r>
    <m/>
    <m/>
    <x v="0"/>
    <m/>
    <s v="VIA GUACHANAMA CELICA 9,6 KM"/>
    <x v="2"/>
    <s v="CHAGUARPAMBA"/>
    <s v="SANTA RUFINA"/>
    <s v="AD. DIRECTA"/>
    <s v="VIALSUR"/>
    <x v="1"/>
    <x v="0"/>
    <m/>
    <s v="Mejoramiento de la subrasante con suelo seleccionado"/>
    <s v="m³."/>
    <n v="5.92"/>
    <n v="700"/>
    <m/>
    <d v="2014-01-01T00:00:00"/>
    <d v="2014-04-30T00:00:00"/>
    <s v="EJECUTADO"/>
    <n v="4144"/>
    <m/>
    <m/>
    <m/>
    <m/>
  </r>
  <r>
    <m/>
    <m/>
    <x v="0"/>
    <m/>
    <s v="VIA GUACHANAMA CELICA 9,6 KM"/>
    <x v="2"/>
    <s v="CHAGUARPAMBA"/>
    <s v="SANTA RUFINA"/>
    <s v="AD. DIRECTA"/>
    <s v="VIALSUR"/>
    <x v="1"/>
    <x v="0"/>
    <m/>
    <s v="Transporte de material de mejoramiento"/>
    <s v="m3/km."/>
    <n v="0.3"/>
    <n v="6852.16"/>
    <m/>
    <d v="2014-01-05T00:00:00"/>
    <d v="2014-06-30T00:00:00"/>
    <s v="EJECUTADO"/>
    <n v="2055.65"/>
    <m/>
    <m/>
    <m/>
    <m/>
  </r>
  <r>
    <m/>
    <m/>
    <x v="0"/>
    <m/>
    <s v="VIA GUACHANAMA CELICA 9,6 KM"/>
    <x v="2"/>
    <s v="CHAGUARPAMBA"/>
    <s v="SANTA RUFINA"/>
    <s v="AD. DIRECTA"/>
    <s v="VIALSUR"/>
    <x v="1"/>
    <x v="0"/>
    <m/>
    <s v="Clasificación de material."/>
    <s v="m³."/>
    <n v="1.47"/>
    <n v="840"/>
    <m/>
    <d v="2014-06-12T00:00:00"/>
    <d v="2014-06-30T00:00:00"/>
    <s v="EJECUTADO"/>
    <n v="1234.8"/>
    <m/>
    <m/>
    <m/>
    <m/>
  </r>
  <r>
    <m/>
    <m/>
    <x v="1"/>
    <s v="VIA GUACHANAMA LA SALERA 17,1 KM"/>
    <s v="VIA GUACHANAMA LA SALERA 17,1 KM"/>
    <x v="2"/>
    <s v="CHAGUARPAMBA"/>
    <s v="SANTA RUFINA"/>
    <s v="AD. DIRECTA"/>
    <s v="VIALSUR"/>
    <x v="40"/>
    <x v="91"/>
    <m/>
    <s v="Limpieza de derrumbes a maquina"/>
    <s v="m³."/>
    <n v="1.46"/>
    <n v="2265"/>
    <m/>
    <d v="2014-01-01T00:00:00"/>
    <d v="2014-06-30T00:00:00"/>
    <s v="EJECUTADO"/>
    <n v="3306.9"/>
    <m/>
    <m/>
    <m/>
    <m/>
  </r>
  <r>
    <m/>
    <m/>
    <x v="1"/>
    <m/>
    <s v="VIA GUACHANAMA LA SALERA 17,1 KM"/>
    <x v="2"/>
    <s v="CHAGUARPAMBA"/>
    <s v="SANTA RUFINA"/>
    <s v="AD. DIRECTA"/>
    <s v="VIALSUR"/>
    <x v="1"/>
    <x v="0"/>
    <m/>
    <s v="Reconformación de la Subrazante"/>
    <s v="m²."/>
    <n v="0.35"/>
    <n v="68980"/>
    <m/>
    <d v="2014-01-01T00:00:00"/>
    <d v="2014-06-30T00:00:00"/>
    <s v="EJECUTADO"/>
    <n v="24143"/>
    <m/>
    <m/>
    <m/>
    <m/>
  </r>
  <r>
    <m/>
    <m/>
    <x v="0"/>
    <m/>
    <s v="VIA GUACHANAMA LA SALERA 17,1 KM"/>
    <x v="2"/>
    <s v="CHAGUARPAMBA"/>
    <s v="SANTA RUFINA"/>
    <s v="AD. DIRECTA"/>
    <s v="VIALSUR"/>
    <x v="1"/>
    <x v="0"/>
    <m/>
    <s v="Mejoramiento de la subrasante con suelo seleccionado"/>
    <s v="m³."/>
    <n v="5.92"/>
    <n v="2060"/>
    <m/>
    <d v="2014-01-01T00:00:00"/>
    <d v="2014-04-30T00:00:00"/>
    <s v="EJECUTADO"/>
    <n v="12195.2"/>
    <m/>
    <m/>
    <m/>
    <m/>
  </r>
  <r>
    <m/>
    <m/>
    <x v="0"/>
    <m/>
    <s v="VIA GUACHANAMA LA SALERA 17,1 KM"/>
    <x v="2"/>
    <s v="CHAGUARPAMBA"/>
    <s v="SANTA RUFINA"/>
    <s v="AD. DIRECTA"/>
    <s v="VIALSUR"/>
    <x v="1"/>
    <x v="0"/>
    <m/>
    <s v="Transporte de material de mejoramiento"/>
    <s v="m3/km."/>
    <n v="0.3"/>
    <n v="15232"/>
    <m/>
    <d v="2014-01-05T00:00:00"/>
    <d v="2014-06-30T00:00:00"/>
    <s v="EJECUTADO"/>
    <n v="4569.6000000000004"/>
    <m/>
    <m/>
    <m/>
    <m/>
  </r>
  <r>
    <m/>
    <m/>
    <x v="1"/>
    <m/>
    <s v="VIA GUACHANAMA LA SALERA 17,1 KM"/>
    <x v="2"/>
    <s v="CHAGUARPAMBA"/>
    <s v="SANTA RUFINA"/>
    <s v="AD. DIRECTA"/>
    <s v="VIALSUR"/>
    <x v="1"/>
    <x v="0"/>
    <m/>
    <s v="Clasificación de material."/>
    <s v="m³."/>
    <n v="1.47"/>
    <n v="2320"/>
    <m/>
    <d v="2014-06-12T00:00:00"/>
    <d v="2014-06-30T00:00:00"/>
    <s v="EJECUTADO"/>
    <n v="3410.4"/>
    <m/>
    <m/>
    <m/>
    <m/>
  </r>
  <r>
    <m/>
    <m/>
    <x v="1"/>
    <s v="VIA LAURO GUERRERO SANTA GERTRUDIZ 12.1 KM"/>
    <s v="VIA LAURO GUERRERO SANTA GERTRUDIZ 12.1 KM"/>
    <x v="2"/>
    <s v="CHAGUARPAMBA"/>
    <s v="SANTA RUFINA"/>
    <s v="AD. DIRECTA"/>
    <s v="VIALSUR"/>
    <x v="41"/>
    <x v="92"/>
    <m/>
    <s v="Limpieza de derrumbes a maquina"/>
    <s v="m³."/>
    <n v="1.46"/>
    <n v="450"/>
    <m/>
    <d v="2014-01-01T00:00:00"/>
    <d v="2014-06-30T00:00:00"/>
    <s v="EJECUTADO"/>
    <n v="657"/>
    <m/>
    <m/>
    <m/>
    <m/>
  </r>
  <r>
    <m/>
    <m/>
    <x v="1"/>
    <m/>
    <s v="VIA LAURO GUERRERO SANTA GERTRUDIZ 12.1 KM"/>
    <x v="2"/>
    <s v="CHAGUARPAMBA"/>
    <s v="SANTA RUFINA"/>
    <s v="AD. DIRECTA"/>
    <s v="VIALSUR"/>
    <x v="1"/>
    <x v="0"/>
    <m/>
    <s v="Reconformación de la Subrazante"/>
    <s v="m²."/>
    <n v="0.35"/>
    <n v="32450"/>
    <m/>
    <d v="2014-01-01T00:00:00"/>
    <d v="2014-06-30T00:00:00"/>
    <s v="EJECUTADO"/>
    <n v="11357.5"/>
    <m/>
    <m/>
    <m/>
    <m/>
  </r>
  <r>
    <m/>
    <m/>
    <x v="0"/>
    <m/>
    <s v="VIA LAURO GUERRERO SANTA GERTRUDIZ 12.1 KM"/>
    <x v="2"/>
    <s v="CHAGUARPAMBA"/>
    <s v="SANTA RUFINA"/>
    <s v="AD. DIRECTA"/>
    <s v="VIALSUR"/>
    <x v="1"/>
    <x v="0"/>
    <m/>
    <s v="Mejoramiento de la subrasante con suelo seleccionado"/>
    <s v="m³."/>
    <n v="5.92"/>
    <n v="1040"/>
    <m/>
    <d v="2014-01-01T00:00:00"/>
    <d v="2014-04-30T00:00:00"/>
    <s v="EJECUTADO"/>
    <n v="6156.8"/>
    <m/>
    <m/>
    <m/>
    <m/>
  </r>
  <r>
    <m/>
    <m/>
    <x v="0"/>
    <m/>
    <s v="VIA LAURO GUERRERO SANTA GERTRUDIZ 12.1 KM"/>
    <x v="2"/>
    <s v="CHAGUARPAMBA"/>
    <s v="SANTA RUFINA"/>
    <s v="AD. DIRECTA"/>
    <s v="VIALSUR"/>
    <x v="1"/>
    <x v="0"/>
    <m/>
    <s v="Transporte de material de mejoramiento"/>
    <s v="m3/km."/>
    <n v="0.3"/>
    <n v="14234.2"/>
    <m/>
    <d v="2014-01-05T00:00:00"/>
    <d v="2014-06-30T00:00:00"/>
    <s v="EJECUTADO"/>
    <n v="4270.26"/>
    <m/>
    <m/>
    <m/>
    <m/>
  </r>
  <r>
    <m/>
    <m/>
    <x v="1"/>
    <m/>
    <s v="VIA LAURO GUERRERO SANTA GERTRUDIZ 12.1 KM"/>
    <x v="2"/>
    <s v="PALTAS"/>
    <s v="ORIANGA"/>
    <s v="AD. DIRECTA"/>
    <s v="VIALSUR"/>
    <x v="1"/>
    <x v="0"/>
    <m/>
    <s v="Explotación de material (incluye cargado)."/>
    <s v="m³."/>
    <n v="2.54"/>
    <n v="1500"/>
    <m/>
    <d v="2014-01-02T00:00:00"/>
    <d v="2014-01-31T00:00:00"/>
    <s v="EJECUTADO"/>
    <n v="3810"/>
    <m/>
    <m/>
    <m/>
    <m/>
  </r>
  <r>
    <m/>
    <m/>
    <x v="0"/>
    <m/>
    <s v="VIA LAURO GUERRERO SANTA GERTRUDIZ 12.1 KM"/>
    <x v="2"/>
    <s v="CHAGUARPAMBA"/>
    <s v="SANTA RUFINA"/>
    <s v="AD. DIRECTA"/>
    <s v="VIALSUR"/>
    <x v="1"/>
    <x v="0"/>
    <m/>
    <s v="Clasificación de material."/>
    <s v="m³."/>
    <n v="1.47"/>
    <n v="1200"/>
    <m/>
    <d v="2014-06-12T00:00:00"/>
    <d v="2014-06-30T00:00:00"/>
    <s v="EJECUTADO"/>
    <n v="1764"/>
    <m/>
    <m/>
    <m/>
    <m/>
  </r>
  <r>
    <m/>
    <m/>
    <x v="0"/>
    <s v="VIA, ORIANGA-LA VICTORIA-SHOA, L=11,0 km. (Paltas)"/>
    <s v="VIA, ORIANGA-LA VICTORIA-SHOA, L=11,0 km. (Paltas)"/>
    <x v="2"/>
    <s v="PALTAS"/>
    <s v="ORIANGA"/>
    <s v="AD. DIRECTA"/>
    <s v="VIALSUR"/>
    <x v="34"/>
    <x v="0"/>
    <n v="1083"/>
    <s v="Explotación de material (incluye cargado)."/>
    <s v="m³."/>
    <n v="2.54"/>
    <n v="960"/>
    <m/>
    <d v="2014-01-02T00:00:00"/>
    <d v="2014-01-31T00:00:00"/>
    <s v="EJECUTADO"/>
    <n v="2438.4"/>
    <n v="2438.4"/>
    <n v="0"/>
    <m/>
    <m/>
  </r>
  <r>
    <m/>
    <m/>
    <x v="1"/>
    <m/>
    <s v="VIA, ORIANGA-LA VICTORIA-SHOA, L=11,0 km. (Paltas)"/>
    <x v="2"/>
    <s v="PALTAS"/>
    <s v="ORIANGA"/>
    <s v="AD. DIRECTA"/>
    <s v="VIALSUR"/>
    <x v="1"/>
    <x v="0"/>
    <n v="0"/>
    <s v="Limpieza de derrumbes a máquina"/>
    <s v="m³."/>
    <n v="1.46"/>
    <n v="1320"/>
    <m/>
    <d v="2014-06-01T00:00:00"/>
    <d v="2014-06-30T00:00:00"/>
    <s v="EJECUTADO"/>
    <n v="1927.2"/>
    <m/>
    <n v="2890.7999999999997"/>
    <m/>
    <m/>
  </r>
  <r>
    <m/>
    <m/>
    <x v="0"/>
    <m/>
    <s v="VIA, ORIANGA-LA VICTORIA-SHOA, L=11,0 km. (Paltas)"/>
    <x v="2"/>
    <s v="PALTAS"/>
    <s v="ORIANGA"/>
    <s v="AD. DIRECTA"/>
    <s v="VIALSUR"/>
    <x v="1"/>
    <x v="0"/>
    <n v="0"/>
    <s v="Clasificación de material."/>
    <s v="m³."/>
    <n v="1.47"/>
    <n v="1700"/>
    <m/>
    <d v="2014-01-02T00:00:00"/>
    <d v="2014-01-31T00:00:00"/>
    <s v="EJECUTADO"/>
    <n v="2499"/>
    <n v="2499"/>
    <n v="0"/>
    <m/>
    <m/>
  </r>
  <r>
    <m/>
    <m/>
    <x v="1"/>
    <m/>
    <s v="VIA, ORIANGA-LA VICTORIA-SHOA, L=11,0 km. (Paltas)"/>
    <x v="2"/>
    <s v="PALTAS"/>
    <s v="ORIANGA"/>
    <s v="AD. DIRECTA"/>
    <s v="VIALSUR"/>
    <x v="1"/>
    <x v="93"/>
    <n v="0"/>
    <s v="Rasanteo y conformacion de cunetas con motoniveladora"/>
    <s v="m²."/>
    <n v="0.08"/>
    <n v="26600"/>
    <m/>
    <d v="2014-01-02T00:00:00"/>
    <d v="2014-01-31T00:00:00"/>
    <s v="EJECUTADO"/>
    <n v="2128"/>
    <n v="2128"/>
    <n v="0"/>
    <m/>
    <m/>
  </r>
  <r>
    <m/>
    <m/>
    <x v="0"/>
    <m/>
    <s v="VIA, ORIANGA-LA VICTORIA-SHOA, L=11,0 km. (Paltas)"/>
    <x v="2"/>
    <s v="PALTAS"/>
    <s v="ORIANGA"/>
    <s v="AD. DIRECTA"/>
    <s v="VIALSUR"/>
    <x v="1"/>
    <x v="94"/>
    <n v="0"/>
    <s v="Mejoramiento de la subrasante con suelo seleccionado"/>
    <s v="m³."/>
    <n v="5.92"/>
    <n v="1430"/>
    <m/>
    <d v="2014-01-02T00:00:00"/>
    <d v="2014-01-31T00:00:00"/>
    <s v="EJECUTADO"/>
    <n v="8465.6"/>
    <n v="8265.4"/>
    <n v="300.30000000000109"/>
    <m/>
    <m/>
  </r>
  <r>
    <m/>
    <m/>
    <x v="0"/>
    <m/>
    <s v="VIA, ORIANGA-LA VICTORIA-SHOA, L=11,0 km. (Paltas)"/>
    <x v="2"/>
    <s v="PALTAS"/>
    <s v="ORIANGA"/>
    <s v="AD. DIRECTA"/>
    <s v="VIALSUR"/>
    <x v="1"/>
    <x v="0"/>
    <n v="0"/>
    <s v="Transporte de material para mejoramiento, inc. cargado"/>
    <s v="m³/km."/>
    <n v="0.3"/>
    <n v="15605"/>
    <m/>
    <d v="2014-01-02T00:00:00"/>
    <d v="2014-06-30T00:00:00"/>
    <s v="EJECUTADO"/>
    <n v="4681.5"/>
    <n v="3903.9"/>
    <n v="1166.3999999999999"/>
    <m/>
    <m/>
  </r>
  <r>
    <s v="15"/>
    <s v="EJECUTADO"/>
    <x v="1"/>
    <s v="VIA RIO PINDO  LAS JUNTAS ORIANGA L=17,8 KM (PALTAS)"/>
    <s v="VIA RIO PINDO  LAS JUNTAS ORIANGA L=17,8 KM (PALTAS)"/>
    <x v="2"/>
    <s v="PALTAS"/>
    <s v="ORIANGA"/>
    <s v="AD. DIRECTA"/>
    <s v="VIALSUR"/>
    <x v="42"/>
    <x v="0"/>
    <n v="1083"/>
    <s v="Limpieza de derrumbes a máquina"/>
    <s v="m³."/>
    <n v="1.46"/>
    <n v="17120"/>
    <m/>
    <d v="2014-01-19T00:00:00"/>
    <d v="2014-06-30T00:00:00"/>
    <s v="EJECUTADO"/>
    <n v="24995.200000000001"/>
    <n v="9290.4"/>
    <n v="23557.200000000001"/>
    <m/>
    <m/>
  </r>
  <r>
    <m/>
    <m/>
    <x v="0"/>
    <m/>
    <s v="VIA RIO PINDO  LAS JUNTAS ORIANGA L=17,8 KM (PALTAS)"/>
    <x v="2"/>
    <s v="PALTAS"/>
    <s v="ORIANGA"/>
    <s v="AD. DIRECTA"/>
    <s v="VIALSUR"/>
    <x v="1"/>
    <x v="0"/>
    <n v="0"/>
    <s v="Excavación sin clasificar a maquina (estabilización de talud)"/>
    <s v="m³."/>
    <n v="1.62"/>
    <n v="36270"/>
    <m/>
    <d v="2014-07-19T00:00:00"/>
    <d v="2014-07-31T00:00:00"/>
    <s v="EJECUTADO"/>
    <n v="58757.4"/>
    <m/>
    <n v="88136.099999999991"/>
    <m/>
    <m/>
  </r>
  <r>
    <m/>
    <m/>
    <x v="1"/>
    <m/>
    <s v="VIA RIO PINDO  LAS JUNTAS ORIANGA L=17,8 KM (PALTAS)"/>
    <x v="2"/>
    <s v="PALTAS"/>
    <s v="ORIANGA"/>
    <s v="AD. DIRECTA"/>
    <s v="VIALSUR"/>
    <x v="1"/>
    <x v="0"/>
    <n v="0"/>
    <s v="Transporte de material excavado, inc. cargado"/>
    <s v="m³/km."/>
    <n v="0.38"/>
    <n v="5513.44"/>
    <m/>
    <d v="2014-07-19T00:00:00"/>
    <d v="2014-07-31T00:00:00"/>
    <s v="EJECUTADO"/>
    <n v="2095.11"/>
    <m/>
    <n v="3142.665"/>
    <m/>
    <m/>
  </r>
  <r>
    <s v="16"/>
    <s v="EJECUTADO"/>
    <x v="0"/>
    <s v="VIA RIO PINDO  LAS JUNTAS ORIANGA L=23.2 KM (PALTAS)"/>
    <s v="VIA RIO PINDO  LAS JUNTAS ORIANGA L=23.2 KM (PALTAS)"/>
    <x v="2"/>
    <s v="PALTAS"/>
    <s v="ORIANGA"/>
    <s v="AD. DIRECTA"/>
    <s v="VIALSUR"/>
    <x v="43"/>
    <x v="0"/>
    <n v="1083"/>
    <s v="Excavación sin clasificar a maquina"/>
    <s v="m³."/>
    <n v="1.62"/>
    <n v="5580"/>
    <m/>
    <d v="2014-06-01T00:00:00"/>
    <d v="2014-07-31T00:00:00"/>
    <s v="EJECUTADO"/>
    <n v="9039.6"/>
    <m/>
    <n v="13559.400000000001"/>
    <m/>
    <m/>
  </r>
  <r>
    <m/>
    <m/>
    <x v="1"/>
    <m/>
    <s v="VIA RIO PINDO  LAS JUNTAS ORIANGA L=23.2 KM (PALTAS)"/>
    <x v="2"/>
    <s v="PALTAS"/>
    <s v="ORIANGA"/>
    <s v="AD. DIRECTA"/>
    <s v="VIALSUR"/>
    <x v="1"/>
    <x v="0"/>
    <n v="0"/>
    <s v="Limpieza de derrumbes a máquina"/>
    <s v="m³."/>
    <n v="1.46"/>
    <n v="7045"/>
    <m/>
    <d v="2014-06-01T00:00:00"/>
    <d v="2014-07-31T00:00:00"/>
    <s v="EJECUTADO"/>
    <n v="10285.700000000001"/>
    <m/>
    <n v="15428.550000000001"/>
    <m/>
    <m/>
  </r>
  <r>
    <m/>
    <m/>
    <x v="1"/>
    <m/>
    <s v="VIA RIO PINDO  LAS JUNTAS ORIANGA L=23.2 KM (PALTAS)"/>
    <x v="2"/>
    <s v="PALTAS"/>
    <s v="ORIANGA"/>
    <s v="AD. DIRECTA"/>
    <s v="VIALSUR"/>
    <x v="1"/>
    <x v="95"/>
    <n v="0"/>
    <s v="Reconformación de la Subrazante"/>
    <s v="m³."/>
    <n v="0.35"/>
    <n v="137520"/>
    <m/>
    <d v="2014-06-01T00:00:00"/>
    <d v="2014-06-30T00:00:00"/>
    <s v="EJECUTADO"/>
    <n v="48132"/>
    <m/>
    <n v="72198"/>
    <m/>
    <m/>
  </r>
  <r>
    <m/>
    <m/>
    <x v="0"/>
    <m/>
    <s v="VIA RIO PINDO  LAS JUNTAS ORIANGA L=23.2 KM (PALTAS)"/>
    <x v="2"/>
    <s v="PALTAS"/>
    <s v="ORIANGA"/>
    <s v="AD. DIRECTA"/>
    <s v="VIALSUR"/>
    <x v="1"/>
    <x v="0"/>
    <n v="0"/>
    <s v="Mejoramiento de la subrasante con suelo seleccionado"/>
    <s v="m³."/>
    <n v="5.92"/>
    <n v="1297"/>
    <m/>
    <d v="2014-01-02T00:00:00"/>
    <d v="2014-01-31T00:00:00"/>
    <s v="EJECUTADO"/>
    <n v="7678.24"/>
    <m/>
    <m/>
    <m/>
    <m/>
  </r>
  <r>
    <m/>
    <m/>
    <x v="0"/>
    <m/>
    <s v="VIA RIO PINDO  LAS JUNTAS ORIANGA L=23.2 KM (PALTAS)"/>
    <x v="2"/>
    <s v="PALTAS"/>
    <s v="ORIANGA"/>
    <s v="AD. DIRECTA"/>
    <s v="VIALSUR"/>
    <x v="1"/>
    <x v="96"/>
    <n v="0"/>
    <s v="Excavación y Relleno compactado, con material mejorado"/>
    <s v="m³."/>
    <n v="7.6"/>
    <n v="955"/>
    <m/>
    <d v="2014-07-01T00:00:00"/>
    <d v="2014-07-31T00:00:00"/>
    <s v="EJECUTADO"/>
    <n v="7258"/>
    <m/>
    <n v="10887"/>
    <m/>
    <m/>
  </r>
  <r>
    <m/>
    <m/>
    <x v="0"/>
    <m/>
    <s v="VIA RIO PINDO  LAS JUNTAS ORIANGA L=23.2 KM (PALTAS)"/>
    <x v="2"/>
    <s v="PALTAS"/>
    <s v="ORIANGA"/>
    <s v="AD. DIRECTA"/>
    <s v="VIALSUR"/>
    <x v="1"/>
    <x v="97"/>
    <n v="0"/>
    <s v="Clasificacion de material."/>
    <s v="m³."/>
    <n v="1.47"/>
    <n v="21150"/>
    <m/>
    <d v="2014-07-01T00:00:00"/>
    <d v="2014-07-31T00:00:00"/>
    <s v="EJECUTADO"/>
    <n v="31090.5"/>
    <m/>
    <n v="46635.75"/>
    <m/>
    <m/>
  </r>
  <r>
    <m/>
    <m/>
    <x v="0"/>
    <m/>
    <s v="VIA RIO PINDO  LAS JUNTAS ORIANGA L=23.2 KM (PALTAS)"/>
    <x v="2"/>
    <s v="PALTAS"/>
    <s v="ORIANGA"/>
    <s v="AD. DIRECTA"/>
    <s v="VIALSUR"/>
    <x v="1"/>
    <x v="98"/>
    <n v="0"/>
    <s v="Transporte de material para mejoramiento, inc. cargado"/>
    <s v="m³/km."/>
    <n v="0.38"/>
    <n v="7461.2"/>
    <m/>
    <d v="2014-07-01T00:00:00"/>
    <d v="2014-07-31T00:00:00"/>
    <s v="EJECUTADO"/>
    <n v="2835.26"/>
    <m/>
    <n v="4252.8900000000003"/>
    <m/>
    <m/>
  </r>
  <r>
    <s v="17"/>
    <s v="EJECUTADO"/>
    <x v="0"/>
    <s v="CALLES DE ORIANGA, L=1,0 km.  (Paltas)"/>
    <s v="CALLES DE ORIANGA, L=1,0 km.  (Paltas)"/>
    <x v="2"/>
    <s v="PALTAS"/>
    <s v="ORIANGA"/>
    <s v="AD. DIRECTA"/>
    <s v="VIALSUR"/>
    <x v="44"/>
    <x v="0"/>
    <n v="1083"/>
    <s v="Clasificacion de material."/>
    <s v="m³."/>
    <n v="1.47"/>
    <n v="300"/>
    <m/>
    <d v="2014-07-16T00:00:00"/>
    <d v="2014-07-31T00:00:00"/>
    <s v="EJECUTADO"/>
    <n v="441"/>
    <m/>
    <n v="661.5"/>
    <m/>
    <m/>
  </r>
  <r>
    <m/>
    <m/>
    <x v="0"/>
    <s v="CALLES DE ORIANGA, L=1,0 km.  (Paltas)"/>
    <s v="CALLES DE ORIANGA, L=1,0 km.  (Paltas)"/>
    <x v="2"/>
    <s v="PALTAS"/>
    <s v="ORIANGA"/>
    <s v="AD. DIRECTA"/>
    <s v="VIALSUR"/>
    <x v="1"/>
    <x v="0"/>
    <n v="0"/>
    <s v="Transporte de material para mejoramiento, inc. cargado"/>
    <s v="m³/km."/>
    <n v="0.38"/>
    <n v="926.9"/>
    <m/>
    <d v="2014-07-16T00:00:00"/>
    <d v="2014-07-31T00:00:00"/>
    <s v="EJECUTADO"/>
    <n v="352.22"/>
    <m/>
    <n v="528.33000000000004"/>
    <m/>
    <m/>
  </r>
  <r>
    <m/>
    <m/>
    <x v="1"/>
    <s v="VIA, ORIANGA-EL TRIUNFO, L=7,7 km. (Paltas)"/>
    <s v="VIA, ORIANGA-EL TRIUNFO, L=7,7 km. (Paltas)"/>
    <x v="2"/>
    <s v="PALTAS"/>
    <s v="ORIANGA"/>
    <s v="AD. DIRECTA"/>
    <s v="VIALSUR"/>
    <x v="45"/>
    <x v="0"/>
    <n v="1083"/>
    <s v="Limpieza de derrumbes a máquina"/>
    <s v="m³."/>
    <n v="1.46"/>
    <n v="7350"/>
    <m/>
    <d v="2014-02-14T00:00:00"/>
    <d v="2014-03-31T00:00:00"/>
    <s v="EJECUTADO"/>
    <n v="10731"/>
    <n v="10731"/>
    <n v="0"/>
    <m/>
    <m/>
  </r>
  <r>
    <m/>
    <m/>
    <x v="1"/>
    <s v="VIAS DESDE ORIANGA A, GUAYACAN Y LA VEGA. (Paltas)"/>
    <s v="VIAS DESDE ORIANGA A, GUAYACAN Y LA VEGA. (Paltas)"/>
    <x v="2"/>
    <s v="PALTAS"/>
    <s v="ORIANGA"/>
    <s v="AD. DIRECTA"/>
    <s v="VIALSUR"/>
    <x v="19"/>
    <x v="0"/>
    <n v="1083"/>
    <s v="Limpieza de derrumbes a máquina"/>
    <s v="m³."/>
    <n v="1.46"/>
    <n v="2880"/>
    <m/>
    <d v="2014-02-17T00:00:00"/>
    <d v="2014-04-30T00:00:00"/>
    <s v="EJECUTADO"/>
    <n v="4204.8"/>
    <n v="4204.8"/>
    <n v="0"/>
    <m/>
    <m/>
  </r>
  <r>
    <m/>
    <m/>
    <x v="0"/>
    <s v="VIA, LA PALMA-EL PLACER, L=11,1 km. (Paltas)( RETROEXCAVADORA DE LA JUNTA PARROQUIAL)"/>
    <s v="VIA, LA PALMA-EL PLACER, L=11,1 km. (Paltas)( RETROEXCAVADORA DE LA JUNTA PARROQUIAL)"/>
    <x v="2"/>
    <s v="PALTAS"/>
    <s v="LAUROGUERRERO"/>
    <s v="AD. DIRECTA"/>
    <s v="VIALSUR"/>
    <x v="46"/>
    <x v="0"/>
    <n v="1092"/>
    <s v="Explotación de material (incluye cargado)."/>
    <s v="m³."/>
    <n v="2.54"/>
    <n v="640"/>
    <m/>
    <d v="2014-02-03T00:00:00"/>
    <d v="2014-02-07T00:00:00"/>
    <s v="EJECUTADO"/>
    <n v="1625.6"/>
    <n v="1625.6"/>
    <n v="0"/>
    <m/>
    <m/>
  </r>
  <r>
    <m/>
    <m/>
    <x v="0"/>
    <m/>
    <s v="VIA, LA PALMA-EL PLACER, L=11,1 km. (Paltas)( RETROEXCAVADORA DE LA JUNTA PARROQUIAL)"/>
    <x v="2"/>
    <s v="PALTAS"/>
    <s v="LAUROGUERRERO"/>
    <s v="AD. DIRECTA"/>
    <s v="VIALSUR"/>
    <x v="1"/>
    <x v="0"/>
    <n v="0"/>
    <s v="Transporte de material para mejoramiento, inc. cargado"/>
    <s v="m³/km."/>
    <n v="0.38"/>
    <n v="514.5"/>
    <m/>
    <d v="2014-02-03T00:00:00"/>
    <d v="2014-02-07T00:00:00"/>
    <s v="EJECUTADO"/>
    <n v="195.51"/>
    <n v="195.51"/>
    <n v="0"/>
    <m/>
    <m/>
  </r>
  <r>
    <m/>
    <m/>
    <x v="1"/>
    <s v="VIAS DE LA PARROQUIA YAMANA, L=6,90 km. (Paltas)"/>
    <s v="VIAS DE LA PARROQUIA YAMANA, L=6,90 km. (Paltas)"/>
    <x v="2"/>
    <s v="PALTAS"/>
    <s v="YAMANA"/>
    <s v="AD. DIRECTA"/>
    <s v="VIALSUR"/>
    <x v="47"/>
    <x v="99"/>
    <n v="797"/>
    <s v="Rasanteo y conformacion de cunetas con motoniveladora"/>
    <s v="m²."/>
    <n v="0.08"/>
    <n v="27300"/>
    <m/>
    <d v="2014-01-02T00:00:00"/>
    <d v="2014-01-05T00:00:00"/>
    <s v="EJECUTADO"/>
    <n v="2184"/>
    <n v="2184"/>
    <n v="0"/>
    <m/>
    <m/>
  </r>
  <r>
    <m/>
    <m/>
    <x v="0"/>
    <s v="VIA, PLAYAS-YAMANA, L=3,8 km. (Paltas)"/>
    <s v="VIA, PLAYAS-YAMANA, L=3,8 km. (Paltas)"/>
    <x v="2"/>
    <s v="PALTAS"/>
    <s v="YAMANA"/>
    <s v="AD. DIRECTA"/>
    <s v="VIALSUR"/>
    <x v="48"/>
    <x v="0"/>
    <n v="797"/>
    <s v="Clasificación de material."/>
    <s v="m³."/>
    <n v="1.47"/>
    <n v="1325"/>
    <m/>
    <d v="2014-01-02T00:00:00"/>
    <d v="2014-01-11T00:00:00"/>
    <s v="EJECUTADO"/>
    <n v="1947.75"/>
    <n v="1947.75"/>
    <n v="0"/>
    <m/>
    <m/>
  </r>
  <r>
    <m/>
    <m/>
    <x v="0"/>
    <m/>
    <s v="VIA, PLAYAS-YAMANA, L=3,8 km. (Paltas)"/>
    <x v="2"/>
    <s v="PALTAS"/>
    <s v="YAMANA"/>
    <s v="AD. DIRECTA"/>
    <s v="VIALSUR"/>
    <x v="1"/>
    <x v="100"/>
    <n v="0"/>
    <s v="Mejoramiento de la subrasante con suelo seleccionado"/>
    <s v="m³."/>
    <n v="5.92"/>
    <n v="1192"/>
    <m/>
    <d v="2014-01-02T00:00:00"/>
    <d v="2014-01-11T00:00:00"/>
    <s v="EJECUTADO"/>
    <n v="7056.64"/>
    <n v="6889.76"/>
    <n v="250.32000000000016"/>
    <m/>
    <m/>
  </r>
  <r>
    <m/>
    <m/>
    <x v="0"/>
    <m/>
    <s v="VIA, PLAYAS-YAMANA, L=3,8 km. (Paltas)"/>
    <x v="2"/>
    <s v="PALTAS"/>
    <s v="YAMANA"/>
    <s v="AD. DIRECTA"/>
    <s v="VIALSUR"/>
    <x v="1"/>
    <x v="0"/>
    <n v="0"/>
    <s v="Transporte de material para mejoramiento, inc. cargado"/>
    <s v="m³/km."/>
    <n v="0.38"/>
    <n v="764.4"/>
    <m/>
    <d v="2014-01-02T00:00:00"/>
    <d v="2014-01-11T00:00:00"/>
    <s v="EJECUTADO"/>
    <n v="290.47000000000003"/>
    <n v="290.47000000000003"/>
    <n v="0"/>
    <m/>
    <m/>
  </r>
  <r>
    <m/>
    <m/>
    <x v="0"/>
    <s v="VIA, SAN ANTONIO-EL SAUCE, L=9,7 km. (Paltas)"/>
    <s v="VIA, SAN ANTONIO-EL SAUCE, L=9,7 km. (Paltas)"/>
    <x v="2"/>
    <s v="PALTAS"/>
    <s v="SANANTONIO"/>
    <s v="AD. DIRECTA"/>
    <s v="VIALSUR"/>
    <x v="49"/>
    <x v="0"/>
    <n v="639"/>
    <s v="Explotación de material (incluye cargado)."/>
    <s v="m³."/>
    <n v="2.54"/>
    <n v="10895"/>
    <m/>
    <d v="2014-01-16T00:00:00"/>
    <d v="2014-03-31T00:00:00"/>
    <s v="EJECUTADO"/>
    <n v="27673.3"/>
    <n v="27673.3"/>
    <n v="0"/>
    <m/>
    <m/>
  </r>
  <r>
    <m/>
    <m/>
    <x v="0"/>
    <m/>
    <s v="VIA, SAN ANTONIO-EL SAUCE, L=9,7 km. (Paltas)"/>
    <x v="2"/>
    <s v="PALTAS"/>
    <s v="SANANTONIO"/>
    <s v="AD. DIRECTA"/>
    <s v="VIALSUR"/>
    <x v="1"/>
    <x v="0"/>
    <m/>
    <s v="Clasificación de material."/>
    <s v="m³."/>
    <n v="1.47"/>
    <n v="8985"/>
    <m/>
    <d v="2014-01-16T00:00:00"/>
    <d v="2014-03-31T00:00:00"/>
    <s v="EJECUTADO"/>
    <n v="13207.95"/>
    <n v="13207.95"/>
    <n v="0"/>
    <m/>
    <m/>
  </r>
  <r>
    <m/>
    <m/>
    <x v="1"/>
    <m/>
    <s v="VIA, SAN ANTONIO-EL SAUCE, L=9,7 km. (Paltas)"/>
    <x v="2"/>
    <s v="PALTAS"/>
    <s v="SANANTONIO"/>
    <s v="AD. DIRECTA"/>
    <s v="VIALSUR"/>
    <x v="1"/>
    <x v="101"/>
    <m/>
    <s v="Rasanteo y conformacion de cunetas con motoniveladora"/>
    <s v="m²."/>
    <n v="0.08"/>
    <n v="22344"/>
    <m/>
    <d v="2014-01-16T00:00:00"/>
    <d v="2014-03-31T00:00:00"/>
    <s v="EJECUTADO"/>
    <n v="1787.52"/>
    <n v="1787.52"/>
    <n v="0"/>
    <m/>
    <m/>
  </r>
  <r>
    <m/>
    <m/>
    <x v="0"/>
    <m/>
    <s v="VIA, SAN ANTONIO-EL SAUCE, L=9,7 km. (Paltas)"/>
    <x v="2"/>
    <s v="PALTAS"/>
    <s v="SANANTONIO"/>
    <s v="AD. DIRECTA"/>
    <s v="VIALSUR"/>
    <x v="1"/>
    <x v="102"/>
    <m/>
    <s v="Mejoramiento de la subrasante con suelo seleccionado"/>
    <s v="m³."/>
    <n v="5.92"/>
    <n v="9011"/>
    <m/>
    <d v="2014-01-16T00:00:00"/>
    <d v="2014-03-31T00:00:00"/>
    <s v="EJECUTADO"/>
    <n v="53345.120000000003"/>
    <n v="53345.120000000003"/>
    <n v="0"/>
    <m/>
    <m/>
  </r>
  <r>
    <m/>
    <m/>
    <x v="0"/>
    <m/>
    <s v="VIA, SAN ANTONIO-EL SAUCE, L=9,7 km. (Paltas)"/>
    <x v="2"/>
    <s v="PALTAS"/>
    <s v="SANANTONIO"/>
    <s v="AD. DIRECTA"/>
    <s v="VIALSUR"/>
    <x v="1"/>
    <x v="0"/>
    <m/>
    <s v="Transporte de material para mejoramiento, inc. cargado"/>
    <s v="m³/km."/>
    <n v="0.35"/>
    <n v="27961.8"/>
    <m/>
    <d v="2014-01-16T00:00:00"/>
    <d v="2014-03-31T00:00:00"/>
    <s v="EJECUTADO"/>
    <n v="9786.6299999999992"/>
    <n v="9786.6299999999992"/>
    <n v="0"/>
    <m/>
    <m/>
  </r>
  <r>
    <m/>
    <m/>
    <x v="0"/>
    <s v="VIA, SAN ANTONIO-YAMANA, L=2.8 km. (Paltas) Inicio: 22 de marzo"/>
    <s v="VIA, SAN ANTONIO-YAMANA, L=2.8 km. (Paltas) Inicio: 22 de marzo"/>
    <x v="2"/>
    <s v="PALTAS"/>
    <s v="SANANTONIO"/>
    <s v="AD. DIRECTA"/>
    <s v="VIALSUR"/>
    <x v="35"/>
    <x v="0"/>
    <m/>
    <s v="Explotación de material (incluye cargado)."/>
    <s v="m³."/>
    <n v="2.54"/>
    <n v="880"/>
    <m/>
    <d v="2014-03-21T00:00:00"/>
    <d v="2014-03-31T00:00:00"/>
    <s v="EJECUTADO"/>
    <n v="2235.1999999999998"/>
    <n v="2235.1999999999998"/>
    <n v="0"/>
    <m/>
    <m/>
  </r>
  <r>
    <m/>
    <m/>
    <x v="0"/>
    <m/>
    <s v="VIA, SAN ANTONIO-YAMANA, L=2.8 km. (Paltas) Inicio: 22 de marzo"/>
    <x v="2"/>
    <s v="PALTAS"/>
    <s v="SANANTONIO"/>
    <s v="AD. DIRECTA"/>
    <s v="VIALSUR"/>
    <x v="1"/>
    <x v="0"/>
    <m/>
    <s v="Excavación sin clasificar a maquina (Ampliación de la vía)"/>
    <s v="m³."/>
    <n v="1.62"/>
    <n v="4070"/>
    <m/>
    <d v="2014-03-21T00:00:00"/>
    <d v="2014-03-31T00:00:00"/>
    <s v="EJECUTADO"/>
    <n v="6593.4"/>
    <n v="6593.4"/>
    <n v="0"/>
    <m/>
    <m/>
  </r>
  <r>
    <m/>
    <m/>
    <x v="0"/>
    <m/>
    <s v="VIA, SAN ANTONIO-YAMANA, L=2.8 km. (Paltas) Inicio: 22 de marzo"/>
    <x v="2"/>
    <s v="PALTAS"/>
    <s v="SANANTONIO"/>
    <s v="AD. DIRECTA"/>
    <s v="VIALSUR"/>
    <x v="1"/>
    <x v="0"/>
    <m/>
    <s v="Clasificación de material."/>
    <s v="m³."/>
    <n v="1.47"/>
    <n v="2400"/>
    <m/>
    <d v="2014-03-21T00:00:00"/>
    <d v="2014-03-31T00:00:00"/>
    <s v="EJECUTADO"/>
    <n v="3528"/>
    <n v="3528"/>
    <n v="0"/>
    <m/>
    <m/>
  </r>
  <r>
    <m/>
    <m/>
    <x v="1"/>
    <m/>
    <s v="VIA, SAN ANTONIO-YAMANA, L=2.8 km. (Paltas) Inicio: 22 de marzo"/>
    <x v="2"/>
    <s v="PALTAS"/>
    <s v="SANANTONIO"/>
    <s v="AD. DIRECTA"/>
    <s v="VIALSUR"/>
    <x v="1"/>
    <x v="10"/>
    <m/>
    <s v="Rasanteo y conformacion de cunetas con motoniveladora"/>
    <s v="m²."/>
    <n v="0.08"/>
    <n v="20000"/>
    <m/>
    <d v="2014-03-21T00:00:00"/>
    <d v="2014-03-31T00:00:00"/>
    <s v="EJECUTADO"/>
    <n v="1600"/>
    <n v="1600"/>
    <n v="0"/>
    <m/>
    <m/>
  </r>
  <r>
    <m/>
    <m/>
    <x v="0"/>
    <m/>
    <s v="VIA, SAN ANTONIO-YAMANA, L=2.8 km. (Paltas) Inicio: 22 de marzo"/>
    <x v="2"/>
    <s v="PALTAS"/>
    <s v="SANANTONIO"/>
    <s v="AD. DIRECTA"/>
    <s v="VIALSUR"/>
    <x v="1"/>
    <x v="103"/>
    <m/>
    <s v="Mejoramiento de la subrasante con suelo seleccionado"/>
    <s v="m³."/>
    <n v="5.92"/>
    <n v="840"/>
    <m/>
    <d v="2014-03-21T00:00:00"/>
    <d v="2014-03-31T00:00:00"/>
    <s v="EJECUTADO"/>
    <n v="4972.8"/>
    <n v="4972.8"/>
    <n v="0"/>
    <m/>
    <m/>
  </r>
  <r>
    <m/>
    <m/>
    <x v="0"/>
    <m/>
    <s v="VIA, SAN ANTONIO-YAMANA, L=2.8 km. (Paltas) Inicio: 22 de marzo"/>
    <x v="2"/>
    <s v="PALTAS"/>
    <s v="SANANTONIO"/>
    <s v="AD. DIRECTA"/>
    <s v="VIALSUR"/>
    <x v="1"/>
    <x v="0"/>
    <m/>
    <s v="Transporte de material para mejoramiento, inc. cargado"/>
    <s v="m³/km."/>
    <n v="0.38"/>
    <n v="726"/>
    <m/>
    <d v="2014-03-21T00:00:00"/>
    <d v="2014-03-31T00:00:00"/>
    <s v="EJECUTADO"/>
    <n v="275.88"/>
    <n v="275.88"/>
    <n v="0"/>
    <m/>
    <m/>
  </r>
  <r>
    <m/>
    <m/>
    <x v="1"/>
    <s v="VIAS DE ACCESO A LOS BARRIOS, STO. DOMINGO, L=3.8 km. CHORRERA L=0.8 km. (Paltas)"/>
    <s v="VIAS DE ACCESO A LOS BARRIOS, STO. DOMINGO, L=3.8 km. CHORRERA L=0.8 km. (Paltas)"/>
    <x v="2"/>
    <s v="PALTAS"/>
    <s v="SANANTONIO"/>
    <s v="AD. DIRECTA"/>
    <s v="VIALSUR"/>
    <x v="38"/>
    <x v="104"/>
    <n v="639"/>
    <s v="Rasanteo y conformacion de cunetas con motoniveladora"/>
    <s v="m²."/>
    <n v="0.08"/>
    <n v="16280"/>
    <m/>
    <d v="2014-04-01T00:00:00"/>
    <d v="2014-04-30T00:00:00"/>
    <s v="EJECUTADO"/>
    <n v="1302.4000000000001"/>
    <n v="1302.4000000000001"/>
    <n v="0"/>
    <m/>
    <m/>
  </r>
  <r>
    <m/>
    <m/>
    <x v="1"/>
    <s v="VIA TAMBARA-COLA L=6.3 KM"/>
    <s v="VIA TAMBARA-COLA L=6.3 KM"/>
    <x v="2"/>
    <s v="OLMEDO"/>
    <s v="LA TINGUE"/>
    <s v="AD. DIRECTA"/>
    <s v="VIALSUR"/>
    <x v="50"/>
    <x v="0"/>
    <n v="512"/>
    <s v="Limpieza de derrumbes a maquina"/>
    <s v="m3."/>
    <n v="1.46"/>
    <n v="480"/>
    <m/>
    <d v="2014-01-05T00:00:00"/>
    <d v="2014-05-31T00:00:00"/>
    <s v="EJECUTADO"/>
    <n v="700.8"/>
    <m/>
    <n v="1051.2"/>
    <m/>
    <m/>
  </r>
  <r>
    <m/>
    <m/>
    <x v="1"/>
    <s v="VIA, LA TINGUE-ZAPALLAL.  L=4,8 km."/>
    <s v="VIA, LA TINGUE-ZAPALLAL.  L=4,8 km."/>
    <x v="2"/>
    <s v="OLMEDO"/>
    <s v="LA TINGUE"/>
    <s v="AD. DIRECTA"/>
    <s v="VIALSUR"/>
    <x v="51"/>
    <x v="0"/>
    <n v="512"/>
    <s v="Limpieza de derrumbes a máquina"/>
    <s v="m³."/>
    <n v="1.46"/>
    <n v="840"/>
    <m/>
    <d v="2014-03-21T00:00:00"/>
    <d v="2014-05-31T00:00:00"/>
    <s v="EJECUTADO"/>
    <n v="1226.4000000000001"/>
    <n v="411.6"/>
    <n v="1222.2"/>
    <m/>
    <m/>
  </r>
  <r>
    <m/>
    <m/>
    <x v="1"/>
    <s v="VIA EL LIMON GUACHANAMA LAURO GUERRERO"/>
    <s v="VIA EL LIMON GUACHANAMA LAURO GUERRERO"/>
    <x v="2"/>
    <s v="PALTAS"/>
    <s v="SANANTONIO"/>
    <s v="AD. DIRECTA"/>
    <s v="VIALSUR"/>
    <x v="1"/>
    <x v="0"/>
    <m/>
    <s v="Limpieza de derrumbes a máquina"/>
    <s v="m³."/>
    <n v="1.46"/>
    <n v="1440"/>
    <m/>
    <d v="2014-03-21T00:00:00"/>
    <d v="2014-05-31T00:00:00"/>
    <s v="EJECUTADO"/>
    <n v="2102.4"/>
    <m/>
    <m/>
    <n v="1226.4000000000001"/>
    <m/>
  </r>
  <r>
    <m/>
    <m/>
    <x v="1"/>
    <s v="VIAS DE ACCESO A LOS BARRIOS, SACAPIANGA Y SAN ANTONIO BAJO"/>
    <s v="VIAS DE ACCESO A LOS BARRIOS, SACAPIANGA Y SAN ANTONIO BAJO"/>
    <x v="2"/>
    <s v="PALTAS"/>
    <s v="SANANTONIO"/>
    <s v="AD. DIRECTA"/>
    <s v="VIALSUR"/>
    <x v="33"/>
    <x v="105"/>
    <n v="639"/>
    <s v="Rasanteo y conformacion de cunetas con motoniveladora"/>
    <s v="m²."/>
    <n v="0.08"/>
    <n v="18900"/>
    <m/>
    <d v="2014-02-01T00:00:00"/>
    <d v="2014-02-03T00:00:00"/>
    <s v="EJECUTADO"/>
    <n v="1512"/>
    <n v="1512"/>
    <n v="0"/>
    <m/>
    <m/>
  </r>
  <r>
    <m/>
    <m/>
    <x v="1"/>
    <s v="MANTENIMIENTO DE LAS VIAS TABLON-MINA, TABLON-SAN JOSE, YEE DE SAN JOSE-QUISHQUIL, CEMENTERIO-LA LAGUNA-COCHALOMA, PANAMERICANA-POTRERILLOS-TACHIN. LONGITUD 18 KM"/>
    <s v="MANTENIMIENTO DE LAS VIAS TABLON-MINA, TABLON-SAN JOSE, YEE DE SAN JOSE-QUISHQUIL, CEMENTERIO-LA LAGUNA-COCHALOMA, PANAMERICANA-POTRERILLOS-TACHIN. LONGITUD 18 KM"/>
    <x v="3"/>
    <s v="SARAGURO"/>
    <s v="EL TABLÓN"/>
    <s v="AD. DIRECTA"/>
    <s v="VIALSUR"/>
    <x v="52"/>
    <x v="106"/>
    <n v="716"/>
    <s v="Rasanteo y conformacion de cunetas con motoniveladora"/>
    <s v="m2"/>
    <n v="0.08"/>
    <n v="70000"/>
    <m/>
    <d v="2014-01-01T00:00:00"/>
    <d v="2014-02-28T00:00:00"/>
    <s v="EJECUTADO"/>
    <n v="5600"/>
    <n v="5600"/>
    <n v="0"/>
    <m/>
    <m/>
  </r>
  <r>
    <m/>
    <m/>
    <x v="0"/>
    <m/>
    <s v="MANTENIMIENTO DE LAS VIAS TABLON-MINA, TABLON-SAN JOSE, YEE DE SAN JOSE-QUISHQUIL, CEMENTERIO-LA LAGUNA-COCHALOMA, PANAMERICANA-POTRERILLOS-TACHIN. LONGITUD 18 KM"/>
    <x v="3"/>
    <s v="SARAGURO"/>
    <s v="EL TABLÓN"/>
    <s v="AD. DIRECTA"/>
    <s v="VIALSUR"/>
    <x v="1"/>
    <x v="107"/>
    <n v="0"/>
    <s v="Mejoramiento de la subrasante con suelo seleccionado"/>
    <s v="m3"/>
    <n v="5.92"/>
    <n v="3500"/>
    <m/>
    <d v="2014-01-01T00:00:00"/>
    <d v="2014-02-28T00:00:00"/>
    <s v="EJECUTADO"/>
    <n v="20720"/>
    <n v="18200"/>
    <n v="3780"/>
    <m/>
    <m/>
  </r>
  <r>
    <m/>
    <m/>
    <x v="0"/>
    <m/>
    <s v="MANTENIMIENTO DE LAS VIAS TABLON-MINA, TABLON-SAN JOSE, YEE DE SAN JOSE-QUISHQUIL, CEMENTERIO-LA LAGUNA-COCHALOMA, PANAMERICANA-POTRERILLOS-TACHIN. LONGITUD 18 KM"/>
    <x v="3"/>
    <s v="SARAGURO"/>
    <s v="EL TABLÓN"/>
    <s v="AD. DIRECTA"/>
    <s v="VIALSUR"/>
    <x v="1"/>
    <x v="0"/>
    <n v="0"/>
    <s v="Transporte de material de mejoramiento, base , sub-base "/>
    <s v="M3-KM"/>
    <n v="0.3"/>
    <n v="28000"/>
    <m/>
    <d v="2014-01-01T00:00:00"/>
    <d v="2014-02-28T00:00:00"/>
    <s v="EJECUTADO"/>
    <n v="8400"/>
    <n v="7000"/>
    <n v="2100"/>
    <m/>
    <m/>
  </r>
  <r>
    <m/>
    <m/>
    <x v="0"/>
    <m/>
    <s v="MANTENIMIENTO DE LAS VIAS TABLON-MINA, TABLON-SAN JOSE, YEE DE SAN JOSE-QUISHQUIL, CEMENTERIO-LA LAGUNA-COCHALOMA, PANAMERICANA-POTRERILLOS-TACHIN. LONGITUD 18 KM"/>
    <x v="3"/>
    <s v="SARAGURO"/>
    <s v="EL TABLÓN"/>
    <s v="AD. DIRECTA"/>
    <s v="VIALSUR"/>
    <x v="1"/>
    <x v="0"/>
    <n v="0"/>
    <s v="Explotación de material de mejoramiento"/>
    <s v="m3"/>
    <n v="2.54"/>
    <n v="3500"/>
    <m/>
    <d v="2014-01-01T00:00:00"/>
    <d v="2014-02-28T00:00:00"/>
    <s v="EJECUTADO"/>
    <n v="8890"/>
    <n v="4235"/>
    <n v="6982.5"/>
    <m/>
    <m/>
  </r>
  <r>
    <m/>
    <m/>
    <x v="1"/>
    <s v="MANTENIMIENTO DE LAS VIAS DE LA PARROQUIA CELEN, LONGITUD 12,00 KM"/>
    <s v="MANTENIMIENTO DE LAS VIAS DE LA PARROQUIA CELEN, LONGITUD 12,00 KM"/>
    <x v="3"/>
    <s v="SARAGURO"/>
    <s v="CELEN"/>
    <s v="AD. DIRECTA"/>
    <s v="VIALSUR"/>
    <x v="53"/>
    <x v="108"/>
    <n v="2132"/>
    <s v="Rasanteo y conformacion de cunetas con motoniveladora"/>
    <s v="m2"/>
    <n v="0.08"/>
    <n v="72000"/>
    <m/>
    <d v="2014-01-01T00:00:00"/>
    <d v="2014-01-31T00:00:00"/>
    <s v="EJECUTADO"/>
    <n v="5760"/>
    <n v="4320"/>
    <n v="2160"/>
    <m/>
    <m/>
  </r>
  <r>
    <m/>
    <m/>
    <x v="0"/>
    <m/>
    <s v="MANTENIMIENTO DE LAS VIAS DE LA PARROQUIA CELEN, LONGITUD 12,00 KM"/>
    <x v="3"/>
    <s v="SARAGURO"/>
    <s v="CELEN"/>
    <s v="AD. DIRECTA"/>
    <s v="VIALSUR"/>
    <x v="1"/>
    <x v="0"/>
    <n v="0"/>
    <s v="Excavación sin clasificar a máquina"/>
    <s v="m3"/>
    <n v="1.62"/>
    <n v="64"/>
    <m/>
    <d v="2014-01-01T00:00:00"/>
    <d v="2014-01-31T00:00:00"/>
    <s v="EJECUTADO"/>
    <n v="103.68"/>
    <n v="84.48"/>
    <n v="28.800000000000004"/>
    <m/>
    <m/>
  </r>
  <r>
    <m/>
    <m/>
    <x v="1"/>
    <s v="MANTENIMIENTO DE LA VIA MALACATOS-SAN JOSE DE LAS PEÑAS, LONGITUD 3,00 KM"/>
    <s v="MANTENIMIENTO DE LA VIA MALACATOS-SAN JOSE DE LAS PEÑAS, LONGITUD 3,00 KM"/>
    <x v="3"/>
    <s v="LOJA"/>
    <s v="MALACATOS"/>
    <s v="AD. DIRECTA"/>
    <s v="VIALSUR"/>
    <x v="54"/>
    <x v="109"/>
    <n v="2611"/>
    <s v="Reconformación de la rasante"/>
    <s v="m2"/>
    <n v="0.35"/>
    <n v="10450"/>
    <m/>
    <d v="2014-01-01T00:00:00"/>
    <d v="2014-01-31T00:00:00"/>
    <s v="EJECUTADO"/>
    <n v="3657.5"/>
    <n v="2612.5"/>
    <n v="1567.5"/>
    <m/>
    <m/>
  </r>
  <r>
    <m/>
    <m/>
    <x v="0"/>
    <m/>
    <s v="MANTENIMIENTO DE LA VIA MALACATOS-SAN JOSE DE LAS PEÑAS, LONGITUD 3,00 KM"/>
    <x v="3"/>
    <s v="LOJA"/>
    <s v="MALACATOS"/>
    <s v="AD. DIRECTA"/>
    <s v="VIALSUR"/>
    <x v="1"/>
    <x v="110"/>
    <n v="0"/>
    <s v="Mejoramiento de la subrasante con suelo seleccionado"/>
    <s v="m3"/>
    <n v="5.92"/>
    <n v="118"/>
    <m/>
    <d v="2014-01-01T00:00:00"/>
    <d v="2014-01-31T00:00:00"/>
    <s v="EJECUTADO"/>
    <n v="698.56"/>
    <n v="613.6"/>
    <n v="127.43999999999988"/>
    <m/>
    <m/>
  </r>
  <r>
    <m/>
    <m/>
    <x v="0"/>
    <m/>
    <s v="MANTENIMIENTO DE LA VIA MALACATOS-SAN JOSE DE LAS PEÑAS, LONGITUD 3,00 KM"/>
    <x v="3"/>
    <s v="LOJA"/>
    <s v="MALACATOS"/>
    <s v="AD. DIRECTA"/>
    <s v="VIALSUR"/>
    <x v="1"/>
    <x v="0"/>
    <n v="0"/>
    <s v="Transporte de material de mejoramiento, base , sub-base "/>
    <s v="M3-KM"/>
    <n v="0.3"/>
    <n v="1416"/>
    <m/>
    <d v="2014-01-01T00:00:00"/>
    <d v="2014-01-31T00:00:00"/>
    <s v="EJECUTADO"/>
    <n v="424.8"/>
    <n v="354"/>
    <n v="106.20000000000002"/>
    <m/>
    <m/>
  </r>
  <r>
    <m/>
    <m/>
    <x v="1"/>
    <s v="MANTENIMIENTO DE LA VIA TANQUE DE COLA - PUENTE SANTO DOMINGO, LONGITUD 3,00 KM"/>
    <s v="MANTENIMIENTO DE LA VIA TANQUE DE COLA - PUENTE SANTO DOMINGO, LONGITUD 3,00 KM"/>
    <x v="3"/>
    <s v="LOJA"/>
    <s v="MALACATOS"/>
    <s v="AD. DIRECTA"/>
    <s v="VIALSUR"/>
    <x v="54"/>
    <x v="2"/>
    <n v="2611"/>
    <s v="Reconformación de la rasante"/>
    <s v="m2"/>
    <n v="0.35"/>
    <n v="18000"/>
    <m/>
    <d v="2014-01-01T00:00:00"/>
    <d v="2014-01-31T00:00:00"/>
    <s v="EJECUTADO"/>
    <n v="6300"/>
    <n v="4500"/>
    <n v="2700"/>
    <m/>
    <m/>
  </r>
  <r>
    <m/>
    <m/>
    <x v="0"/>
    <m/>
    <s v="MANTENIMIENTO DE LA VIA TANQUE DE COLA - PUENTE SANTO DOMINGO, LONGITUD 3,00 KM"/>
    <x v="3"/>
    <s v="LOJA"/>
    <s v="MALACATOS"/>
    <s v="AD. DIRECTA"/>
    <s v="VIALSUR"/>
    <x v="1"/>
    <x v="0"/>
    <n v="0"/>
    <s v="Excavación sin clasificar a máquina"/>
    <s v="m3"/>
    <n v="1.62"/>
    <n v="9000"/>
    <m/>
    <d v="2014-01-01T00:00:00"/>
    <d v="2014-01-31T00:00:00"/>
    <s v="EJECUTADO"/>
    <n v="14580"/>
    <n v="11880"/>
    <n v="4050"/>
    <m/>
    <m/>
  </r>
  <r>
    <m/>
    <m/>
    <x v="1"/>
    <s v="MANTENIMIENTO DE LAS VIAS DE LA PARROQUIA YANGANA, TRAMO YANGANA-PUENTE MASANAMACA, LONGITUD 26,00 KM"/>
    <s v="MANTENIMIENTO DE LAS VIAS DE LA PARROQUIA YANGANA, TRAMO YANGANA-PUENTE MASANAMACA, LONGITUD 26,00 KM"/>
    <x v="3"/>
    <s v="LOJA"/>
    <s v="YANGANA"/>
    <s v="AD. DIRECTA"/>
    <s v="VIALSUR"/>
    <x v="14"/>
    <x v="111"/>
    <n v="449"/>
    <s v="Reconformación de la rasante"/>
    <s v="m2"/>
    <n v="0.35"/>
    <n v="160002"/>
    <m/>
    <d v="2014-01-01T00:00:00"/>
    <d v="2014-02-28T00:00:00"/>
    <s v="EJECUTADO"/>
    <n v="56000.7"/>
    <n v="40000.5"/>
    <n v="24000.299999999996"/>
    <m/>
    <m/>
  </r>
  <r>
    <m/>
    <m/>
    <x v="0"/>
    <m/>
    <s v="MANTENIMIENTO DE LAS VIAS DE LA PARROQUIA YANGANA, TRAMO YANGANA-PUENTE MASANAMACA, LONGITUD 26,00 KM"/>
    <x v="3"/>
    <s v="LOJA"/>
    <s v="YANGANA"/>
    <s v="AD. DIRECTA"/>
    <s v="VIALSUR"/>
    <x v="1"/>
    <x v="112"/>
    <n v="0"/>
    <s v="Mejoramiento de la subrasante con suelo seleccionado"/>
    <s v="m3"/>
    <n v="5.92"/>
    <n v="4920"/>
    <m/>
    <d v="2014-01-01T00:00:00"/>
    <d v="2014-02-28T00:00:00"/>
    <s v="EJECUTADO"/>
    <n v="29126.400000000001"/>
    <n v="25584"/>
    <n v="5313.6000000000022"/>
    <m/>
    <m/>
  </r>
  <r>
    <m/>
    <m/>
    <x v="0"/>
    <m/>
    <s v="MANTENIMIENTO DE LAS VIAS DE LA PARROQUIA YANGANA, TRAMO YANGANA-PUENTE MASANAMACA, LONGITUD 26,00 KM"/>
    <x v="3"/>
    <s v="LOJA"/>
    <s v="YANGANA"/>
    <s v="AD. DIRECTA"/>
    <s v="VIALSUR"/>
    <x v="1"/>
    <x v="0"/>
    <n v="0"/>
    <s v="Transporte de material de mejoramiento, base , sub-base "/>
    <s v="M3-KM"/>
    <n v="0.3"/>
    <n v="40200"/>
    <m/>
    <d v="2014-01-01T00:00:00"/>
    <d v="2014-02-28T00:00:00"/>
    <s v="EJECUTADO"/>
    <n v="12060"/>
    <n v="10050"/>
    <n v="3015"/>
    <m/>
    <m/>
  </r>
  <r>
    <m/>
    <m/>
    <x v="0"/>
    <m/>
    <s v="MANTENIMIENTO DE LAS VIAS DE LA PARROQUIA YANGANA, TRAMO YANGANA-PUENTE MASANAMACA, LONGITUD 26,00 KM"/>
    <x v="3"/>
    <s v="LOJA"/>
    <s v="YANGANA"/>
    <s v="AD. DIRECTA"/>
    <s v="VIALSUR"/>
    <x v="1"/>
    <x v="0"/>
    <n v="0"/>
    <s v="Excavación sin clasificar a máquina"/>
    <s v="m3"/>
    <n v="1.62"/>
    <n v="4752"/>
    <m/>
    <d v="2014-02-03T00:00:00"/>
    <d v="2014-04-15T00:00:00"/>
    <s v="EJECUTADO"/>
    <n v="7698.24"/>
    <n v="6272.64"/>
    <n v="2138.3999999999992"/>
    <m/>
    <m/>
  </r>
  <r>
    <m/>
    <m/>
    <x v="1"/>
    <s v="MEJORAMIENTO  DE LAS CALLES Y VIAS DE LOS BARRIOS PERIFERICOS DE LA CIUDAD DE LOJA, LONGITUD 180 KM CONVENIO NRO. 131-DPS-2013 APORTES GPL - GADMLOJA - VIALSUR.EP, Contrato original sie nro 582 $ 161 921.96  del 15 de agosto al 18 de enero del 2014, concluido 100 % y pagado."/>
    <s v="MEJORAMIENTO  DE LAS CALLES Y VIAS DE LOS BARRIOS PERIFERICOS DE LA CIUDAD DE LOJA, LONGITUD 180 KM CONVENIO NRO. 131-DPS-2013 APORTES GPL - GADMLOJA - VIALSUR.EP, Contrato original sie nro 582 $ 161 921.96  del 15 de agosto al 18 de enero del 2014, concluido 100 % y pagado."/>
    <x v="3"/>
    <s v="LOJA"/>
    <s v="LOJA"/>
    <s v="CONVENIO"/>
    <s v="VIALSUR"/>
    <x v="55"/>
    <x v="0"/>
    <n v="20662"/>
    <s v="Cargada de material inadecuado a máquina"/>
    <s v="m3"/>
    <n v="0.6"/>
    <m/>
    <m/>
    <d v="2014-01-01T00:00:00"/>
    <d v="2014-01-31T00:00:00"/>
    <s v="EJECUTADO"/>
    <n v="0"/>
    <m/>
    <n v="0"/>
    <n v="454123.94"/>
    <n v="45935.25"/>
  </r>
  <r>
    <m/>
    <m/>
    <x v="0"/>
    <m/>
    <s v="MEJORAMIENTO  DE LAS CALLES Y VIAS DE LOS BARRIOS PERIFERICOS DE LA CIUDAD DE LOJA, LONGITUD 180 KM CONVENIO NRO. 131-DPS-2013 APORTES GPL - GADMLOJA - VIALSUR.EP, Contrato original sie nro 582 $ 161 921.96  del 15 de agosto al 18 de enero del 2014, concluido 100 % y pagado."/>
    <x v="3"/>
    <s v="LOJA"/>
    <s v="LOJA"/>
    <s v="CONVENIO"/>
    <s v="VIALSUR"/>
    <x v="1"/>
    <x v="0"/>
    <n v="0"/>
    <s v="Transporte de material de mejoramiento, distancia 0 a 5,00 Km"/>
    <s v="m3"/>
    <n v="0.81"/>
    <n v="297.60000000000002"/>
    <m/>
    <d v="2014-01-01T00:00:00"/>
    <d v="2014-02-28T00:00:00"/>
    <s v="EJECUTADO"/>
    <n v="241.06"/>
    <n v="241.06"/>
    <n v="0"/>
    <m/>
    <m/>
  </r>
  <r>
    <m/>
    <m/>
    <x v="1"/>
    <m/>
    <s v="MEJORAMIENTO  DE LAS CALLES Y VIAS DE LOS BARRIOS PERIFERICOS DE LA CIUDAD DE LOJA, LONGITUD 180 KM CONVENIO NRO. 131-DPS-2013 APORTES GPL - GADMLOJA - VIALSUR.EP, Contrato original sie nro 582 $ 161 921.96  del 15 de agosto al 18 de enero del 2014, concluido 100 % y pagado."/>
    <x v="3"/>
    <s v="LOJA"/>
    <s v="LOJA"/>
    <s v="CONVENIO"/>
    <s v="VIALSUR"/>
    <x v="1"/>
    <x v="0"/>
    <n v="0"/>
    <s v="Alquiler de excavadora"/>
    <s v="Horas"/>
    <n v="45"/>
    <m/>
    <m/>
    <d v="2014-01-01T00:00:00"/>
    <d v="2014-01-31T00:00:00"/>
    <s v="EJECUTADO"/>
    <n v="0"/>
    <m/>
    <n v="0"/>
    <m/>
    <m/>
  </r>
  <r>
    <m/>
    <m/>
    <x v="1"/>
    <m/>
    <s v="MEJORAMIENTO  DE LAS CALLES Y VIAS DE LOS BARRIOS PERIFERICOS DE LA CIUDAD DE LOJA, LONGITUD 180 KM CONVENIO NRO. 131-DPS-2013 APORTES GPL - GADMLOJA - VIALSUR.EP, Contrato original sie nro 582 $ 161 921.96  del 15 de agosto al 18 de enero del 2014, concluido 100 % y pagado."/>
    <x v="3"/>
    <s v="LOJA"/>
    <s v="LOJA"/>
    <s v="CONVENIO"/>
    <s v="VIALSUR"/>
    <x v="1"/>
    <x v="40"/>
    <n v="0"/>
    <s v="Acabado de Obra Básica existente"/>
    <s v="Horas"/>
    <n v="50.6"/>
    <m/>
    <m/>
    <d v="2014-01-01T00:00:00"/>
    <d v="2014-02-28T00:00:00"/>
    <s v="EJECUTADO"/>
    <n v="0"/>
    <m/>
    <n v="0"/>
    <m/>
    <m/>
  </r>
  <r>
    <m/>
    <m/>
    <x v="3"/>
    <m/>
    <s v="MEJORAMIENTO  DE LAS CALLES Y VIAS DE LOS BARRIOS PERIFERICOS DE LA CIUDAD DE LOJA, LONGITUD 180 KM CONVENIO NRO. 131-DPS-2013 APORTES GPL - GADMLOJA - VIALSUR.EP, Contrato original sie nro 582 $ 161 921.96  del 15 de agosto al 18 de enero del 2014, concluido 100 % y pagado."/>
    <x v="3"/>
    <s v="LOJA"/>
    <s v="LOJA"/>
    <s v="CONVENIO"/>
    <s v="VIALSUR"/>
    <x v="1"/>
    <x v="0"/>
    <n v="0"/>
    <s v="Letrero de identificación"/>
    <s v="UNIDAD"/>
    <n v="704.58"/>
    <m/>
    <m/>
    <d v="2014-01-01T00:00:00"/>
    <d v="2014-01-31T00:00:00"/>
    <s v="EJECUTADO"/>
    <n v="0"/>
    <m/>
    <n v="0"/>
    <m/>
    <m/>
  </r>
  <r>
    <m/>
    <m/>
    <x v="0"/>
    <s v="MANTENTENIMIENTO DE CALLES Y VIAS DE LOS BARRIOS PERIFERICOS DE LA CIUDAD DE LOJA (CONTRATO CIA. JARAMILLO CONSTRUCTORA)"/>
    <s v="MANTENTENIMIENTO DE CALLES Y VIAS DE LOS BARRIOS PERIFERICOS DE LA CIUDAD DE LOJA (CONTRATO CIA. JARAMILLO CONSTRUCTORA)"/>
    <x v="3"/>
    <s v="LOJA"/>
    <s v="LOJA"/>
    <s v="CONTRATO"/>
    <s v="CIA. JARAMILLO"/>
    <x v="1"/>
    <x v="0"/>
    <n v="0"/>
    <s v="Transporte de material de mejoramiento, distancia mayor a 5,00 Km"/>
    <s v="M3-KM"/>
    <n v="0.24"/>
    <n v="86140.05"/>
    <m/>
    <d v="2014-01-01T00:00:00"/>
    <d v="2014-05-31T00:00:00"/>
    <s v="EJECUTADO"/>
    <n v="20673.61"/>
    <n v="19764"/>
    <n v="1364.4150000000009"/>
    <m/>
    <m/>
  </r>
  <r>
    <s v="18"/>
    <s v="EJECUTADO"/>
    <x v="4"/>
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<x v="3"/>
    <s v="LOJA"/>
    <s v="MALACATOS"/>
    <s v="CONTRATO"/>
    <s v="VIALSUR"/>
    <x v="6"/>
    <x v="113"/>
    <n v="2611"/>
    <s v="Asfalto para riego de imprimación"/>
    <s v="Lit."/>
    <n v="0.6"/>
    <n v="54000"/>
    <m/>
    <d v="2014-01-01T00:00:00"/>
    <d v="2014-04-30T00:00:00"/>
    <s v="EJECUTADO"/>
    <n v="32400"/>
    <n v="32400"/>
    <n v="0"/>
    <m/>
    <m/>
  </r>
  <r>
    <m/>
    <m/>
    <x v="2"/>
    <m/>
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<x v="3"/>
    <s v="LOJA"/>
    <s v="MALACATOS"/>
    <s v="CONTRATO"/>
    <s v="VIALSUR"/>
    <x v="1"/>
    <x v="0"/>
    <n v="0"/>
    <s v="Hormigón estructural Clase C f´c=180 kg/cm2 , cunetas y canales"/>
    <s v="m3"/>
    <n v="130.65"/>
    <n v="900.52"/>
    <m/>
    <d v="2014-03-01T00:00:00"/>
    <d v="2014-04-30T00:00:00"/>
    <s v="EJECUTADO"/>
    <n v="117652.94"/>
    <n v="147242.54999999999"/>
    <n v="-44384.414999999979"/>
    <m/>
    <m/>
  </r>
  <r>
    <m/>
    <m/>
    <x v="3"/>
    <m/>
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<x v="3"/>
    <s v="LOJA"/>
    <s v="MALACATOS"/>
    <s v="CONTRATO"/>
    <s v="VIALSUR"/>
    <x v="1"/>
    <x v="114"/>
    <n v="0"/>
    <s v="Señalización Horizontal"/>
    <s v="ml"/>
    <n v="0.49"/>
    <n v="11751"/>
    <m/>
    <d v="2014-06-01T00:00:00"/>
    <d v="2014-07-31T00:00:00"/>
    <s v="EJECUTADO"/>
    <n v="5757.99"/>
    <m/>
    <n v="8636.9850000000006"/>
    <m/>
    <m/>
  </r>
  <r>
    <m/>
    <m/>
    <x v="3"/>
    <m/>
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<x v="3"/>
    <s v="LOJA"/>
    <s v="MALACATOS"/>
    <s v="CONTRATO"/>
    <s v="VIALSUR"/>
    <x v="1"/>
    <x v="0"/>
    <n v="0"/>
    <s v="Tachas Reflectivas"/>
    <s v="UNIDAD"/>
    <n v="8.33"/>
    <n v="450"/>
    <m/>
    <d v="2014-06-01T00:00:00"/>
    <d v="2014-07-31T00:00:00"/>
    <s v="EJECUTADO"/>
    <n v="3748.5"/>
    <m/>
    <n v="5622.75"/>
    <m/>
    <m/>
  </r>
  <r>
    <m/>
    <m/>
    <x v="3"/>
    <m/>
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<x v="3"/>
    <s v="LOJA"/>
    <s v="MALACATOS"/>
    <s v="CONTRATO"/>
    <s v="VIALSUR"/>
    <x v="1"/>
    <x v="0"/>
    <n v="0"/>
    <s v="Barandas Reflectivas"/>
    <s v="UNIDAD"/>
    <n v="10"/>
    <n v="471"/>
    <m/>
    <d v="2014-06-01T00:00:00"/>
    <d v="2014-07-31T00:00:00"/>
    <s v="EJECUTADO"/>
    <n v="4710"/>
    <m/>
    <n v="7065"/>
    <m/>
    <m/>
  </r>
  <r>
    <m/>
    <m/>
    <x v="4"/>
    <m/>
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<x v="3"/>
    <s v="LOJA"/>
    <s v="MALACATOS"/>
    <s v="CONTRATO"/>
    <s v="VIALSUR"/>
    <x v="1"/>
    <x v="115"/>
    <n v="0"/>
    <s v="Doble tratamiento superficial bituminoso"/>
    <s v="m2"/>
    <n v="2.79"/>
    <n v="31000"/>
    <m/>
    <d v="2014-01-01T00:00:00"/>
    <d v="2014-04-30T00:00:00"/>
    <s v="EJECUTADO"/>
    <n v="86490"/>
    <n v="86490"/>
    <n v="0"/>
    <m/>
    <m/>
  </r>
  <r>
    <m/>
    <m/>
    <x v="1"/>
    <s v="MANTENIMIEMTO RUTINARIO VAL EN LOS CANTONES LOJA Y SARAGURO (CONTRATO SIE N° 822 SUSCRITO CON EL ING. MANUEL PICOITA), LONGITUD 200 KM; Resanteo de vía con motoniveladora en las vías de las parroquias Celén, Selva Alegre, Lluzhapa, Yuluc y Sumaipamba, cantón Saraguro"/>
    <s v="MANTENIMIEMTO RUTINARIO VAL EN LOS CANTONES LOJA Y SARAGURO (CONTRATO SIE N° 822 SUSCRITO CON EL ING. MANUEL PICOITA), LONGITUD 200 KM; Resanteo de vía con motoniveladora en las vías de las parroquias Celén, Selva Alegre, Lluzhapa, Yuluc y Sumaipamba, cantón Saraguro"/>
    <x v="3"/>
    <s v="SARAGURO"/>
    <s v="LLUZHAPA"/>
    <s v="CONTRATO"/>
    <s v="ING. MANUEL PICOITA"/>
    <x v="56"/>
    <x v="116"/>
    <n v="1258"/>
    <s v="Rasanteo y conformacion de cunetas con motoniveladora"/>
    <s v="m2"/>
    <n v="6.8093799999999996E-2"/>
    <n v="274850"/>
    <m/>
    <d v="2014-01-01T00:00:00"/>
    <d v="2014-03-31T00:00:00"/>
    <s v="EJECUTADO"/>
    <n v="18715.580000000002"/>
    <n v="18715.580000000002"/>
    <n v="0"/>
    <m/>
    <m/>
  </r>
  <r>
    <s v="19"/>
    <s v="EJECUTADO"/>
    <x v="2"/>
    <s v="TERMINACION PROYECTO VIAL VILCABAMBA-LINDEROS-MOYOCOCHA (OBRAS DE ARTE Y SEÑALIZACION, CONTRATISTA ING. MAXIMO CASTRO), fecha de suscripción contrato 5 de febrero del 2014, entrega el anticipo 7 de marzo del 2014 40 % del monto del contrato."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x v="1"/>
    <x v="0"/>
    <n v="0"/>
    <s v="Hormigon coclopeo F´c 180 Kg / cm 2( 60%)H. Simple"/>
    <s v="m3"/>
    <n v="135.74"/>
    <n v="2094.2800000000002"/>
    <m/>
    <d v="2014-03-01T00:00:00"/>
    <d v="2014-07-31T00:00:00"/>
    <s v="EJECUTADO"/>
    <n v="284277.57"/>
    <n v="88583.92"/>
    <n v="293540.47500000003"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x v="1"/>
    <x v="0"/>
    <n v="0"/>
    <s v="Hormigon simple F´c 180 Kg / cm 2"/>
    <s v="m3"/>
    <n v="174.39"/>
    <n v="1916.28"/>
    <m/>
    <d v="2014-03-01T00:00:00"/>
    <d v="2014-07-31T00:00:00"/>
    <s v="EJECUTADO"/>
    <n v="334180.07"/>
    <n v="252849.8"/>
    <n v="121995.40500000003"/>
    <m/>
    <m/>
  </r>
  <r>
    <m/>
    <m/>
    <x v="0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x v="1"/>
    <x v="0"/>
    <n v="0"/>
    <s v="Excavación para cunetas y encauzamiento a mano"/>
    <s v="m3"/>
    <n v="9.5"/>
    <n v="7489.95"/>
    <m/>
    <d v="2014-03-01T00:00:00"/>
    <d v="2014-07-31T00:00:00"/>
    <s v="EJECUTADO"/>
    <n v="71154.53"/>
    <n v="47158"/>
    <n v="35994.794999999998"/>
    <m/>
    <m/>
  </r>
  <r>
    <m/>
    <m/>
    <x v="0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x v="1"/>
    <x v="0"/>
    <n v="0"/>
    <s v="Excavación de suelo a mano cimientos de Piedra"/>
    <s v="m3"/>
    <n v="9.5"/>
    <n v="220.3"/>
    <m/>
    <d v="2014-03-01T00:00:00"/>
    <d v="2014-07-31T00:00:00"/>
    <s v="EJECUTADO"/>
    <n v="2092.85"/>
    <n v="1900"/>
    <n v="289.27499999999986"/>
    <m/>
    <m/>
  </r>
  <r>
    <m/>
    <m/>
    <x v="0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x v="1"/>
    <x v="0"/>
    <n v="0"/>
    <s v="Relleno compactado"/>
    <s v="m3"/>
    <n v="6.44"/>
    <n v="1549.04"/>
    <m/>
    <d v="2014-04-01T00:00:00"/>
    <d v="2014-05-31T00:00:00"/>
    <s v="EJECUTADO"/>
    <n v="9975.82"/>
    <n v="4474.25"/>
    <n v="8252.3549999999996"/>
    <m/>
    <m/>
  </r>
  <r>
    <m/>
    <m/>
    <x v="0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x v="1"/>
    <x v="0"/>
    <n v="0"/>
    <s v="Transporte de material mayor a 5 km"/>
    <s v="M3-KM"/>
    <n v="0.3"/>
    <n v="40912.31"/>
    <m/>
    <d v="2014-07-01T00:00:00"/>
    <d v="2014-07-31T00:00:00"/>
    <s v="EJECUTADO"/>
    <n v="12273.69"/>
    <n v="10545.77"/>
    <n v="2591.88"/>
    <m/>
    <m/>
  </r>
  <r>
    <m/>
    <m/>
    <x v="3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x v="1"/>
    <x v="0"/>
    <n v="0"/>
    <s v="Letrero de Señalización de 2,4 x 4,80 m"/>
    <s v="UNIDAD"/>
    <n v="913.74"/>
    <n v="2"/>
    <m/>
    <d v="2014-09-01T00:00:00"/>
    <d v="2014-09-30T00:00:00"/>
    <s v="EJECUTADO"/>
    <n v="1827.48"/>
    <n v="10545.77"/>
    <n v="-13077.435000000001"/>
    <m/>
    <m/>
  </r>
  <r>
    <m/>
    <m/>
    <x v="3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x v="1"/>
    <x v="0"/>
    <n v="0"/>
    <s v="Pintura de Pavimento ancho 10 cm"/>
    <s v="m2"/>
    <n v="0.53"/>
    <n v="37814.230000000003"/>
    <m/>
    <d v="2014-09-01T00:00:00"/>
    <s v="31/09/2014"/>
    <s v="EN EJECUCION"/>
    <n v="20041.54"/>
    <m/>
    <n v="30062.31"/>
    <m/>
    <m/>
  </r>
  <r>
    <m/>
    <m/>
    <x v="3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x v="1"/>
    <x v="0"/>
    <n v="0"/>
    <s v="Letrero de señalización de 0.75 X 0.75"/>
    <s v="UNIDAD"/>
    <n v="176.44"/>
    <n v="204"/>
    <m/>
    <d v="2014-04-01T00:00:00"/>
    <d v="2014-04-30T00:00:00"/>
    <s v="EJECUTADO"/>
    <n v="35993.760000000002"/>
    <n v="35993.760000000002"/>
    <n v="0"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x v="1"/>
    <x v="0"/>
    <n v="0"/>
    <s v="Acero refuerzo fy= 4200 kg/cm2 ( Suminostro y colocación )"/>
    <s v="kg"/>
    <n v="2.19"/>
    <n v="1002.5"/>
    <m/>
    <d v="2014-07-01T00:00:00"/>
    <d v="2014-07-31T00:00:00"/>
    <s v="EJECUTADO"/>
    <n v="2195.48"/>
    <m/>
    <n v="3293.2200000000003"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x v="1"/>
    <x v="0"/>
    <n v="0"/>
    <s v="Hormigón estructural"/>
    <s v="m3"/>
    <n v="194.99"/>
    <n v="24.47"/>
    <m/>
    <d v="2014-07-01T00:00:00"/>
    <d v="2014-07-31T00:00:00"/>
    <s v="EJECUTADO"/>
    <n v="4771.41"/>
    <n v="1827.48"/>
    <n v="4415.8949999999995"/>
    <m/>
    <m/>
  </r>
  <r>
    <m/>
    <m/>
    <x v="0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x v="1"/>
    <x v="0"/>
    <n v="0"/>
    <s v="Replanteo y Nivelación con aparatos ( Edificaciones) O.T. #2"/>
    <s v="m2"/>
    <n v="0.83"/>
    <n v="1122.57"/>
    <m/>
    <d v="2014-07-01T00:00:00"/>
    <d v="2014-07-31T00:00:00"/>
    <s v="EJECUTADO"/>
    <n v="931.73"/>
    <m/>
    <n v="1397.595"/>
    <m/>
    <m/>
  </r>
  <r>
    <m/>
    <m/>
    <x v="0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x v="1"/>
    <x v="0"/>
    <n v="0"/>
    <s v="Replanteo y Nivelación con aparatos ( Edificaciones) O.T. #1"/>
    <s v="m2"/>
    <n v="548.87"/>
    <n v="9.64"/>
    <m/>
    <d v="2014-07-01T00:00:00"/>
    <d v="2014-07-31T00:00:00"/>
    <s v="EJECUTADO"/>
    <n v="5291.11"/>
    <m/>
    <n v="7936.6649999999991"/>
    <m/>
    <m/>
  </r>
  <r>
    <m/>
    <m/>
    <x v="1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x v="1"/>
    <x v="0"/>
    <n v="0"/>
    <s v="Rosa a Mano"/>
    <s v="Ha"/>
    <n v="903"/>
    <n v="4.8600000000000003"/>
    <m/>
    <d v="2014-07-01T00:00:00"/>
    <d v="2014-07-31T00:00:00"/>
    <s v="EJECUTADO"/>
    <n v="4388.58"/>
    <m/>
    <n v="6582.87"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x v="1"/>
    <x v="0"/>
    <n v="0"/>
    <s v="Acero refuerzo fy= 4200 kg/cm2 ( Suminostro y colocación )"/>
    <s v="kg"/>
    <n v="2.23"/>
    <n v="3630.82"/>
    <m/>
    <d v="2014-07-01T00:00:00"/>
    <d v="2014-07-31T00:00:00"/>
    <s v="EJECUTADO"/>
    <n v="8096.73"/>
    <m/>
    <n v="12145.094999999999"/>
    <m/>
    <m/>
  </r>
  <r>
    <m/>
    <m/>
    <x v="1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x v="1"/>
    <x v="0"/>
    <n v="0"/>
    <s v="Excavación sin clasificar no incluye desalojo"/>
    <s v="m3"/>
    <n v="1.62"/>
    <n v="133.94999999999999"/>
    <m/>
    <d v="2014-03-01T00:00:00"/>
    <d v="2014-07-31T00:00:00"/>
    <s v="EJECUTADO"/>
    <n v="217"/>
    <n v="252849.8"/>
    <n v="-378949.2"/>
    <m/>
    <m/>
  </r>
  <r>
    <m/>
    <m/>
    <x v="0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x v="1"/>
    <x v="0"/>
    <n v="0"/>
    <s v="Relleno compactado con material de sitio"/>
    <s v="m3"/>
    <n v="8.11"/>
    <n v="44"/>
    <m/>
    <d v="2014-03-01T00:00:00"/>
    <d v="2014-07-31T00:00:00"/>
    <s v="EJECUTADO"/>
    <n v="356.84"/>
    <n v="252849.8"/>
    <n v="-378739.43999999994"/>
    <m/>
    <m/>
  </r>
  <r>
    <m/>
    <m/>
    <x v="0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x v="1"/>
    <x v="0"/>
    <n v="0"/>
    <s v="Relleno compactado con material granular"/>
    <s v="m3"/>
    <n v="9.9600000000000009"/>
    <n v="238.61"/>
    <m/>
    <d v="2014-03-01T00:00:00"/>
    <d v="2014-07-31T00:00:00"/>
    <s v="EJECUTADO"/>
    <n v="2376.56"/>
    <n v="252849.8"/>
    <n v="-375709.86"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x v="1"/>
    <x v="0"/>
    <n v="0"/>
    <s v="Hormigón Estructural f´c=210 kg/cm2 I/E"/>
    <s v="m3"/>
    <n v="198.68"/>
    <n v="43.41"/>
    <m/>
    <d v="2014-03-01T00:00:00"/>
    <d v="2014-07-31T00:00:00"/>
    <s v="EJECUTADO"/>
    <n v="8624.7000000000007"/>
    <n v="252849.8"/>
    <n v="-366337.64999999997"/>
    <m/>
    <m/>
  </r>
  <r>
    <m/>
    <m/>
    <x v="0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x v="1"/>
    <x v="0"/>
    <n v="0"/>
    <s v="Tubería PVC para machinales D=10 cm"/>
    <s v="ml"/>
    <n v="6.07"/>
    <n v="6"/>
    <m/>
    <d v="2014-09-01T00:00:00"/>
    <s v="31/09/2014"/>
    <s v="EN EJECUCION"/>
    <n v="36.42"/>
    <m/>
    <m/>
    <m/>
    <m/>
  </r>
  <r>
    <m/>
    <m/>
    <x v="0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x v="1"/>
    <x v="0"/>
    <n v="0"/>
    <s v="Transporte de cemento en camión"/>
    <s v="ton/km"/>
    <n v="0.23"/>
    <n v="656.36"/>
    <m/>
    <d v="2014-09-01T00:00:00"/>
    <s v="31/09/2014"/>
    <s v="EN EJECUCION"/>
    <n v="150.96"/>
    <m/>
    <m/>
    <m/>
    <m/>
  </r>
  <r>
    <m/>
    <m/>
    <x v="0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x v="1"/>
    <x v="0"/>
    <n v="0"/>
    <s v="Transporte de hierro en camión"/>
    <s v="ton/km"/>
    <n v="0.22"/>
    <n v="152.49"/>
    <m/>
    <d v="2014-09-01T00:00:00"/>
    <s v="31/09/2014"/>
    <s v="EN EJECUCION"/>
    <n v="33.549999999999997"/>
    <m/>
    <m/>
    <m/>
    <m/>
  </r>
  <r>
    <m/>
    <m/>
    <x v="1"/>
    <s v="MANTENIMIENTO DE LA VIA SELVA ALEGRE-LLUZHAPA-SUMAIPAMBA L= 40 km."/>
    <s v="MANTENIMIENTO DE LA VIA SELVA ALEGRE-LLUZHAPA-SUMAIPAMBA L= 40 km."/>
    <x v="3"/>
    <s v="SARAGURO"/>
    <s v="SARAGURO"/>
    <s v="AD. DIRECTA"/>
    <s v="VIALSUR"/>
    <x v="1"/>
    <x v="0"/>
    <n v="0"/>
    <s v="Limpieza de derrumbes"/>
    <s v="m3"/>
    <n v="1.46"/>
    <n v="9960"/>
    <m/>
    <d v="2014-03-01T00:00:00"/>
    <d v="2014-04-30T00:00:00"/>
    <s v="EJECUTADO"/>
    <n v="14541.6"/>
    <n v="10278.719999999999"/>
    <n v="6394.3200000000015"/>
    <m/>
    <m/>
  </r>
  <r>
    <m/>
    <m/>
    <x v="1"/>
    <m/>
    <s v="MANTENIMIENTO DE LA VIA SELVA ALEGRE-LLUZHAPA-SUMAIPAMBA L= 40 km."/>
    <x v="3"/>
    <s v="SARAGURO"/>
    <s v="SARAGURO"/>
    <s v="AD. DIRECTA"/>
    <s v="VIALSUR"/>
    <x v="1"/>
    <x v="0"/>
    <n v="0"/>
    <s v="Relleno con material granular"/>
    <s v="m3"/>
    <n v="9.9600000000000009"/>
    <n v="800"/>
    <m/>
    <d v="2014-03-01T00:00:00"/>
    <d v="2014-04-30T00:00:00"/>
    <s v="EJECUTADO"/>
    <n v="7968"/>
    <n v="6064"/>
    <n v="2856"/>
    <m/>
    <m/>
  </r>
  <r>
    <m/>
    <m/>
    <x v="1"/>
    <s v="MANTENIMIENTO DE LA VIA EL CISNE - GUALEL - CHUQUIRIBAMBA  L=22 km."/>
    <s v="MANTENIMIENTO DE LA VIA EL CISNE - GUALEL - CHUQUIRIBAMBA  L=22 km."/>
    <x v="3"/>
    <s v="LOJA"/>
    <s v="LOJA"/>
    <s v="AD. DIRECTA"/>
    <s v="VIALSUR"/>
    <x v="1"/>
    <x v="0"/>
    <n v="0"/>
    <s v="Limpieza de derrumbes"/>
    <s v="m3"/>
    <n v="1.46"/>
    <n v="14400"/>
    <m/>
    <d v="2014-03-01T00:00:00"/>
    <d v="2014-03-31T00:00:00"/>
    <s v="EJECUTADO"/>
    <n v="21024"/>
    <n v="14832"/>
    <n v="9288"/>
    <m/>
    <m/>
  </r>
  <r>
    <m/>
    <m/>
    <x v="1"/>
    <s v="MANTENIMIENTO DE LA VÍA EL CISNE - AMBOCAS L=24 km."/>
    <s v="MANTENIMIENTO DE LA VÍA EL CISNE - AMBOCAS L=24 km."/>
    <x v="3"/>
    <s v="LOJA"/>
    <s v="LOJA"/>
    <s v="AD. DIRECTA"/>
    <s v="VIALSUR"/>
    <x v="1"/>
    <x v="0"/>
    <n v="0"/>
    <s v="Limpieza de derrumbes"/>
    <s v="m3"/>
    <n v="1.46"/>
    <n v="5000"/>
    <m/>
    <d v="2014-03-01T00:00:00"/>
    <d v="2014-04-30T00:00:00"/>
    <s v="EJECUTADO"/>
    <n v="7300"/>
    <n v="5150"/>
    <n v="3225"/>
    <m/>
    <m/>
  </r>
  <r>
    <m/>
    <m/>
    <x v="1"/>
    <m/>
    <s v="MANTENIMIENTO DE LA VÍA EL CISNE - AMBOCAS L=24 km."/>
    <x v="3"/>
    <s v="LOJA"/>
    <s v="LOJA"/>
    <s v="AD. DIRECTA"/>
    <s v="VIALSUR"/>
    <x v="1"/>
    <x v="0"/>
    <n v="0"/>
    <s v="Relleno  Compactado"/>
    <s v="m3"/>
    <n v="8.11"/>
    <n v="540"/>
    <m/>
    <d v="2014-04-01T00:00:00"/>
    <d v="2014-04-30T00:00:00"/>
    <s v="EJECUTADO"/>
    <n v="4379.3999999999996"/>
    <n v="4093.2"/>
    <n v="429.29999999999973"/>
    <m/>
    <m/>
  </r>
  <r>
    <m/>
    <m/>
    <x v="1"/>
    <s v="MANTENIMIENTO DE VIAS DE PARROQUIA MALACATOS SAN FRANCISCO BAJO - SAN FRANCISCOALTO-BELEN "/>
    <s v="MANTENIMIENTO DE VIAS DE PARROQUIA MALACATOS SAN FRANCISCO BAJO - SAN FRANCISCOALTO-BELEN "/>
    <x v="3"/>
    <s v="LOJA"/>
    <s v="LOJA"/>
    <s v="AD. DIRECTA"/>
    <s v="VIALSUR"/>
    <x v="57"/>
    <x v="91"/>
    <n v="20662"/>
    <s v="Reconformación de la rasante"/>
    <s v="m2"/>
    <n v="0.35"/>
    <n v="52800"/>
    <m/>
    <d v="2014-03-01T00:00:00"/>
    <d v="2014-04-30T00:00:00"/>
    <s v="EJECUTADO"/>
    <n v="18480"/>
    <n v="13200"/>
    <n v="7920"/>
    <m/>
    <m/>
  </r>
  <r>
    <m/>
    <m/>
    <x v="0"/>
    <m/>
    <s v="MANTENIMIENTO DE VIAS DE PARROQUIA MALACATOS SAN FRANCISCO BAJO - SAN FRANCISCOALTO-BELEN "/>
    <x v="3"/>
    <s v="LOJA"/>
    <s v="LOJA"/>
    <s v="AD. DIRECTA"/>
    <s v="VIALSUR"/>
    <x v="1"/>
    <x v="117"/>
    <n v="0"/>
    <s v="Mejoramiento de la subrasante con suelo seleccionado"/>
    <s v="m3"/>
    <n v="5.92"/>
    <n v="3600"/>
    <m/>
    <d v="2014-03-01T00:00:00"/>
    <d v="2014-04-30T00:00:00"/>
    <s v="EJECUTADO"/>
    <n v="21312"/>
    <n v="18720"/>
    <n v="3888"/>
    <m/>
    <m/>
  </r>
  <r>
    <m/>
    <m/>
    <x v="0"/>
    <m/>
    <s v="MANTENIMIENTO DE VIAS DE PARROQUIA MALACATOS SAN FRANCISCO BAJO - SAN FRANCISCOALTO-BELEN "/>
    <x v="3"/>
    <s v="LOJA"/>
    <s v="LOJA"/>
    <s v="AD. DIRECTA"/>
    <s v="VIALSUR"/>
    <x v="1"/>
    <x v="0"/>
    <n v="0"/>
    <s v="Relleno con material granular"/>
    <s v="m3"/>
    <n v="9.9600000000000009"/>
    <n v="588"/>
    <m/>
    <d v="2014-03-01T00:00:00"/>
    <d v="2014-03-31T00:00:00"/>
    <s v="EJECUTADO"/>
    <n v="5856.48"/>
    <n v="4457.04"/>
    <n v="2099.1599999999994"/>
    <m/>
    <m/>
  </r>
  <r>
    <m/>
    <m/>
    <x v="0"/>
    <m/>
    <s v="MANTENIMIENTO DE VIAS DE PARROQUIA MALACATOS SAN FRANCISCO BAJO - SAN FRANCISCOALTO-BELEN "/>
    <x v="3"/>
    <s v="LOJA"/>
    <s v="LOJA"/>
    <s v="AD. DIRECTA"/>
    <s v="VIALSUR"/>
    <x v="1"/>
    <x v="0"/>
    <n v="0"/>
    <s v="Transporte de material de mejoramiento, distancia mayor a 5,00 Km"/>
    <s v="M3-KM"/>
    <n v="0.3"/>
    <n v="13432"/>
    <m/>
    <d v="2014-03-01T00:00:00"/>
    <d v="2014-04-30T00:00:00"/>
    <s v="EJECUTADO"/>
    <n v="4029.6"/>
    <n v="3223.68"/>
    <n v="1208.8800000000001"/>
    <m/>
    <m/>
  </r>
  <r>
    <m/>
    <m/>
    <x v="1"/>
    <s v="MANTENIMIENTO DE LA VIA VILLONACO-TAQUIL-CHANTACO-CHUQUIRIBAMBA  L=40 KM."/>
    <s v="MANTENIMIENTO DE LA VIA VILLONACO-TAQUIL-CHANTACO-CHUQUIRIBAMBA  L=40 KM."/>
    <x v="3"/>
    <s v="LOJA"/>
    <s v="TAQUIL"/>
    <s v="AD. DIRECTA"/>
    <s v="VIALSUR"/>
    <x v="58"/>
    <x v="118"/>
    <n v="2613"/>
    <s v="Reconformación de la rasante"/>
    <s v="m2"/>
    <n v="0.35"/>
    <n v="261800"/>
    <m/>
    <d v="2014-03-01T00:00:00"/>
    <d v="2014-06-30T00:00:00"/>
    <s v="EJECUTADO"/>
    <n v="91630"/>
    <n v="39002.5"/>
    <n v="78941.25"/>
    <m/>
    <m/>
  </r>
  <r>
    <m/>
    <m/>
    <x v="0"/>
    <m/>
    <s v="MANTENIMIENTO DE LA VIA VILLONACO-TAQUIL-CHANTACO-CHUQUIRIBAMBA  L=40 KM."/>
    <x v="3"/>
    <s v="LOJA"/>
    <s v="CHANTACO"/>
    <s v="AD. DIRECTA"/>
    <s v="VIALSUR"/>
    <x v="58"/>
    <x v="119"/>
    <n v="696"/>
    <s v="Mejoramiento de la subrasante con suelo seleccionado S/T h= 20 cm. Incluye explotada"/>
    <s v="m3"/>
    <n v="5.92"/>
    <n v="16356"/>
    <m/>
    <d v="2014-03-01T00:00:00"/>
    <d v="2014-06-30T00:00:00"/>
    <s v="EJECUTADO"/>
    <n v="96827.520000000004"/>
    <n v="43898.400000000001"/>
    <n v="79393.680000000008"/>
    <m/>
    <m/>
  </r>
  <r>
    <m/>
    <m/>
    <x v="0"/>
    <m/>
    <s v="MANTENIMIENTO DE LA VIA VILLONACO-TAQUIL-CHANTACO-CHUQUIRIBAMBA  L=40 KM."/>
    <x v="3"/>
    <s v="LOJA"/>
    <s v="CHUQUIRIBAMBA"/>
    <s v="AD. DIRECTA"/>
    <s v="VIALSUR"/>
    <x v="58"/>
    <x v="0"/>
    <n v="1446"/>
    <s v="Transporte de material de mejoramiento, distancia mayor a 5,00 Km"/>
    <s v="M3-KM"/>
    <n v="0.3"/>
    <n v="57760"/>
    <m/>
    <d v="2014-03-01T00:00:00"/>
    <d v="2014-06-30T00:00:00"/>
    <s v="EJECUTADO"/>
    <n v="17328"/>
    <n v="4564.32"/>
    <n v="19145.52"/>
    <m/>
    <m/>
  </r>
  <r>
    <m/>
    <m/>
    <x v="0"/>
    <m/>
    <s v="MANTENIMIENTO DE LA VIA VILLONACO-TAQUIL-CHANTACO-CHUQUIRIBAMBA  L=40 KM."/>
    <x v="3"/>
    <s v="LOJA"/>
    <s v="CHUQUIRIBAMBA"/>
    <s v="AD. DIRECTA"/>
    <s v="VIALSUR"/>
    <x v="1"/>
    <x v="0"/>
    <m/>
    <s v="Relleno con material granular"/>
    <s v="m3"/>
    <n v="9.9600000000000009"/>
    <n v="400"/>
    <m/>
    <d v="2014-04-01T00:00:00"/>
    <d v="2014-04-30T00:00:00"/>
    <s v="EJECUTADO"/>
    <n v="3984"/>
    <n v="3032"/>
    <n v="1428"/>
    <m/>
    <m/>
  </r>
  <r>
    <m/>
    <m/>
    <x v="6"/>
    <m/>
    <s v="MANTENIMIENTO DE LA VIA VILLONACO-TAQUIL-CHANTACO-CHUQUIRIBAMBA  L=40 KM."/>
    <x v="3"/>
    <s v="LOJA"/>
    <s v="CHUQUIRIBAMBA"/>
    <s v="AD. DIRECTA"/>
    <s v="VIALSUR"/>
    <x v="1"/>
    <x v="0"/>
    <m/>
    <s v="Alcantarilla de armico D=1.80, e= 2.5 mm"/>
    <s v="ml"/>
    <n v="561.85"/>
    <n v="15"/>
    <m/>
    <d v="2014-04-01T00:00:00"/>
    <d v="2014-04-30T00:00:00"/>
    <s v="EJECUTADO"/>
    <n v="8427.75"/>
    <n v="8427.75"/>
    <n v="0"/>
    <m/>
    <m/>
  </r>
  <r>
    <m/>
    <m/>
    <x v="0"/>
    <s v="REHABILITACION DE LA VIA LOS MANGOS - CHAQUIRCUÑA L = 7.5 KM"/>
    <s v="REHABILITACION DE LA VIA LOS MANGOS - CHAQUIRCUÑA L = 7.5 KM"/>
    <x v="3"/>
    <s v="LOJA"/>
    <s v="EL CISNE"/>
    <s v="AD. DIRECTA"/>
    <s v="VIALSUR"/>
    <x v="59"/>
    <x v="0"/>
    <n v="589"/>
    <s v="Enrocado de piedra diámetro mayor a 70 cm."/>
    <s v="m3"/>
    <n v="36.880000000000003"/>
    <n v="700"/>
    <m/>
    <d v="2014-04-01T00:00:00"/>
    <d v="2014-04-30T00:00:00"/>
    <s v="EJECUTADO"/>
    <n v="25816"/>
    <n v="25816"/>
    <n v="0"/>
    <m/>
    <m/>
  </r>
  <r>
    <m/>
    <m/>
    <x v="0"/>
    <m/>
    <s v="REHABILITACION DE LA VIA LOS MANGOS - CHAQUIRCUÑA L = 7.5 KM"/>
    <x v="3"/>
    <s v="LOJA"/>
    <s v="EL CISNE"/>
    <s v="AD. DIRECTA"/>
    <s v="VIALSUR"/>
    <x v="1"/>
    <x v="0"/>
    <n v="0"/>
    <s v="Relleno con material granular"/>
    <s v="m3"/>
    <n v="9.9600000000000009"/>
    <n v="3200"/>
    <m/>
    <d v="2014-04-01T00:00:00"/>
    <d v="2014-04-30T00:00:00"/>
    <s v="EJECUTADO"/>
    <n v="31872"/>
    <n v="24256"/>
    <n v="11424"/>
    <m/>
    <m/>
  </r>
  <r>
    <m/>
    <m/>
    <x v="1"/>
    <m/>
    <s v="REHABILITACION DE LA VIA LOS MANGOS - CHAQUIRCUÑA L = 7.5 KM"/>
    <x v="3"/>
    <s v="LOJA"/>
    <s v="EL CISNE"/>
    <s v="AD. DIRECTA"/>
    <s v="VIALSUR"/>
    <x v="1"/>
    <x v="0"/>
    <n v="0"/>
    <s v="Encauzamiento de río"/>
    <s v="m3"/>
    <n v="2.81"/>
    <n v="4000"/>
    <m/>
    <d v="2014-04-01T00:00:00"/>
    <d v="2014-04-30T00:00:00"/>
    <s v="EJECUTADO"/>
    <n v="11240"/>
    <n v="11240"/>
    <n v="0"/>
    <m/>
    <m/>
  </r>
  <r>
    <m/>
    <m/>
    <x v="1"/>
    <s v="MANTENIMIENTO DE LA VIA SOLAMAR - JIMBILLA L= 17.00 KM."/>
    <s v="MANTENIMIENTO DE LA VIA SOLAMAR - JIMBILLA L= 17.00 KM."/>
    <x v="3"/>
    <s v="LOJA"/>
    <s v="JIMBILLA"/>
    <s v="AD. DIRECTA"/>
    <s v="VIALSUR"/>
    <x v="17"/>
    <x v="0"/>
    <n v="539"/>
    <s v="Reconformación de la rasante"/>
    <s v="m2"/>
    <n v="0.35"/>
    <n v="20000"/>
    <m/>
    <d v="2014-01-05T00:00:00"/>
    <d v="2014-05-31T00:00:00"/>
    <s v="EJECUTADO"/>
    <n v="7000"/>
    <m/>
    <n v="10500"/>
    <m/>
    <m/>
  </r>
  <r>
    <m/>
    <m/>
    <x v="1"/>
    <m/>
    <s v="MANTENIMIENTO DE LA VIA SOLAMAR - JIMBILLA L= 17.00 KM."/>
    <x v="3"/>
    <s v="LOJA"/>
    <s v="JIMBILLA"/>
    <s v="AD. DIRECTA"/>
    <s v="VIALSUR"/>
    <x v="1"/>
    <x v="120"/>
    <n v="0"/>
    <s v="reconformación de la razante"/>
    <s v="m2"/>
    <n v="0.35"/>
    <n v="336"/>
    <m/>
    <d v="2014-04-01T00:00:00"/>
    <d v="2014-04-30T00:00:00"/>
    <s v="EJECUTADO"/>
    <n v="117.6"/>
    <m/>
    <n v="176.39999999999998"/>
    <m/>
    <m/>
  </r>
  <r>
    <m/>
    <m/>
    <x v="1"/>
    <s v="MANTENIMIENTO DEL CADE"/>
    <s v="MANTENIMIENTO DEL CADE"/>
    <x v="3"/>
    <s v="LOJA"/>
    <s v="LOJA"/>
    <s v="AD. DIRECTA"/>
    <s v="VIALSUR"/>
    <x v="1"/>
    <x v="0"/>
    <n v="0"/>
    <s v="Encauzamiento de río"/>
    <s v="m3"/>
    <n v="1.46"/>
    <n v="246"/>
    <m/>
    <d v="2014-04-01T00:00:00"/>
    <d v="2014-04-30T00:00:00"/>
    <s v="EJECUTADO"/>
    <n v="359.16"/>
    <m/>
    <n v="538.74"/>
    <m/>
    <m/>
  </r>
  <r>
    <m/>
    <m/>
    <x v="1"/>
    <s v="MANTENIMIENTO DE LA VIA SAUCES NORTE SOLAMAR - SAN LUCAS"/>
    <s v="MANTENIMIENTO DE LA VIA SAUCES NORTE SOLAMAR - SAN LUCAS"/>
    <x v="3"/>
    <s v="LOJA"/>
    <s v="SAN LUCAS"/>
    <s v="AD. DIRECTA"/>
    <s v="VIALSUR"/>
    <x v="60"/>
    <x v="121"/>
    <n v="288"/>
    <s v="reconformación de la razante"/>
    <s v="m2"/>
    <n v="0.35"/>
    <n v="40800"/>
    <m/>
    <d v="2014-06-01T00:00:00"/>
    <d v="2014-06-30T00:00:00"/>
    <s v="EJECUTADO"/>
    <n v="14280"/>
    <m/>
    <n v="21420"/>
    <m/>
    <m/>
  </r>
  <r>
    <m/>
    <m/>
    <x v="1"/>
    <m/>
    <s v="MANTENIMIENTO DE LA VIA SAUCES NORTE SOLAMAR - SAN LUCAS"/>
    <x v="3"/>
    <s v="LOJA"/>
    <s v="SAN LUCAS"/>
    <s v="AD. DIRECTA"/>
    <s v="VIALSUR"/>
    <x v="1"/>
    <x v="0"/>
    <n v="0"/>
    <s v="Desalojo de Material de escombros"/>
    <s v="m3"/>
    <n v="0.6"/>
    <n v="720"/>
    <m/>
    <d v="2014-06-01T00:00:00"/>
    <d v="2014-06-30T00:00:00"/>
    <s v="EJECUTADO"/>
    <n v="432"/>
    <m/>
    <n v="648"/>
    <m/>
    <m/>
  </r>
  <r>
    <m/>
    <m/>
    <x v="0"/>
    <m/>
    <s v="MANTENIMIENTO DE LA VIA SAUCES NORTE SOLAMAR - SAN LUCAS"/>
    <x v="3"/>
    <s v="LOJA"/>
    <s v="SAN LUCAS"/>
    <s v="AD. DIRECTA"/>
    <s v="VIALSUR"/>
    <x v="1"/>
    <x v="0"/>
    <n v="0"/>
    <s v="Excavación en plataforma suelo rocoso a máquina desalojo hasta 50 m(Variante)"/>
    <s v="m3"/>
    <n v="7.97"/>
    <n v="900"/>
    <m/>
    <d v="2014-06-01T00:00:00"/>
    <d v="2014-06-30T00:00:00"/>
    <s v="EJECUTADO"/>
    <n v="7173"/>
    <m/>
    <n v="10759.5"/>
    <m/>
    <m/>
  </r>
  <r>
    <m/>
    <m/>
    <x v="1"/>
    <s v="ENCAUSAMIENTO DE QUEBRADA PICUMINE (BARRIO TUMIANUMA)"/>
    <s v="ENCAUSAMIENTO DE QUEBRADA PICUMINE (BARRIO TUMIANUMA)"/>
    <x v="3"/>
    <s v="LOJA"/>
    <s v="LOJA"/>
    <s v="AD. DIRECTA"/>
    <s v="VIALSUR"/>
    <x v="1"/>
    <x v="0"/>
    <n v="0"/>
    <s v="Encauzamiento de río"/>
    <s v="m3"/>
    <n v="2.81"/>
    <n v="7200"/>
    <m/>
    <d v="2014-06-01T00:00:00"/>
    <d v="2014-06-30T00:00:00"/>
    <s v="EJECUTADO"/>
    <n v="20232"/>
    <m/>
    <n v="30348"/>
    <m/>
    <m/>
  </r>
  <r>
    <s v="20"/>
    <s v="EJECUTADO"/>
    <x v="1"/>
    <s v="MANTENIMIENTO DE LA VIA SELVA ALEGRE - TENTA"/>
    <s v="MANTENIMIENTO DE LA VIA SELVA ALEGRE - TENTA"/>
    <x v="3"/>
    <s v="SARAGURO"/>
    <s v="SANPABLODETENTA"/>
    <s v="AD. DIRECTA"/>
    <s v="VIALSUR"/>
    <x v="1"/>
    <x v="0"/>
    <n v="0"/>
    <s v="reconformación de la razante"/>
    <s v="m2"/>
    <n v="0.35"/>
    <n v="48000"/>
    <m/>
    <d v="2014-07-01T00:00:00"/>
    <d v="2014-07-31T00:00:00"/>
    <s v="EJECUTADO"/>
    <n v="16800"/>
    <m/>
    <n v="25200"/>
    <m/>
    <m/>
  </r>
  <r>
    <m/>
    <m/>
    <x v="1"/>
    <m/>
    <s v="MANTENIMIENTO DE LA VIA SELVA ALEGRE - TENTA"/>
    <x v="3"/>
    <s v="SARAGURO"/>
    <s v="SANPABLODETENTA"/>
    <s v="AD. DIRECTA"/>
    <s v="VIALSUR"/>
    <x v="1"/>
    <x v="0"/>
    <n v="0"/>
    <s v="Desalojo de Material de escombros"/>
    <s v="m3"/>
    <n v="0.6"/>
    <n v="2000"/>
    <m/>
    <d v="2014-07-01T00:00:00"/>
    <d v="2014-07-31T00:00:00"/>
    <s v="EJECUTADO"/>
    <n v="1200"/>
    <m/>
    <n v="1800"/>
    <m/>
    <m/>
  </r>
  <r>
    <m/>
    <m/>
    <x v="0"/>
    <m/>
    <s v="MANTENIMIENTO DE LA VIA SELVA ALEGRE - TENTA"/>
    <x v="3"/>
    <s v="SARAGURO"/>
    <s v="SANPABLODETENTA"/>
    <s v="AD. DIRECTA"/>
    <s v="VIALSUR"/>
    <x v="1"/>
    <x v="0"/>
    <n v="0"/>
    <s v="Mejoramiento de la subrasante con suelo seleccionado s/t h=20 cm incluye explotada"/>
    <s v="m3"/>
    <n v="5.92"/>
    <n v="1899"/>
    <m/>
    <d v="2014-07-01T00:00:00"/>
    <d v="2014-07-31T00:00:00"/>
    <s v="EJECUTADO"/>
    <n v="11242.08"/>
    <m/>
    <n v="16863.12"/>
    <m/>
    <m/>
  </r>
  <r>
    <m/>
    <m/>
    <x v="0"/>
    <m/>
    <s v="MANTENIMIENTO DE LA VIA SELVA ALEGRE - TENTA"/>
    <x v="3"/>
    <s v="SARAGURO"/>
    <s v="SANPABLODETENTA"/>
    <s v="AD. DIRECTA"/>
    <s v="VIALSUR"/>
    <x v="1"/>
    <x v="0"/>
    <n v="0"/>
    <s v="Transporte de mateial mayor a 5 km"/>
    <s v="M3-KM"/>
    <n v="0.3"/>
    <n v="27535"/>
    <m/>
    <d v="2014-07-01T00:00:00"/>
    <d v="2014-07-31T00:00:00"/>
    <s v="EJECUTADO"/>
    <n v="8260.5"/>
    <m/>
    <n v="12390.75"/>
    <m/>
    <m/>
  </r>
  <r>
    <s v="20"/>
    <s v="EJECUTADO"/>
    <x v="1"/>
    <s v="MANTENIMIENTO DE LA VIA TENTA - SELVA ALEGRE"/>
    <s v="MANTENIMIENTO DE LA VIA TENTA - SELVA ALEGRE"/>
    <x v="3"/>
    <s v="SARAGURO"/>
    <s v="SELVAALEGRE"/>
    <s v="AD. DIRECTA"/>
    <s v="VIALSUR"/>
    <x v="1"/>
    <x v="0"/>
    <n v="0"/>
    <s v="reconformación de la razante"/>
    <s v="m2"/>
    <n v="0.35"/>
    <n v="114000"/>
    <m/>
    <d v="2014-09-01T00:00:00"/>
    <d v="2014-09-30T00:00:00"/>
    <s v="EJECUTADO"/>
    <n v="39900"/>
    <m/>
    <n v="59850"/>
    <m/>
    <m/>
  </r>
  <r>
    <m/>
    <m/>
    <x v="1"/>
    <m/>
    <s v="MANTENIMIENTO DE LA VIA TENTA - SELVA ALEGRE"/>
    <x v="3"/>
    <s v="SARAGURO"/>
    <s v="SELVAALEGRE"/>
    <s v="AD. DIRECTA"/>
    <s v="VIALSUR"/>
    <x v="1"/>
    <x v="0"/>
    <n v="0"/>
    <s v="Desalojo de Material de escombros"/>
    <s v="m3"/>
    <n v="0.6"/>
    <n v="1902"/>
    <m/>
    <d v="2014-09-01T00:00:00"/>
    <d v="2014-09-30T00:00:00"/>
    <s v="EJECUTADO"/>
    <n v="1141.2"/>
    <m/>
    <n v="1711.8000000000002"/>
    <m/>
    <m/>
  </r>
  <r>
    <m/>
    <m/>
    <x v="0"/>
    <m/>
    <s v="MANTENIMIENTO DE LA VIA TENTA - SELVA ALEGRE"/>
    <x v="3"/>
    <s v="SARAGURO"/>
    <s v="SELVAALEGRE"/>
    <s v="AD. DIRECTA"/>
    <s v="VIALSUR"/>
    <x v="1"/>
    <x v="0"/>
    <n v="0"/>
    <s v="Mejoramiento de la subrasante con suelo seleccionado s/t h=20 cm incluye explotada"/>
    <s v="m3"/>
    <n v="5.92"/>
    <n v="2100"/>
    <m/>
    <d v="2014-09-01T00:00:00"/>
    <d v="2014-09-30T00:00:00"/>
    <s v="EJECUTADO"/>
    <n v="12432"/>
    <m/>
    <n v="18648"/>
    <m/>
    <m/>
  </r>
  <r>
    <m/>
    <m/>
    <x v="0"/>
    <m/>
    <s v="MANTENIMIENTO DE LA VIA TENTA - SELVA ALEGRE"/>
    <x v="3"/>
    <s v="SARAGURO"/>
    <s v="SELVAALEGRE"/>
    <s v="AD. DIRECTA"/>
    <s v="VIALSUR"/>
    <x v="1"/>
    <x v="0"/>
    <n v="0"/>
    <s v="Transporte de mateial mayor a 5 km"/>
    <s v="M3-KM"/>
    <n v="0.3"/>
    <n v="33600"/>
    <m/>
    <d v="2014-09-01T00:00:00"/>
    <d v="2014-09-30T00:00:00"/>
    <s v="EJECUTADO"/>
    <n v="10080"/>
    <m/>
    <n v="15120"/>
    <m/>
    <m/>
  </r>
  <r>
    <m/>
    <m/>
    <x v="1"/>
    <s v="MANTENIMIENTO DE LA VÍA EL CISNE - AMBOCAS L=24 km."/>
    <s v="MANTENIMIENTO DE LA VÍA EL CISNE - AMBOCAS L=24 km."/>
    <x v="3"/>
    <s v="LOJA"/>
    <s v="EL CISNE"/>
    <s v="AD. DIRECTA"/>
    <s v="VIALSUR"/>
    <x v="1"/>
    <x v="0"/>
    <n v="0"/>
    <s v="Rasanteo de la via"/>
    <s v="m2"/>
    <n v="6.8093799999999996E-2"/>
    <n v="42000"/>
    <m/>
    <d v="2014-09-01T00:00:00"/>
    <d v="2014-09-30T00:00:00"/>
    <s v="EJECUTADO"/>
    <n v="2859.94"/>
    <m/>
    <n v="4289.91"/>
    <m/>
    <m/>
  </r>
  <r>
    <m/>
    <m/>
    <x v="1"/>
    <m/>
    <s v="MANTENIMIENTO DE LA VÍA EL CISNE - AMBOCAS L=24 km."/>
    <x v="3"/>
    <s v="LOJA"/>
    <s v="EL CISNE"/>
    <s v="AD. DIRECTA"/>
    <s v="VIALSUR"/>
    <x v="1"/>
    <x v="0"/>
    <n v="0"/>
    <s v="Reconformación de la vía con tractor, corrección de pendiente y rasanteo de la calzada"/>
    <s v="m2"/>
    <n v="0.12"/>
    <n v="6000"/>
    <m/>
    <d v="2014-09-01T00:00:00"/>
    <d v="2014-09-30T00:00:00"/>
    <s v="EJECUTADO"/>
    <n v="720"/>
    <m/>
    <n v="1080"/>
    <m/>
    <m/>
  </r>
  <r>
    <m/>
    <m/>
    <x v="1"/>
    <s v="RESANTEO DE LA VIA TUMIANUMA QUINARA"/>
    <s v="RESANTEO DE LA VIA TUMIANUMA QUINARA"/>
    <x v="3"/>
    <s v="LOJA"/>
    <s v="QUINARA"/>
    <s v="AD. DIRECTA"/>
    <s v="VIALSUR"/>
    <x v="1"/>
    <x v="0"/>
    <n v="0"/>
    <s v="Rasanteo de la via"/>
    <s v="m2"/>
    <n v="6.8093799999999996E-2"/>
    <n v="42000"/>
    <m/>
    <d v="2014-09-01T00:00:00"/>
    <d v="2014-09-30T00:00:00"/>
    <s v="EJECUTADO"/>
    <n v="2859.94"/>
    <n v="889.92"/>
    <n v="2955.0299999999997"/>
    <m/>
    <m/>
  </r>
  <r>
    <s v="21"/>
    <s v="EJECUTADO"/>
    <x v="1"/>
    <s v="ADECUACION DEL COLEGIO LA SALLE"/>
    <s v="ADECUACION DEL COLEGIO LA SALLE"/>
    <x v="3"/>
    <s v="LOJA"/>
    <s v="LOJA"/>
    <s v="AD. DIRECTA"/>
    <s v="VIALSUR"/>
    <x v="1"/>
    <x v="0"/>
    <n v="0"/>
    <s v="Rasanteo de la via"/>
    <s v="m2"/>
    <n v="6.8093799999999996E-2"/>
    <n v="8000"/>
    <m/>
    <d v="2014-09-01T00:00:00"/>
    <d v="2014-09-30T00:00:00"/>
    <s v="EJECUTADO"/>
    <n v="544.75"/>
    <m/>
    <n v="817.125"/>
    <m/>
    <m/>
  </r>
  <r>
    <m/>
    <m/>
    <x v="1"/>
    <m/>
    <s v="ADECUACION DEL COLEGIO LA SALLE"/>
    <x v="3"/>
    <s v="LOJA"/>
    <s v="LOJA"/>
    <s v="AD. DIRECTA"/>
    <s v="VIALSUR"/>
    <x v="1"/>
    <x v="0"/>
    <n v="0"/>
    <s v="Desalojo de Material de escombros"/>
    <s v="m3"/>
    <n v="0.6"/>
    <n v="600"/>
    <m/>
    <d v="2014-09-01T00:00:00"/>
    <d v="2014-09-30T00:00:00"/>
    <s v="EJECUTADO"/>
    <n v="360"/>
    <m/>
    <n v="540"/>
    <m/>
    <m/>
  </r>
  <r>
    <m/>
    <m/>
    <x v="0"/>
    <m/>
    <s v="ADECUACION DEL COLEGIO LA SALLE"/>
    <x v="3"/>
    <s v="LOJA"/>
    <s v="LOJA"/>
    <s v="AD. DIRECTA"/>
    <s v="VIALSUR"/>
    <x v="1"/>
    <x v="0"/>
    <n v="0"/>
    <s v="Transporte de mateial mayor a 5 km"/>
    <s v="M3-KM"/>
    <n v="0.3"/>
    <n v="4800"/>
    <m/>
    <d v="2014-09-01T00:00:00"/>
    <d v="2014-09-30T00:00:00"/>
    <s v="EJECUTADO"/>
    <n v="1440"/>
    <m/>
    <n v="2160"/>
    <m/>
    <m/>
  </r>
  <r>
    <m/>
    <m/>
    <x v="1"/>
    <s v="VIA JIMBILLA LA CHONTA"/>
    <s v="VIA JIMBILLA LA CHONTA"/>
    <x v="3"/>
    <s v="LOJA"/>
    <s v="JIMBILLA"/>
    <s v="AD. DIRECTA"/>
    <s v="VIALSUR"/>
    <x v="1"/>
    <x v="0"/>
    <n v="0"/>
    <s v="Rasanteo de la via CON TRACTOR"/>
    <s v="m2"/>
    <n v="0.12"/>
    <n v="78000"/>
    <m/>
    <d v="2014-07-01T00:00:00"/>
    <d v="2014-07-31T00:00:00"/>
    <s v="EJECUTADO"/>
    <n v="9360"/>
    <m/>
    <n v="14040"/>
    <m/>
    <m/>
  </r>
  <r>
    <m/>
    <m/>
    <x v="1"/>
    <m/>
    <s v="VIA JIMBILLA LA CHONTA"/>
    <x v="3"/>
    <s v="LOJA"/>
    <s v="JIMBILLA"/>
    <s v="AD. DIRECTA"/>
    <s v="VIALSUR"/>
    <x v="1"/>
    <x v="0"/>
    <n v="0"/>
    <s v="Limpieza de derrumbes"/>
    <s v="m3"/>
    <n v="1.46"/>
    <n v="23000"/>
    <m/>
    <d v="2014-07-01T00:00:00"/>
    <d v="2014-07-31T00:00:00"/>
    <s v="EJECUTADO"/>
    <n v="33580"/>
    <m/>
    <n v="50370"/>
    <m/>
    <m/>
  </r>
  <r>
    <s v="19"/>
    <s v="EN EJECUCION"/>
    <x v="0"/>
    <s v="MEJORAMIENTO A NIVEL DE DOBLE TRATAMIENTO SUPERFICIAL BITUMINOSO DE LA VIA SARAGURO TENTA L= 6.17 KM.ABSC (4+044.69 - 10+210.55) CONVENIO NRO.120 - DPS -2013 GPL - VIALSUR.EP"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61"/>
    <x v="0"/>
    <n v="17667"/>
    <s v="REPLANTEO Y NIVELACION CON APARATOS (VIAS)"/>
    <s v="Km"/>
    <n v="705.7"/>
    <n v="4.5599999999999996"/>
    <m/>
    <d v="2013-10-01T00:00:00"/>
    <d v="2014-01-31T00:00:00"/>
    <s v="EJECUTADO"/>
    <n v="3217.99"/>
    <n v="3217.99"/>
    <n v="0"/>
    <m/>
    <m/>
  </r>
  <r>
    <m/>
    <m/>
    <x v="1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ROZA A MANO"/>
    <s v="Ha"/>
    <n v="1744.8"/>
    <n v="1.73"/>
    <m/>
    <d v="2013-10-01T00:00:00"/>
    <d v="2014-01-31T00:00:00"/>
    <s v="EJECUTADO"/>
    <n v="3018.5"/>
    <n v="3018.5"/>
    <n v="0"/>
    <m/>
    <m/>
  </r>
  <r>
    <m/>
    <m/>
    <x v="0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REMOCIÓN DE ALCANTARILLAS DE TUBO (INCLUYE DESALOJO)"/>
    <s v="M"/>
    <n v="6.86"/>
    <n v="25"/>
    <m/>
    <d v="2013-10-01T00:00:00"/>
    <d v="2014-01-31T00:00:00"/>
    <s v="EJECUTADO"/>
    <n v="171.5"/>
    <n v="171.5"/>
    <n v="0"/>
    <m/>
    <m/>
  </r>
  <r>
    <m/>
    <m/>
    <x v="0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REMOCION DE HORMIGON"/>
    <s v="m³"/>
    <n v="41.84"/>
    <n v="2.2200000000000002"/>
    <m/>
    <d v="2013-10-01T00:00:00"/>
    <d v="2014-01-31T00:00:00"/>
    <s v="EJECUTADO"/>
    <n v="92.88"/>
    <n v="92.88"/>
    <n v="0"/>
    <m/>
    <m/>
  </r>
  <r>
    <m/>
    <m/>
    <x v="0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EXCAVACION EN PLATAFORMA SUELO SIN CLASIFICAR, A MAQUINA"/>
    <s v="m³"/>
    <n v="1.58"/>
    <n v="34437.360000000001"/>
    <m/>
    <d v="2013-10-01T00:00:00"/>
    <d v="2014-05-31T00:00:00"/>
    <s v="EJECUTADO"/>
    <n v="54411.03"/>
    <n v="54411.03"/>
    <n v="0"/>
    <m/>
    <m/>
  </r>
  <r>
    <m/>
    <m/>
    <x v="0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EXCAVACION EN ROCA"/>
    <s v="m³"/>
    <n v="6.78"/>
    <n v="7667.69"/>
    <m/>
    <d v="2013-10-01T00:00:00"/>
    <d v="2014-05-31T00:00:00"/>
    <s v="EJECUTADO"/>
    <n v="51986.94"/>
    <n v="51986.94"/>
    <n v="0"/>
    <m/>
    <m/>
  </r>
  <r>
    <m/>
    <m/>
    <x v="1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122"/>
    <n v="0"/>
    <s v="Reconformación de la rasante"/>
    <s v="M²"/>
    <n v="0.35"/>
    <n v="22084.34"/>
    <m/>
    <d v="2013-10-01T00:00:00"/>
    <d v="2014-04-30T00:00:00"/>
    <s v="EJECUTADO"/>
    <n v="7729.52"/>
    <n v="7729.52"/>
    <n v="0"/>
    <m/>
    <m/>
  </r>
  <r>
    <m/>
    <m/>
    <x v="1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LIMPIEZA DE DERRUMBES"/>
    <s v="M²"/>
    <n v="1.46"/>
    <n v="1425.55"/>
    <m/>
    <d v="2014-03-01T00:00:00"/>
    <d v="2014-04-30T00:00:00"/>
    <s v="EJECUTADO"/>
    <n v="2081.3000000000002"/>
    <n v="2067.0500000000002"/>
    <n v="21.375"/>
    <m/>
    <m/>
  </r>
  <r>
    <m/>
    <m/>
    <x v="0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TRAN. MAT. PETREOS, BASE, SUB-BASE, MAT. TRITU, DE PRÉSTAMO Y OTROS D/L=0.5Km"/>
    <s v="M³-Km"/>
    <n v="0.3"/>
    <n v="95128.94"/>
    <m/>
    <d v="2013-10-01T00:00:00"/>
    <d v="2014-04-30T00:00:00"/>
    <s v="EJECUTADO"/>
    <n v="28538.68"/>
    <n v="28538.68"/>
    <n v="0"/>
    <m/>
    <m/>
  </r>
  <r>
    <m/>
    <m/>
    <x v="0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ESTABILIZACIÓN DE TALUDES MEDIANTE LA CONFORMACIÓN DE TERRAZAS"/>
    <s v="m³"/>
    <n v="1.1599999999999999"/>
    <n v="1020"/>
    <m/>
    <d v="2013-10-01T00:00:00"/>
    <d v="2014-01-31T00:00:00"/>
    <s v="EJECUTADO"/>
    <n v="1183.2"/>
    <n v="1183.2"/>
    <n v="0"/>
    <m/>
    <m/>
  </r>
  <r>
    <m/>
    <m/>
    <x v="0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TRAN. MAT. PETREOS, BASE, SUB-BASE, MAT. TRITU, DE PRÉSTAMO Y OTROS, D/L=0.5Km"/>
    <s v="M³-Km"/>
    <n v="0.3"/>
    <n v="479222.49"/>
    <m/>
    <d v="2013-10-01T00:00:00"/>
    <d v="2014-04-30T00:00:00"/>
    <s v="EJECUTADO"/>
    <n v="143766.75"/>
    <n v="64856.33"/>
    <n v="118365.62999999999"/>
    <m/>
    <m/>
  </r>
  <r>
    <m/>
    <m/>
    <x v="0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123"/>
    <n v="0"/>
    <s v="Mejoramiento de la subrasante con suelo seleccionado"/>
    <s v="m³"/>
    <n v="5.88"/>
    <n v="12144.09"/>
    <m/>
    <d v="2013-10-01T00:00:00"/>
    <d v="2014-04-30T00:00:00"/>
    <s v="EJECUTADO"/>
    <n v="71407.25"/>
    <n v="55996.95"/>
    <n v="23115.450000000004"/>
    <m/>
    <m/>
  </r>
  <r>
    <m/>
    <m/>
    <x v="0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SUBBASE CLASE 2"/>
    <s v="m³"/>
    <n v="9.32"/>
    <n v="3525"/>
    <m/>
    <d v="2013-10-01T00:00:00"/>
    <d v="2014-04-30T00:00:00"/>
    <s v="EJECUTADO"/>
    <n v="32853"/>
    <n v="32853"/>
    <n v="0"/>
    <m/>
    <m/>
  </r>
  <r>
    <m/>
    <m/>
    <x v="0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BASE CLASE 2"/>
    <s v="m³"/>
    <n v="19.100000000000001"/>
    <n v="10281.160000000002"/>
    <m/>
    <d v="2014-12-01T00:00:00"/>
    <d v="2014-12-30T00:00:00"/>
    <s v="EJECUTADO"/>
    <n v="196370.16"/>
    <n v="23404.38"/>
    <m/>
    <m/>
    <m/>
  </r>
  <r>
    <m/>
    <m/>
    <x v="4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Doble tratamiento superficial bituminoso"/>
    <s v="m2"/>
    <n v="3.47"/>
    <n v="44424"/>
    <m/>
    <d v="2014-12-01T00:00:00"/>
    <d v="2014-12-30T00:00:00"/>
    <s v="EJECUTADO"/>
    <n v="154151.28"/>
    <n v="23404.38"/>
    <m/>
    <m/>
    <m/>
  </r>
  <r>
    <m/>
    <m/>
    <x v="4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Asfalto para riego de imprimación"/>
    <s v="Lit."/>
    <n v="0.97"/>
    <n v="48866.400000000001"/>
    <m/>
    <d v="2014-12-01T00:00:00"/>
    <d v="2014-12-30T00:00:00"/>
    <s v="EJECUTADO"/>
    <n v="47400.41"/>
    <n v="23404.38"/>
    <m/>
    <m/>
    <m/>
  </r>
  <r>
    <m/>
    <m/>
    <x v="3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SEÑALIZACION Y OBRAS DE ARTE"/>
    <s v="GBL"/>
    <n v="1"/>
    <n v="152708.09727999999"/>
    <m/>
    <d v="2014-12-01T00:00:00"/>
    <d v="2014-12-30T00:00:00"/>
    <s v="EJECUTADO"/>
    <n v="152708.1"/>
    <n v="23404.38"/>
    <m/>
    <m/>
    <m/>
  </r>
  <r>
    <m/>
    <m/>
    <x v="2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Hormigon simple F´c 180 Kg / cm 2"/>
    <s v="m3"/>
    <n v="178.13"/>
    <n v="1500.5440000000001"/>
    <m/>
    <d v="2014-12-01T00:00:00"/>
    <d v="2014-12-30T00:00:00"/>
    <s v="EJECUTADO"/>
    <n v="267291.90000000002"/>
    <n v="23404.38"/>
    <m/>
    <m/>
    <m/>
  </r>
  <r>
    <m/>
    <m/>
    <x v="1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LIMPIEZA DE ALCANTARILLA"/>
    <s v="m³"/>
    <n v="10.87"/>
    <n v="36.85"/>
    <m/>
    <d v="2013-10-01T00:00:00"/>
    <d v="2014-03-31T00:00:00"/>
    <s v="EJECUTADO"/>
    <n v="400.56"/>
    <n v="400.56"/>
    <n v="0"/>
    <m/>
    <m/>
  </r>
  <r>
    <m/>
    <m/>
    <x v="0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EXCAVACIÓN DE ZANJAS A MÁQUINA EN SUELO SIN CLASIFICAR"/>
    <s v="m³"/>
    <n v="1.57"/>
    <n v="486.62"/>
    <m/>
    <d v="2013-10-01T00:00:00"/>
    <d v="2014-04-30T00:00:00"/>
    <s v="EJECUTADO"/>
    <n v="763.99"/>
    <n v="763.99"/>
    <n v="0"/>
    <m/>
    <m/>
  </r>
  <r>
    <m/>
    <m/>
    <x v="0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EXCAVACIÓN PARA CUNETAS Y ENCAUZAMIENTOS, A MÁQUINA D/L=200M"/>
    <s v="m³"/>
    <n v="1.73"/>
    <n v="432"/>
    <m/>
    <d v="2013-10-01T00:00:00"/>
    <d v="2014-04-30T00:00:00"/>
    <s v="EJECUTADO"/>
    <n v="747.36"/>
    <n v="747.36"/>
    <n v="0"/>
    <m/>
    <m/>
  </r>
  <r>
    <m/>
    <m/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ALCANTARILLA METALICA GALVANZADA CORRUGADA PP-68 D=1.20 e= 2MM"/>
    <s v="ml"/>
    <n v="208.57"/>
    <n v="33.36"/>
    <m/>
    <d v="2013-04-01T00:00:00"/>
    <d v="2014-04-30T00:00:00"/>
    <s v="EJECUTADO"/>
    <n v="6957.9"/>
    <n v="6892.84"/>
    <n v="97.589999999999236"/>
    <m/>
    <m/>
  </r>
  <r>
    <m/>
    <m/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TUBERÍA CORRUGADA Y PERFORADA PARA SUBDRENES PVC D=200 MM"/>
    <s v="M"/>
    <n v="19.16"/>
    <n v="279.12"/>
    <m/>
    <d v="2013-10-01T00:00:00"/>
    <d v="2014-04-30T00:00:00"/>
    <s v="EJECUTADO"/>
    <n v="5347.94"/>
    <n v="5347.94"/>
    <n v="0"/>
    <m/>
    <m/>
  </r>
  <r>
    <m/>
    <m/>
    <x v="0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MEMBRANA DE FIBRA SINTETICA NT-1600"/>
    <s v="M²"/>
    <n v="1.91"/>
    <n v="1116.48"/>
    <m/>
    <d v="2013-10-01T00:00:00"/>
    <d v="2014-04-30T00:00:00"/>
    <s v="EJECUTADO"/>
    <n v="2132.48"/>
    <n v="2132.48"/>
    <n v="0"/>
    <m/>
    <m/>
  </r>
  <r>
    <m/>
    <m/>
    <x v="0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MATERIAL FILTRANTE PARA SUB-DREN S/T"/>
    <s v="m³"/>
    <n v="8.1999999999999993"/>
    <n v="325"/>
    <m/>
    <d v="2013-10-01T00:00:00"/>
    <d v="2014-04-30T00:00:00"/>
    <s v="EJECUTADO"/>
    <n v="2665"/>
    <n v="2665"/>
    <n v="0"/>
    <m/>
    <m/>
  </r>
  <r>
    <m/>
    <m/>
    <x v="0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TRAN. MAT. PETREOS, BASE, SUB-BASE, MAT. TRITU, DE PRÉSTAMO Y OTROS, D/L=0.5Km"/>
    <s v="M³-Km"/>
    <n v="0.3"/>
    <n v="22750"/>
    <m/>
    <d v="2013-10-01T00:00:00"/>
    <d v="2014-04-30T00:00:00"/>
    <s v="EJECUTADO"/>
    <n v="6825"/>
    <n v="6825"/>
    <n v="0"/>
    <m/>
    <m/>
  </r>
  <r>
    <m/>
    <m/>
    <x v="1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TRAMPA PARA GRASAS Y ACEITES"/>
    <s v="U"/>
    <n v="1040.57"/>
    <n v="1"/>
    <m/>
    <d v="2013-10-01T00:00:00"/>
    <d v="2014-01-31T00:00:00"/>
    <s v="EJECUTADO"/>
    <n v="1040.57"/>
    <n v="1040.57"/>
    <n v="0"/>
    <m/>
    <m/>
  </r>
  <r>
    <m/>
    <m/>
    <x v="1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LETRINA SANITARIA SIN ARRASTRE DE AGUA"/>
    <s v="U"/>
    <n v="664.56"/>
    <n v="2"/>
    <m/>
    <d v="2013-10-01T00:00:00"/>
    <d v="2014-01-31T00:00:00"/>
    <s v="EJECUTADO"/>
    <n v="1329.12"/>
    <n v="1329.12"/>
    <n v="0"/>
    <m/>
    <m/>
  </r>
  <r>
    <m/>
    <m/>
    <x v="1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ESCOMBRERAS"/>
    <s v="m³"/>
    <n v="0.42"/>
    <n v="38791.11"/>
    <m/>
    <d v="2013-10-01T00:00:00"/>
    <d v="2014-04-30T00:00:00"/>
    <s v="EJECUTADO"/>
    <n v="16292.27"/>
    <n v="16292.27"/>
    <n v="0"/>
    <m/>
    <m/>
  </r>
  <r>
    <m/>
    <m/>
    <x v="0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INSTALACION DE TRITURADORA"/>
    <s v="GBL"/>
    <n v="78920.429999999993"/>
    <n v="1"/>
    <m/>
    <d v="2013-10-01T00:00:00"/>
    <d v="2014-01-31T00:00:00"/>
    <s v="EJECUTADO"/>
    <n v="78920.429999999993"/>
    <n v="78920.429999999993"/>
    <n v="0"/>
    <m/>
    <m/>
  </r>
  <r>
    <m/>
    <m/>
    <x v="1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x v="1"/>
    <x v="0"/>
    <n v="0"/>
    <s v="EQUIPO DE PROTECCIÓN PERSONAL"/>
    <s v="U"/>
    <n v="300"/>
    <n v="11"/>
    <m/>
    <d v="2013-10-01T00:00:00"/>
    <d v="2014-01-31T00:00:00"/>
    <s v="EJECUTADO"/>
    <n v="3300"/>
    <n v="3300"/>
    <n v="0"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72">
  <r>
    <m/>
    <m/>
    <s v="MEJORAMIENTO"/>
    <x v="0"/>
    <x v="0"/>
    <s v="ZONA1"/>
    <x v="0"/>
    <x v="0"/>
    <s v="AD. DIRECTA"/>
    <s v="VIALSUR"/>
    <n v="18.8"/>
    <m/>
    <n v="494"/>
    <s v="Excavacion sin clasificar a maquina (explotación de material)"/>
    <s v="m3"/>
    <n v="1.62"/>
    <n v="1200"/>
    <m/>
    <d v="2014-01-01T00:00:00"/>
    <d v="2014-01-31T00:00:00"/>
    <s v="EJECUTADO"/>
    <n v="1944"/>
  </r>
  <r>
    <m/>
    <m/>
    <s v="MEJORAMIENTO"/>
    <x v="1"/>
    <x v="0"/>
    <s v="ZONA1"/>
    <x v="0"/>
    <x v="0"/>
    <s v="AD. DIRECTA"/>
    <s v="VIALSUR"/>
    <m/>
    <m/>
    <n v="0"/>
    <s v="Transporte de material para mejoramiento, inc. cargado"/>
    <s v="m3/km"/>
    <n v="0.35"/>
    <n v="6000"/>
    <m/>
    <d v="2014-01-01T00:00:00"/>
    <d v="2014-01-31T00:00:00"/>
    <s v="EJECUTADO"/>
    <n v="2100"/>
  </r>
  <r>
    <m/>
    <m/>
    <s v="MANTENIMIENTO"/>
    <x v="1"/>
    <x v="0"/>
    <s v="ZONA1"/>
    <x v="0"/>
    <x v="0"/>
    <s v="AD. DIRECTA"/>
    <s v="VIALSUR"/>
    <m/>
    <n v="1.1000000000000001"/>
    <n v="0"/>
    <s v="Acabado de Obra Básica existente"/>
    <s v="m2"/>
    <n v="0.35"/>
    <n v="6000"/>
    <m/>
    <d v="2014-01-01T00:00:00"/>
    <d v="2014-01-31T00:00:00"/>
    <s v="EJECUTADO"/>
    <n v="2100"/>
  </r>
  <r>
    <m/>
    <m/>
    <s v="MANTENIMIENTO"/>
    <x v="1"/>
    <x v="0"/>
    <s v="ZONA1"/>
    <x v="0"/>
    <x v="0"/>
    <s v="AD. DIRECTA"/>
    <s v="VIALSUR"/>
    <m/>
    <n v="3.28"/>
    <n v="0"/>
    <s v="Rasanteo y conformacion de cunetas con motoniveladora"/>
    <s v="m2"/>
    <n v="0.08"/>
    <n v="18000"/>
    <m/>
    <d v="2014-01-01T00:00:00"/>
    <d v="2014-01-31T00:00:00"/>
    <s v="EJECUTADO"/>
    <n v="1440"/>
  </r>
  <r>
    <m/>
    <m/>
    <s v="MEJORAMIENTO"/>
    <x v="2"/>
    <x v="1"/>
    <s v="ZONA1"/>
    <x v="0"/>
    <x v="0"/>
    <s v="AD. DIRECTA"/>
    <s v="VIALSUR"/>
    <n v="5"/>
    <m/>
    <n v="494"/>
    <s v="Excavacion sin clasificar a maquina (explotación de material)"/>
    <s v="m3"/>
    <n v="1.62"/>
    <n v="2080"/>
    <m/>
    <d v="2014-01-01T00:00:00"/>
    <d v="2014-03-31T00:00:00"/>
    <s v="EJECUTADO"/>
    <n v="3369.6"/>
  </r>
  <r>
    <m/>
    <m/>
    <s v="MEJORAMIENTO"/>
    <x v="1"/>
    <x v="1"/>
    <s v="ZONA1"/>
    <x v="0"/>
    <x v="0"/>
    <s v="AD. DIRECTA"/>
    <s v="VIALSUR"/>
    <m/>
    <m/>
    <n v="0"/>
    <s v="Transporte de material para mejoramiento, inc. cargado"/>
    <s v="m3/km"/>
    <n v="0.35"/>
    <n v="46632"/>
    <m/>
    <d v="2014-01-01T00:00:00"/>
    <d v="2014-03-31T00:00:00"/>
    <s v="EJECUTADO"/>
    <n v="16321.2"/>
  </r>
  <r>
    <m/>
    <m/>
    <s v="MANTENIMIENTO"/>
    <x v="1"/>
    <x v="1"/>
    <s v="ZONA1"/>
    <x v="0"/>
    <x v="0"/>
    <s v="AD. DIRECTA"/>
    <s v="VIALSUR"/>
    <m/>
    <n v="6.1899999999999995"/>
    <n v="0"/>
    <s v="Acabado de Obra Básica existente"/>
    <s v="m2"/>
    <n v="0.35"/>
    <n v="34000"/>
    <m/>
    <d v="2014-01-01T00:00:00"/>
    <d v="2014-03-31T00:00:00"/>
    <s v="EJECUTADO"/>
    <n v="11900"/>
  </r>
  <r>
    <m/>
    <m/>
    <s v="MEJORAMIENTO"/>
    <x v="3"/>
    <x v="2"/>
    <s v="ZONA1"/>
    <x v="0"/>
    <x v="1"/>
    <s v="AD. DIRECTA"/>
    <s v="VIALSUR"/>
    <m/>
    <m/>
    <n v="0"/>
    <s v="Excavacion sin clasificar para cunetas"/>
    <s v="m3"/>
    <n v="10.55"/>
    <n v="42.16"/>
    <m/>
    <d v="2014-01-01T00:00:00"/>
    <d v="2014-03-31T00:00:00"/>
    <s v="EJECUTADO"/>
    <n v="444.79"/>
  </r>
  <r>
    <m/>
    <m/>
    <s v="HORMIGONES"/>
    <x v="1"/>
    <x v="2"/>
    <s v="ZONA1"/>
    <x v="0"/>
    <x v="1"/>
    <s v="AD. DIRECTA"/>
    <s v="VIALSUR"/>
    <m/>
    <m/>
    <n v="0"/>
    <s v="Hormigon simple F´c 180 Kg / cm 2"/>
    <s v="m3"/>
    <n v="178.13"/>
    <n v="96.34"/>
    <m/>
    <d v="2014-01-01T00:00:00"/>
    <d v="2014-03-31T00:00:00"/>
    <s v="EJECUTADO"/>
    <n v="17161.04"/>
  </r>
  <r>
    <m/>
    <m/>
    <s v="HORMIGONES"/>
    <x v="1"/>
    <x v="2"/>
    <s v="ZONA1"/>
    <x v="0"/>
    <x v="1"/>
    <s v="AD. DIRECTA"/>
    <s v="VIALSUR"/>
    <m/>
    <m/>
    <n v="0"/>
    <s v="Bordillos de Hormigon F´c 180 Kg/cm2 incluye encofr."/>
    <s v="m "/>
    <n v="15.04"/>
    <m/>
    <m/>
    <d v="2014-01-01T00:00:00"/>
    <d v="2014-01-31T00:00:00"/>
    <s v="EJECUTADO"/>
    <n v="0"/>
  </r>
  <r>
    <m/>
    <m/>
    <s v="HORMIGONES"/>
    <x v="1"/>
    <x v="2"/>
    <s v="ZONA1"/>
    <x v="0"/>
    <x v="1"/>
    <s v="AD. DIRECTA"/>
    <s v="VIALSUR"/>
    <m/>
    <m/>
    <n v="0"/>
    <s v="Hormigon coclopeo F´c 180 Kg / cm 2( 60%)H. Simple"/>
    <s v="m3"/>
    <n v="141.09"/>
    <m/>
    <m/>
    <d v="2014-01-01T00:00:00"/>
    <d v="2014-01-31T00:00:00"/>
    <s v="EJECUTADO"/>
    <n v="0"/>
  </r>
  <r>
    <m/>
    <m/>
    <s v="SEÑALIZACION"/>
    <x v="1"/>
    <x v="2"/>
    <s v="ZONA1"/>
    <x v="0"/>
    <x v="1"/>
    <s v="AD. DIRECTA"/>
    <s v="VIALSUR"/>
    <m/>
    <m/>
    <n v="0"/>
    <s v="Señalizacion con Balizas Reflectivas"/>
    <s v="UNIDAD"/>
    <n v="11.32"/>
    <n v="29"/>
    <m/>
    <d v="2014-01-01T00:00:00"/>
    <d v="2014-02-28T00:00:00"/>
    <s v="EJECUTADO"/>
    <n v="328.28"/>
  </r>
  <r>
    <m/>
    <m/>
    <s v="MANTENIMIENTO"/>
    <x v="4"/>
    <x v="3"/>
    <s v="ZONA1"/>
    <x v="1"/>
    <x v="2"/>
    <s v="AD. DIRECTA"/>
    <s v="VIALSUR"/>
    <m/>
    <m/>
    <n v="0"/>
    <s v="Limpieza de derrumbes a máquina"/>
    <s v="m3"/>
    <n v="1.46"/>
    <n v="120"/>
    <m/>
    <d v="2014-03-01T00:00:00"/>
    <d v="2014-03-31T00:00:00"/>
    <s v="EJECUTADO"/>
    <n v="175.2"/>
  </r>
  <r>
    <m/>
    <m/>
    <s v="MANTENIMIENTO"/>
    <x v="5"/>
    <x v="4"/>
    <s v="ZONA1"/>
    <x v="1"/>
    <x v="2"/>
    <s v="AD. DIRECTA"/>
    <s v="VIALSUR"/>
    <m/>
    <m/>
    <n v="0"/>
    <s v="Limpieza de derrumbes a máquina"/>
    <s v="m3"/>
    <n v="1.46"/>
    <n v="50"/>
    <m/>
    <d v="2014-03-01T00:00:00"/>
    <d v="2014-03-31T00:00:00"/>
    <s v="EJECUTADO"/>
    <n v="73"/>
  </r>
  <r>
    <m/>
    <m/>
    <s v="MANTENIMIENTO"/>
    <x v="6"/>
    <x v="5"/>
    <s v="ZONA1"/>
    <x v="1"/>
    <x v="2"/>
    <s v="AD. DIRECTA"/>
    <s v="VIALSUR"/>
    <m/>
    <m/>
    <n v="0"/>
    <s v="Limpieza de derrumbes a máquina"/>
    <s v="m3"/>
    <n v="1.46"/>
    <n v="1960"/>
    <m/>
    <d v="2014-03-01T00:00:00"/>
    <d v="2014-03-31T00:00:00"/>
    <s v="EJECUTADO"/>
    <n v="2861.6"/>
  </r>
  <r>
    <m/>
    <m/>
    <s v="MANTENIMIENTO"/>
    <x v="7"/>
    <x v="6"/>
    <s v="ZONA1"/>
    <x v="0"/>
    <x v="1"/>
    <s v="AD. DIRECTA"/>
    <s v="VIALSUR"/>
    <m/>
    <m/>
    <n v="0"/>
    <s v="Limpieza de derrumbes a máquina"/>
    <s v="m3"/>
    <n v="1.46"/>
    <n v="250"/>
    <m/>
    <d v="2014-03-01T00:00:00"/>
    <d v="2014-03-31T00:00:00"/>
    <s v="EJECUTADO"/>
    <n v="365"/>
  </r>
  <r>
    <m/>
    <m/>
    <s v="MANTENIMIENTO"/>
    <x v="8"/>
    <x v="7"/>
    <s v="ZONA1"/>
    <x v="0"/>
    <x v="3"/>
    <s v="AD. DIRECTA"/>
    <s v="VIALSUR"/>
    <m/>
    <m/>
    <n v="0"/>
    <s v="Limpieza de derrumbes a máquina"/>
    <s v="m3"/>
    <n v="1.46"/>
    <n v="250"/>
    <m/>
    <d v="2014-03-01T00:00:00"/>
    <d v="2014-03-31T00:00:00"/>
    <s v="EJECUTADO"/>
    <n v="365"/>
  </r>
  <r>
    <m/>
    <m/>
    <s v="MANTENIMIENTO"/>
    <x v="9"/>
    <x v="8"/>
    <s v="ZONA1"/>
    <x v="0"/>
    <x v="4"/>
    <s v="AD. DIRECTA"/>
    <s v="VIALSUR"/>
    <m/>
    <n v="16.37"/>
    <n v="0"/>
    <s v="Rasanteo y conformacion de cunetas con motoniveladora"/>
    <s v="m2"/>
    <n v="0.08"/>
    <n v="90000"/>
    <m/>
    <d v="2014-03-01T00:00:00"/>
    <d v="2014-03-31T00:00:00"/>
    <s v="EJECUTADO"/>
    <n v="7200"/>
  </r>
  <r>
    <m/>
    <m/>
    <s v="MANTENIMIENTO"/>
    <x v="10"/>
    <x v="9"/>
    <s v="ZONA1"/>
    <x v="0"/>
    <x v="4"/>
    <s v="AD. DIRECTA"/>
    <s v="VIALSUR"/>
    <m/>
    <n v="4.5"/>
    <n v="0"/>
    <s v="Rasanteo y conformacion de cunetas con motoniveladora"/>
    <s v="m2"/>
    <n v="0.08"/>
    <n v="24750"/>
    <m/>
    <d v="2014-01-04T00:00:00"/>
    <d v="2014-04-30T00:00:00"/>
    <s v="EJECUTADO"/>
    <n v="1980"/>
  </r>
  <r>
    <m/>
    <m/>
    <s v="MANTENIMIENTO"/>
    <x v="11"/>
    <x v="10"/>
    <s v="ZONA1"/>
    <x v="0"/>
    <x v="4"/>
    <s v="AD. DIRECTA"/>
    <s v="VIALSUR"/>
    <m/>
    <n v="0.91"/>
    <n v="0"/>
    <s v="Rasanteo y conformacion de cunetas con motoniveladora"/>
    <s v="m2"/>
    <n v="0.08"/>
    <n v="5000"/>
    <m/>
    <d v="2014-01-04T00:00:00"/>
    <d v="2014-04-30T00:00:00"/>
    <s v="EJECUTADO"/>
    <n v="400"/>
  </r>
  <r>
    <m/>
    <m/>
    <s v="MANTENIMIENTO"/>
    <x v="12"/>
    <x v="11"/>
    <s v="ZONA1"/>
    <x v="0"/>
    <x v="4"/>
    <s v="AD. DIRECTA"/>
    <s v="VIALSUR"/>
    <m/>
    <n v="1.8"/>
    <n v="0"/>
    <s v="Rasanteo y conformacion de cunetas con motoniveladora"/>
    <s v="m2"/>
    <n v="0.08"/>
    <n v="9900"/>
    <m/>
    <d v="2014-01-04T00:00:00"/>
    <d v="2014-04-30T00:00:00"/>
    <s v="EJECUTADO"/>
    <n v="792"/>
  </r>
  <r>
    <m/>
    <m/>
    <s v="MANTENIMIENTO"/>
    <x v="13"/>
    <x v="12"/>
    <s v="ZONA1"/>
    <x v="0"/>
    <x v="4"/>
    <s v="AD. DIRECTA"/>
    <s v="VIALSUR"/>
    <m/>
    <n v="1"/>
    <n v="0"/>
    <s v="Rasanteo y conformacion de cunetas con motoniveladora"/>
    <s v="m2"/>
    <n v="0.08"/>
    <n v="5500"/>
    <m/>
    <d v="2014-01-04T00:00:00"/>
    <d v="2014-04-30T00:00:00"/>
    <s v="EJECUTADO"/>
    <n v="440"/>
  </r>
  <r>
    <m/>
    <m/>
    <s v="MANTENIMIENTO"/>
    <x v="14"/>
    <x v="13"/>
    <s v="ZONA1"/>
    <x v="0"/>
    <x v="3"/>
    <s v="AD. DIRECTA"/>
    <s v="VIALSUR"/>
    <m/>
    <m/>
    <n v="0"/>
    <s v="Limpieza de derrumbes a máquina"/>
    <s v="m3"/>
    <n v="1.46"/>
    <n v="720"/>
    <m/>
    <d v="2014-01-04T00:00:00"/>
    <d v="2014-04-30T00:00:00"/>
    <s v="EJECUTADO"/>
    <n v="1051.2"/>
  </r>
  <r>
    <m/>
    <m/>
    <s v="MEJORAMIENTO"/>
    <x v="1"/>
    <x v="13"/>
    <s v="ZONA1"/>
    <x v="0"/>
    <x v="3"/>
    <s v="AD. DIRECTA"/>
    <s v="VIALSUR"/>
    <m/>
    <m/>
    <n v="0"/>
    <s v="Transporte de material para mejoramiento, inc. cargado"/>
    <s v="m3/km"/>
    <n v="0.35"/>
    <n v="720"/>
    <m/>
    <d v="2014-01-04T00:00:00"/>
    <d v="2014-04-30T00:00:00"/>
    <s v="EJECUTADO"/>
    <n v="252"/>
  </r>
  <r>
    <m/>
    <m/>
    <s v="MANTENIMIENTO"/>
    <x v="15"/>
    <x v="14"/>
    <s v="ZONA1"/>
    <x v="0"/>
    <x v="1"/>
    <s v="AD. DIRECTA"/>
    <s v="VIALSUR"/>
    <m/>
    <m/>
    <n v="0"/>
    <s v="Limpieza de derrumbes a máquina"/>
    <s v="m3"/>
    <n v="1.46"/>
    <n v="280"/>
    <m/>
    <d v="2014-01-04T00:00:00"/>
    <d v="2014-04-30T00:00:00"/>
    <s v="EJECUTADO"/>
    <n v="408.8"/>
  </r>
  <r>
    <m/>
    <m/>
    <s v="MEJORAMIENTO"/>
    <x v="1"/>
    <x v="14"/>
    <s v="ZONA1"/>
    <x v="0"/>
    <x v="1"/>
    <s v="AD. DIRECTA"/>
    <s v="VIALSUR"/>
    <m/>
    <m/>
    <n v="0"/>
    <s v="Transporte de material para mejoramiento, inc. cargado"/>
    <s v="m3/km"/>
    <n v="0.35"/>
    <n v="2160"/>
    <m/>
    <d v="2014-01-04T00:00:00"/>
    <d v="2014-04-30T00:00:00"/>
    <s v="EJECUTADO"/>
    <n v="756"/>
  </r>
  <r>
    <m/>
    <m/>
    <s v="MANTENIMIENTO"/>
    <x v="16"/>
    <x v="15"/>
    <s v="ZONA1"/>
    <x v="0"/>
    <x v="1"/>
    <s v="AD. DIRECTA"/>
    <s v="VIALSUR"/>
    <m/>
    <n v="1.64"/>
    <n v="0"/>
    <s v="Acabado de Obra Básica existente"/>
    <s v="m2"/>
    <n v="0.35"/>
    <n v="9000"/>
    <m/>
    <d v="2014-04-01T00:00:00"/>
    <d v="2014-04-30T00:00:00"/>
    <s v="EJECUTADO"/>
    <n v="3150"/>
  </r>
  <r>
    <m/>
    <m/>
    <s v="MANTENIMIENTO"/>
    <x v="17"/>
    <x v="16"/>
    <s v="ZONA1"/>
    <x v="0"/>
    <x v="4"/>
    <s v="AD. DIRECTA"/>
    <s v="VIALSUR"/>
    <m/>
    <n v="3.6399999999999997"/>
    <n v="0"/>
    <s v="Acabado de Obra Básica existente"/>
    <s v="m2"/>
    <n v="0.35"/>
    <n v="20000"/>
    <m/>
    <d v="2014-04-01T00:00:00"/>
    <d v="2014-04-30T00:00:00"/>
    <s v="EJECUTADO"/>
    <n v="7000"/>
  </r>
  <r>
    <m/>
    <m/>
    <s v="MANTENIMIENTO"/>
    <x v="18"/>
    <x v="17"/>
    <s v="ZONA1"/>
    <x v="0"/>
    <x v="4"/>
    <s v="AD. DIRECTA"/>
    <s v="VIALSUR"/>
    <m/>
    <n v="0.91"/>
    <n v="0"/>
    <s v="Acabado de Obra Básica existente"/>
    <s v="m2"/>
    <n v="0.35"/>
    <n v="5000"/>
    <m/>
    <d v="2014-04-01T00:00:00"/>
    <d v="2014-04-30T00:00:00"/>
    <s v="EJECUTADO"/>
    <n v="1750"/>
  </r>
  <r>
    <m/>
    <m/>
    <s v="MANTENIMIENTO"/>
    <x v="19"/>
    <x v="18"/>
    <s v="ZONA1"/>
    <x v="0"/>
    <x v="4"/>
    <s v="AD. DIRECTA"/>
    <s v="VIALSUR"/>
    <m/>
    <n v="1.1000000000000001"/>
    <n v="0"/>
    <s v="Acabado de Obra Básica existente"/>
    <s v="m2"/>
    <n v="0.35"/>
    <n v="6000"/>
    <m/>
    <d v="2014-04-01T00:00:00"/>
    <d v="2014-04-30T00:00:00"/>
    <s v="EJECUTADO"/>
    <n v="2100"/>
  </r>
  <r>
    <m/>
    <m/>
    <s v="MANTENIMIENTO"/>
    <x v="20"/>
    <x v="19"/>
    <s v="ZONA1"/>
    <x v="0"/>
    <x v="4"/>
    <s v="AD. DIRECTA"/>
    <s v="VIALSUR"/>
    <m/>
    <n v="4.1399999999999997"/>
    <n v="0"/>
    <s v="Acabado de Obra Básica existente"/>
    <s v="m2"/>
    <n v="0.35"/>
    <n v="22750"/>
    <m/>
    <d v="2014-01-05T00:00:00"/>
    <d v="2014-05-31T00:00:00"/>
    <s v="EJECUTADO"/>
    <n v="7962.5"/>
  </r>
  <r>
    <m/>
    <m/>
    <s v="MEJORAMIENTO"/>
    <x v="1"/>
    <x v="19"/>
    <s v="ZONA1"/>
    <x v="0"/>
    <x v="4"/>
    <s v="AD. DIRECTA"/>
    <s v="VIALSUR"/>
    <m/>
    <m/>
    <n v="0"/>
    <s v="Transporte de material para mejoramiento, inc cargado"/>
    <s v="m3"/>
    <n v="0.35"/>
    <n v="3774"/>
    <m/>
    <d v="2014-01-05T00:00:00"/>
    <d v="2014-05-31T00:00:00"/>
    <s v="EJECUTADO"/>
    <n v="1320.9"/>
  </r>
  <r>
    <m/>
    <m/>
    <s v="MANTENIMIENTO"/>
    <x v="21"/>
    <x v="20"/>
    <s v="ZONA1"/>
    <x v="0"/>
    <x v="3"/>
    <s v="AD. DIRECTA"/>
    <s v="VIALSUR"/>
    <m/>
    <n v="14"/>
    <n v="0"/>
    <s v="Acabado de Obra Básica existente"/>
    <s v="m2"/>
    <n v="0.35"/>
    <n v="117000"/>
    <m/>
    <d v="2014-06-01T00:00:00"/>
    <d v="2014-06-30T00:00:00"/>
    <s v="EJECUTADO"/>
    <n v="40950"/>
  </r>
  <r>
    <m/>
    <m/>
    <s v="MEJORAMIENTO"/>
    <x v="1"/>
    <x v="20"/>
    <s v="ZONA1"/>
    <x v="0"/>
    <x v="3"/>
    <s v="AD. DIRECTA"/>
    <s v="VIALSUR"/>
    <m/>
    <m/>
    <n v="0"/>
    <s v="Transporte de material para mejoramiento, inc cargado"/>
    <s v="m3"/>
    <n v="0.35"/>
    <n v="31590"/>
    <m/>
    <d v="2014-06-01T00:00:00"/>
    <d v="2014-06-30T00:00:00"/>
    <s v="EJECUTADO"/>
    <n v="11056.5"/>
  </r>
  <r>
    <m/>
    <m/>
    <s v="MANTENIMIENTO"/>
    <x v="22"/>
    <x v="21"/>
    <s v="ZONA1"/>
    <x v="0"/>
    <x v="3"/>
    <s v="AD. DIRECTA"/>
    <s v="VIALSUR"/>
    <m/>
    <n v="21.28"/>
    <n v="0"/>
    <s v="Acabado de Obra Básica existente"/>
    <s v="m2"/>
    <n v="0.35"/>
    <n v="84000"/>
    <m/>
    <d v="2014-09-01T00:00:00"/>
    <d v="2014-09-30T00:00:00"/>
    <s v="EJECUTADO"/>
    <n v="29400"/>
  </r>
  <r>
    <m/>
    <m/>
    <s v="MEJORAMIENTO"/>
    <x v="1"/>
    <x v="21"/>
    <s v="ZONA1"/>
    <x v="0"/>
    <x v="3"/>
    <s v="AD. DIRECTA"/>
    <s v="VIALSUR"/>
    <m/>
    <m/>
    <n v="0"/>
    <s v="Transporte de material para mejoramiento, inc cargado"/>
    <s v="m3"/>
    <n v="0.35"/>
    <n v="22680"/>
    <m/>
    <d v="2014-09-01T00:00:00"/>
    <d v="2014-09-30T00:00:00"/>
    <s v="EJECUTADO"/>
    <n v="7938"/>
  </r>
  <r>
    <m/>
    <m/>
    <s v="MANTENIMIENTO"/>
    <x v="23"/>
    <x v="22"/>
    <s v="ZONA1"/>
    <x v="0"/>
    <x v="3"/>
    <s v="AD. DIRECTA"/>
    <s v="VIALSUR"/>
    <m/>
    <n v="10"/>
    <n v="0"/>
    <s v="Acabado de Obra Básica existente"/>
    <s v="m2"/>
    <n v="0.35"/>
    <n v="48000"/>
    <m/>
    <d v="2014-09-01T00:00:00"/>
    <d v="2014-09-30T00:00:00"/>
    <s v="EJECUTADO"/>
    <n v="16800"/>
  </r>
  <r>
    <m/>
    <m/>
    <s v="MEJORAMIENTO"/>
    <x v="1"/>
    <x v="22"/>
    <s v="ZONA1"/>
    <x v="0"/>
    <x v="3"/>
    <s v="AD. DIRECTA"/>
    <s v="VIALSUR"/>
    <m/>
    <m/>
    <n v="0"/>
    <s v="Transporte de material para mejoramiento, inc cargado"/>
    <s v="m3"/>
    <n v="0.35"/>
    <n v="12960"/>
    <m/>
    <d v="2014-09-01T00:00:00"/>
    <d v="2014-09-30T00:00:00"/>
    <s v="EJECUTADO"/>
    <n v="4536"/>
  </r>
  <r>
    <m/>
    <m/>
    <s v="MANTENIMIENTO"/>
    <x v="24"/>
    <x v="23"/>
    <s v="ZONA1"/>
    <x v="0"/>
    <x v="3"/>
    <s v="AD. DIRECTA"/>
    <s v="VIALSUR"/>
    <m/>
    <n v="2"/>
    <n v="0"/>
    <s v="Acabado de Obra Básica existente"/>
    <s v="m2"/>
    <n v="0.35"/>
    <n v="12000"/>
    <m/>
    <d v="2014-09-01T00:00:00"/>
    <d v="2014-09-30T00:00:00"/>
    <s v="EJECUTADO"/>
    <n v="4200"/>
  </r>
  <r>
    <m/>
    <m/>
    <s v="MEJORAMIENTO"/>
    <x v="1"/>
    <x v="23"/>
    <s v="ZONA1"/>
    <x v="0"/>
    <x v="3"/>
    <s v="AD. DIRECTA"/>
    <s v="VIALSUR"/>
    <m/>
    <m/>
    <n v="0"/>
    <s v="Transporte de material para mejoramiento, inc cargado"/>
    <s v="m3"/>
    <n v="0.35"/>
    <n v="3240"/>
    <m/>
    <d v="2014-09-01T00:00:00"/>
    <d v="2014-09-30T00:00:00"/>
    <s v="EJECUTADO"/>
    <n v="1134"/>
  </r>
  <r>
    <m/>
    <m/>
    <s v="MANTENIMIENTO"/>
    <x v="25"/>
    <x v="24"/>
    <s v="ZONA1"/>
    <x v="0"/>
    <x v="3"/>
    <s v="AD. DIRECTA"/>
    <s v="VIALSUR"/>
    <m/>
    <n v="8"/>
    <n v="0"/>
    <s v="Acabado de Obra Básica existente"/>
    <s v="m2"/>
    <n v="0.35"/>
    <n v="60000"/>
    <m/>
    <d v="2014-09-01T00:00:00"/>
    <d v="2014-09-30T00:00:00"/>
    <s v="EJECUTADO"/>
    <n v="21000"/>
  </r>
  <r>
    <m/>
    <m/>
    <s v="MEJORAMIENTO"/>
    <x v="1"/>
    <x v="24"/>
    <s v="ZONA1"/>
    <x v="0"/>
    <x v="3"/>
    <s v="AD. DIRECTA"/>
    <s v="VIALSUR"/>
    <m/>
    <m/>
    <n v="0"/>
    <s v="Transporte de material para mejoramiento, inc cargado"/>
    <s v="m3"/>
    <n v="0.35"/>
    <n v="16200"/>
    <m/>
    <d v="2014-09-01T00:00:00"/>
    <d v="2014-09-30T00:00:00"/>
    <s v="EJECUTADO"/>
    <n v="5670"/>
  </r>
  <r>
    <m/>
    <m/>
    <s v="MANTENIMIENTO"/>
    <x v="26"/>
    <x v="25"/>
    <s v="ZONA1"/>
    <x v="2"/>
    <x v="5"/>
    <s v="AD. DIRECTA"/>
    <s v="VIALSUR"/>
    <m/>
    <n v="6.55"/>
    <n v="0"/>
    <s v="Rasanteo y conformacion de cunetas con motoniveladora"/>
    <s v="m2"/>
    <n v="0.08"/>
    <n v="36000"/>
    <m/>
    <d v="2014-09-01T00:00:00"/>
    <d v="2014-09-30T00:00:00"/>
    <s v="EJECUTADO"/>
    <n v="2880"/>
  </r>
  <r>
    <m/>
    <m/>
    <s v="MEJORAMIENTO"/>
    <x v="27"/>
    <x v="26"/>
    <s v="ZONA1"/>
    <x v="2"/>
    <x v="5"/>
    <s v="AD. DIRECTA"/>
    <s v="VIALSUR"/>
    <m/>
    <m/>
    <n v="0"/>
    <s v="Excavación sin clasificar a máquina"/>
    <s v="m3"/>
    <n v="1.62"/>
    <n v="8000"/>
    <m/>
    <d v="2014-09-01T00:00:00"/>
    <d v="2014-09-30T00:00:00"/>
    <s v="EJECUTADO"/>
    <n v="12960"/>
  </r>
  <r>
    <m/>
    <m/>
    <s v="MEJORAMIENTO"/>
    <x v="28"/>
    <x v="27"/>
    <s v="ZONA1"/>
    <x v="2"/>
    <x v="6"/>
    <s v="AD. DIRECTA"/>
    <s v="VIALSUR"/>
    <m/>
    <m/>
    <n v="0"/>
    <s v="Excavacion sin clasificar a maquina (explotación de material)"/>
    <s v="m3"/>
    <n v="1.62"/>
    <n v="3000"/>
    <m/>
    <d v="2014-09-01T00:00:00"/>
    <d v="2014-09-30T00:00:00"/>
    <s v="EJECUTADO"/>
    <n v="4860"/>
  </r>
  <r>
    <m/>
    <m/>
    <s v="MEJORAMIENTO"/>
    <x v="1"/>
    <x v="27"/>
    <s v="ZONA1"/>
    <x v="2"/>
    <x v="6"/>
    <s v="AD. DIRECTA"/>
    <s v="VIALSUR"/>
    <m/>
    <m/>
    <n v="0"/>
    <s v="Transporte de material para mejoramiento, inc. cargado"/>
    <s v="m3/km"/>
    <n v="0.35"/>
    <n v="3000"/>
    <m/>
    <d v="2014-09-01T00:00:00"/>
    <d v="2014-09-30T00:00:00"/>
    <s v="EJECUTADO"/>
    <n v="1050"/>
  </r>
  <r>
    <m/>
    <m/>
    <s v="MEJORAMIENTO"/>
    <x v="1"/>
    <x v="27"/>
    <s v="ZONA1"/>
    <x v="2"/>
    <x v="6"/>
    <s v="AD. DIRECTA"/>
    <s v="VIALSUR"/>
    <m/>
    <n v="2.73"/>
    <n v="0"/>
    <s v="Mejoramiento de la subrasante con suelo seleccionado"/>
    <s v="m3"/>
    <n v="5.92"/>
    <n v="3000"/>
    <m/>
    <d v="2014-09-01T00:00:00"/>
    <d v="2014-09-30T00:00:00"/>
    <s v="EJECUTADO"/>
    <n v="17760"/>
  </r>
  <r>
    <m/>
    <m/>
    <s v="MEJORAMIENTO"/>
    <x v="29"/>
    <x v="28"/>
    <s v="ZONA1"/>
    <x v="2"/>
    <x v="6"/>
    <s v="AD. DIRECTA"/>
    <s v="VIALSUR"/>
    <m/>
    <m/>
    <n v="0"/>
    <s v="Excavacion sin clasificar a maquina (explotación de material)"/>
    <s v="m3"/>
    <n v="1.62"/>
    <n v="2598"/>
    <m/>
    <d v="2014-09-01T00:00:00"/>
    <d v="2014-09-30T00:00:00"/>
    <s v="EJECUTADO"/>
    <n v="4208.76"/>
  </r>
  <r>
    <m/>
    <m/>
    <s v="MEJORAMIENTO"/>
    <x v="1"/>
    <x v="28"/>
    <s v="ZONA1"/>
    <x v="2"/>
    <x v="6"/>
    <s v="AD. DIRECTA"/>
    <s v="VIALSUR"/>
    <m/>
    <m/>
    <n v="0"/>
    <s v="Transporte de material para mejoramiento, inc. cargado"/>
    <s v="m3/km"/>
    <n v="0.35"/>
    <n v="4724"/>
    <m/>
    <d v="2014-09-01T00:00:00"/>
    <d v="2014-09-30T00:00:00"/>
    <s v="EJECUTADO"/>
    <n v="1653.4"/>
  </r>
  <r>
    <m/>
    <m/>
    <s v="MEJORAMIENTO"/>
    <x v="1"/>
    <x v="28"/>
    <s v="ZONA1"/>
    <x v="2"/>
    <x v="6"/>
    <s v="AD. DIRECTA"/>
    <s v="VIALSUR"/>
    <m/>
    <n v="2.15"/>
    <n v="0"/>
    <s v="Mejoramiento de la subrasante con suelo seleccionado"/>
    <s v="m3"/>
    <n v="5.92"/>
    <n v="2362"/>
    <m/>
    <d v="2014-09-01T00:00:00"/>
    <d v="2014-09-30T00:00:00"/>
    <s v="EJECUTADO"/>
    <n v="13983.04"/>
  </r>
  <r>
    <m/>
    <m/>
    <s v="MANTENIMIENTO"/>
    <x v="30"/>
    <x v="29"/>
    <s v="ZONA1"/>
    <x v="2"/>
    <x v="7"/>
    <s v="AD. DIRECTA"/>
    <s v="VIALSUR"/>
    <m/>
    <m/>
    <n v="0"/>
    <s v="Limpieza de derrumbes a máquina"/>
    <s v="m3"/>
    <n v="1.46"/>
    <n v="2500"/>
    <m/>
    <d v="2014-09-01T00:00:00"/>
    <d v="2014-09-30T00:00:00"/>
    <s v="EJECUTADO"/>
    <n v="3650"/>
  </r>
  <r>
    <s v="1"/>
    <s v="EJECUTADO"/>
    <s v="MANTENIMIENTO"/>
    <x v="31"/>
    <x v="30"/>
    <s v="ZONA1"/>
    <x v="2"/>
    <x v="8"/>
    <s v="AD. DIRECTA"/>
    <s v="VIALSUR"/>
    <m/>
    <m/>
    <n v="0"/>
    <s v="Limpieza de derrumbes a máquina"/>
    <s v="m3"/>
    <n v="1.46"/>
    <n v="4000"/>
    <m/>
    <d v="2014-09-01T00:00:00"/>
    <d v="2014-09-30T00:00:00"/>
    <s v="EJECUTADO"/>
    <n v="5840"/>
  </r>
  <r>
    <s v="2"/>
    <s v="EJECUTADO"/>
    <s v="MANTENIMIENTO"/>
    <x v="32"/>
    <x v="31"/>
    <s v="ZONA1"/>
    <x v="2"/>
    <x v="9"/>
    <s v="AD. DIRECTA"/>
    <s v="VIALSUR"/>
    <m/>
    <m/>
    <n v="0"/>
    <s v="Limpieza de derrumbes a máquina"/>
    <s v="m3"/>
    <n v="1.46"/>
    <n v="3000"/>
    <m/>
    <d v="2014-09-01T00:00:00"/>
    <d v="2014-09-30T00:00:00"/>
    <s v="EJECUTADO"/>
    <n v="4380"/>
  </r>
  <r>
    <m/>
    <m/>
    <s v="MEJORAMIENTO"/>
    <x v="33"/>
    <x v="32"/>
    <s v="ZONA1"/>
    <x v="2"/>
    <x v="10"/>
    <s v="AD. DIRECTA"/>
    <s v="VIALSUR"/>
    <m/>
    <n v="8"/>
    <n v="0"/>
    <s v="Excavacion sin clasificar a maquina (explotación de material)"/>
    <s v="m3"/>
    <n v="1.62"/>
    <n v="1000"/>
    <m/>
    <d v="2014-09-01T00:00:00"/>
    <d v="2014-09-30T00:00:00"/>
    <s v="EJECUTADO"/>
    <n v="1620"/>
  </r>
  <r>
    <m/>
    <m/>
    <s v="MEJORAMIENTO"/>
    <x v="1"/>
    <x v="32"/>
    <s v="ZONA1"/>
    <x v="2"/>
    <x v="10"/>
    <s v="AD. DIRECTA"/>
    <s v="VIALSUR"/>
    <m/>
    <m/>
    <n v="0"/>
    <s v="Transporte de material para mejoramiento, inc. cargado"/>
    <s v="m3/km"/>
    <n v="0.35"/>
    <n v="2880"/>
    <m/>
    <d v="2014-09-01T00:00:00"/>
    <d v="2014-09-30T00:00:00"/>
    <s v="EJECUTADO"/>
    <n v="1008"/>
  </r>
  <r>
    <m/>
    <m/>
    <s v="MEJORAMIENTO"/>
    <x v="1"/>
    <x v="32"/>
    <s v="ZONA1"/>
    <x v="2"/>
    <x v="10"/>
    <s v="AD. DIRECTA"/>
    <s v="VIALSUR"/>
    <m/>
    <m/>
    <n v="0"/>
    <s v="Mejoramiento de la subrasante con suelo seleccionado"/>
    <s v="m2"/>
    <n v="4.43"/>
    <n v="1440"/>
    <m/>
    <d v="2014-09-01T00:00:00"/>
    <d v="2014-09-30T00:00:00"/>
    <s v="EJECUTADO"/>
    <n v="6379.2"/>
  </r>
  <r>
    <m/>
    <m/>
    <s v="MEJORAMIENTO"/>
    <x v="34"/>
    <x v="33"/>
    <s v="ZONA1"/>
    <x v="2"/>
    <x v="10"/>
    <s v="AD. DIRECTA"/>
    <s v="VIALSUR"/>
    <m/>
    <m/>
    <n v="0"/>
    <s v="Excavacion sin clasificar a maquina (explotación de material)"/>
    <s v="m3"/>
    <n v="1.62"/>
    <n v="12000"/>
    <m/>
    <d v="2014-09-01T00:00:00"/>
    <d v="2014-09-30T00:00:00"/>
    <s v="EJECUTADO"/>
    <n v="19440"/>
  </r>
  <r>
    <m/>
    <m/>
    <s v="MEJORAMIENTO"/>
    <x v="1"/>
    <x v="33"/>
    <s v="ZONA1"/>
    <x v="2"/>
    <x v="10"/>
    <s v="AD. DIRECTA"/>
    <s v="VIALSUR"/>
    <m/>
    <m/>
    <n v="0"/>
    <s v="Transporte de material para mejoramiento, inc. cargado"/>
    <s v="m3/km"/>
    <n v="0.35"/>
    <n v="1800"/>
    <m/>
    <d v="2014-09-01T00:00:00"/>
    <d v="2014-09-30T00:00:00"/>
    <s v="EJECUTADO"/>
    <n v="630"/>
  </r>
  <r>
    <m/>
    <m/>
    <s v="MEJORAMIENTO"/>
    <x v="1"/>
    <x v="33"/>
    <s v="ZONA1"/>
    <x v="2"/>
    <x v="10"/>
    <s v="AD. DIRECTA"/>
    <s v="VIALSUR"/>
    <m/>
    <m/>
    <n v="0"/>
    <s v="Mejoramiento de la subrasante con suelo seleccionado"/>
    <s v="m2"/>
    <n v="4.43"/>
    <n v="1800"/>
    <m/>
    <d v="2014-09-01T00:00:00"/>
    <d v="2014-09-30T00:00:00"/>
    <s v="EJECUTADO"/>
    <n v="7974"/>
  </r>
  <r>
    <m/>
    <m/>
    <s v="MEJORAMIENTO"/>
    <x v="35"/>
    <x v="34"/>
    <s v="ZONA1"/>
    <x v="2"/>
    <x v="10"/>
    <s v="AD. DIRECTA"/>
    <s v="VIALSUR"/>
    <m/>
    <m/>
    <n v="0"/>
    <s v="Excavacion sin clasificar a maquina (explotación de material)"/>
    <s v="m3"/>
    <n v="1.62"/>
    <n v="0"/>
    <m/>
    <d v="2014-09-01T00:00:00"/>
    <d v="2014-09-30T00:00:00"/>
    <s v="EJECUTADO"/>
    <n v="0"/>
  </r>
  <r>
    <m/>
    <m/>
    <s v="MEJORAMIENTO"/>
    <x v="1"/>
    <x v="34"/>
    <s v="ZONA1"/>
    <x v="2"/>
    <x v="10"/>
    <s v="AD. DIRECTA"/>
    <s v="VIALSUR"/>
    <m/>
    <m/>
    <n v="0"/>
    <s v="Transporte de material para mejoramiento, inc. cargado"/>
    <s v="m3/km"/>
    <n v="0.35"/>
    <n v="4050"/>
    <m/>
    <d v="2014-09-01T00:00:00"/>
    <d v="2014-09-30T00:00:00"/>
    <s v="EJECUTADO"/>
    <n v="1417.5"/>
  </r>
  <r>
    <m/>
    <m/>
    <s v="MEJORAMIENTO"/>
    <x v="1"/>
    <x v="34"/>
    <s v="ZONA1"/>
    <x v="2"/>
    <x v="10"/>
    <s v="AD. DIRECTA"/>
    <s v="VIALSUR"/>
    <m/>
    <m/>
    <n v="0"/>
    <s v="Mejoramiento de la subrasante con suelo seleccionado"/>
    <s v="m2"/>
    <n v="4.43"/>
    <n v="2700"/>
    <m/>
    <d v="2014-09-01T00:00:00"/>
    <d v="2014-09-30T00:00:00"/>
    <s v="EJECUTADO"/>
    <n v="11961"/>
  </r>
  <r>
    <m/>
    <m/>
    <s v="MEJORAMIENTO"/>
    <x v="36"/>
    <x v="35"/>
    <s v="ZONA1"/>
    <x v="2"/>
    <x v="10"/>
    <s v="AD. DIRECTA"/>
    <s v="VIALSUR"/>
    <m/>
    <m/>
    <n v="0"/>
    <s v="Excavacion sin clasificar a maquina (explotación de material)"/>
    <s v="m3"/>
    <n v="1.62"/>
    <n v="3000"/>
    <m/>
    <d v="2014-09-01T00:00:00"/>
    <d v="2014-09-30T00:00:00"/>
    <s v="EJECUTADO"/>
    <n v="4860"/>
  </r>
  <r>
    <m/>
    <m/>
    <s v="MEJORAMIENTO"/>
    <x v="1"/>
    <x v="35"/>
    <s v="ZONA1"/>
    <x v="2"/>
    <x v="10"/>
    <s v="AD. DIRECTA"/>
    <s v="VIALSUR"/>
    <m/>
    <m/>
    <n v="0"/>
    <s v="Transporte de material para mejoramiento, inc. cargado"/>
    <s v="m3/km"/>
    <n v="0.35"/>
    <n v="3375"/>
    <m/>
    <d v="2014-09-01T00:00:00"/>
    <d v="2014-09-30T00:00:00"/>
    <s v="EJECUTADO"/>
    <n v="1181.25"/>
  </r>
  <r>
    <m/>
    <m/>
    <s v="MEJORAMIENTO"/>
    <x v="1"/>
    <x v="35"/>
    <s v="ZONA1"/>
    <x v="2"/>
    <x v="10"/>
    <s v="AD. DIRECTA"/>
    <s v="VIALSUR"/>
    <m/>
    <m/>
    <n v="0"/>
    <s v="Mejoramiento de la subrasante con suelo seleccionado"/>
    <s v="m2"/>
    <n v="4.43"/>
    <n v="2250"/>
    <m/>
    <d v="2014-09-01T00:00:00"/>
    <d v="2014-09-30T00:00:00"/>
    <s v="EJECUTADO"/>
    <n v="9967.5"/>
  </r>
  <r>
    <m/>
    <m/>
    <s v="MEJORAMIENTO"/>
    <x v="37"/>
    <x v="36"/>
    <s v="ZONA1"/>
    <x v="1"/>
    <x v="11"/>
    <s v="AD. DIRECTA"/>
    <s v="VIALSUR"/>
    <n v="5.4"/>
    <m/>
    <n v="709"/>
    <s v="Excavacion sin clasificar a maquina (explotación de material)"/>
    <s v="m3"/>
    <n v="1.62"/>
    <n v="3456"/>
    <m/>
    <d v="2014-01-01T00:00:00"/>
    <d v="2014-01-31T00:00:00"/>
    <s v="EJECUTADO"/>
    <n v="5598.72"/>
  </r>
  <r>
    <m/>
    <m/>
    <s v="MEJORAMIENTO"/>
    <x v="1"/>
    <x v="36"/>
    <s v="ZONA1"/>
    <x v="1"/>
    <x v="11"/>
    <s v="AD. DIRECTA"/>
    <s v="VIALSUR"/>
    <m/>
    <m/>
    <n v="0"/>
    <s v="Transporte de material para mejoramiento, inc. cargado"/>
    <s v="m3/km"/>
    <n v="0.35"/>
    <n v="44928"/>
    <m/>
    <d v="2014-01-01T00:00:00"/>
    <d v="2014-01-31T00:00:00"/>
    <s v="EJECUTADO"/>
    <n v="15724.8"/>
  </r>
  <r>
    <m/>
    <m/>
    <s v="MANTENIMIENTO"/>
    <x v="1"/>
    <x v="36"/>
    <s v="ZONA1"/>
    <x v="1"/>
    <x v="11"/>
    <s v="AD. DIRECTA"/>
    <s v="VIALSUR"/>
    <m/>
    <n v="3.3099999999999996"/>
    <n v="0"/>
    <s v="Acabado de Obra Básica existente"/>
    <s v="m2"/>
    <n v="0.35"/>
    <n v="18200"/>
    <m/>
    <d v="2014-01-01T00:00:00"/>
    <d v="2014-01-31T00:00:00"/>
    <s v="EJECUTADO"/>
    <n v="6370"/>
  </r>
  <r>
    <m/>
    <m/>
    <s v="MEJORAMIENTO"/>
    <x v="38"/>
    <x v="37"/>
    <s v="ZONA1"/>
    <x v="3"/>
    <x v="12"/>
    <s v="AD. DIRECTA"/>
    <s v="VIALSUR"/>
    <n v="2"/>
    <m/>
    <n v="1712"/>
    <s v="Excavacion sin clasificar a maquina (explotación de material)"/>
    <s v="m3"/>
    <n v="1.62"/>
    <n v="4974"/>
    <m/>
    <d v="2014-01-01T00:00:00"/>
    <d v="2014-01-31T00:00:00"/>
    <s v="EJECUTADO"/>
    <n v="8057.88"/>
  </r>
  <r>
    <m/>
    <m/>
    <s v="MEJORAMIENTO"/>
    <x v="1"/>
    <x v="37"/>
    <s v="ZONA1"/>
    <x v="3"/>
    <x v="12"/>
    <s v="AD. DIRECTA"/>
    <s v="VIALSUR"/>
    <m/>
    <m/>
    <n v="0"/>
    <s v="Transporte de material para mejoramiento, inc. cargado"/>
    <s v="m3/km"/>
    <n v="0.35"/>
    <n v="24626"/>
    <m/>
    <d v="2014-01-01T00:00:00"/>
    <d v="2014-03-31T00:00:00"/>
    <s v="EJECUTADO"/>
    <n v="8619.1"/>
  </r>
  <r>
    <m/>
    <m/>
    <s v="MANTENIMIENTO"/>
    <x v="1"/>
    <x v="37"/>
    <s v="ZONA1"/>
    <x v="3"/>
    <x v="12"/>
    <s v="AD. DIRECTA"/>
    <s v="VIALSUR"/>
    <m/>
    <n v="5.1899999999999995"/>
    <n v="0"/>
    <s v="Acabado de Obra Básica existente"/>
    <s v="m2"/>
    <n v="0.35"/>
    <n v="28500"/>
    <m/>
    <d v="2014-01-01T00:00:00"/>
    <d v="2014-03-31T00:00:00"/>
    <s v="EJECUTADO"/>
    <n v="9975"/>
  </r>
  <r>
    <m/>
    <m/>
    <s v="MEJORAMIENTO"/>
    <x v="1"/>
    <x v="37"/>
    <s v="ZONA1"/>
    <x v="3"/>
    <x v="12"/>
    <s v="AD. DIRECTA"/>
    <s v="VIALSUR"/>
    <m/>
    <n v="2.89"/>
    <n v="0"/>
    <s v="Mejoramiento de la subrasante con suelo seleccionado"/>
    <s v="m3"/>
    <n v="5.92"/>
    <n v="3182"/>
    <m/>
    <d v="2014-01-01T00:00:00"/>
    <d v="2014-03-31T00:00:00"/>
    <s v="EJECUTADO"/>
    <n v="18837.439999999999"/>
  </r>
  <r>
    <m/>
    <m/>
    <s v="MEJORAMIENTO"/>
    <x v="39"/>
    <x v="38"/>
    <s v="ZONA1"/>
    <x v="3"/>
    <x v="13"/>
    <s v="AD. DIRECTA"/>
    <s v="VIALSUR"/>
    <n v="0.1"/>
    <m/>
    <n v="1506"/>
    <s v="Excavacion sin clasificar a maquina (explotación de material)"/>
    <s v="m3"/>
    <n v="1.62"/>
    <n v="6712"/>
    <m/>
    <d v="2014-01-01T00:00:00"/>
    <d v="2014-04-30T00:00:00"/>
    <s v="EJECUTADO"/>
    <n v="10873.44"/>
  </r>
  <r>
    <m/>
    <m/>
    <s v="MEJORAMIENTO"/>
    <x v="1"/>
    <x v="38"/>
    <s v="ZONA1"/>
    <x v="3"/>
    <x v="13"/>
    <s v="AD. DIRECTA"/>
    <s v="VIALSUR"/>
    <m/>
    <m/>
    <n v="0"/>
    <s v="Transporte de material"/>
    <s v="m3/km"/>
    <n v="0.35"/>
    <n v="3720"/>
    <m/>
    <d v="2014-01-01T00:00:00"/>
    <d v="2014-04-30T00:00:00"/>
    <s v="EJECUTADO"/>
    <n v="1302"/>
  </r>
  <r>
    <m/>
    <m/>
    <s v="MANTENIMIENTO"/>
    <x v="40"/>
    <x v="39"/>
    <s v="ZONA1"/>
    <x v="4"/>
    <x v="14"/>
    <s v="AD. DIRECTA"/>
    <s v="VIALSUR"/>
    <m/>
    <m/>
    <n v="0"/>
    <s v="Limpieza de derrumbes a máquina"/>
    <s v="m3"/>
    <n v="1.46"/>
    <n v="1344"/>
    <m/>
    <d v="2014-01-01T00:00:00"/>
    <d v="2014-03-31T00:00:00"/>
    <s v="EJECUTADO"/>
    <n v="1962.24"/>
  </r>
  <r>
    <m/>
    <m/>
    <s v="MANTENIMIENTO"/>
    <x v="1"/>
    <x v="39"/>
    <s v="ZONA1"/>
    <x v="4"/>
    <x v="14"/>
    <s v="AD. DIRECTA"/>
    <s v="VIALSUR"/>
    <m/>
    <m/>
    <n v="0"/>
    <s v="Limpieza de alcantarillas y desalojo hasta 6m"/>
    <s v="m3"/>
    <n v="16.128"/>
    <n v="346.67"/>
    <m/>
    <d v="2014-01-01T00:00:00"/>
    <d v="2014-03-31T00:00:00"/>
    <s v="EJECUTADO"/>
    <n v="5591.09"/>
  </r>
  <r>
    <m/>
    <m/>
    <s v="MEJORAMIENTO"/>
    <x v="41"/>
    <x v="40"/>
    <s v="ZONA1"/>
    <x v="0"/>
    <x v="15"/>
    <s v="AD. DIRECTA"/>
    <s v="VIALSUR"/>
    <m/>
    <m/>
    <n v="0"/>
    <s v="Excavacion sin clasificar a maquina (explotación de material)"/>
    <s v="m3"/>
    <n v="1.62"/>
    <n v="500"/>
    <m/>
    <d v="2014-01-01T00:00:00"/>
    <d v="2014-03-31T00:00:00"/>
    <s v="EJECUTADO"/>
    <n v="810"/>
  </r>
  <r>
    <m/>
    <m/>
    <s v="MEJORAMIENTO"/>
    <x v="42"/>
    <x v="41"/>
    <s v="ZONA1"/>
    <x v="3"/>
    <x v="13"/>
    <s v="AD. DIRECTA"/>
    <s v="VIALSUR"/>
    <m/>
    <m/>
    <n v="0"/>
    <s v="Excavación sin clasificar a maquina (explotación de material) "/>
    <s v="m3"/>
    <n v="1.62"/>
    <n v="7744"/>
    <m/>
    <d v="2014-04-01T00:00:00"/>
    <d v="2014-05-31T00:00:00"/>
    <s v="EJECUTADO"/>
    <n v="12545.28"/>
  </r>
  <r>
    <m/>
    <m/>
    <s v="MEJORAMIENTO"/>
    <x v="1"/>
    <x v="41"/>
    <s v="ZONA1"/>
    <x v="3"/>
    <x v="13"/>
    <s v="AD. DIRECTA"/>
    <s v="VIALSUR"/>
    <m/>
    <m/>
    <n v="0"/>
    <s v="Transporte de material para mejoramiento, inc cargado"/>
    <s v="m3/km"/>
    <n v="0.35"/>
    <n v="103483"/>
    <m/>
    <d v="2014-04-01T00:00:00"/>
    <d v="2014-05-31T00:00:00"/>
    <s v="EJECUTADO"/>
    <n v="36219.050000000003"/>
  </r>
  <r>
    <m/>
    <m/>
    <s v="MANTENIMIENTO"/>
    <x v="1"/>
    <x v="41"/>
    <s v="ZONA1"/>
    <x v="3"/>
    <x v="13"/>
    <s v="AD. DIRECTA"/>
    <s v="VIALSUR"/>
    <m/>
    <n v="4.3"/>
    <n v="0"/>
    <s v="Acabado de Obra Básica existente"/>
    <s v="m2"/>
    <n v="0.35"/>
    <n v="23600"/>
    <m/>
    <d v="2014-04-01T00:00:00"/>
    <d v="2014-05-31T00:00:00"/>
    <s v="EJECUTADO"/>
    <n v="8260"/>
  </r>
  <r>
    <m/>
    <m/>
    <s v="MEJORAMIENTO"/>
    <x v="1"/>
    <x v="41"/>
    <s v="ZONA1"/>
    <x v="3"/>
    <x v="13"/>
    <s v="AD. DIRECTA"/>
    <s v="VIALSUR"/>
    <m/>
    <n v="7.04"/>
    <n v="0"/>
    <s v="Mejoramiento de la subrasante con suelo seleccionado"/>
    <s v="m3"/>
    <n v="5.92"/>
    <n v="7744"/>
    <m/>
    <d v="2014-04-01T00:00:00"/>
    <d v="2014-05-31T00:00:00"/>
    <s v="EJECUTADO"/>
    <n v="45844.480000000003"/>
  </r>
  <r>
    <m/>
    <m/>
    <s v="MANTENIMIENTO"/>
    <x v="1"/>
    <x v="41"/>
    <s v="ZONA1"/>
    <x v="3"/>
    <x v="13"/>
    <s v="AD. DIRECTA"/>
    <s v="VIALSUR"/>
    <m/>
    <m/>
    <n v="0"/>
    <s v="Limpieza de derrumbes a máquina"/>
    <s v="m3"/>
    <n v="1.46"/>
    <n v="600"/>
    <m/>
    <d v="2014-04-01T00:00:00"/>
    <d v="2014-05-31T00:00:00"/>
    <s v="EJECUTADO"/>
    <n v="876"/>
  </r>
  <r>
    <m/>
    <m/>
    <s v="MANTENIMIENTO"/>
    <x v="1"/>
    <x v="41"/>
    <s v="ZONA1"/>
    <x v="3"/>
    <x v="13"/>
    <s v="AD. DIRECTA"/>
    <s v="VIALSUR"/>
    <m/>
    <m/>
    <n v="0"/>
    <s v="Limpieza de alcantarillas y desalojo hasta 6m"/>
    <s v="m3"/>
    <n v="16.13"/>
    <n v="1240"/>
    <m/>
    <d v="2014-04-01T00:00:00"/>
    <d v="2014-05-31T00:00:00"/>
    <s v="EJECUTADO"/>
    <n v="20001.2"/>
  </r>
  <r>
    <m/>
    <m/>
    <s v="MANTENIMIENTO"/>
    <x v="1"/>
    <x v="41"/>
    <s v="ZONA1"/>
    <x v="3"/>
    <x v="13"/>
    <s v="AD. DIRECTA"/>
    <s v="VIALSUR"/>
    <m/>
    <m/>
    <n v="0"/>
    <s v="Rasanteo y conformacion de cunetas con motoniveladora"/>
    <s v="m2"/>
    <n v="0.08"/>
    <n v="167323"/>
    <m/>
    <d v="2014-01-05T00:00:00"/>
    <d v="2014-05-31T00:00:00"/>
    <s v="EJECUTADO"/>
    <n v="13385.84"/>
  </r>
  <r>
    <s v="3"/>
    <s v="EJECUTADO"/>
    <s v="MEJORAMIENTO"/>
    <x v="43"/>
    <x v="42"/>
    <s v="ZONA1"/>
    <x v="3"/>
    <x v="13"/>
    <s v="AD. DIRECTA"/>
    <s v="VIALSUR"/>
    <n v="4"/>
    <m/>
    <n v="1506"/>
    <s v="Excavacion sin clasificar a maquina (explotación de material)"/>
    <s v="m3"/>
    <n v="1.62"/>
    <n v="1848"/>
    <m/>
    <d v="2014-07-01T00:00:00"/>
    <d v="2014-07-31T00:00:00"/>
    <s v="EJECUTADO"/>
    <n v="2993.76"/>
  </r>
  <r>
    <m/>
    <m/>
    <s v="MEJORAMIENTO"/>
    <x v="1"/>
    <x v="42"/>
    <s v="ZONA1"/>
    <x v="3"/>
    <x v="13"/>
    <s v="AD. DIRECTA"/>
    <s v="VIALSUR"/>
    <m/>
    <m/>
    <n v="0"/>
    <s v="Transporte de material para mejoramiento, inc. cargado"/>
    <s v="m3/km"/>
    <n v="0.35"/>
    <n v="3696"/>
    <m/>
    <d v="2014-07-01T00:00:00"/>
    <d v="2014-07-31T00:00:00"/>
    <s v="EJECUTADO"/>
    <n v="1293.5999999999999"/>
  </r>
  <r>
    <m/>
    <m/>
    <s v="MANTENIMIENTO"/>
    <x v="1"/>
    <x v="42"/>
    <s v="ZONA1"/>
    <x v="3"/>
    <x v="13"/>
    <s v="AD. DIRECTA"/>
    <s v="VIALSUR"/>
    <m/>
    <n v="3.28"/>
    <n v="0"/>
    <s v="Acabado de la obra básica existente"/>
    <s v="m2"/>
    <n v="0.35"/>
    <n v="18000"/>
    <m/>
    <d v="2014-07-01T00:00:00"/>
    <d v="2014-07-31T00:00:00"/>
    <s v="EJECUTADO"/>
    <n v="6300"/>
  </r>
  <r>
    <m/>
    <m/>
    <s v="MEJORAMIENTO"/>
    <x v="1"/>
    <x v="42"/>
    <s v="ZONA1"/>
    <x v="3"/>
    <x v="13"/>
    <s v="AD. DIRECTA"/>
    <s v="VIALSUR"/>
    <m/>
    <n v="1.68"/>
    <n v="0"/>
    <s v="Mejoramiento de la subrasante con suelo seleccionado"/>
    <s v="m3"/>
    <n v="5.92"/>
    <n v="1848"/>
    <m/>
    <d v="2014-07-01T00:00:00"/>
    <d v="2014-07-31T00:00:00"/>
    <s v="EJECUTADO"/>
    <n v="10940.16"/>
  </r>
  <r>
    <s v="4"/>
    <s v="EJECUTADO"/>
    <s v="MANTENIMIENTO"/>
    <x v="44"/>
    <x v="43"/>
    <s v="ZONA1"/>
    <x v="3"/>
    <x v="12"/>
    <s v="AD. DIRECTA"/>
    <s v="VIALSUR"/>
    <m/>
    <m/>
    <n v="0"/>
    <s v="Limpieza de derrumbes a máquina"/>
    <s v="m3"/>
    <n v="1.46"/>
    <n v="8516"/>
    <m/>
    <d v="2014-07-01T00:00:00"/>
    <d v="2014-07-31T00:00:00"/>
    <s v="EJECUTADO"/>
    <n v="12433.36"/>
  </r>
  <r>
    <s v="5"/>
    <s v="EJECUTADO"/>
    <s v="MEJORAMIENTO"/>
    <x v="45"/>
    <x v="44"/>
    <s v="ZONA1"/>
    <x v="3"/>
    <x v="13"/>
    <s v="AD. DIRECTA"/>
    <s v="VIALSUR"/>
    <n v="2"/>
    <m/>
    <n v="1506"/>
    <s v="Excavacion sin clasificar a maquina (explotación de material)"/>
    <s v="m3"/>
    <n v="1.62"/>
    <n v="672"/>
    <m/>
    <d v="2014-07-01T00:00:00"/>
    <d v="2014-07-31T00:00:00"/>
    <s v="EJECUTADO"/>
    <n v="1088.6400000000001"/>
  </r>
  <r>
    <m/>
    <m/>
    <s v="MEJORAMIENTO"/>
    <x v="1"/>
    <x v="44"/>
    <s v="ZONA1"/>
    <x v="3"/>
    <x v="13"/>
    <s v="AD. DIRECTA"/>
    <s v="VIALSUR"/>
    <m/>
    <m/>
    <n v="0"/>
    <s v="Transporte de material para mejoramiento, inc. cargado"/>
    <s v="m3/km"/>
    <n v="0.35"/>
    <n v="5376"/>
    <m/>
    <d v="2014-07-01T00:00:00"/>
    <d v="2014-07-31T00:00:00"/>
    <s v="EJECUTADO"/>
    <n v="1881.6"/>
  </r>
  <r>
    <m/>
    <m/>
    <s v="MANTENIMIENTO"/>
    <x v="1"/>
    <x v="44"/>
    <s v="ZONA1"/>
    <x v="3"/>
    <x v="13"/>
    <s v="AD. DIRECTA"/>
    <s v="VIALSUR"/>
    <m/>
    <n v="1.49"/>
    <n v="0"/>
    <s v="Razanteo con Motoniveladora"/>
    <s v="m2"/>
    <n v="0.08"/>
    <n v="8147"/>
    <m/>
    <d v="2014-07-01T00:00:00"/>
    <d v="2014-07-31T00:00:00"/>
    <s v="EJECUTADO"/>
    <n v="651.76"/>
  </r>
  <r>
    <m/>
    <m/>
    <s v="MEJORAMIENTO"/>
    <x v="1"/>
    <x v="44"/>
    <s v="ZONA1"/>
    <x v="3"/>
    <x v="13"/>
    <s v="AD. DIRECTA"/>
    <s v="VIALSUR"/>
    <m/>
    <n v="0.51"/>
    <n v="0"/>
    <s v="Mejoramiento de la subrasante con suelo seleccionado"/>
    <s v="m3"/>
    <n v="5.92"/>
    <n v="560"/>
    <m/>
    <d v="2014-07-01T00:00:00"/>
    <d v="2014-07-31T00:00:00"/>
    <s v="EJECUTADO"/>
    <n v="3315.2"/>
  </r>
  <r>
    <s v="6"/>
    <s v="EJECUTADO"/>
    <s v="MEJORAMIENTO"/>
    <x v="46"/>
    <x v="45"/>
    <s v="ZONA1"/>
    <x v="3"/>
    <x v="13"/>
    <s v="AD. DIRECTA"/>
    <s v="VIALSUR"/>
    <n v="2"/>
    <m/>
    <n v="1506"/>
    <s v="Excavacion sin clasificar a maquina (explotación de material)"/>
    <s v="m3"/>
    <n v="1.62"/>
    <n v="1534"/>
    <m/>
    <d v="2014-07-01T00:00:00"/>
    <d v="2014-07-31T00:00:00"/>
    <s v="EJECUTADO"/>
    <n v="2485.08"/>
  </r>
  <r>
    <m/>
    <m/>
    <s v="MEJORAMIENTO"/>
    <x v="1"/>
    <x v="45"/>
    <s v="ZONA1"/>
    <x v="3"/>
    <x v="13"/>
    <s v="AD. DIRECTA"/>
    <s v="VIALSUR"/>
    <m/>
    <m/>
    <n v="0"/>
    <s v="Transporte de material para mejoramiento, inc. cargado"/>
    <s v="m3/km"/>
    <n v="0.35"/>
    <n v="4602"/>
    <m/>
    <d v="2014-07-01T00:00:00"/>
    <d v="2014-07-31T00:00:00"/>
    <s v="EJECUTADO"/>
    <n v="1610.7"/>
  </r>
  <r>
    <m/>
    <m/>
    <s v="MANTENIMIENTO"/>
    <x v="1"/>
    <x v="45"/>
    <s v="ZONA1"/>
    <x v="3"/>
    <x v="13"/>
    <s v="AD. DIRECTA"/>
    <s v="VIALSUR"/>
    <m/>
    <n v="39"/>
    <n v="0"/>
    <s v="Razanteo con Motoniveladora"/>
    <s v="m2"/>
    <n v="0.08"/>
    <n v="214500"/>
    <m/>
    <d v="2014-07-01T00:00:00"/>
    <d v="2014-07-31T00:00:00"/>
    <s v="EJECUTADO"/>
    <n v="17160"/>
  </r>
  <r>
    <m/>
    <m/>
    <s v="MEJORAMIENTO"/>
    <x v="1"/>
    <x v="45"/>
    <s v="ZONA1"/>
    <x v="3"/>
    <x v="13"/>
    <s v="AD. DIRECTA"/>
    <s v="VIALSUR"/>
    <m/>
    <n v="1.39"/>
    <n v="0"/>
    <s v="Mejoramiento de la subrasante con suelo seleccionado"/>
    <s v="m3"/>
    <n v="5.92"/>
    <n v="1534"/>
    <m/>
    <d v="2014-07-01T00:00:00"/>
    <d v="2014-07-31T00:00:00"/>
    <s v="EJECUTADO"/>
    <n v="9081.2800000000007"/>
  </r>
  <r>
    <m/>
    <m/>
    <s v="MEJORAMIENTO"/>
    <x v="47"/>
    <x v="46"/>
    <s v="ZONA1"/>
    <x v="3"/>
    <x v="13"/>
    <s v="AD. DIRECTA"/>
    <s v="VIALSUR"/>
    <m/>
    <m/>
    <n v="0"/>
    <s v="Excavación sin clasificar a maquina (explotación de material) "/>
    <s v="m3"/>
    <n v="1.62"/>
    <m/>
    <m/>
    <d v="2014-06-01T00:00:00"/>
    <d v="2014-06-30T00:00:00"/>
    <s v="EJECUTADO"/>
    <n v="0"/>
  </r>
  <r>
    <m/>
    <m/>
    <s v="MEJORAMIENTO"/>
    <x v="1"/>
    <x v="46"/>
    <s v="ZONA1"/>
    <x v="3"/>
    <x v="13"/>
    <s v="AD. DIRECTA"/>
    <s v="VIALSUR"/>
    <m/>
    <m/>
    <n v="0"/>
    <s v="Transporte de material para mejoramiento, inc cargado"/>
    <s v="m3/km"/>
    <n v="0.35"/>
    <n v="5670"/>
    <m/>
    <d v="2014-06-01T00:00:00"/>
    <d v="2014-06-30T00:00:00"/>
    <s v="EJECUTADO"/>
    <n v="1984.5"/>
  </r>
  <r>
    <m/>
    <m/>
    <s v="MANTENIMIENTO"/>
    <x v="1"/>
    <x v="46"/>
    <s v="ZONA1"/>
    <x v="3"/>
    <x v="13"/>
    <s v="AD. DIRECTA"/>
    <s v="VIALSUR"/>
    <m/>
    <n v="4.91"/>
    <n v="0"/>
    <s v="Acabado de Obra Básica existente"/>
    <s v="m2"/>
    <n v="0.35"/>
    <n v="27000"/>
    <m/>
    <d v="2014-06-01T00:00:00"/>
    <d v="2014-06-30T00:00:00"/>
    <s v="EJECUTADO"/>
    <n v="9450"/>
  </r>
  <r>
    <m/>
    <m/>
    <s v="MEJORAMIENTO"/>
    <x v="1"/>
    <x v="46"/>
    <s v="ZONA1"/>
    <x v="3"/>
    <x v="13"/>
    <s v="AD. DIRECTA"/>
    <s v="VIALSUR"/>
    <m/>
    <n v="1.47"/>
    <n v="0"/>
    <s v="Mejoramiento de la subrasante con suelo seleccionado"/>
    <s v="m3"/>
    <n v="5.92"/>
    <n v="1620"/>
    <m/>
    <d v="2014-06-01T00:00:00"/>
    <d v="2014-06-30T00:00:00"/>
    <s v="EJECUTADO"/>
    <n v="9590.4"/>
  </r>
  <r>
    <m/>
    <m/>
    <s v="MEJORAMIENTO"/>
    <x v="48"/>
    <x v="47"/>
    <s v="ZONA1"/>
    <x v="4"/>
    <x v="16"/>
    <s v="CONVENIO"/>
    <s v="VIALSUR"/>
    <n v="13.3"/>
    <m/>
    <n v="642"/>
    <s v="Excavación sin clasificar a maquina (explotación de material) "/>
    <s v="m3"/>
    <n v="1.62"/>
    <n v="13340"/>
    <m/>
    <d v="2014-01-01T00:00:00"/>
    <d v="2014-03-31T00:00:00"/>
    <s v="EJECUTADO"/>
    <n v="21610.799999999999"/>
  </r>
  <r>
    <m/>
    <m/>
    <s v="MANTENIMIENTO"/>
    <x v="1"/>
    <x v="47"/>
    <s v="ZONA1"/>
    <x v="4"/>
    <x v="16"/>
    <s v="CONVENIO"/>
    <s v="VIALSUR"/>
    <m/>
    <m/>
    <n v="0"/>
    <s v="Limpieza de derrumbes a máquina"/>
    <s v="m3"/>
    <n v="1.46"/>
    <n v="6176"/>
    <m/>
    <d v="2014-01-01T00:00:00"/>
    <d v="2014-03-31T00:00:00"/>
    <s v="EJECUTADO"/>
    <n v="9016.9599999999991"/>
  </r>
  <r>
    <m/>
    <m/>
    <s v="MANTENIMIENTO"/>
    <x v="1"/>
    <x v="47"/>
    <s v="ZONA1"/>
    <x v="4"/>
    <x v="16"/>
    <s v="CONVENIO"/>
    <s v="VIALSUR"/>
    <m/>
    <m/>
    <n v="0"/>
    <s v="Transporte de material de derrumbes (desalojo a escombrera)"/>
    <s v="m3/km"/>
    <n v="0.24"/>
    <n v="4328"/>
    <m/>
    <d v="2014-01-01T00:00:00"/>
    <d v="2014-03-31T00:00:00"/>
    <s v="EJECUTADO"/>
    <n v="1038.72"/>
  </r>
  <r>
    <m/>
    <m/>
    <s v="MEJORAMIENTO"/>
    <x v="1"/>
    <x v="47"/>
    <s v="ZONA1"/>
    <x v="4"/>
    <x v="16"/>
    <s v="CONVENIO"/>
    <s v="VIALSUR"/>
    <m/>
    <m/>
    <n v="0"/>
    <s v="Transporte de material para mejoramiento, inc cargado"/>
    <s v="m3/km"/>
    <n v="0.35"/>
    <n v="95305.2"/>
    <m/>
    <d v="2014-01-01T00:00:00"/>
    <d v="2014-03-31T00:00:00"/>
    <s v="EJECUTADO"/>
    <n v="33356.82"/>
  </r>
  <r>
    <m/>
    <m/>
    <s v="MANTENIMIENTO"/>
    <x v="1"/>
    <x v="47"/>
    <s v="ZONA1"/>
    <x v="4"/>
    <x v="16"/>
    <s v="CONVENIO"/>
    <s v="VIALSUR"/>
    <m/>
    <n v="9.74"/>
    <n v="0"/>
    <s v="Rasanteo y conformacion de cunetas con motoniveladora"/>
    <s v="m2"/>
    <n v="0.08"/>
    <n v="53520"/>
    <m/>
    <d v="2014-01-01T00:00:00"/>
    <d v="2014-03-31T00:00:00"/>
    <s v="EJECUTADO"/>
    <n v="4281.6000000000004"/>
  </r>
  <r>
    <m/>
    <m/>
    <s v="MANTENIMIENTO"/>
    <x v="1"/>
    <x v="47"/>
    <s v="ZONA1"/>
    <x v="4"/>
    <x v="16"/>
    <s v="CONVENIO"/>
    <s v="VIALSUR"/>
    <m/>
    <n v="4.87"/>
    <n v="0"/>
    <s v="Acabado de Obra Básica existente"/>
    <s v="m2"/>
    <n v="0.35"/>
    <n v="26760"/>
    <m/>
    <d v="2014-01-01T00:00:00"/>
    <d v="2014-03-31T00:00:00"/>
    <s v="EJECUTADO"/>
    <n v="9366"/>
  </r>
  <r>
    <m/>
    <m/>
    <s v="MEJORAMIENTO"/>
    <x v="1"/>
    <x v="47"/>
    <s v="ZONA1"/>
    <x v="4"/>
    <x v="16"/>
    <s v="CONVENIO"/>
    <s v="VIALSUR"/>
    <m/>
    <n v="10.79"/>
    <n v="0"/>
    <s v="Mejoramiento de la subrasante con suelo seleccionado"/>
    <s v="m3"/>
    <n v="5.92"/>
    <n v="11868"/>
    <m/>
    <d v="2014-01-01T00:00:00"/>
    <d v="2014-03-31T00:00:00"/>
    <s v="EJECUTADO"/>
    <n v="70258.559999999998"/>
  </r>
  <r>
    <m/>
    <m/>
    <s v="MANTENIMIENTO"/>
    <x v="1"/>
    <x v="47"/>
    <s v="ZONA1"/>
    <x v="4"/>
    <x v="16"/>
    <s v="CONVENIO"/>
    <s v="VIALSUR"/>
    <m/>
    <m/>
    <n v="0"/>
    <s v="Limpieza de alcantarillas y desalojo hasta 6m"/>
    <s v="m3"/>
    <n v="16.128"/>
    <n v="410"/>
    <m/>
    <d v="2014-01-01T00:00:00"/>
    <d v="2014-03-31T00:00:00"/>
    <s v="EJECUTADO"/>
    <n v="6612.48"/>
  </r>
  <r>
    <m/>
    <m/>
    <s v="MANTENIMIENTO"/>
    <x v="1"/>
    <x v="47"/>
    <s v="ZONA1"/>
    <x v="4"/>
    <x v="16"/>
    <s v="AD. DIRECTA"/>
    <s v="VIALSUR"/>
    <m/>
    <m/>
    <n v="0"/>
    <s v="Limpieza de derrumbes a máquina"/>
    <s v="m3"/>
    <n v="1.46"/>
    <n v="11950"/>
    <m/>
    <d v="2014-01-01T00:00:00"/>
    <d v="2014-05-31T00:00:00"/>
    <s v="EJECUTADO"/>
    <n v="17447"/>
  </r>
  <r>
    <m/>
    <m/>
    <s v="MANTENIMIENTO"/>
    <x v="49"/>
    <x v="48"/>
    <s v="ZONA1"/>
    <x v="3"/>
    <x v="17"/>
    <s v="CONTRATO"/>
    <s v="VIALSUR"/>
    <n v="15.453333333333333"/>
    <n v="4.2350000000000003"/>
    <n v="677.77777777777783"/>
    <s v="Rasanteo y conformacion de cunetas con motoniveladora"/>
    <s v="m2"/>
    <n v="0.08"/>
    <n v="139737.5"/>
    <m/>
    <d v="2014-01-01T00:00:00"/>
    <d v="2014-02-28T00:00:00"/>
    <s v="EJECUTADO"/>
    <n v="11179"/>
  </r>
  <r>
    <m/>
    <m/>
    <s v="MANTENIMIENTO"/>
    <x v="49"/>
    <x v="48"/>
    <s v="ZONA1"/>
    <x v="0"/>
    <x v="0"/>
    <s v="CONTRATO"/>
    <s v="VIALSUR"/>
    <n v="15.453333333333333"/>
    <n v="4.2350000000000003"/>
    <n v="677.77777777777783"/>
    <s v="Rasanteo y conformacion de cunetas con motoniveladora"/>
    <s v="m2"/>
    <n v="0.08"/>
    <n v="139737.5"/>
    <m/>
    <d v="2014-01-01T00:00:00"/>
    <d v="2014-02-28T00:00:00"/>
    <s v="EJECUTADO"/>
    <n v="11179"/>
  </r>
  <r>
    <m/>
    <m/>
    <s v="MANTENIMIENTO"/>
    <x v="49"/>
    <x v="48"/>
    <s v="ZONA1"/>
    <x v="0"/>
    <x v="3"/>
    <s v="CONTRATO"/>
    <s v="VIALSUR"/>
    <n v="15.453333333333333"/>
    <n v="4.2350000000000003"/>
    <n v="677.77777777777783"/>
    <s v="Rasanteo y conformacion de cunetas con motoniveladora"/>
    <s v="m2"/>
    <n v="0.08"/>
    <n v="139737.5"/>
    <m/>
    <d v="2014-01-01T00:00:00"/>
    <d v="2014-02-28T00:00:00"/>
    <s v="EJECUTADO"/>
    <n v="11179"/>
  </r>
  <r>
    <m/>
    <m/>
    <s v="MANTENIMIENTO"/>
    <x v="49"/>
    <x v="48"/>
    <s v="ZONA1"/>
    <x v="1"/>
    <x v="18"/>
    <s v="CONTRATO"/>
    <s v="VIALSUR"/>
    <n v="15.453333333333333"/>
    <n v="4.2350000000000003"/>
    <n v="677.77777777777783"/>
    <s v="Rasanteo y conformacion de cunetas con motoniveladora"/>
    <s v="m2"/>
    <n v="0.08"/>
    <n v="139737.5"/>
    <m/>
    <d v="2014-01-01T00:00:00"/>
    <d v="2014-02-28T00:00:00"/>
    <s v="EJECUTADO"/>
    <n v="11179"/>
  </r>
  <r>
    <m/>
    <m/>
    <s v="MANTENIMIENTO"/>
    <x v="49"/>
    <x v="48"/>
    <s v="ZONA1"/>
    <x v="2"/>
    <x v="9"/>
    <s v="CONTRATO"/>
    <s v="VIALSUR"/>
    <n v="15.453333333333333"/>
    <n v="4.2350000000000003"/>
    <n v="677.77777777777783"/>
    <s v="Rasanteo y conformacion de cunetas con motoniveladora"/>
    <s v="m2"/>
    <n v="0.08"/>
    <n v="139737.5"/>
    <m/>
    <d v="2014-01-01T00:00:00"/>
    <d v="2014-02-28T00:00:00"/>
    <s v="EJECUTADO"/>
    <n v="11179"/>
  </r>
  <r>
    <m/>
    <m/>
    <s v="MANTENIMIENTO"/>
    <x v="49"/>
    <x v="48"/>
    <s v="ZONA1"/>
    <x v="4"/>
    <x v="19"/>
    <s v="CONTRATO"/>
    <s v="VIALSUR"/>
    <n v="15.453333333333333"/>
    <n v="4.2350000000000003"/>
    <n v="677.77777777777783"/>
    <s v="Rasanteo y conformacion de cunetas con motoniveladora"/>
    <s v="m2"/>
    <n v="0.08"/>
    <n v="139737.5"/>
    <m/>
    <d v="2014-01-01T00:00:00"/>
    <d v="2014-02-28T00:00:00"/>
    <s v="EJECUTADO"/>
    <n v="11179"/>
  </r>
  <r>
    <m/>
    <m/>
    <s v="MANTENIMIENTO"/>
    <x v="50"/>
    <x v="49"/>
    <s v="ZONA2"/>
    <x v="5"/>
    <x v="20"/>
    <s v="AD. DIRECTA"/>
    <s v="VIALSUR"/>
    <n v="9"/>
    <m/>
    <n v="489"/>
    <s v="Roza a mano"/>
    <s v="Ha"/>
    <n v="948.16"/>
    <n v="1"/>
    <m/>
    <d v="2014-09-01T00:00:00"/>
    <d v="2014-10-30T00:00:00"/>
    <s v="EJECUTADO"/>
    <n v="948.16"/>
  </r>
  <r>
    <m/>
    <m/>
    <s v="MEJORAMIENTO"/>
    <x v="1"/>
    <x v="49"/>
    <s v="ZONA2"/>
    <x v="5"/>
    <x v="20"/>
    <s v="AD. DIRECTA"/>
    <s v="VIALSUR"/>
    <m/>
    <m/>
    <n v="0"/>
    <s v="Excavación sin clasificar a máquina"/>
    <s v="m3"/>
    <n v="1.62"/>
    <n v="3000"/>
    <m/>
    <d v="2014-09-01T00:00:00"/>
    <d v="2014-10-30T00:00:00"/>
    <s v="EJECUTADO"/>
    <n v="4860"/>
  </r>
  <r>
    <m/>
    <m/>
    <s v="MANTENIMIENTO"/>
    <x v="1"/>
    <x v="49"/>
    <s v="ZONA2"/>
    <x v="5"/>
    <x v="20"/>
    <s v="AD. DIRECTA"/>
    <s v="VIALSUR"/>
    <m/>
    <m/>
    <n v="0"/>
    <s v="Limpieza de derrumbes a máquina"/>
    <s v="m3"/>
    <n v="1.46"/>
    <n v="600"/>
    <m/>
    <d v="2014-09-01T00:00:00"/>
    <d v="2014-10-30T00:00:00"/>
    <s v="EJECUTADO"/>
    <n v="876"/>
  </r>
  <r>
    <m/>
    <m/>
    <s v="MANTENIMIENTO"/>
    <x v="1"/>
    <x v="49"/>
    <s v="ZONA2"/>
    <x v="5"/>
    <x v="20"/>
    <s v="AD. DIRECTA"/>
    <s v="VIALSUR"/>
    <m/>
    <m/>
    <n v="0"/>
    <s v="Limpieza de cunetas y alcantarillas a maquina"/>
    <s v="m3"/>
    <n v="1.46"/>
    <n v="150"/>
    <m/>
    <d v="2014-09-01T00:00:00"/>
    <d v="2014-10-30T00:00:00"/>
    <s v="EJECUTADO"/>
    <n v="219"/>
  </r>
  <r>
    <m/>
    <m/>
    <s v="MANTENIMIENTO"/>
    <x v="1"/>
    <x v="49"/>
    <s v="ZONA2"/>
    <x v="5"/>
    <x v="20"/>
    <s v="AD. DIRECTA"/>
    <s v="VIALSUR"/>
    <m/>
    <m/>
    <n v="0"/>
    <s v="Transporte de material excavado ( desalojo de escombrera)"/>
    <s v="m3/km"/>
    <n v="0.3"/>
    <n v="9000"/>
    <m/>
    <d v="2014-09-01T00:00:00"/>
    <d v="2014-10-30T00:00:00"/>
    <s v="EJECUTADO"/>
    <n v="2700"/>
  </r>
  <r>
    <m/>
    <m/>
    <s v="MEJORAMIENTO"/>
    <x v="1"/>
    <x v="49"/>
    <s v="ZONA2"/>
    <x v="5"/>
    <x v="20"/>
    <s v="AD. DIRECTA"/>
    <s v="VIALSUR"/>
    <m/>
    <m/>
    <n v="0"/>
    <s v="Transporte de material de mejoramiento, inc cargado"/>
    <s v="m3/km"/>
    <n v="0.3"/>
    <n v="2812.5"/>
    <m/>
    <d v="2014-09-01T00:00:00"/>
    <d v="2014-10-30T00:00:00"/>
    <s v="EJECUTADO"/>
    <n v="843.75"/>
  </r>
  <r>
    <m/>
    <m/>
    <s v="MANTENIMIENTO"/>
    <x v="1"/>
    <x v="49"/>
    <s v="ZONA2"/>
    <x v="5"/>
    <x v="20"/>
    <s v="AD. DIRECTA"/>
    <s v="VIALSUR"/>
    <m/>
    <n v="10.91"/>
    <n v="0"/>
    <s v="Rasanteo y conformacion de cunetas con motoniveladora"/>
    <s v="m2"/>
    <n v="0.08"/>
    <n v="60000"/>
    <m/>
    <d v="2014-09-01T00:00:00"/>
    <d v="2014-10-30T00:00:00"/>
    <s v="EJECUTADO"/>
    <n v="4800"/>
  </r>
  <r>
    <m/>
    <m/>
    <s v="MANTENIMIENTO"/>
    <x v="1"/>
    <x v="49"/>
    <s v="ZONA2"/>
    <x v="5"/>
    <x v="20"/>
    <s v="AD. DIRECTA"/>
    <s v="VIALSUR"/>
    <m/>
    <n v="4.0999999999999996"/>
    <n v="0"/>
    <s v="Reconformación de la rasante"/>
    <s v="m2"/>
    <n v="0.35"/>
    <n v="22500"/>
    <m/>
    <d v="2014-09-01T00:00:00"/>
    <d v="2014-10-30T00:00:00"/>
    <s v="EJECUTADO"/>
    <n v="7875"/>
  </r>
  <r>
    <m/>
    <m/>
    <s v="MEJORAMIENTO"/>
    <x v="1"/>
    <x v="49"/>
    <s v="ZONA2"/>
    <x v="5"/>
    <x v="20"/>
    <s v="AD. DIRECTA"/>
    <s v="VIALSUR"/>
    <m/>
    <n v="1.02"/>
    <n v="0"/>
    <s v="Mejoramiento de la subrasante con suelo seleccionado"/>
    <s v="m3"/>
    <n v="5.92"/>
    <n v="1125"/>
    <m/>
    <d v="2014-09-01T00:00:00"/>
    <d v="2014-10-30T00:00:00"/>
    <s v="EJECUTADO"/>
    <n v="6660"/>
  </r>
  <r>
    <m/>
    <m/>
    <s v="MANTENIMIENTO"/>
    <x v="51"/>
    <x v="50"/>
    <s v="ZONA2"/>
    <x v="4"/>
    <x v="14"/>
    <s v="AD. DIRECTA"/>
    <s v="VIALSUR"/>
    <n v="14"/>
    <m/>
    <n v="1902"/>
    <s v="Roza a mano"/>
    <s v="Ha"/>
    <n v="948.16"/>
    <n v="0"/>
    <m/>
    <d v="2014-01-01T00:00:00"/>
    <d v="2014-01-31T00:00:00"/>
    <s v="EJECUTADO"/>
    <n v="0"/>
  </r>
  <r>
    <m/>
    <m/>
    <s v="MEJORAMIENTO"/>
    <x v="1"/>
    <x v="50"/>
    <s v="ZONA2"/>
    <x v="4"/>
    <x v="14"/>
    <s v="AD. DIRECTA"/>
    <s v="VIALSUR"/>
    <m/>
    <m/>
    <n v="0"/>
    <s v="Excavación sin clasificar a máquina"/>
    <s v="m3"/>
    <n v="1.62"/>
    <n v="4884"/>
    <m/>
    <d v="2014-01-01T00:00:00"/>
    <d v="2014-02-28T00:00:00"/>
    <s v="EJECUTADO"/>
    <n v="7912.08"/>
  </r>
  <r>
    <m/>
    <m/>
    <s v="MANTENIMIENTO"/>
    <x v="1"/>
    <x v="50"/>
    <s v="ZONA2"/>
    <x v="4"/>
    <x v="14"/>
    <s v="AD. DIRECTA"/>
    <s v="VIALSUR"/>
    <m/>
    <m/>
    <n v="0"/>
    <s v="Limpieza de derrumbes a máquina"/>
    <s v="m3"/>
    <n v="1.46"/>
    <n v="3300"/>
    <m/>
    <d v="2014-01-01T00:00:00"/>
    <d v="2014-02-28T00:00:00"/>
    <s v="EJECUTADO"/>
    <n v="4818"/>
  </r>
  <r>
    <m/>
    <m/>
    <s v="MANTENIMIENTO"/>
    <x v="1"/>
    <x v="50"/>
    <s v="ZONA2"/>
    <x v="4"/>
    <x v="14"/>
    <s v="AD. DIRECTA"/>
    <s v="VIALSUR"/>
    <m/>
    <m/>
    <n v="0"/>
    <s v="Limpieza de cunetas y alcantarillas a maquina"/>
    <s v="m3"/>
    <n v="1.47"/>
    <n v="0"/>
    <m/>
    <d v="2014-01-01T00:00:00"/>
    <d v="2014-01-31T00:00:00"/>
    <s v="EJECUTADO"/>
    <n v="0"/>
  </r>
  <r>
    <m/>
    <m/>
    <s v="MANTENIMIENTO"/>
    <x v="1"/>
    <x v="50"/>
    <s v="ZONA2"/>
    <x v="4"/>
    <x v="14"/>
    <s v="AD. DIRECTA"/>
    <s v="VIALSUR"/>
    <m/>
    <m/>
    <n v="0"/>
    <s v="Transporte de material excavado ( desalojo de escombrera)"/>
    <s v="m3/km"/>
    <n v="0.3"/>
    <n v="0"/>
    <m/>
    <d v="2014-01-01T00:00:00"/>
    <d v="2014-01-31T00:00:00"/>
    <s v="EJECUTADO"/>
    <n v="0"/>
  </r>
  <r>
    <m/>
    <m/>
    <s v="MEJORAMIENTO"/>
    <x v="1"/>
    <x v="50"/>
    <s v="ZONA2"/>
    <x v="4"/>
    <x v="14"/>
    <s v="AD. DIRECTA"/>
    <s v="VIALSUR"/>
    <m/>
    <m/>
    <n v="0"/>
    <s v="Transporte de material de mejoramiento, inc cargado"/>
    <s v="m3/km"/>
    <n v="0.3"/>
    <n v="32520"/>
    <m/>
    <d v="2014-01-01T00:00:00"/>
    <d v="2014-02-28T00:00:00"/>
    <s v="EJECUTADO"/>
    <n v="9756"/>
  </r>
  <r>
    <m/>
    <m/>
    <s v="MANTENIMIENTO"/>
    <x v="1"/>
    <x v="50"/>
    <s v="ZONA2"/>
    <x v="4"/>
    <x v="14"/>
    <s v="AD. DIRECTA"/>
    <s v="VIALSUR"/>
    <m/>
    <n v="11.82"/>
    <n v="0"/>
    <s v="Rasanteo y conformacion de cunetas con motoniveladora"/>
    <s v="m2"/>
    <n v="0.08"/>
    <n v="65000"/>
    <m/>
    <d v="2014-01-01T00:00:00"/>
    <d v="2014-02-28T00:00:00"/>
    <s v="EJECUTADO"/>
    <n v="5200"/>
  </r>
  <r>
    <m/>
    <m/>
    <s v="MANTENIMIENTO"/>
    <x v="1"/>
    <x v="50"/>
    <s v="ZONA2"/>
    <x v="4"/>
    <x v="14"/>
    <s v="AD. DIRECTA"/>
    <s v="VIALSUR"/>
    <m/>
    <n v="0"/>
    <n v="0"/>
    <s v="Reconformación de la rasante"/>
    <s v="m2"/>
    <n v="0.35"/>
    <n v="0"/>
    <m/>
    <d v="2014-01-01T00:00:00"/>
    <d v="2014-01-31T00:00:00"/>
    <s v="EJECUTADO"/>
    <n v="0"/>
  </r>
  <r>
    <m/>
    <m/>
    <s v="MEJORAMIENTO"/>
    <x v="1"/>
    <x v="50"/>
    <s v="ZONA2"/>
    <x v="4"/>
    <x v="14"/>
    <s v="AD. DIRECTA"/>
    <s v="VIALSUR"/>
    <m/>
    <n v="2.64"/>
    <n v="0"/>
    <s v="Mejoramiento de la subrasante con suelo seleccionado"/>
    <s v="m3"/>
    <n v="5.92"/>
    <n v="2904"/>
    <m/>
    <d v="2014-02-01T00:00:00"/>
    <d v="2014-02-28T00:00:00"/>
    <s v="EJECUTADO"/>
    <n v="17191.68"/>
  </r>
  <r>
    <m/>
    <m/>
    <s v="MANTENIMIENTO"/>
    <x v="52"/>
    <x v="51"/>
    <s v="ZONA2"/>
    <x v="5"/>
    <x v="21"/>
    <s v="AD. DIRECTA"/>
    <s v="VIALSUR"/>
    <n v="16"/>
    <m/>
    <n v="640"/>
    <s v="Roza a mano"/>
    <s v="Ha"/>
    <n v="948.16"/>
    <n v="0"/>
    <m/>
    <d v="2014-02-01T00:00:00"/>
    <d v="2014-02-28T00:00:00"/>
    <s v="EJECUTADO"/>
    <n v="0"/>
  </r>
  <r>
    <m/>
    <m/>
    <s v="MEJORAMIENTO"/>
    <x v="1"/>
    <x v="51"/>
    <s v="ZONA2"/>
    <x v="5"/>
    <x v="21"/>
    <s v="AD. DIRECTA"/>
    <s v="VIALSUR"/>
    <m/>
    <m/>
    <n v="0"/>
    <s v="Excavación sin clasificar a máquina"/>
    <s v="m3"/>
    <n v="1.62"/>
    <n v="700"/>
    <m/>
    <d v="2014-02-01T00:00:00"/>
    <d v="2014-02-28T00:00:00"/>
    <s v="EJECUTADO"/>
    <n v="1134"/>
  </r>
  <r>
    <m/>
    <m/>
    <s v="MANTENIMIENTO"/>
    <x v="1"/>
    <x v="51"/>
    <s v="ZONA2"/>
    <x v="5"/>
    <x v="21"/>
    <s v="AD. DIRECTA"/>
    <s v="VIALSUR"/>
    <m/>
    <m/>
    <n v="0"/>
    <s v="Limpieza de derrumbes a máquina"/>
    <s v="m3"/>
    <n v="1.46"/>
    <n v="1000"/>
    <m/>
    <d v="2014-02-01T00:00:00"/>
    <d v="2014-02-28T00:00:00"/>
    <s v="EJECUTADO"/>
    <n v="1460"/>
  </r>
  <r>
    <m/>
    <m/>
    <s v="MANTENIMIENTO"/>
    <x v="1"/>
    <x v="51"/>
    <s v="ZONA2"/>
    <x v="5"/>
    <x v="21"/>
    <s v="AD. DIRECTA"/>
    <s v="VIALSUR"/>
    <m/>
    <m/>
    <n v="0"/>
    <s v="Limpieza de cunetas y alcantarillas a maquina"/>
    <s v="m3"/>
    <n v="1.47"/>
    <n v="0"/>
    <m/>
    <d v="2014-02-01T00:00:00"/>
    <d v="2014-02-28T00:00:00"/>
    <s v="EJECUTADO"/>
    <n v="0"/>
  </r>
  <r>
    <m/>
    <m/>
    <s v="MANTENIMIENTO"/>
    <x v="1"/>
    <x v="51"/>
    <s v="ZONA2"/>
    <x v="5"/>
    <x v="21"/>
    <s v="AD. DIRECTA"/>
    <s v="VIALSUR"/>
    <m/>
    <m/>
    <n v="0"/>
    <s v="Transporte de material excavado ( desalojo de escombrera)"/>
    <s v="m3/km"/>
    <n v="0.3"/>
    <n v="0"/>
    <m/>
    <d v="2014-02-01T00:00:00"/>
    <d v="2014-02-28T00:00:00"/>
    <s v="EJECUTADO"/>
    <n v="0"/>
  </r>
  <r>
    <m/>
    <m/>
    <s v="MEJORAMIENTO"/>
    <x v="1"/>
    <x v="51"/>
    <s v="ZONA2"/>
    <x v="5"/>
    <x v="21"/>
    <s v="AD. DIRECTA"/>
    <s v="VIALSUR"/>
    <m/>
    <m/>
    <n v="0"/>
    <s v="Transporte de material de mejoramiento, inc cargado"/>
    <s v="m3/km"/>
    <n v="0.3"/>
    <n v="15900"/>
    <m/>
    <d v="2014-02-01T00:00:00"/>
    <d v="2014-02-28T00:00:00"/>
    <s v="EJECUTADO"/>
    <n v="4770"/>
  </r>
  <r>
    <m/>
    <m/>
    <s v="MANTENIMIENTO"/>
    <x v="1"/>
    <x v="51"/>
    <s v="ZONA2"/>
    <x v="5"/>
    <x v="21"/>
    <s v="AD. DIRECTA"/>
    <s v="VIALSUR"/>
    <m/>
    <n v="14.549999999999999"/>
    <n v="0"/>
    <s v="Rasanteo y conformacion de cunetas con motoniveladora"/>
    <s v="m2"/>
    <n v="0.08"/>
    <n v="80000"/>
    <m/>
    <d v="2014-02-01T00:00:00"/>
    <d v="2014-02-28T00:00:00"/>
    <s v="EJECUTADO"/>
    <n v="6400"/>
  </r>
  <r>
    <m/>
    <m/>
    <s v="MANTENIMIENTO"/>
    <x v="1"/>
    <x v="51"/>
    <s v="ZONA2"/>
    <x v="5"/>
    <x v="21"/>
    <s v="AD. DIRECTA"/>
    <s v="VIALSUR"/>
    <m/>
    <n v="19.100000000000001"/>
    <n v="0"/>
    <s v="Reconformación de la rasante"/>
    <s v="m2"/>
    <n v="0.35"/>
    <n v="105000"/>
    <m/>
    <d v="2014-02-01T00:00:00"/>
    <d v="2014-01-31T00:00:00"/>
    <s v="EJECUTADO"/>
    <n v="36750"/>
  </r>
  <r>
    <m/>
    <m/>
    <s v="MEJORAMIENTO"/>
    <x v="1"/>
    <x v="51"/>
    <s v="ZONA2"/>
    <x v="5"/>
    <x v="21"/>
    <s v="AD. DIRECTA"/>
    <s v="VIALSUR"/>
    <m/>
    <n v="0.64"/>
    <n v="0"/>
    <s v="Mejoramiento de la subrasante con suelo seleccionado"/>
    <s v="m3"/>
    <n v="5.92"/>
    <n v="700"/>
    <m/>
    <d v="2014-02-01T00:00:00"/>
    <d v="2014-02-28T00:00:00"/>
    <s v="EJECUTADO"/>
    <n v="4144"/>
  </r>
  <r>
    <m/>
    <m/>
    <s v="MANTENIMIENTO"/>
    <x v="53"/>
    <x v="52"/>
    <s v="ZONA2"/>
    <x v="5"/>
    <x v="22"/>
    <s v="AD. DIRECTA"/>
    <s v="VIALSUR"/>
    <n v="16"/>
    <m/>
    <n v="1388"/>
    <s v="Roza a mano"/>
    <s v="Ha"/>
    <n v="948.16"/>
    <n v="0"/>
    <m/>
    <d v="2014-01-01T00:00:00"/>
    <d v="2014-01-31T00:00:00"/>
    <s v="EJECUTADO"/>
    <n v="0"/>
  </r>
  <r>
    <m/>
    <m/>
    <s v="MEJORAMIENTO"/>
    <x v="1"/>
    <x v="52"/>
    <s v="ZONA2"/>
    <x v="5"/>
    <x v="22"/>
    <s v="AD. DIRECTA"/>
    <s v="VIALSUR"/>
    <m/>
    <m/>
    <n v="0"/>
    <s v="Excavación sin clasificar a máquina"/>
    <s v="m3"/>
    <n v="1.62"/>
    <n v="500"/>
    <m/>
    <d v="2014-01-01T00:00:00"/>
    <d v="2014-01-31T00:00:00"/>
    <s v="EJECUTADO"/>
    <n v="810"/>
  </r>
  <r>
    <m/>
    <m/>
    <s v="MANTENIMIENTO"/>
    <x v="1"/>
    <x v="52"/>
    <s v="ZONA2"/>
    <x v="5"/>
    <x v="22"/>
    <s v="AD. DIRECTA"/>
    <s v="VIALSUR"/>
    <m/>
    <m/>
    <n v="0"/>
    <s v="Limpieza de derrumbes a máquina"/>
    <s v="m3"/>
    <n v="1.46"/>
    <n v="600"/>
    <m/>
    <d v="2014-01-01T00:00:00"/>
    <d v="2014-01-31T00:00:00"/>
    <s v="EJECUTADO"/>
    <n v="876"/>
  </r>
  <r>
    <m/>
    <m/>
    <s v="MANTENIMIENTO"/>
    <x v="1"/>
    <x v="52"/>
    <s v="ZONA2"/>
    <x v="5"/>
    <x v="22"/>
    <s v="AD. DIRECTA"/>
    <s v="VIALSUR"/>
    <m/>
    <m/>
    <n v="0"/>
    <s v="Limpieza de cunetas y alcantarillas a maquina"/>
    <s v="m3"/>
    <n v="1.47"/>
    <n v="0"/>
    <m/>
    <d v="2014-01-01T00:00:00"/>
    <d v="2014-01-31T00:00:00"/>
    <s v="EJECUTADO"/>
    <n v="0"/>
  </r>
  <r>
    <m/>
    <m/>
    <s v="MANTENIMIENTO"/>
    <x v="1"/>
    <x v="52"/>
    <s v="ZONA2"/>
    <x v="5"/>
    <x v="22"/>
    <s v="AD. DIRECTA"/>
    <s v="VIALSUR"/>
    <m/>
    <m/>
    <n v="0"/>
    <s v="Transporte de material excavado ( desalojo de escombrera)"/>
    <s v="m3/km"/>
    <n v="0.3"/>
    <n v="0"/>
    <m/>
    <d v="2014-01-01T00:00:00"/>
    <d v="2014-01-31T00:00:00"/>
    <s v="EJECUTADO"/>
    <n v="0"/>
  </r>
  <r>
    <m/>
    <m/>
    <s v="MEJORAMIENTO"/>
    <x v="1"/>
    <x v="52"/>
    <s v="ZONA2"/>
    <x v="5"/>
    <x v="22"/>
    <s v="AD. DIRECTA"/>
    <s v="VIALSUR"/>
    <m/>
    <m/>
    <n v="0"/>
    <s v="Transporte de material de mejoramiento, inc cargado"/>
    <s v="m3/km"/>
    <n v="0.3"/>
    <n v="7500"/>
    <m/>
    <d v="2014-01-01T00:00:00"/>
    <d v="2014-01-31T00:00:00"/>
    <s v="EJECUTADO"/>
    <n v="2250"/>
  </r>
  <r>
    <m/>
    <m/>
    <s v="MANTENIMIENTO"/>
    <x v="1"/>
    <x v="52"/>
    <s v="ZONA2"/>
    <x v="5"/>
    <x v="22"/>
    <s v="AD. DIRECTA"/>
    <s v="VIALSUR"/>
    <m/>
    <n v="0"/>
    <n v="0"/>
    <s v="Rasanteo y conformacion de cunetas con motoniveladora"/>
    <s v="m2"/>
    <n v="0.08"/>
    <m/>
    <m/>
    <d v="2014-02-03T00:00:00"/>
    <d v="2014-01-31T00:00:00"/>
    <s v="EJECUTADO"/>
    <n v="0"/>
  </r>
  <r>
    <m/>
    <m/>
    <s v="MANTENIMIENTO"/>
    <x v="1"/>
    <x v="52"/>
    <s v="ZONA2"/>
    <x v="5"/>
    <x v="22"/>
    <s v="AD. DIRECTA"/>
    <s v="VIALSUR"/>
    <m/>
    <n v="19.100000000000001"/>
    <n v="0"/>
    <s v="Reconformación de la rasante"/>
    <s v="m2"/>
    <n v="0.35"/>
    <n v="105000"/>
    <m/>
    <d v="2014-01-01T00:00:00"/>
    <d v="2014-01-31T00:00:00"/>
    <s v="EJECUTADO"/>
    <n v="36750"/>
  </r>
  <r>
    <m/>
    <m/>
    <s v="MEJORAMIENTO"/>
    <x v="1"/>
    <x v="52"/>
    <s v="ZONA2"/>
    <x v="5"/>
    <x v="22"/>
    <s v="AD. DIRECTA"/>
    <s v="VIALSUR"/>
    <m/>
    <n v="0.45"/>
    <n v="0"/>
    <s v="Mejoramiento de la subrasante con suelo seleccionado"/>
    <s v="m3"/>
    <n v="5.92"/>
    <n v="500"/>
    <m/>
    <d v="2014-01-01T00:00:00"/>
    <d v="2014-01-31T00:00:00"/>
    <s v="EJECUTADO"/>
    <n v="2960"/>
  </r>
  <r>
    <m/>
    <m/>
    <s v="MANTENIMIENTO"/>
    <x v="54"/>
    <x v="53"/>
    <s v="ZONA2"/>
    <x v="5"/>
    <x v="21"/>
    <s v="AD. DIRECTA"/>
    <s v="VIALSUR"/>
    <n v="6.5"/>
    <m/>
    <n v="640"/>
    <s v="Roza a mano"/>
    <s v="Ha"/>
    <n v="948.16"/>
    <n v="0"/>
    <m/>
    <d v="2014-01-01T00:00:00"/>
    <d v="2014-02-28T00:00:00"/>
    <s v="EJECUTADO"/>
    <n v="0"/>
  </r>
  <r>
    <m/>
    <m/>
    <s v="MEJORAMIENTO"/>
    <x v="1"/>
    <x v="53"/>
    <s v="ZONA2"/>
    <x v="5"/>
    <x v="21"/>
    <s v="AD. DIRECTA"/>
    <s v="VIALSUR"/>
    <m/>
    <m/>
    <n v="0"/>
    <s v="Excavación sin clasificar a máquina"/>
    <s v="m3"/>
    <n v="1.62"/>
    <n v="1800"/>
    <m/>
    <d v="2014-01-01T00:00:00"/>
    <d v="2014-02-28T00:00:00"/>
    <s v="EJECUTADO"/>
    <n v="2916"/>
  </r>
  <r>
    <m/>
    <m/>
    <s v="MANTENIMIENTO"/>
    <x v="1"/>
    <x v="53"/>
    <s v="ZONA2"/>
    <x v="5"/>
    <x v="21"/>
    <s v="AD. DIRECTA"/>
    <s v="VIALSUR"/>
    <m/>
    <m/>
    <n v="0"/>
    <s v="Limpieza de derrumbes a máquina"/>
    <s v="m3"/>
    <n v="1.46"/>
    <n v="900"/>
    <m/>
    <d v="2014-01-01T00:00:00"/>
    <d v="2014-02-28T00:00:00"/>
    <s v="EJECUTADO"/>
    <n v="1314"/>
  </r>
  <r>
    <m/>
    <m/>
    <s v="MANTENIMIENTO"/>
    <x v="1"/>
    <x v="53"/>
    <s v="ZONA2"/>
    <x v="5"/>
    <x v="21"/>
    <s v="AD. DIRECTA"/>
    <s v="VIALSUR"/>
    <m/>
    <m/>
    <n v="0"/>
    <s v="Limpieza de cunetas y alcantarillas a maquina"/>
    <s v="m3"/>
    <n v="1.47"/>
    <n v="70"/>
    <m/>
    <d v="2014-02-03T00:00:00"/>
    <d v="2014-02-28T00:00:00"/>
    <s v="EJECUTADO"/>
    <n v="102.9"/>
  </r>
  <r>
    <m/>
    <m/>
    <s v="MANTENIMIENTO"/>
    <x v="1"/>
    <x v="53"/>
    <s v="ZONA2"/>
    <x v="5"/>
    <x v="21"/>
    <s v="AD. DIRECTA"/>
    <s v="VIALSUR"/>
    <m/>
    <m/>
    <n v="0"/>
    <s v="Transporte de material excavado ( desalojo de escombrera)"/>
    <s v="m3/km"/>
    <n v="0.3"/>
    <n v="0"/>
    <m/>
    <d v="2014-01-01T00:00:00"/>
    <d v="2014-02-28T00:00:00"/>
    <s v="EJECUTADO"/>
    <n v="0"/>
  </r>
  <r>
    <m/>
    <m/>
    <s v="MEJORAMIENTO"/>
    <x v="1"/>
    <x v="53"/>
    <s v="ZONA2"/>
    <x v="5"/>
    <x v="21"/>
    <s v="AD. DIRECTA"/>
    <s v="VIALSUR"/>
    <m/>
    <m/>
    <n v="0"/>
    <s v="Transporte de material de mejoramiento, inc cargado"/>
    <s v="m3/km"/>
    <n v="0.3"/>
    <n v="75600"/>
    <m/>
    <d v="2014-01-01T00:00:00"/>
    <d v="2014-02-28T00:00:00"/>
    <s v="EJECUTADO"/>
    <n v="22680"/>
  </r>
  <r>
    <m/>
    <m/>
    <s v="MANTENIMIENTO"/>
    <x v="1"/>
    <x v="53"/>
    <s v="ZONA2"/>
    <x v="5"/>
    <x v="21"/>
    <s v="AD. DIRECTA"/>
    <s v="VIALSUR"/>
    <m/>
    <n v="0.91"/>
    <n v="0"/>
    <s v="Rasanteo y conformacion de cunetas con motoniveladora"/>
    <s v="m2"/>
    <n v="0.08"/>
    <n v="5000"/>
    <m/>
    <d v="2014-01-01T00:00:00"/>
    <d v="2014-01-31T00:00:00"/>
    <s v="EJECUTADO"/>
    <n v="400"/>
  </r>
  <r>
    <m/>
    <m/>
    <s v="MANTENIMIENTO"/>
    <x v="1"/>
    <x v="53"/>
    <s v="ZONA2"/>
    <x v="5"/>
    <x v="21"/>
    <s v="AD. DIRECTA"/>
    <s v="VIALSUR"/>
    <m/>
    <n v="4.55"/>
    <n v="0"/>
    <s v="Reconformación de la rasante"/>
    <s v="m2"/>
    <n v="0.35"/>
    <n v="25000"/>
    <m/>
    <d v="2014-01-01T00:00:00"/>
    <d v="2014-02-28T00:00:00"/>
    <s v="EJECUTADO"/>
    <n v="8750"/>
  </r>
  <r>
    <m/>
    <m/>
    <s v="MEJORAMIENTO"/>
    <x v="1"/>
    <x v="53"/>
    <s v="ZONA2"/>
    <x v="5"/>
    <x v="21"/>
    <s v="AD. DIRECTA"/>
    <s v="VIALSUR"/>
    <m/>
    <n v="1.64"/>
    <n v="0"/>
    <s v="Mejoramiento de la subrasante con suelo seleccionado"/>
    <s v="m3"/>
    <n v="5.92"/>
    <n v="1800"/>
    <m/>
    <d v="2014-01-01T00:00:00"/>
    <d v="2014-02-28T00:00:00"/>
    <s v="EJECUTADO"/>
    <n v="10656"/>
  </r>
  <r>
    <s v="7"/>
    <s v="EJECUTADO"/>
    <s v="MANTENIMIENTO"/>
    <x v="55"/>
    <x v="54"/>
    <s v="ZONA2"/>
    <x v="5"/>
    <x v="23"/>
    <s v="AD. DIRECTA"/>
    <s v="VIALSUR"/>
    <n v="15"/>
    <m/>
    <n v="567"/>
    <s v="Roza a mano"/>
    <s v="Ha"/>
    <n v="948.16"/>
    <n v="0"/>
    <m/>
    <d v="2014-03-01T00:00:00"/>
    <d v="2014-03-31T00:00:00"/>
    <s v="EJECUTADO"/>
    <n v="0"/>
  </r>
  <r>
    <m/>
    <m/>
    <s v="MEJORAMIENTO"/>
    <x v="1"/>
    <x v="54"/>
    <s v="ZONA2"/>
    <x v="5"/>
    <x v="23"/>
    <s v="AD. DIRECTA"/>
    <s v="VIALSUR"/>
    <m/>
    <m/>
    <m/>
    <s v="Excavacion sin clasificar a maquina (explotación de material)"/>
    <s v="m3"/>
    <n v="1.62"/>
    <n v="5060"/>
    <m/>
    <d v="2014-03-01T00:00:00"/>
    <d v="2014-07-31T00:00:00"/>
    <s v="EJECUTADO"/>
    <n v="8197.2000000000007"/>
  </r>
  <r>
    <m/>
    <m/>
    <s v="MANTENIMIENTO"/>
    <x v="1"/>
    <x v="54"/>
    <s v="ZONA2"/>
    <x v="5"/>
    <x v="23"/>
    <s v="AD. DIRECTA"/>
    <s v="VIALSUR"/>
    <m/>
    <m/>
    <m/>
    <s v="Limpieza de derrumbes a máquina"/>
    <s v="m3"/>
    <n v="1.46"/>
    <n v="12898"/>
    <m/>
    <d v="2014-03-01T00:00:00"/>
    <d v="2014-07-31T00:00:00"/>
    <s v="EJECUTADO"/>
    <n v="18831.080000000002"/>
  </r>
  <r>
    <m/>
    <m/>
    <s v="MANTENIMIENTO"/>
    <x v="1"/>
    <x v="54"/>
    <s v="ZONA2"/>
    <x v="5"/>
    <x v="23"/>
    <s v="AD. DIRECTA"/>
    <s v="VIALSUR"/>
    <m/>
    <m/>
    <m/>
    <s v="Limpieza de cunetas y alcantarillas a máquina"/>
    <s v="m3"/>
    <n v="1.47"/>
    <n v="1140"/>
    <m/>
    <d v="2014-03-01T00:00:00"/>
    <d v="2014-05-31T00:00:00"/>
    <s v="EJECUTADO"/>
    <n v="1675.8"/>
  </r>
  <r>
    <m/>
    <m/>
    <s v="MANTENIMIENTO"/>
    <x v="1"/>
    <x v="54"/>
    <s v="ZONA2"/>
    <x v="5"/>
    <x v="23"/>
    <s v="AD. DIRECTA"/>
    <s v="VIALSUR"/>
    <m/>
    <m/>
    <m/>
    <s v="Transporte de material excavado (desalojo a escombrera)"/>
    <s v="m3/km"/>
    <n v="0.3"/>
    <n v="19252"/>
    <m/>
    <d v="2014-03-01T00:00:00"/>
    <d v="2014-07-31T00:00:00"/>
    <s v="EJECUTADO"/>
    <n v="5775.6"/>
  </r>
  <r>
    <m/>
    <m/>
    <s v="MEJORAMIENTO"/>
    <x v="1"/>
    <x v="54"/>
    <s v="ZONA2"/>
    <x v="5"/>
    <x v="23"/>
    <s v="AD. DIRECTA"/>
    <s v="VIALSUR"/>
    <m/>
    <m/>
    <m/>
    <s v="Transporte de material para mejoramiento, inc. cargado"/>
    <s v="m3/km"/>
    <n v="0.3"/>
    <n v="34928"/>
    <m/>
    <d v="2014-03-01T00:00:00"/>
    <d v="2014-07-31T00:00:00"/>
    <s v="EJECUTADO"/>
    <n v="10478.4"/>
  </r>
  <r>
    <m/>
    <m/>
    <s v="MANTENIMIENTO"/>
    <x v="1"/>
    <x v="54"/>
    <s v="ZONA2"/>
    <x v="5"/>
    <x v="23"/>
    <s v="AD. DIRECTA"/>
    <s v="VIALSUR"/>
    <m/>
    <n v="96.460000000000008"/>
    <m/>
    <s v="Rasanteo y conformacion de cunetas con motoniveladora"/>
    <s v="m2"/>
    <n v="0.08"/>
    <n v="530500"/>
    <m/>
    <d v="2014-03-01T00:00:00"/>
    <d v="2014-07-31T00:00:00"/>
    <s v="EJECUTADO"/>
    <n v="42440"/>
  </r>
  <r>
    <m/>
    <m/>
    <s v="MANTENIMIENTO"/>
    <x v="1"/>
    <x v="54"/>
    <s v="ZONA2"/>
    <x v="5"/>
    <x v="23"/>
    <s v="AD. DIRECTA"/>
    <s v="VIALSUR"/>
    <m/>
    <n v="0"/>
    <m/>
    <s v="Reconformación de la rasante"/>
    <s v="m2"/>
    <n v="0.35"/>
    <n v="0"/>
    <m/>
    <d v="2014-03-01T00:00:00"/>
    <d v="2014-04-30T00:00:00"/>
    <s v="EJECUTADO"/>
    <n v="0"/>
  </r>
  <r>
    <m/>
    <m/>
    <s v="MEJORAMIENTO"/>
    <x v="1"/>
    <x v="54"/>
    <s v="ZONA2"/>
    <x v="5"/>
    <x v="23"/>
    <s v="AD. DIRECTA"/>
    <s v="VIALSUR"/>
    <m/>
    <n v="4.33"/>
    <m/>
    <s v="Mejoramiento de la subrasante con suelo seleccionado"/>
    <s v="m3"/>
    <n v="5.92"/>
    <n v="4760"/>
    <m/>
    <d v="2014-03-01T00:00:00"/>
    <d v="2014-07-31T00:00:00"/>
    <s v="EJECUTADO"/>
    <n v="28179.200000000001"/>
  </r>
  <r>
    <s v="8"/>
    <s v="EN EJECUCION"/>
    <s v="MEJORAMIENTO"/>
    <x v="56"/>
    <x v="55"/>
    <s v="ZONA2"/>
    <x v="6"/>
    <x v="24"/>
    <s v="CONVENIO"/>
    <s v="VIALSUR"/>
    <n v="26"/>
    <n v="1.02"/>
    <n v="2919"/>
    <s v="Bacheo con material de base clase 3"/>
    <s v="m3"/>
    <n v="19.149999999999999"/>
    <n v="1100"/>
    <m/>
    <d v="2014-02-03T00:00:00"/>
    <d v="2014-07-31T00:00:00"/>
    <s v="EJECUTADO"/>
    <n v="21065"/>
  </r>
  <r>
    <m/>
    <m/>
    <s v="ASFALTO"/>
    <x v="1"/>
    <x v="55"/>
    <s v="ZONA2"/>
    <x v="6"/>
    <x v="24"/>
    <s v="CONVENIO"/>
    <s v="VIALSUR"/>
    <m/>
    <n v="6.89"/>
    <n v="0"/>
    <s v="Imprimación Asfaltica"/>
    <s v="Lt."/>
    <n v="0.98"/>
    <n v="59500"/>
    <m/>
    <d v="2014-02-03T00:00:00"/>
    <d v="2014-03-31T00:00:00"/>
    <s v="EJECUTADO"/>
    <n v="58310"/>
  </r>
  <r>
    <m/>
    <m/>
    <s v="ASFALTO"/>
    <x v="1"/>
    <x v="55"/>
    <s v="ZONA2"/>
    <x v="6"/>
    <x v="24"/>
    <s v="CONVENIO"/>
    <s v="VIALSUR"/>
    <m/>
    <n v="17.97"/>
    <n v="0"/>
    <s v="Bacheo asfaltico con material 3/4&quot; (manual)"/>
    <s v="m2"/>
    <n v="3.17"/>
    <n v="25880"/>
    <m/>
    <d v="2014-02-03T00:00:00"/>
    <d v="2014-07-31T00:00:00"/>
    <s v="EJECUTADO"/>
    <n v="82039.600000000006"/>
  </r>
  <r>
    <m/>
    <m/>
    <s v="ASFALTO"/>
    <x v="1"/>
    <x v="55"/>
    <s v="ZONA2"/>
    <x v="6"/>
    <x v="24"/>
    <s v="CONVENIO"/>
    <s v="VIALSUR"/>
    <m/>
    <n v="24.15"/>
    <n v="0"/>
    <s v="Sello asfaltico con material 3/8&quot;"/>
    <s v="m2"/>
    <n v="2.8"/>
    <n v="173874"/>
    <m/>
    <d v="2014-03-01T00:00:00"/>
    <d v="2014-07-31T00:00:00"/>
    <s v="EJECUTADO"/>
    <n v="486847.2"/>
  </r>
  <r>
    <m/>
    <m/>
    <s v="MEJORAMIENTO"/>
    <x v="1"/>
    <x v="55"/>
    <s v="ZONA2"/>
    <x v="6"/>
    <x v="24"/>
    <s v="CONVENIO"/>
    <s v="VIALSUR"/>
    <m/>
    <n v="8.59"/>
    <n v="0"/>
    <s v="Reconformación de base"/>
    <s v="m2"/>
    <n v="0.35"/>
    <n v="47200"/>
    <m/>
    <d v="2014-01-05T00:00:00"/>
    <d v="2014-07-31T00:00:00"/>
    <s v="EJECUTADO"/>
    <n v="16520"/>
  </r>
  <r>
    <m/>
    <m/>
    <s v="MEJORAMIENTO"/>
    <x v="1"/>
    <x v="55"/>
    <s v="ZONA2"/>
    <x v="7"/>
    <x v="25"/>
    <s v="CONVENIO"/>
    <s v="VIALSUR"/>
    <m/>
    <m/>
    <n v="0"/>
    <s v="Transporte de material  ( Catamayo - Loja)"/>
    <s v="m3/km"/>
    <n v="0.3"/>
    <n v="729900"/>
    <m/>
    <d v="2014-02-03T00:00:00"/>
    <d v="2014-07-31T00:00:00"/>
    <s v="EJECUTADO"/>
    <n v="218970"/>
  </r>
  <r>
    <s v="9"/>
    <s v="EJECUTADO"/>
    <s v="MEJORAMIENTO"/>
    <x v="57"/>
    <x v="56"/>
    <s v="ZONA2"/>
    <x v="8"/>
    <x v="26"/>
    <s v="CONVENIO"/>
    <s v="VIALSUR"/>
    <n v="42"/>
    <n v="0.51"/>
    <n v="6573"/>
    <s v="Bacheo con material de base clase 3"/>
    <s v="m3"/>
    <n v="19.149999999999999"/>
    <n v="732.5"/>
    <m/>
    <d v="2014-03-01T00:00:00"/>
    <d v="2014-07-31T00:00:00"/>
    <s v="EJECUTADO"/>
    <n v="14027.38"/>
  </r>
  <r>
    <m/>
    <m/>
    <s v="ASFALTO"/>
    <x v="1"/>
    <x v="56"/>
    <s v="ZONA2"/>
    <x v="8"/>
    <x v="26"/>
    <s v="CONVENIO"/>
    <s v="VIALSUR"/>
    <m/>
    <n v="8.75"/>
    <n v="0"/>
    <s v="Imprimación asfaltica"/>
    <s v="Lt"/>
    <n v="0.98"/>
    <n v="75582"/>
    <m/>
    <d v="2014-03-01T00:00:00"/>
    <d v="2014-07-31T00:00:00"/>
    <s v="EJECUTADO"/>
    <n v="74070.36"/>
  </r>
  <r>
    <m/>
    <m/>
    <s v="ASFALTO"/>
    <x v="1"/>
    <x v="56"/>
    <s v="ZONA2"/>
    <x v="8"/>
    <x v="26"/>
    <s v="CONVENIO"/>
    <s v="VIALSUR"/>
    <m/>
    <n v="1.1499999999999999"/>
    <n v="0"/>
    <s v="Bacheo asfaltico con material 3/4&quot; Y 3/8&quot; (manual)"/>
    <s v="m2"/>
    <n v="3.48"/>
    <n v="8314"/>
    <m/>
    <d v="2014-03-01T00:00:00"/>
    <d v="2014-07-31T00:00:00"/>
    <s v="EJECUTADO"/>
    <n v="28932.720000000001"/>
  </r>
  <r>
    <m/>
    <m/>
    <s v="MEJORAMIENTO"/>
    <x v="1"/>
    <x v="56"/>
    <s v="ZONA2"/>
    <x v="8"/>
    <x v="26"/>
    <s v="CONVENIO"/>
    <s v="VIALSUR"/>
    <m/>
    <m/>
    <n v="0"/>
    <s v="Transporte de material (Catamayo - Loja)"/>
    <s v="m3/km"/>
    <n v="0.3"/>
    <n v="295300"/>
    <m/>
    <d v="2014-03-01T00:00:00"/>
    <d v="2014-07-31T00:00:00"/>
    <s v="EJECUTADO"/>
    <n v="88590"/>
  </r>
  <r>
    <m/>
    <m/>
    <s v="MEJORAMIENTO"/>
    <x v="1"/>
    <x v="56"/>
    <s v="ZONA2"/>
    <x v="8"/>
    <x v="26"/>
    <s v="CONVENIO"/>
    <s v="VIALSUR"/>
    <m/>
    <n v="12.91"/>
    <n v="0"/>
    <s v="Reconformación de base"/>
    <s v="m2"/>
    <n v="0.35"/>
    <n v="71000"/>
    <m/>
    <d v="2014-01-05T00:00:00"/>
    <d v="2014-07-31T00:00:00"/>
    <s v="EJECUTADO"/>
    <n v="24850"/>
  </r>
  <r>
    <m/>
    <m/>
    <s v="ASFALTO"/>
    <x v="1"/>
    <x v="56"/>
    <s v="ZONA2"/>
    <x v="8"/>
    <x v="26"/>
    <s v="CONVENIO"/>
    <s v="VIALSUR"/>
    <m/>
    <n v="11.11"/>
    <n v="0"/>
    <s v="Doble tratamiento superficial bituminoso"/>
    <s v="m2"/>
    <n v="4.5"/>
    <n v="80000"/>
    <m/>
    <d v="2014-01-05T00:00:00"/>
    <d v="2014-05-31T00:00:00"/>
    <s v="EJECUTADO"/>
    <n v="360000"/>
  </r>
  <r>
    <m/>
    <m/>
    <s v="MANTENIMIENTO"/>
    <x v="58"/>
    <x v="57"/>
    <s v="ZONA2"/>
    <x v="6"/>
    <x v="24"/>
    <s v="CONTRATO"/>
    <s v="VIALSUR"/>
    <n v="3.1"/>
    <n v="15.709999999999999"/>
    <n v="2919"/>
    <s v="Rasanteo y conformacion de cunetas con motoniveladora"/>
    <s v="m²."/>
    <n v="0.08"/>
    <n v="86355"/>
    <m/>
    <d v="2014-02-17T00:00:00"/>
    <d v="2014-02-28T00:00:00"/>
    <s v="EJECUTADO"/>
    <n v="6908.4"/>
  </r>
  <r>
    <m/>
    <m/>
    <s v="MANTENIMIENTO"/>
    <x v="1"/>
    <x v="57"/>
    <s v="ZONA2"/>
    <x v="9"/>
    <x v="27"/>
    <s v="CONTRATO"/>
    <s v="VIALSUR"/>
    <n v="3.1"/>
    <n v="12.89"/>
    <n v="889"/>
    <s v="Rasanteo y conformacion de cunetas con motoniveladora"/>
    <s v="m²."/>
    <n v="0.08"/>
    <n v="70865"/>
    <m/>
    <d v="2014-02-17T00:00:00"/>
    <d v="2014-02-28T00:00:00"/>
    <s v="EJECUTADO"/>
    <n v="5669.2"/>
  </r>
  <r>
    <m/>
    <m/>
    <s v="MANTENIMIENTO"/>
    <x v="1"/>
    <x v="57"/>
    <s v="ZONA2"/>
    <x v="9"/>
    <x v="28"/>
    <s v="CONTRATO"/>
    <s v="VIALSUR"/>
    <n v="3.1"/>
    <n v="19.610000000000003"/>
    <n v="1426"/>
    <s v="Rasanteo y conformacion de cunetas con motoniveladora"/>
    <s v="m²."/>
    <n v="0.08"/>
    <n v="107820"/>
    <m/>
    <d v="2014-03-01T00:00:00"/>
    <d v="2014-03-31T00:00:00"/>
    <s v="EJECUTADO"/>
    <n v="8625.6"/>
  </r>
  <r>
    <m/>
    <m/>
    <s v="MANTENIMIENTO"/>
    <x v="1"/>
    <x v="57"/>
    <s v="ZONA2"/>
    <x v="9"/>
    <x v="29"/>
    <s v="CONTRATO"/>
    <s v="VIALSUR"/>
    <n v="3.1"/>
    <n v="48.01"/>
    <n v="879"/>
    <s v="Rasanteo y conformacion de cunetas con motoniveladora"/>
    <s v="m²."/>
    <n v="0.08"/>
    <n v="264017.5"/>
    <m/>
    <d v="2014-03-01T00:00:00"/>
    <d v="2014-03-31T00:00:00"/>
    <s v="EJECUTADO"/>
    <n v="21121.4"/>
  </r>
  <r>
    <m/>
    <m/>
    <s v="MANTENIMIENTO"/>
    <x v="1"/>
    <x v="57"/>
    <s v="ZONA2"/>
    <x v="5"/>
    <x v="22"/>
    <s v="CONTRATO"/>
    <s v="VIALSUR"/>
    <n v="3.1"/>
    <n v="24.25"/>
    <n v="1388"/>
    <s v="Rasanteo y conformacion de cunetas con motoniveladora"/>
    <s v="m²."/>
    <n v="0.08"/>
    <n v="133350"/>
    <m/>
    <d v="2014-03-01T00:00:00"/>
    <d v="2014-03-31T00:00:00"/>
    <s v="EJECUTADO"/>
    <n v="10668"/>
  </r>
  <r>
    <m/>
    <m/>
    <s v="MANTENIMIENTO"/>
    <x v="1"/>
    <x v="57"/>
    <s v="ZONA2"/>
    <x v="7"/>
    <x v="30"/>
    <s v="CONTRATO"/>
    <s v="VIALSUR"/>
    <n v="3.1"/>
    <n v="19.610000000000003"/>
    <n v="661"/>
    <s v="Rasanteo y conformacion de cunetas con motoniveladora"/>
    <s v="m²."/>
    <n v="0.08"/>
    <n v="107820"/>
    <m/>
    <d v="2014-03-01T00:00:00"/>
    <d v="2014-03-31T00:00:00"/>
    <s v="EJECUTADO"/>
    <n v="8625.6"/>
  </r>
  <r>
    <s v="10"/>
    <s v="EJECUTADO"/>
    <s v="MANTENIMIENTO"/>
    <x v="59"/>
    <x v="58"/>
    <s v="ZONA2"/>
    <x v="9"/>
    <x v="29"/>
    <s v="AD. DIRECTA"/>
    <s v="VIALSUR"/>
    <m/>
    <m/>
    <n v="0"/>
    <s v="Limpieza de derrumbes a máquina"/>
    <s v="m3"/>
    <n v="1.46"/>
    <n v="32000"/>
    <m/>
    <d v="2014-06-01T00:00:00"/>
    <d v="2014-07-31T00:00:00"/>
    <s v="EJECUTADO"/>
    <n v="46720"/>
  </r>
  <r>
    <m/>
    <m/>
    <s v="MANTENIMIENTO"/>
    <x v="1"/>
    <x v="58"/>
    <s v="ZONA2"/>
    <x v="9"/>
    <x v="29"/>
    <s v="AD. DIRECTA"/>
    <s v="VIALSUR"/>
    <m/>
    <n v="63.64"/>
    <n v="0"/>
    <s v="Pefilado de razante con tractor"/>
    <s v="m3"/>
    <n v="0.12"/>
    <n v="350000"/>
    <m/>
    <d v="2014-06-01T00:00:00"/>
    <d v="2014-07-31T00:00:00"/>
    <s v="EJECUTADO"/>
    <n v="42000"/>
  </r>
  <r>
    <m/>
    <m/>
    <s v="PUENTES"/>
    <x v="60"/>
    <x v="59"/>
    <s v="ZONA2"/>
    <x v="5"/>
    <x v="31"/>
    <s v="CONVENIO"/>
    <s v="VIALSUR"/>
    <n v="3.1"/>
    <n v="0"/>
    <n v="467"/>
    <m/>
    <s v="m3"/>
    <m/>
    <n v="0"/>
    <m/>
    <m/>
    <m/>
    <s v="EJECUTADO"/>
    <n v="0"/>
  </r>
  <r>
    <m/>
    <m/>
    <s v="PUENTES"/>
    <x v="61"/>
    <x v="60"/>
    <s v="ZONA2"/>
    <x v="5"/>
    <x v="23"/>
    <s v="CONVENIO"/>
    <s v="VIALSUR"/>
    <n v="3.1"/>
    <n v="0"/>
    <n v="567"/>
    <s v="ESTRIBOS CONSTRUIDOS"/>
    <s v="m3"/>
    <m/>
    <n v="0"/>
    <m/>
    <d v="2014-01-01T00:00:00"/>
    <d v="2014-01-31T00:00:00"/>
    <s v="EJECUTADO"/>
    <n v="10000"/>
  </r>
  <r>
    <s v="11"/>
    <s v="EJECUTADO"/>
    <s v="MEJORAMIENTO"/>
    <x v="62"/>
    <x v="61"/>
    <s v="ZONA3"/>
    <x v="10"/>
    <x v="32"/>
    <s v="AD. DIRECTA"/>
    <s v="VIALSUR"/>
    <n v="15"/>
    <m/>
    <n v="267"/>
    <s v="Excavación sin clasificar a máquina (ampliación de la vía en áreas críticas)"/>
    <s v="m³."/>
    <n v="1.62"/>
    <n v="700"/>
    <m/>
    <d v="2014-06-01T00:00:00"/>
    <d v="2014-06-30T00:00:00"/>
    <s v="EJECUTADO"/>
    <n v="1134"/>
  </r>
  <r>
    <m/>
    <m/>
    <s v="MEJORAMIENTO"/>
    <x v="1"/>
    <x v="61"/>
    <s v="ZONA3"/>
    <x v="10"/>
    <x v="32"/>
    <s v="AD. DIRECTA"/>
    <s v="VIALSUR"/>
    <m/>
    <m/>
    <n v="0"/>
    <s v="Explotación  de material (incluye cargado)"/>
    <s v="m³."/>
    <n v="2.54"/>
    <n v="800"/>
    <m/>
    <d v="2014-01-05T00:00:00"/>
    <d v="2014-05-31T00:00:00"/>
    <s v="EJECUTADO"/>
    <n v="2032"/>
  </r>
  <r>
    <m/>
    <m/>
    <s v="MEJORAMIENTO"/>
    <x v="1"/>
    <x v="61"/>
    <s v="ZONA3"/>
    <x v="10"/>
    <x v="32"/>
    <s v="AD. DIRECTA"/>
    <s v="VIALSUR"/>
    <m/>
    <m/>
    <n v="0"/>
    <s v="Clasificación de material."/>
    <s v="m³."/>
    <n v="1.47"/>
    <n v="300"/>
    <m/>
    <d v="2014-06-12T00:00:00"/>
    <d v="2014-06-30T00:00:00"/>
    <s v="EJECUTADO"/>
    <n v="441"/>
  </r>
  <r>
    <m/>
    <m/>
    <s v="MANTENIMIENTO"/>
    <x v="1"/>
    <x v="61"/>
    <s v="ZONA3"/>
    <x v="10"/>
    <x v="32"/>
    <s v="AD. DIRECTA"/>
    <s v="VIALSUR"/>
    <m/>
    <m/>
    <n v="0"/>
    <s v="Limpieza de derrumbes a maquina"/>
    <s v="m³."/>
    <n v="1.46"/>
    <n v="10858"/>
    <m/>
    <d v="2014-01-01T00:00:00"/>
    <d v="2014-06-30T00:00:00"/>
    <s v="EJECUTADO"/>
    <n v="15852.68"/>
  </r>
  <r>
    <m/>
    <m/>
    <s v="MANTENIMIENTO"/>
    <x v="1"/>
    <x v="61"/>
    <s v="ZONA3"/>
    <x v="10"/>
    <x v="32"/>
    <s v="AD. DIRECTA"/>
    <s v="VIALSUR"/>
    <m/>
    <m/>
    <n v="0"/>
    <s v="Limpieza de cunetas y alcantarillas a maquina"/>
    <s v="m³."/>
    <n v="1.47"/>
    <n v="2380"/>
    <m/>
    <d v="2014-01-05T00:00:00"/>
    <d v="2014-07-31T00:00:00"/>
    <s v="EJECUTADO"/>
    <n v="3498.6"/>
  </r>
  <r>
    <m/>
    <m/>
    <s v="MANTENIMIENTO"/>
    <x v="1"/>
    <x v="61"/>
    <s v="ZONA3"/>
    <x v="10"/>
    <x v="33"/>
    <s v="AD. DIRECTA"/>
    <s v="VIALSUR"/>
    <n v="17"/>
    <n v="8.5"/>
    <n v="144"/>
    <s v="Rasanteo y conformacion de cunetas con motoniveladora"/>
    <s v="m²."/>
    <n v="0.08"/>
    <n v="46732"/>
    <m/>
    <d v="2014-01-01T00:00:00"/>
    <d v="2014-04-30T00:00:00"/>
    <s v="EJECUTADO"/>
    <n v="3738.56"/>
  </r>
  <r>
    <m/>
    <m/>
    <s v="MANTENIMIENTO"/>
    <x v="1"/>
    <x v="61"/>
    <s v="ZONA3"/>
    <x v="10"/>
    <x v="33"/>
    <s v="AD. DIRECTA"/>
    <s v="VIALSUR"/>
    <m/>
    <n v="58.94"/>
    <n v="0"/>
    <s v="Reconformación de la Subrazante"/>
    <s v="m²."/>
    <n v="0.35"/>
    <n v="324141"/>
    <m/>
    <d v="2014-01-01T00:00:00"/>
    <d v="2014-06-30T00:00:00"/>
    <s v="EJECUTADO"/>
    <n v="113449.35"/>
  </r>
  <r>
    <m/>
    <m/>
    <s v="MEJORAMIENTO"/>
    <x v="1"/>
    <x v="61"/>
    <s v="ZONA3"/>
    <x v="10"/>
    <x v="33"/>
    <s v="AD. DIRECTA"/>
    <s v="VIALSUR"/>
    <m/>
    <m/>
    <n v="0"/>
    <s v="Transporte de material de mejoramiento"/>
    <s v="m3/km."/>
    <n v="0.3"/>
    <n v="5118.84"/>
    <m/>
    <d v="2014-01-05T00:00:00"/>
    <d v="2014-06-30T00:00:00"/>
    <s v="EJECUTADO"/>
    <n v="1535.65"/>
  </r>
  <r>
    <m/>
    <m/>
    <s v="MANTENIMIENTO"/>
    <x v="1"/>
    <x v="61"/>
    <s v="ZONA3"/>
    <x v="11"/>
    <x v="34"/>
    <s v="AD. DIRECTA"/>
    <s v="VIALSUR"/>
    <n v="24"/>
    <n v="0.15000000000000002"/>
    <n v="200"/>
    <s v="Reconformación de la rasante"/>
    <s v="m3"/>
    <n v="0.35"/>
    <n v="800"/>
    <m/>
    <d v="2014-05-01T00:00:00"/>
    <d v="2014-05-31T00:00:00"/>
    <s v="EJECUTADO"/>
    <n v="280"/>
  </r>
  <r>
    <m/>
    <m/>
    <s v="MANTENIMIENTO"/>
    <x v="63"/>
    <x v="62"/>
    <s v="ZONA3"/>
    <x v="10"/>
    <x v="33"/>
    <s v="AD. DIRECTA"/>
    <s v="VIALSUR"/>
    <n v="4.5"/>
    <m/>
    <n v="144"/>
    <s v="Limpieza de derrumbes a máquina"/>
    <s v="m³."/>
    <n v="1.46"/>
    <n v="440"/>
    <m/>
    <d v="2014-04-11T00:00:00"/>
    <d v="2014-06-30T00:00:00"/>
    <s v="EJECUTADO"/>
    <n v="642.4"/>
  </r>
  <r>
    <m/>
    <m/>
    <s v="MANTENIMIENTO"/>
    <x v="1"/>
    <x v="62"/>
    <s v="ZONA3"/>
    <x v="10"/>
    <x v="33"/>
    <s v="AD. DIRECTA"/>
    <s v="VIALSUR"/>
    <m/>
    <n v="2.21"/>
    <m/>
    <s v="Rasanteo y conformacion de cunetas con motoniveladora"/>
    <s v="m²."/>
    <n v="0.08"/>
    <n v="12150"/>
    <m/>
    <d v="2014-06-01T00:00:00"/>
    <d v="2014-06-30T00:00:00"/>
    <s v="EJECUTADO"/>
    <n v="972"/>
  </r>
  <r>
    <m/>
    <m/>
    <s v="MANTENIMIENTO"/>
    <x v="64"/>
    <x v="63"/>
    <s v="ZONA3"/>
    <x v="10"/>
    <x v="33"/>
    <s v="AD. DIRECTA"/>
    <s v="VIALSUR"/>
    <n v="3.1"/>
    <n v="2.2699999999999996"/>
    <n v="144"/>
    <s v="Rasanteo y conformacion de cunetas con motoniveladora"/>
    <s v="m²."/>
    <n v="0.08"/>
    <n v="12460"/>
    <m/>
    <d v="2014-02-07T00:00:00"/>
    <d v="2014-02-08T00:00:00"/>
    <s v="EJECUTADO"/>
    <n v="996.8"/>
  </r>
  <r>
    <m/>
    <m/>
    <s v="MANTENIMIENTO"/>
    <x v="65"/>
    <x v="64"/>
    <s v="ZONA3"/>
    <x v="10"/>
    <x v="32"/>
    <s v="AD. DIRECTA"/>
    <s v="VIALSUR"/>
    <n v="6.7"/>
    <m/>
    <n v="267"/>
    <s v="Limpieza de derrumbes a máquina"/>
    <s v="m³."/>
    <n v="1.46"/>
    <n v="300"/>
    <m/>
    <d v="2014-06-01T00:00:00"/>
    <d v="2014-06-30T00:00:00"/>
    <s v="EJECUTADO"/>
    <n v="438"/>
  </r>
  <r>
    <m/>
    <m/>
    <s v="MANTENIMIENTO"/>
    <x v="1"/>
    <x v="64"/>
    <s v="ZONA3"/>
    <x v="10"/>
    <x v="32"/>
    <s v="AD. DIRECTA"/>
    <s v="VIALSUR"/>
    <m/>
    <n v="4.8899999999999997"/>
    <m/>
    <s v="Reconformación de la Subrazante"/>
    <s v="m²."/>
    <n v="0.35"/>
    <n v="26880"/>
    <m/>
    <d v="2014-06-01T00:00:00"/>
    <d v="2014-06-30T00:00:00"/>
    <s v="EJECUTADO"/>
    <n v="9408"/>
  </r>
  <r>
    <m/>
    <m/>
    <s v="MANTENIMIENTO"/>
    <x v="66"/>
    <x v="65"/>
    <s v="ZONA3"/>
    <x v="10"/>
    <x v="32"/>
    <s v="AD. DIRECTA"/>
    <s v="VIALSUR"/>
    <m/>
    <m/>
    <n v="0"/>
    <s v="Limpieza de derrumbes a máquina"/>
    <s v="m³."/>
    <n v="1.46"/>
    <n v="850"/>
    <m/>
    <d v="2014-04-09T00:00:00"/>
    <d v="2014-06-30T00:00:00"/>
    <s v="EJECUTADO"/>
    <n v="1241"/>
  </r>
  <r>
    <m/>
    <m/>
    <s v="MANTENIMIENTO"/>
    <x v="1"/>
    <x v="65"/>
    <s v="ZONA3"/>
    <x v="10"/>
    <x v="32"/>
    <s v="AD. DIRECTA"/>
    <s v="VIALSUR"/>
    <m/>
    <n v="1.85"/>
    <n v="0"/>
    <s v="Rasanteo y conformacion de cunetas con motoniveladora"/>
    <s v="m²."/>
    <n v="0.08"/>
    <n v="10175"/>
    <m/>
    <d v="2014-04-09T00:00:00"/>
    <d v="2014-04-15T00:00:00"/>
    <s v="EJECUTADO"/>
    <n v="814"/>
  </r>
  <r>
    <m/>
    <m/>
    <s v="MANTENIMIENTO"/>
    <x v="1"/>
    <x v="65"/>
    <s v="ZONA3"/>
    <x v="10"/>
    <x v="32"/>
    <s v="AD. DIRECTA"/>
    <s v="VIALSUR"/>
    <n v="7.8"/>
    <n v="7.33"/>
    <n v="267"/>
    <s v="Acabado de Obra Básica existente"/>
    <s v="m²."/>
    <n v="0.35"/>
    <n v="40290"/>
    <m/>
    <d v="2014-04-09T00:00:00"/>
    <d v="2014-06-30T00:00:00"/>
    <s v="EJECUTADO"/>
    <n v="14101.5"/>
  </r>
  <r>
    <m/>
    <m/>
    <s v="MEJORAMIENTO"/>
    <x v="67"/>
    <x v="66"/>
    <s v="ZONA3"/>
    <x v="10"/>
    <x v="35"/>
    <s v="AD. DIRECTA"/>
    <s v="VIALSUR"/>
    <n v="1.65"/>
    <m/>
    <n v="245"/>
    <s v="Excavación sin clasificar a maquina (construcción de drenes y subdrenes)"/>
    <s v="m³."/>
    <n v="1.62"/>
    <n v="1920"/>
    <m/>
    <d v="2014-05-01T00:00:00"/>
    <d v="2014-05-31T00:00:00"/>
    <s v="EJECUTADO"/>
    <n v="3110.4"/>
  </r>
  <r>
    <m/>
    <m/>
    <s v="MEJORAMIENTO"/>
    <x v="1"/>
    <x v="66"/>
    <s v="ZONA3"/>
    <x v="10"/>
    <x v="35"/>
    <s v="AD. DIRECTA"/>
    <s v="VIALSUR"/>
    <m/>
    <m/>
    <n v="0"/>
    <s v="Explotación de material incluye cargado"/>
    <s v="m³."/>
    <n v="1.62"/>
    <n v="700"/>
    <m/>
    <d v="2014-04-16T00:00:00"/>
    <d v="2014-04-30T00:00:00"/>
    <s v="EJECUTADO"/>
    <n v="1134"/>
  </r>
  <r>
    <m/>
    <m/>
    <s v="MEJORAMIENTO"/>
    <x v="1"/>
    <x v="66"/>
    <s v="ZONA3"/>
    <x v="10"/>
    <x v="35"/>
    <s v="AD. DIRECTA"/>
    <s v="VIALSUR"/>
    <m/>
    <m/>
    <n v="0"/>
    <s v="Clasificación de material."/>
    <s v="m³."/>
    <n v="1.47"/>
    <n v="1500"/>
    <m/>
    <d v="2014-01-05T00:00:00"/>
    <d v="2014-05-31T00:00:00"/>
    <s v="EJECUTADO"/>
    <n v="2205"/>
  </r>
  <r>
    <m/>
    <m/>
    <s v="MANTENIMIENTO"/>
    <x v="1"/>
    <x v="66"/>
    <s v="ZONA3"/>
    <x v="10"/>
    <x v="35"/>
    <s v="AD. DIRECTA"/>
    <s v="VIALSUR"/>
    <m/>
    <m/>
    <n v="0"/>
    <s v="Limpieza de derrumbes a máquina"/>
    <s v="m³."/>
    <n v="1.46"/>
    <n v="875"/>
    <m/>
    <d v="2014-04-16T00:00:00"/>
    <d v="2014-04-30T00:00:00"/>
    <s v="EJECUTADO"/>
    <n v="1277.5"/>
  </r>
  <r>
    <m/>
    <m/>
    <s v="MANTENIMIENTO"/>
    <x v="1"/>
    <x v="66"/>
    <s v="ZONA3"/>
    <x v="10"/>
    <x v="35"/>
    <s v="AD. DIRECTA"/>
    <s v="VIALSUR"/>
    <m/>
    <n v="1.53"/>
    <n v="0"/>
    <s v="Rasanteo y conformacion de cunetas con motoniveladora"/>
    <s v="m²."/>
    <n v="0.08"/>
    <n v="8370"/>
    <m/>
    <d v="2014-04-16T00:00:00"/>
    <d v="2014-04-30T00:00:00"/>
    <s v="EJECUTADO"/>
    <n v="669.6"/>
  </r>
  <r>
    <m/>
    <m/>
    <s v="MANTENIMIENTO"/>
    <x v="1"/>
    <x v="66"/>
    <s v="ZONA3"/>
    <x v="10"/>
    <x v="35"/>
    <s v="AD. DIRECTA"/>
    <s v="VIALSUR"/>
    <m/>
    <m/>
    <n v="0"/>
    <s v="Transporte de material excavado, inc. cargado"/>
    <s v="m³/km."/>
    <n v="0.38"/>
    <n v="780"/>
    <m/>
    <d v="2014-04-16T00:00:00"/>
    <d v="2014-04-30T00:00:00"/>
    <s v="EJECUTADO"/>
    <n v="296.39999999999998"/>
  </r>
  <r>
    <m/>
    <m/>
    <s v="MEJORAMIENTO"/>
    <x v="1"/>
    <x v="66"/>
    <s v="ZONA3"/>
    <x v="10"/>
    <x v="35"/>
    <s v="AD. DIRECTA"/>
    <s v="VIALSUR"/>
    <m/>
    <m/>
    <n v="0"/>
    <s v="Transporte de material para mejoramiento, inc. cargado"/>
    <s v="m³/km."/>
    <n v="0.3"/>
    <n v="6429.36"/>
    <m/>
    <d v="2014-04-16T00:00:00"/>
    <d v="2014-05-31T00:00:00"/>
    <s v="EJECUTADO"/>
    <n v="1928.81"/>
  </r>
  <r>
    <m/>
    <m/>
    <s v="MEJORAMIENTO"/>
    <x v="1"/>
    <x v="66"/>
    <s v="ZONA3"/>
    <x v="10"/>
    <x v="35"/>
    <s v="AD. DIRECTA"/>
    <s v="VIALSUR"/>
    <m/>
    <n v="1.58"/>
    <n v="0"/>
    <s v="Mejoramiento de la subrasante con suelo seleccionado"/>
    <s v="m³."/>
    <n v="5.92"/>
    <n v="1742"/>
    <m/>
    <d v="2014-04-16T00:00:00"/>
    <d v="2014-05-31T00:00:00"/>
    <s v="EJECUTADO"/>
    <n v="10312.64"/>
  </r>
  <r>
    <m/>
    <m/>
    <s v="ALCANTARILLA"/>
    <x v="68"/>
    <x v="67"/>
    <s v="ZONA3"/>
    <x v="10"/>
    <x v="36"/>
    <s v="AD. DIRECTA"/>
    <s v="VIALSUR"/>
    <n v="12.7"/>
    <m/>
    <n v="2886"/>
    <s v="Suministro y colocación de alcantarilla D=1.20 m."/>
    <s v="ml."/>
    <n v="208.57"/>
    <n v="14"/>
    <m/>
    <d v="2014-01-05T00:00:00"/>
    <d v="2014-05-31T00:00:00"/>
    <s v="EJECUTADO"/>
    <n v="2919.98"/>
  </r>
  <r>
    <m/>
    <m/>
    <s v="MEJORAMIENTO"/>
    <x v="1"/>
    <x v="67"/>
    <s v="ZONA3"/>
    <x v="10"/>
    <x v="36"/>
    <s v="AD. DIRECTA"/>
    <s v="VIALSUR"/>
    <m/>
    <m/>
    <n v="0"/>
    <s v="Material filtrante (construcción de subdrenes)"/>
    <s v="m3"/>
    <n v="9.84"/>
    <n v="800"/>
    <m/>
    <d v="2014-01-05T00:00:00"/>
    <d v="2014-05-31T00:00:00"/>
    <s v="EJECUTADO"/>
    <n v="7872"/>
  </r>
  <r>
    <m/>
    <m/>
    <s v="MEJORAMIENTO"/>
    <x v="1"/>
    <x v="67"/>
    <s v="ZONA3"/>
    <x v="10"/>
    <x v="36"/>
    <s v="AD. DIRECTA"/>
    <s v="VIALSUR"/>
    <m/>
    <m/>
    <n v="0"/>
    <s v="Relleno Compactado con material mejorado (estructura de la vía)"/>
    <s v="m3"/>
    <n v="5.05"/>
    <n v="440"/>
    <m/>
    <d v="2014-01-05T00:00:00"/>
    <d v="2014-05-31T00:00:00"/>
    <s v="EJECUTADO"/>
    <n v="2222"/>
  </r>
  <r>
    <m/>
    <m/>
    <s v="MANTENIMIENTO"/>
    <x v="1"/>
    <x v="67"/>
    <s v="ZONA3"/>
    <x v="10"/>
    <x v="36"/>
    <s v="AD. DIRECTA"/>
    <s v="VIALSUR"/>
    <m/>
    <m/>
    <n v="0"/>
    <s v="ESCOMBRERAS"/>
    <s v="m3"/>
    <n v="0.92"/>
    <n v="4372.8"/>
    <m/>
    <d v="2014-01-05T00:00:00"/>
    <d v="2014-05-31T00:00:00"/>
    <s v="EJECUTADO"/>
    <n v="4022.98"/>
  </r>
  <r>
    <m/>
    <m/>
    <s v="MEJORAMIENTO"/>
    <x v="1"/>
    <x v="67"/>
    <s v="ZONA3"/>
    <x v="10"/>
    <x v="36"/>
    <s v="AD. DIRECTA"/>
    <s v="VIALSUR"/>
    <m/>
    <m/>
    <n v="0"/>
    <s v="Explotación de material (incluye cargado)."/>
    <s v="m³."/>
    <n v="2.54"/>
    <n v="1300"/>
    <m/>
    <d v="2014-03-07T00:00:00"/>
    <d v="2014-04-23T00:00:00"/>
    <s v="EJECUTADO"/>
    <n v="3302"/>
  </r>
  <r>
    <m/>
    <m/>
    <s v="MEJORAMIENTO"/>
    <x v="1"/>
    <x v="67"/>
    <s v="ZONA3"/>
    <x v="10"/>
    <x v="36"/>
    <s v="AD. DIRECTA"/>
    <s v="VIALSUR"/>
    <m/>
    <m/>
    <n v="0"/>
    <s v="Excavación sin clasificar a maquina (Ampliación de la vía)"/>
    <s v="m³."/>
    <n v="1.62"/>
    <n v="4930"/>
    <m/>
    <d v="2014-03-07T00:00:00"/>
    <d v="2014-04-23T00:00:00"/>
    <s v="EJECUTADO"/>
    <n v="7986.6"/>
  </r>
  <r>
    <m/>
    <m/>
    <s v="MEJORAMIENTO"/>
    <x v="1"/>
    <x v="67"/>
    <s v="ZONA3"/>
    <x v="10"/>
    <x v="36"/>
    <s v="AD. DIRECTA"/>
    <s v="VIALSUR"/>
    <m/>
    <m/>
    <n v="0"/>
    <s v="Clasificación de material."/>
    <s v="m³."/>
    <n v="1.47"/>
    <n v="2130"/>
    <m/>
    <d v="2014-03-07T00:00:00"/>
    <d v="2014-03-31T00:00:00"/>
    <s v="EJECUTADO"/>
    <n v="3131.1"/>
  </r>
  <r>
    <m/>
    <m/>
    <s v="MANTENIMIENTO"/>
    <x v="1"/>
    <x v="67"/>
    <s v="ZONA3"/>
    <x v="10"/>
    <x v="36"/>
    <s v="AD. DIRECTA"/>
    <s v="VIALSUR"/>
    <m/>
    <m/>
    <n v="0"/>
    <s v="Transporte de material excavado, inc. cargado"/>
    <s v="m³/km."/>
    <n v="0.38"/>
    <n v="1457"/>
    <m/>
    <d v="2014-03-07T00:00:00"/>
    <d v="2014-04-23T00:00:00"/>
    <s v="EJECUTADO"/>
    <n v="553.66"/>
  </r>
  <r>
    <m/>
    <m/>
    <s v="MEJORAMIENTO"/>
    <x v="1"/>
    <x v="67"/>
    <s v="ZONA3"/>
    <x v="10"/>
    <x v="36"/>
    <s v="AD. DIRECTA"/>
    <s v="VIALSUR"/>
    <m/>
    <m/>
    <n v="0"/>
    <s v="Transporte de material petreo, inc. cargado"/>
    <s v="m³/km."/>
    <n v="0.3"/>
    <n v="5902.4"/>
    <m/>
    <d v="2014-03-07T00:00:00"/>
    <d v="2014-04-23T00:00:00"/>
    <s v="EJECUTADO"/>
    <n v="1770.72"/>
  </r>
  <r>
    <m/>
    <m/>
    <s v="MEJORAMIENTO"/>
    <x v="1"/>
    <x v="67"/>
    <s v="ZONA3"/>
    <x v="10"/>
    <x v="36"/>
    <s v="AD. DIRECTA"/>
    <s v="VIALSUR"/>
    <m/>
    <m/>
    <n v="0"/>
    <s v="Transporte de material para mejoramiento, inc. cargado"/>
    <s v="m³/km."/>
    <n v="0.3"/>
    <n v="11572"/>
    <m/>
    <d v="2014-03-07T00:00:00"/>
    <d v="2014-04-23T00:00:00"/>
    <s v="EJECUTADO"/>
    <n v="3471.6"/>
  </r>
  <r>
    <m/>
    <m/>
    <s v="MEJORAMIENTO"/>
    <x v="1"/>
    <x v="67"/>
    <s v="ZONA3"/>
    <x v="10"/>
    <x v="36"/>
    <s v="AD. DIRECTA"/>
    <s v="VIALSUR"/>
    <m/>
    <n v="0.84"/>
    <n v="0"/>
    <s v="Mejoramiento de la subrasante con suelo seleccionado"/>
    <s v="m³"/>
    <n v="5.92"/>
    <n v="924"/>
    <m/>
    <d v="2014-03-07T00:00:00"/>
    <d v="2014-03-31T00:00:00"/>
    <s v="EJECUTADO"/>
    <n v="5470.08"/>
  </r>
  <r>
    <m/>
    <m/>
    <s v="MANTENIMIENTO"/>
    <x v="69"/>
    <x v="68"/>
    <s v="ZONA3"/>
    <x v="10"/>
    <x v="36"/>
    <s v="AD. DIRECTA"/>
    <s v="VIALSUR"/>
    <n v="12.7"/>
    <m/>
    <n v="2886"/>
    <s v="Limpieza de derrumbes a máquina"/>
    <s v="m³."/>
    <n v="1.46"/>
    <n v="1975"/>
    <m/>
    <d v="2014-02-18T00:00:00"/>
    <d v="2014-05-31T00:00:00"/>
    <s v="EJECUTADO"/>
    <n v="2883.5"/>
  </r>
  <r>
    <m/>
    <m/>
    <s v="MANTENIMIENTO"/>
    <x v="70"/>
    <x v="69"/>
    <s v="ZONA3"/>
    <x v="10"/>
    <x v="36"/>
    <s v="AD. DIRECTA"/>
    <s v="VIALSUR"/>
    <n v="18.2"/>
    <m/>
    <n v="2886"/>
    <s v="Limpieza de derrumbes a máquina"/>
    <s v="m³."/>
    <n v="1.46"/>
    <n v="2750"/>
    <m/>
    <d v="2014-04-04T00:00:00"/>
    <d v="2014-06-30T00:00:00"/>
    <s v="EJECUTADO"/>
    <n v="4015"/>
  </r>
  <r>
    <m/>
    <m/>
    <s v="MANTENIMIENTO"/>
    <x v="1"/>
    <x v="69"/>
    <s v="ZONA3"/>
    <x v="10"/>
    <x v="36"/>
    <s v="AD. DIRECTA"/>
    <s v="VIALSUR"/>
    <m/>
    <n v="3.5599999999999996"/>
    <n v="0"/>
    <s v="Reconformación de la Subrazante"/>
    <s v="m2"/>
    <n v="0.35"/>
    <n v="19550"/>
    <m/>
    <d v="2014-06-01T00:00:00"/>
    <d v="2014-06-30T00:00:00"/>
    <s v="EJECUTADO"/>
    <n v="6842.5"/>
  </r>
  <r>
    <m/>
    <m/>
    <s v="MANTENIMIENTO"/>
    <x v="71"/>
    <x v="70"/>
    <s v="ZONA3"/>
    <x v="10"/>
    <x v="36"/>
    <s v="AD. DIRECTA"/>
    <s v="VIALSUR"/>
    <n v="8.6"/>
    <m/>
    <n v="2886"/>
    <s v="Limpieza de derrumbes a máquina"/>
    <s v="m³."/>
    <n v="1.46"/>
    <n v="3200"/>
    <m/>
    <d v="2014-04-10T00:00:00"/>
    <d v="2014-06-30T00:00:00"/>
    <s v="EJECUTADO"/>
    <n v="4672"/>
  </r>
  <r>
    <m/>
    <m/>
    <s v="MANTENIMIENTO"/>
    <x v="1"/>
    <x v="70"/>
    <s v="ZONA3"/>
    <x v="10"/>
    <x v="36"/>
    <s v="AD. DIRECTA"/>
    <s v="VIALSUR"/>
    <m/>
    <m/>
    <n v="0"/>
    <s v="Relleno Compactado con material mejorado (estructura de la vía)"/>
    <s v="m³."/>
    <n v="5.05"/>
    <n v="360"/>
    <m/>
    <d v="2014-06-01T00:00:00"/>
    <d v="2014-06-30T00:00:00"/>
    <s v="EJECUTADO"/>
    <n v="1818"/>
  </r>
  <r>
    <m/>
    <m/>
    <s v="MEJORAMIENTO"/>
    <x v="1"/>
    <x v="70"/>
    <s v="ZONA3"/>
    <x v="10"/>
    <x v="36"/>
    <s v="AD. DIRECTA"/>
    <s v="VIALSUR"/>
    <m/>
    <m/>
    <n v="0"/>
    <s v="Transporte de material mejorado, inc. Cargado"/>
    <s v="m³./km."/>
    <n v="0.3"/>
    <n v="972"/>
    <m/>
    <d v="2014-06-01T00:00:00"/>
    <d v="2014-06-30T00:00:00"/>
    <s v="EJECUTADO"/>
    <n v="291.60000000000002"/>
  </r>
  <r>
    <m/>
    <m/>
    <s v="MANTENIMIENTO"/>
    <x v="1"/>
    <x v="70"/>
    <s v="ZONA3"/>
    <x v="10"/>
    <x v="36"/>
    <s v="AD. DIRECTA"/>
    <s v="VIALSUR"/>
    <m/>
    <n v="17.520000000000003"/>
    <n v="0"/>
    <s v="Reconformación de la Subrazante"/>
    <s v="m³."/>
    <n v="0.35"/>
    <n v="96320"/>
    <m/>
    <d v="2014-01-05T00:00:00"/>
    <d v="2014-06-30T00:00:00"/>
    <s v="EJECUTADO"/>
    <n v="33712"/>
  </r>
  <r>
    <m/>
    <m/>
    <s v="MANTENIMIENTO"/>
    <x v="72"/>
    <x v="71"/>
    <s v="ZONA3"/>
    <x v="10"/>
    <x v="36"/>
    <s v="AD. DIRECTA"/>
    <s v="VIALSUR"/>
    <n v="1.6"/>
    <m/>
    <n v="2886"/>
    <s v="Limpieza de derrumbes a máquina"/>
    <s v="m³."/>
    <n v="1.46"/>
    <n v="1050"/>
    <m/>
    <d v="2014-06-01T00:00:00"/>
    <d v="2014-06-30T00:00:00"/>
    <s v="EJECUTADO"/>
    <n v="1533"/>
  </r>
  <r>
    <m/>
    <m/>
    <s v="MANTENIMIENTO"/>
    <x v="1"/>
    <x v="71"/>
    <s v="ZONA3"/>
    <x v="10"/>
    <x v="36"/>
    <s v="AD. DIRECTA"/>
    <s v="VIALSUR"/>
    <m/>
    <n v="3.25"/>
    <n v="0"/>
    <s v="Reconformación de la Subrazante"/>
    <s v="m2"/>
    <n v="0.35"/>
    <n v="17850"/>
    <m/>
    <d v="2014-06-01T00:00:00"/>
    <d v="2014-06-30T00:00:00"/>
    <s v="EJECUTADO"/>
    <n v="6247.5"/>
  </r>
  <r>
    <m/>
    <m/>
    <s v="MEJORAMIENTO"/>
    <x v="73"/>
    <x v="72"/>
    <s v="ZONA3"/>
    <x v="10"/>
    <x v="36"/>
    <s v="AD. DIRECTA"/>
    <s v="VIALSUR"/>
    <n v="4.7"/>
    <m/>
    <n v="2886"/>
    <s v="Clasificación de material."/>
    <s v="m³."/>
    <n v="1.47"/>
    <n v="100"/>
    <m/>
    <d v="2014-04-10T00:00:00"/>
    <d v="2014-04-11T00:00:00"/>
    <s v="EJECUTADO"/>
    <n v="147"/>
  </r>
  <r>
    <m/>
    <m/>
    <s v="MEJORAMIENTO"/>
    <x v="1"/>
    <x v="72"/>
    <s v="ZONA3"/>
    <x v="10"/>
    <x v="36"/>
    <s v="AD. DIRECTA"/>
    <s v="VIALSUR"/>
    <n v="4.7"/>
    <m/>
    <n v="2886"/>
    <s v="Transporte de material para mejoramiento, inc. cargado"/>
    <s v="m³/km."/>
    <n v="0.3"/>
    <n v="180"/>
    <m/>
    <d v="2014-04-10T00:00:00"/>
    <d v="2014-04-11T00:00:00"/>
    <s v="EJECUTADO"/>
    <n v="54"/>
  </r>
  <r>
    <m/>
    <m/>
    <s v="MEJORAMIENTO"/>
    <x v="1"/>
    <x v="72"/>
    <s v="ZONA3"/>
    <x v="10"/>
    <x v="36"/>
    <s v="AD. DIRECTA"/>
    <s v="VIALSUR"/>
    <n v="4.7"/>
    <n v="7.0000000000000007E-2"/>
    <n v="2886"/>
    <s v="Mejoramiento de la subrasante con suelo seleccionado"/>
    <s v="m³."/>
    <n v="5.92"/>
    <n v="72"/>
    <m/>
    <d v="2014-04-10T00:00:00"/>
    <d v="2014-04-11T00:00:00"/>
    <s v="EJECUTADO"/>
    <n v="426.24"/>
  </r>
  <r>
    <s v="12"/>
    <s v="EJECUTADO"/>
    <s v="MANTENIMIENTO"/>
    <x v="74"/>
    <x v="73"/>
    <s v="ZONA3"/>
    <x v="11"/>
    <x v="34"/>
    <s v="AD. DIRECTA"/>
    <s v="VIALSUR"/>
    <n v="15.4"/>
    <m/>
    <n v="200"/>
    <s v="Limpieza de derrumbes a máquina"/>
    <s v="m³."/>
    <n v="1.46"/>
    <n v="8875"/>
    <m/>
    <d v="2014-02-18T00:00:00"/>
    <d v="2014-07-31T00:00:00"/>
    <s v="EJECUTADO"/>
    <n v="12957.5"/>
  </r>
  <r>
    <m/>
    <m/>
    <s v="MANTENIMIENTO"/>
    <x v="1"/>
    <x v="73"/>
    <s v="ZONA3"/>
    <x v="11"/>
    <x v="34"/>
    <s v="AD. DIRECTA"/>
    <s v="VIALSUR"/>
    <m/>
    <m/>
    <m/>
    <s v="Limpieza de cunetas y alcantarillas a máquina"/>
    <s v="m³."/>
    <n v="1.47"/>
    <n v="700"/>
    <m/>
    <d v="2014-07-01T00:00:00"/>
    <d v="2014-07-31T00:00:00"/>
    <s v="EJECUTADO"/>
    <n v="1029"/>
  </r>
  <r>
    <m/>
    <m/>
    <s v="MANTENIMIENTO"/>
    <x v="1"/>
    <x v="73"/>
    <s v="ZONA3"/>
    <x v="11"/>
    <x v="34"/>
    <s v="AD. DIRECTA"/>
    <s v="VIALSUR"/>
    <m/>
    <m/>
    <m/>
    <s v="Transporte de material excavado, inc. cargado"/>
    <s v="m³/km."/>
    <n v="0.38"/>
    <n v="639.36"/>
    <m/>
    <d v="2014-07-01T00:00:00"/>
    <d v="2014-07-31T00:00:00"/>
    <s v="EJECUTADO"/>
    <n v="242.96"/>
  </r>
  <r>
    <m/>
    <m/>
    <s v="MEJORAMIENTO"/>
    <x v="1"/>
    <x v="73"/>
    <s v="ZONA3"/>
    <x v="11"/>
    <x v="34"/>
    <s v="AD. DIRECTA"/>
    <s v="VIALSUR"/>
    <m/>
    <m/>
    <m/>
    <s v="Transporte de material para mejoramiento, inc. cargado"/>
    <s v="m³/km."/>
    <n v="0.38"/>
    <n v="6542.64"/>
    <m/>
    <d v="2014-07-01T00:00:00"/>
    <d v="2014-07-31T00:00:00"/>
    <s v="EJECUTADO"/>
    <n v="2486.1999999999998"/>
  </r>
  <r>
    <m/>
    <m/>
    <s v="MANTENIMIENTO"/>
    <x v="1"/>
    <x v="73"/>
    <s v="ZONA3"/>
    <x v="11"/>
    <x v="34"/>
    <s v="AD. DIRECTA"/>
    <s v="VIALSUR"/>
    <m/>
    <n v="16.07"/>
    <m/>
    <s v="Reconformación de la subrasante"/>
    <s v="m²."/>
    <n v="0.35"/>
    <n v="88350"/>
    <m/>
    <d v="2014-07-01T00:00:00"/>
    <d v="2014-07-31T00:00:00"/>
    <s v="EJECUTADO"/>
    <n v="30922.5"/>
  </r>
  <r>
    <m/>
    <m/>
    <s v="MEJORAMIENTO"/>
    <x v="1"/>
    <x v="73"/>
    <s v="ZONA3"/>
    <x v="11"/>
    <x v="34"/>
    <s v="AD. DIRECTA"/>
    <s v="VIALSUR"/>
    <m/>
    <n v="0.65"/>
    <m/>
    <s v="Mejoramiento de la subrasante con suelo seleccionado"/>
    <s v="m³."/>
    <n v="5.92"/>
    <n v="720"/>
    <m/>
    <d v="2014-07-01T00:00:00"/>
    <d v="2014-07-31T00:00:00"/>
    <s v="EJECUTADO"/>
    <n v="4262.3999999999996"/>
  </r>
  <r>
    <m/>
    <m/>
    <s v="MEJORAMIENTO"/>
    <x v="1"/>
    <x v="73"/>
    <s v="ZONA3"/>
    <x v="11"/>
    <x v="34"/>
    <s v="AD. DIRECTA"/>
    <s v="VIALSUR"/>
    <m/>
    <m/>
    <m/>
    <s v="Excavación y Relleno compactado, con material mejorado"/>
    <s v="m³."/>
    <n v="7.6"/>
    <n v="940"/>
    <m/>
    <d v="2014-07-01T00:00:00"/>
    <d v="2014-07-31T00:00:00"/>
    <s v="EJECUTADO"/>
    <n v="7144"/>
  </r>
  <r>
    <m/>
    <m/>
    <s v="MEJORAMIENTO"/>
    <x v="1"/>
    <x v="73"/>
    <s v="ZONA3"/>
    <x v="11"/>
    <x v="34"/>
    <s v="AD. DIRECTA"/>
    <s v="VIALSUR"/>
    <m/>
    <m/>
    <m/>
    <s v="Clasificación de material."/>
    <s v="m³."/>
    <n v="1.47"/>
    <n v="1580"/>
    <m/>
    <d v="2014-07-01T00:00:00"/>
    <d v="2014-07-31T00:00:00"/>
    <s v="EJECUTADO"/>
    <n v="2322.6"/>
  </r>
  <r>
    <s v="13"/>
    <s v="EJECUTADO"/>
    <s v="MANTENIMIENTO"/>
    <x v="75"/>
    <x v="74"/>
    <s v="ZONA3"/>
    <x v="11"/>
    <x v="34"/>
    <s v="AD. DIRECTA"/>
    <s v="VIALSUR"/>
    <n v="6.2"/>
    <m/>
    <n v="200"/>
    <s v="Reconformación de la subrasante"/>
    <s v="m²."/>
    <n v="0.35"/>
    <n v="27900"/>
    <m/>
    <d v="2014-07-29T00:00:00"/>
    <d v="2014-07-31T00:00:00"/>
    <s v="EJECUTADO"/>
    <n v="9765"/>
  </r>
  <r>
    <m/>
    <m/>
    <s v="MEJORAMIENTO"/>
    <x v="76"/>
    <x v="75"/>
    <s v="ZONA3"/>
    <x v="11"/>
    <x v="37"/>
    <s v="AD. DIRECTA"/>
    <s v="VIALSUR"/>
    <n v="7.3"/>
    <m/>
    <n v="483"/>
    <s v="Explotación de material (incluye cargado)."/>
    <s v="m³."/>
    <n v="2.54"/>
    <n v="4430"/>
    <m/>
    <d v="2014-01-21T00:00:00"/>
    <d v="2014-02-15T00:00:00"/>
    <s v="EJECUTADO"/>
    <n v="11252.2"/>
  </r>
  <r>
    <m/>
    <m/>
    <s v="MEJORAMIENTO"/>
    <x v="1"/>
    <x v="75"/>
    <s v="ZONA3"/>
    <x v="11"/>
    <x v="37"/>
    <s v="AD. DIRECTA"/>
    <s v="VIALSUR"/>
    <m/>
    <m/>
    <n v="0"/>
    <s v="Clasificación de material."/>
    <s v="m³."/>
    <n v="1.47"/>
    <n v="1350"/>
    <m/>
    <d v="2014-01-21T00:00:00"/>
    <d v="2014-02-15T00:00:00"/>
    <s v="EJECUTADO"/>
    <n v="1984.5"/>
  </r>
  <r>
    <m/>
    <m/>
    <s v="MANTENIMIENTO"/>
    <x v="1"/>
    <x v="75"/>
    <s v="ZONA3"/>
    <x v="11"/>
    <x v="37"/>
    <s v="AD. DIRECTA"/>
    <s v="VIALSUR"/>
    <m/>
    <m/>
    <n v="0"/>
    <s v="Limpieza de derrumbes a máquina"/>
    <s v="m³."/>
    <n v="1.46"/>
    <n v="1820"/>
    <m/>
    <d v="2014-01-21T00:00:00"/>
    <d v="2014-03-31T00:00:00"/>
    <s v="EJECUTADO"/>
    <n v="2657.2"/>
  </r>
  <r>
    <m/>
    <m/>
    <s v="MANTENIMIENTO"/>
    <x v="1"/>
    <x v="75"/>
    <s v="ZONA3"/>
    <x v="11"/>
    <x v="37"/>
    <s v="AD. DIRECTA"/>
    <s v="VIALSUR"/>
    <m/>
    <n v="7.68"/>
    <n v="0"/>
    <s v="Rasanteo y conformacion de cunetas con motoniveladora"/>
    <s v="m²."/>
    <n v="0.08"/>
    <n v="42195"/>
    <m/>
    <d v="2014-01-21T00:00:00"/>
    <d v="2014-03-31T00:00:00"/>
    <s v="EJECUTADO"/>
    <n v="3375.6"/>
  </r>
  <r>
    <m/>
    <m/>
    <s v="MEJORAMIENTO"/>
    <x v="1"/>
    <x v="75"/>
    <s v="ZONA3"/>
    <x v="11"/>
    <x v="37"/>
    <s v="AD. DIRECTA"/>
    <s v="VIALSUR"/>
    <m/>
    <n v="2.77"/>
    <n v="0"/>
    <s v="Mejoramiento de la subrasante con suelo seleccionado"/>
    <s v="m³."/>
    <n v="5.92"/>
    <n v="3044"/>
    <m/>
    <d v="2014-01-21T00:00:00"/>
    <d v="2014-02-15T00:00:00"/>
    <s v="EJECUTADO"/>
    <n v="18020.48"/>
  </r>
  <r>
    <m/>
    <m/>
    <s v="MEJORAMIENTO"/>
    <x v="1"/>
    <x v="75"/>
    <s v="ZONA3"/>
    <x v="11"/>
    <x v="37"/>
    <s v="AD. DIRECTA"/>
    <s v="VIALSUR"/>
    <m/>
    <m/>
    <n v="0"/>
    <s v="Transporte de material para mejoramiento, inc. cargado"/>
    <s v="m³/km."/>
    <n v="0.38"/>
    <n v="5665.78"/>
    <m/>
    <d v="2014-01-21T00:00:00"/>
    <d v="2014-02-15T00:00:00"/>
    <s v="EJECUTADO"/>
    <n v="2153"/>
  </r>
  <r>
    <m/>
    <m/>
    <s v="MEJORAMIENTO"/>
    <x v="77"/>
    <x v="76"/>
    <s v="ZONA3"/>
    <x v="11"/>
    <x v="38"/>
    <s v="AD. DIRECTA"/>
    <s v="VIALSUR"/>
    <n v="9.9"/>
    <m/>
    <n v="350"/>
    <s v="Explotación de material (incluye cargado)."/>
    <s v="m³."/>
    <n v="2.54"/>
    <n v="1600"/>
    <m/>
    <d v="2014-02-16T00:00:00"/>
    <d v="2014-02-21T00:00:00"/>
    <s v="EJECUTADO"/>
    <n v="4064"/>
  </r>
  <r>
    <m/>
    <m/>
    <s v="MEJORAMIENTO"/>
    <x v="1"/>
    <x v="76"/>
    <s v="ZONA3"/>
    <x v="11"/>
    <x v="38"/>
    <s v="AD. DIRECTA"/>
    <s v="VIALSUR"/>
    <m/>
    <m/>
    <n v="0"/>
    <s v="Clasificación de material."/>
    <s v="m³."/>
    <n v="1.47"/>
    <n v="300"/>
    <m/>
    <d v="2014-02-16T00:00:00"/>
    <d v="2014-02-21T00:00:00"/>
    <s v="EJECUTADO"/>
    <n v="441"/>
  </r>
  <r>
    <m/>
    <m/>
    <s v="MANTENIMIENTO"/>
    <x v="1"/>
    <x v="76"/>
    <s v="ZONA3"/>
    <x v="11"/>
    <x v="38"/>
    <s v="AD. DIRECTA"/>
    <s v="VIALSUR"/>
    <m/>
    <m/>
    <n v="0"/>
    <s v="Limpieza de derrumbes a máquina"/>
    <s v="m³."/>
    <n v="1.46"/>
    <n v="1650"/>
    <m/>
    <d v="2014-02-16T00:00:00"/>
    <d v="2014-02-21T00:00:00"/>
    <s v="EJECUTADO"/>
    <n v="2409"/>
  </r>
  <r>
    <m/>
    <m/>
    <s v="MANTENIMIENTO"/>
    <x v="1"/>
    <x v="76"/>
    <s v="ZONA3"/>
    <x v="11"/>
    <x v="38"/>
    <s v="AD. DIRECTA"/>
    <s v="VIALSUR"/>
    <m/>
    <n v="2.42"/>
    <n v="0"/>
    <s v="Rasanteo y conformacion de cunetas con motoniveladora"/>
    <s v="m²."/>
    <n v="0.08"/>
    <n v="13260"/>
    <m/>
    <d v="2014-02-16T00:00:00"/>
    <d v="2014-02-21T00:00:00"/>
    <s v="EJECUTADO"/>
    <n v="1060.8"/>
  </r>
  <r>
    <m/>
    <m/>
    <s v="MEJORAMIENTO"/>
    <x v="1"/>
    <x v="76"/>
    <s v="ZONA3"/>
    <x v="11"/>
    <x v="38"/>
    <s v="AD. DIRECTA"/>
    <s v="VIALSUR"/>
    <m/>
    <n v="0.98"/>
    <n v="0"/>
    <s v="Mejoramiento de la subrasante con suelo seleccionado"/>
    <s v="m³."/>
    <n v="5.92"/>
    <n v="1079"/>
    <m/>
    <d v="2014-02-16T00:00:00"/>
    <d v="2014-02-21T00:00:00"/>
    <s v="EJECUTADO"/>
    <n v="6387.68"/>
  </r>
  <r>
    <m/>
    <m/>
    <s v="MEJORAMIENTO"/>
    <x v="1"/>
    <x v="76"/>
    <s v="ZONA3"/>
    <x v="11"/>
    <x v="38"/>
    <s v="AD. DIRECTA"/>
    <s v="VIALSUR"/>
    <m/>
    <m/>
    <n v="0"/>
    <s v="Transporte de material para mejoramiento, inc. cargado"/>
    <s v="m³/km."/>
    <n v="0.38"/>
    <n v="4077.45"/>
    <m/>
    <d v="2014-02-16T00:00:00"/>
    <d v="2014-02-21T00:00:00"/>
    <s v="EJECUTADO"/>
    <n v="1549.43"/>
  </r>
  <r>
    <m/>
    <m/>
    <s v="MANTENIMIENTO"/>
    <x v="78"/>
    <x v="77"/>
    <s v="ZONA3"/>
    <x v="11"/>
    <x v="37"/>
    <s v="AD. DIRECTA"/>
    <s v="VIALSUR"/>
    <n v="13.6"/>
    <n v="4.2799999999999994"/>
    <n v="483"/>
    <s v="Rasanteo y conformacion de cunetas con motoniveladora"/>
    <s v="m²."/>
    <n v="0.08"/>
    <n v="23520"/>
    <m/>
    <d v="2014-02-25T00:00:00"/>
    <d v="2014-02-28T00:00:00"/>
    <s v="EJECUTADO"/>
    <n v="1881.6"/>
  </r>
  <r>
    <m/>
    <m/>
    <s v="MANTENIMIENTO"/>
    <x v="1"/>
    <x v="77"/>
    <s v="ZONA3"/>
    <x v="11"/>
    <x v="37"/>
    <s v="AD. DIRECTA"/>
    <s v="VIALSUR"/>
    <m/>
    <m/>
    <n v="0"/>
    <s v="Limpieza de derrumbes a máquina"/>
    <s v="m³."/>
    <n v="1.46"/>
    <n v="1190"/>
    <m/>
    <d v="2014-02-25T00:00:00"/>
    <d v="2014-04-30T00:00:00"/>
    <s v="EJECUTADO"/>
    <n v="1737.4"/>
  </r>
  <r>
    <m/>
    <m/>
    <s v="MEJORAMIENTO"/>
    <x v="79"/>
    <x v="78"/>
    <s v="ZONA3"/>
    <x v="11"/>
    <x v="39"/>
    <s v="AD. DIRECTA"/>
    <s v="VIALSUR"/>
    <n v="4.2"/>
    <m/>
    <n v="698"/>
    <s v="Clasificación de material."/>
    <s v="m³."/>
    <n v="1.47"/>
    <n v="870"/>
    <m/>
    <d v="2014-01-07T00:00:00"/>
    <d v="2014-01-31T00:00:00"/>
    <s v="EJECUTADO"/>
    <n v="1278.9000000000001"/>
  </r>
  <r>
    <m/>
    <m/>
    <s v="MANTENIMIENTO"/>
    <x v="1"/>
    <x v="78"/>
    <s v="ZONA3"/>
    <x v="11"/>
    <x v="39"/>
    <s v="AD. DIRECTA"/>
    <s v="VIALSUR"/>
    <m/>
    <n v="1.1100000000000001"/>
    <n v="0"/>
    <s v="Rasanteo y conformacion de cunetas con motoniveladora"/>
    <s v="m²."/>
    <n v="0.08"/>
    <n v="6080"/>
    <m/>
    <d v="2014-01-07T00:00:00"/>
    <d v="2014-01-31T00:00:00"/>
    <s v="EJECUTADO"/>
    <n v="486.4"/>
  </r>
  <r>
    <m/>
    <m/>
    <s v="MEJORAMIENTO"/>
    <x v="1"/>
    <x v="78"/>
    <s v="ZONA3"/>
    <x v="11"/>
    <x v="39"/>
    <s v="AD. DIRECTA"/>
    <s v="VIALSUR"/>
    <m/>
    <n v="0.41"/>
    <n v="0"/>
    <s v="Mejoramiento de la subrasante con suelo seleccionado"/>
    <s v="m³."/>
    <n v="5.92"/>
    <n v="456"/>
    <m/>
    <d v="2014-01-07T00:00:00"/>
    <d v="2014-01-31T00:00:00"/>
    <s v="EJECUTADO"/>
    <n v="2699.52"/>
  </r>
  <r>
    <m/>
    <m/>
    <s v="MEJORAMIENTO"/>
    <x v="1"/>
    <x v="78"/>
    <s v="ZONA3"/>
    <x v="11"/>
    <x v="39"/>
    <s v="AD. DIRECTA"/>
    <s v="VIALSUR"/>
    <m/>
    <m/>
    <n v="0"/>
    <s v="Transporte de material para mejoramiento, inc. cargado"/>
    <s v="m³/km."/>
    <n v="0.38"/>
    <n v="1322.4"/>
    <m/>
    <d v="2014-01-07T00:00:00"/>
    <d v="2014-01-31T00:00:00"/>
    <s v="EJECUTADO"/>
    <n v="502.51"/>
  </r>
  <r>
    <s v="14"/>
    <s v="EJECUTADO"/>
    <s v="MANTENIMIENTO"/>
    <x v="80"/>
    <x v="79"/>
    <s v="ZONA3"/>
    <x v="11"/>
    <x v="39"/>
    <s v="AD. DIRECTA"/>
    <s v="VIALSUR"/>
    <n v="11"/>
    <m/>
    <n v="698"/>
    <s v="Limpieza y desalojo de derrumbes a máquina"/>
    <s v="m³."/>
    <n v="1.46"/>
    <n v="1800"/>
    <m/>
    <d v="2014-07-26T00:00:00"/>
    <d v="2014-07-31T00:00:00"/>
    <s v="EJECUTADO"/>
    <n v="2628"/>
  </r>
  <r>
    <m/>
    <m/>
    <s v="MEJORAMIENTO"/>
    <x v="81"/>
    <x v="61"/>
    <s v="ZONA3"/>
    <x v="11"/>
    <x v="39"/>
    <s v="AD. DIRECTA"/>
    <s v="VIALSUR"/>
    <n v="5.7"/>
    <n v="5.7"/>
    <n v="267"/>
    <s v="Excavación sin clasificar a máquina (ampliación de la vía en áreas críticas)"/>
    <s v="m³."/>
    <n v="1.62"/>
    <m/>
    <m/>
    <d v="2014-06-01T00:00:00"/>
    <d v="2014-06-30T00:00:00"/>
    <s v="EJECUTADO"/>
    <n v="0"/>
  </r>
  <r>
    <m/>
    <m/>
    <s v="MEJORAMIENTO"/>
    <x v="1"/>
    <x v="61"/>
    <s v="ZONA3"/>
    <x v="11"/>
    <x v="39"/>
    <s v="AD. DIRECTA"/>
    <s v="VIALSUR"/>
    <m/>
    <m/>
    <n v="0"/>
    <s v="Explotación  de material (incluye cargado)"/>
    <s v="m³."/>
    <n v="2.54"/>
    <n v="1200"/>
    <m/>
    <d v="2014-01-05T00:00:00"/>
    <d v="2014-05-31T00:00:00"/>
    <s v="EJECUTADO"/>
    <n v="3048"/>
  </r>
  <r>
    <m/>
    <m/>
    <s v="MEJORAMIENTO"/>
    <x v="1"/>
    <x v="61"/>
    <s v="ZONA3"/>
    <x v="11"/>
    <x v="39"/>
    <s v="AD. DIRECTA"/>
    <s v="VIALSUR"/>
    <m/>
    <m/>
    <n v="0"/>
    <s v="Clasificación de material."/>
    <s v="m³."/>
    <n v="1.47"/>
    <n v="1100"/>
    <m/>
    <d v="2014-06-12T00:00:00"/>
    <d v="2014-06-30T00:00:00"/>
    <s v="EJECUTADO"/>
    <n v="1617"/>
  </r>
  <r>
    <m/>
    <m/>
    <s v="MANTENIMIENTO"/>
    <x v="1"/>
    <x v="61"/>
    <s v="ZONA3"/>
    <x v="11"/>
    <x v="39"/>
    <s v="AD. DIRECTA"/>
    <s v="VIALSUR"/>
    <m/>
    <m/>
    <n v="0"/>
    <s v="Limpieza de derrumbes a maquina"/>
    <s v="m³."/>
    <n v="1.46"/>
    <n v="1200"/>
    <m/>
    <d v="2014-01-01T00:00:00"/>
    <d v="2014-06-30T00:00:00"/>
    <s v="EJECUTADO"/>
    <n v="1752"/>
  </r>
  <r>
    <m/>
    <m/>
    <s v="MANTENIMIENTO"/>
    <x v="1"/>
    <x v="61"/>
    <s v="ZONA3"/>
    <x v="11"/>
    <x v="39"/>
    <s v="AD. DIRECTA"/>
    <s v="VIALSUR"/>
    <m/>
    <m/>
    <n v="0"/>
    <s v="Limpieza de cunetas y alcantarillas a maquina"/>
    <s v="m³."/>
    <n v="1.47"/>
    <m/>
    <m/>
    <d v="2014-01-05T00:00:00"/>
    <d v="2014-07-31T00:00:00"/>
    <s v="EN EJECUCION"/>
    <n v="0"/>
  </r>
  <r>
    <m/>
    <m/>
    <s v="MEJORAMIENTO"/>
    <x v="1"/>
    <x v="61"/>
    <s v="ZONA3"/>
    <x v="11"/>
    <x v="39"/>
    <s v="AD. DIRECTA"/>
    <s v="VIALSUR"/>
    <m/>
    <m/>
    <n v="144"/>
    <s v="Mejoramiento de la subrasante con suelo seleccionado"/>
    <s v="m³."/>
    <n v="5.92"/>
    <n v="1010"/>
    <m/>
    <d v="2014-01-01T00:00:00"/>
    <d v="2014-04-30T00:00:00"/>
    <s v="EJECUTADO"/>
    <n v="5979.2"/>
  </r>
  <r>
    <m/>
    <m/>
    <s v="MANTENIMIENTO"/>
    <x v="1"/>
    <x v="61"/>
    <s v="ZONA3"/>
    <x v="11"/>
    <x v="39"/>
    <s v="AD. DIRECTA"/>
    <s v="VIALSUR"/>
    <m/>
    <m/>
    <n v="0"/>
    <s v="Reconformación de la Subrazante"/>
    <s v="m²."/>
    <n v="0.35"/>
    <n v="34230"/>
    <m/>
    <d v="2014-01-01T00:00:00"/>
    <d v="2014-06-30T00:00:00"/>
    <s v="EJECUTADO"/>
    <n v="11980.5"/>
  </r>
  <r>
    <m/>
    <m/>
    <s v="MEJORAMIENTO"/>
    <x v="1"/>
    <x v="61"/>
    <s v="ZONA3"/>
    <x v="11"/>
    <x v="39"/>
    <s v="AD. DIRECTA"/>
    <s v="VIALSUR"/>
    <m/>
    <m/>
    <n v="0"/>
    <s v="Transporte de material de mejoramiento"/>
    <s v="m3/km."/>
    <n v="0.3"/>
    <n v="6831"/>
    <m/>
    <d v="2014-01-05T00:00:00"/>
    <d v="2014-06-30T00:00:00"/>
    <s v="EJECUTADO"/>
    <n v="2049.3000000000002"/>
  </r>
  <r>
    <m/>
    <m/>
    <s v="MANTENIMIENTO"/>
    <x v="1"/>
    <x v="61"/>
    <s v="ZONA3"/>
    <x v="11"/>
    <x v="39"/>
    <s v="AD. DIRECTA"/>
    <s v="VIALSUR"/>
    <m/>
    <m/>
    <n v="200"/>
    <s v="Transporte de material excavado, inc. cargado"/>
    <s v="m³/km."/>
    <n v="0.38"/>
    <n v="1176.48"/>
    <m/>
    <d v="2014-05-01T00:00:00"/>
    <d v="2014-05-31T00:00:00"/>
    <s v="EJECUTADO"/>
    <n v="447.06"/>
  </r>
  <r>
    <m/>
    <m/>
    <s v="MANTENIMIENTO"/>
    <x v="82"/>
    <x v="80"/>
    <s v="ZONA3"/>
    <x v="11"/>
    <x v="39"/>
    <s v="AD. DIRECTA"/>
    <s v="VIALSUR"/>
    <n v="2.8"/>
    <n v="2.8"/>
    <n v="0"/>
    <s v="Limpieza de cunetas y alcantarillas a maquina"/>
    <s v="m³."/>
    <n v="1.47"/>
    <n v="600"/>
    <m/>
    <d v="2014-01-05T00:00:00"/>
    <d v="2014-07-31T00:00:00"/>
    <s v="EN EJECUCION"/>
    <n v="882"/>
  </r>
  <r>
    <m/>
    <m/>
    <s v="MANTENIMIENTO"/>
    <x v="83"/>
    <x v="81"/>
    <s v="ZONA3"/>
    <x v="11"/>
    <x v="39"/>
    <s v="AD. DIRECTA"/>
    <s v="VIALSUR"/>
    <n v="1.7"/>
    <n v="1.7"/>
    <n v="0"/>
    <s v="Reconformación de la Subrazante"/>
    <s v="m²."/>
    <n v="0.35"/>
    <n v="16830"/>
    <m/>
    <d v="2014-01-01T00:00:00"/>
    <d v="2014-06-30T00:00:00"/>
    <s v="EJECUTADO"/>
    <n v="5890.5"/>
  </r>
  <r>
    <m/>
    <m/>
    <s v="MANTENIMIENTO"/>
    <x v="83"/>
    <x v="81"/>
    <s v="ZONA3"/>
    <x v="11"/>
    <x v="39"/>
    <s v="AD. DIRECTA"/>
    <s v="VIALSUR"/>
    <m/>
    <m/>
    <n v="0"/>
    <s v="Limpieza de cunetas y alcantarillas a maquina"/>
    <s v="m³."/>
    <n v="1.47"/>
    <m/>
    <m/>
    <d v="2014-01-05T00:00:00"/>
    <d v="2014-07-31T00:00:00"/>
    <s v="EN EJECUCION"/>
    <n v="0"/>
  </r>
  <r>
    <m/>
    <m/>
    <s v="MANTENIMIENTO"/>
    <x v="1"/>
    <x v="81"/>
    <s v="ZONA3"/>
    <x v="11"/>
    <x v="39"/>
    <s v="AD. DIRECTA"/>
    <s v="VIALSUR"/>
    <m/>
    <m/>
    <n v="0"/>
    <s v="Reconformación de la Subrazante"/>
    <s v="m²."/>
    <n v="0.35"/>
    <m/>
    <m/>
    <d v="2014-01-01T00:00:00"/>
    <d v="2014-06-30T00:00:00"/>
    <s v="EJECUTADO"/>
    <n v="0"/>
  </r>
  <r>
    <m/>
    <m/>
    <s v="MANTENIMIENTO"/>
    <x v="1"/>
    <x v="81"/>
    <s v="ZONA3"/>
    <x v="11"/>
    <x v="39"/>
    <s v="AD. DIRECTA"/>
    <s v="VIALSUR"/>
    <m/>
    <m/>
    <m/>
    <s v="Explotación  de material (incluye cargado)"/>
    <s v="m³."/>
    <n v="2.54"/>
    <n v="1100"/>
    <m/>
    <d v="2014-01-05T00:00:00"/>
    <d v="2014-05-31T00:00:00"/>
    <s v="EJECUTADO"/>
    <n v="2794"/>
  </r>
  <r>
    <m/>
    <m/>
    <s v="MANTENIMIENTO"/>
    <x v="1"/>
    <x v="81"/>
    <s v="ZONA3"/>
    <x v="11"/>
    <x v="39"/>
    <s v="AD. DIRECTA"/>
    <s v="VIALSUR"/>
    <m/>
    <m/>
    <m/>
    <s v="Clasificación de material."/>
    <s v="m³."/>
    <n v="1.47"/>
    <n v="1100"/>
    <m/>
    <d v="2014-06-12T00:00:00"/>
    <d v="2014-06-30T00:00:00"/>
    <s v="EJECUTADO"/>
    <n v="1617"/>
  </r>
  <r>
    <m/>
    <m/>
    <s v="MANTENIMIENTO"/>
    <x v="1"/>
    <x v="81"/>
    <s v="ZONA3"/>
    <x v="11"/>
    <x v="39"/>
    <s v="AD. DIRECTA"/>
    <s v="VIALSUR"/>
    <m/>
    <m/>
    <m/>
    <s v="Limpieza de derrumbes a maquina"/>
    <s v="m³."/>
    <n v="1.46"/>
    <n v="840"/>
    <m/>
    <d v="2014-01-01T00:00:00"/>
    <d v="2014-06-30T00:00:00"/>
    <s v="EJECUTADO"/>
    <n v="1226.4000000000001"/>
  </r>
  <r>
    <m/>
    <m/>
    <s v="MANTENIMIENTO"/>
    <x v="1"/>
    <x v="81"/>
    <s v="ZONA3"/>
    <x v="11"/>
    <x v="39"/>
    <s v="AD. DIRECTA"/>
    <s v="VIALSUR"/>
    <m/>
    <m/>
    <m/>
    <s v="Rasanteo y conformacion de cunetas con motoniveladora"/>
    <s v="m²."/>
    <n v="0.35"/>
    <n v="8500"/>
    <m/>
    <d v="2014-01-01T00:00:00"/>
    <d v="2014-06-30T00:00:00"/>
    <s v="EJECUTADO"/>
    <n v="2975"/>
  </r>
  <r>
    <m/>
    <m/>
    <s v="MEJORAMIENTO"/>
    <x v="1"/>
    <x v="81"/>
    <s v="ZONA3"/>
    <x v="11"/>
    <x v="39"/>
    <s v="AD. DIRECTA"/>
    <s v="VIALSUR"/>
    <m/>
    <m/>
    <m/>
    <s v="Mejoramiento de la subrasante con suelo seleccionado"/>
    <s v="m³."/>
    <n v="5.92"/>
    <n v="1070"/>
    <m/>
    <d v="2014-01-01T00:00:00"/>
    <d v="2014-04-30T00:00:00"/>
    <s v="EJECUTADO"/>
    <n v="6334.4"/>
  </r>
  <r>
    <m/>
    <m/>
    <s v="MEJORAMIENTO"/>
    <x v="1"/>
    <x v="81"/>
    <s v="ZONA3"/>
    <x v="11"/>
    <x v="39"/>
    <s v="AD. DIRECTA"/>
    <s v="VIALSUR"/>
    <m/>
    <m/>
    <m/>
    <s v="Transporte de material de mejoramiento"/>
    <s v="m3/km."/>
    <n v="0.3"/>
    <n v="9596.6200000000008"/>
    <m/>
    <d v="2014-01-05T00:00:00"/>
    <d v="2014-06-30T00:00:00"/>
    <s v="EJECUTADO"/>
    <n v="2878.99"/>
  </r>
  <r>
    <m/>
    <m/>
    <s v="MEJORAMIENTO"/>
    <x v="84"/>
    <x v="82"/>
    <s v="ZONA3"/>
    <x v="11"/>
    <x v="39"/>
    <s v="AD. DIRECTA"/>
    <s v="VIALSUR"/>
    <n v="0.8"/>
    <n v="0.8"/>
    <m/>
    <s v="Explotación  de material (incluye cargado)"/>
    <s v="m³."/>
    <n v="2.54"/>
    <n v="900"/>
    <m/>
    <d v="2014-01-05T00:00:00"/>
    <d v="2014-05-31T00:00:00"/>
    <s v="EJECUTADO"/>
    <n v="2286"/>
  </r>
  <r>
    <m/>
    <m/>
    <s v="MEJORAMIENTO"/>
    <x v="1"/>
    <x v="82"/>
    <s v="ZONA3"/>
    <x v="11"/>
    <x v="39"/>
    <s v="AD. DIRECTA"/>
    <s v="VIALSUR"/>
    <m/>
    <m/>
    <m/>
    <s v="Clasificación de material."/>
    <s v="m³."/>
    <n v="1.47"/>
    <n v="750"/>
    <m/>
    <d v="2014-06-12T00:00:00"/>
    <d v="2014-06-30T00:00:00"/>
    <s v="EJECUTADO"/>
    <n v="1102.5"/>
  </r>
  <r>
    <m/>
    <m/>
    <s v="MANTENIMIENTO"/>
    <x v="1"/>
    <x v="82"/>
    <s v="ZONA3"/>
    <x v="11"/>
    <x v="39"/>
    <s v="AD. DIRECTA"/>
    <s v="VIALSUR"/>
    <m/>
    <m/>
    <m/>
    <s v="Limpieza de derrumbes a maquina"/>
    <s v="m³."/>
    <n v="1.46"/>
    <n v="480"/>
    <m/>
    <d v="2014-01-01T00:00:00"/>
    <d v="2014-06-30T00:00:00"/>
    <s v="EJECUTADO"/>
    <n v="700.8"/>
  </r>
  <r>
    <m/>
    <m/>
    <s v="MANTENIMIENTO"/>
    <x v="1"/>
    <x v="82"/>
    <s v="ZONA3"/>
    <x v="11"/>
    <x v="39"/>
    <s v="AD. DIRECTA"/>
    <s v="VIALSUR"/>
    <m/>
    <m/>
    <m/>
    <s v="Rasanteo y conformacion de cunetas con motoniveladora"/>
    <s v="m²."/>
    <n v="0.35"/>
    <n v="4000"/>
    <m/>
    <d v="2014-01-01T00:00:00"/>
    <d v="2014-06-30T00:00:00"/>
    <s v="EJECUTADO"/>
    <n v="1400"/>
  </r>
  <r>
    <m/>
    <m/>
    <s v="MEJORAMIENTO"/>
    <x v="1"/>
    <x v="82"/>
    <s v="ZONA3"/>
    <x v="11"/>
    <x v="39"/>
    <s v="AD. DIRECTA"/>
    <s v="VIALSUR"/>
    <m/>
    <m/>
    <m/>
    <s v="Mejoramiento de la subrasante con suelo seleccionado"/>
    <s v="m³."/>
    <n v="5.92"/>
    <n v="540"/>
    <m/>
    <d v="2014-01-01T00:00:00"/>
    <d v="2014-04-30T00:00:00"/>
    <s v="EJECUTADO"/>
    <n v="3196.8"/>
  </r>
  <r>
    <m/>
    <m/>
    <s v="MEJORAMIENTO"/>
    <x v="1"/>
    <x v="82"/>
    <s v="ZONA3"/>
    <x v="11"/>
    <x v="39"/>
    <s v="AD. DIRECTA"/>
    <s v="VIALSUR"/>
    <m/>
    <m/>
    <m/>
    <s v="Transporte de material de mejoramiento"/>
    <s v="m3/km."/>
    <n v="0.3"/>
    <n v="5430"/>
    <m/>
    <d v="2014-01-05T00:00:00"/>
    <d v="2014-06-30T00:00:00"/>
    <s v="EJECUTADO"/>
    <n v="1629"/>
  </r>
  <r>
    <m/>
    <m/>
    <s v="MANTENIMIENTO"/>
    <x v="85"/>
    <x v="83"/>
    <s v="ZONA3"/>
    <x v="11"/>
    <x v="39"/>
    <s v="AD. DIRECTA"/>
    <s v="VIALSUR"/>
    <n v="9.6"/>
    <n v="9.6"/>
    <m/>
    <s v="Limpieza de derrumbes a maquina"/>
    <s v="m³."/>
    <n v="1.46"/>
    <n v="2240"/>
    <m/>
    <d v="2014-01-01T00:00:00"/>
    <d v="2014-06-30T00:00:00"/>
    <s v="EJECUTADO"/>
    <n v="3270.4"/>
  </r>
  <r>
    <m/>
    <m/>
    <s v="MANTENIMIENTO"/>
    <x v="1"/>
    <x v="83"/>
    <s v="ZONA3"/>
    <x v="11"/>
    <x v="39"/>
    <s v="AD. DIRECTA"/>
    <s v="VIALSUR"/>
    <m/>
    <m/>
    <m/>
    <s v="Reconformación de la Subrazante"/>
    <s v="m²."/>
    <n v="0.35"/>
    <n v="48000"/>
    <m/>
    <d v="2014-01-01T00:00:00"/>
    <d v="2014-06-30T00:00:00"/>
    <s v="EJECUTADO"/>
    <n v="16800"/>
  </r>
  <r>
    <m/>
    <m/>
    <s v="MEJORAMIENTO"/>
    <x v="1"/>
    <x v="83"/>
    <s v="ZONA3"/>
    <x v="11"/>
    <x v="39"/>
    <s v="AD. DIRECTA"/>
    <s v="VIALSUR"/>
    <m/>
    <m/>
    <m/>
    <s v="Mejoramiento de la subrasante con suelo seleccionado"/>
    <s v="m³."/>
    <n v="5.92"/>
    <n v="700"/>
    <m/>
    <d v="2014-01-01T00:00:00"/>
    <d v="2014-04-30T00:00:00"/>
    <s v="EJECUTADO"/>
    <n v="4144"/>
  </r>
  <r>
    <m/>
    <m/>
    <s v="MEJORAMIENTO"/>
    <x v="1"/>
    <x v="83"/>
    <s v="ZONA3"/>
    <x v="11"/>
    <x v="39"/>
    <s v="AD. DIRECTA"/>
    <s v="VIALSUR"/>
    <m/>
    <m/>
    <m/>
    <s v="Transporte de material de mejoramiento"/>
    <s v="m3/km."/>
    <n v="0.3"/>
    <n v="6852.16"/>
    <m/>
    <d v="2014-01-05T00:00:00"/>
    <d v="2014-06-30T00:00:00"/>
    <s v="EJECUTADO"/>
    <n v="2055.65"/>
  </r>
  <r>
    <m/>
    <m/>
    <s v="MEJORAMIENTO"/>
    <x v="1"/>
    <x v="83"/>
    <s v="ZONA3"/>
    <x v="11"/>
    <x v="39"/>
    <s v="AD. DIRECTA"/>
    <s v="VIALSUR"/>
    <m/>
    <m/>
    <m/>
    <s v="Clasificación de material."/>
    <s v="m³."/>
    <n v="1.47"/>
    <n v="840"/>
    <m/>
    <d v="2014-06-12T00:00:00"/>
    <d v="2014-06-30T00:00:00"/>
    <s v="EJECUTADO"/>
    <n v="1234.8"/>
  </r>
  <r>
    <m/>
    <m/>
    <s v="MANTENIMIENTO"/>
    <x v="86"/>
    <x v="84"/>
    <s v="ZONA3"/>
    <x v="11"/>
    <x v="39"/>
    <s v="AD. DIRECTA"/>
    <s v="VIALSUR"/>
    <n v="17.100000000000001"/>
    <n v="9.6"/>
    <m/>
    <s v="Limpieza de derrumbes a maquina"/>
    <s v="m³."/>
    <n v="1.46"/>
    <n v="2265"/>
    <m/>
    <d v="2014-01-01T00:00:00"/>
    <d v="2014-06-30T00:00:00"/>
    <s v="EJECUTADO"/>
    <n v="3306.9"/>
  </r>
  <r>
    <m/>
    <m/>
    <s v="MANTENIMIENTO"/>
    <x v="1"/>
    <x v="84"/>
    <s v="ZONA3"/>
    <x v="11"/>
    <x v="39"/>
    <s v="AD. DIRECTA"/>
    <s v="VIALSUR"/>
    <m/>
    <m/>
    <m/>
    <s v="Reconformación de la Subrazante"/>
    <s v="m²."/>
    <n v="0.35"/>
    <n v="68980"/>
    <m/>
    <d v="2014-01-01T00:00:00"/>
    <d v="2014-06-30T00:00:00"/>
    <s v="EJECUTADO"/>
    <n v="24143"/>
  </r>
  <r>
    <m/>
    <m/>
    <s v="MEJORAMIENTO"/>
    <x v="1"/>
    <x v="84"/>
    <s v="ZONA3"/>
    <x v="11"/>
    <x v="39"/>
    <s v="AD. DIRECTA"/>
    <s v="VIALSUR"/>
    <m/>
    <m/>
    <m/>
    <s v="Mejoramiento de la subrasante con suelo seleccionado"/>
    <s v="m³."/>
    <n v="5.92"/>
    <n v="2060"/>
    <m/>
    <d v="2014-01-01T00:00:00"/>
    <d v="2014-04-30T00:00:00"/>
    <s v="EJECUTADO"/>
    <n v="12195.2"/>
  </r>
  <r>
    <m/>
    <m/>
    <s v="MEJORAMIENTO"/>
    <x v="1"/>
    <x v="84"/>
    <s v="ZONA3"/>
    <x v="11"/>
    <x v="39"/>
    <s v="AD. DIRECTA"/>
    <s v="VIALSUR"/>
    <m/>
    <m/>
    <m/>
    <s v="Transporte de material de mejoramiento"/>
    <s v="m3/km."/>
    <n v="0.3"/>
    <n v="15232"/>
    <m/>
    <d v="2014-01-05T00:00:00"/>
    <d v="2014-06-30T00:00:00"/>
    <s v="EJECUTADO"/>
    <n v="4569.6000000000004"/>
  </r>
  <r>
    <m/>
    <m/>
    <s v="MANTENIMIENTO"/>
    <x v="1"/>
    <x v="84"/>
    <s v="ZONA3"/>
    <x v="11"/>
    <x v="39"/>
    <s v="AD. DIRECTA"/>
    <s v="VIALSUR"/>
    <m/>
    <m/>
    <m/>
    <s v="Clasificación de material."/>
    <s v="m³."/>
    <n v="1.47"/>
    <n v="2320"/>
    <m/>
    <d v="2014-06-12T00:00:00"/>
    <d v="2014-06-30T00:00:00"/>
    <s v="EJECUTADO"/>
    <n v="3410.4"/>
  </r>
  <r>
    <m/>
    <m/>
    <s v="MANTENIMIENTO"/>
    <x v="87"/>
    <x v="85"/>
    <s v="ZONA3"/>
    <x v="11"/>
    <x v="39"/>
    <s v="AD. DIRECTA"/>
    <s v="VIALSUR"/>
    <n v="12.1"/>
    <n v="12.1"/>
    <m/>
    <s v="Limpieza de derrumbes a maquina"/>
    <s v="m³."/>
    <n v="1.46"/>
    <n v="450"/>
    <m/>
    <d v="2014-01-01T00:00:00"/>
    <d v="2014-06-30T00:00:00"/>
    <s v="EJECUTADO"/>
    <n v="657"/>
  </r>
  <r>
    <m/>
    <m/>
    <s v="MANTENIMIENTO"/>
    <x v="1"/>
    <x v="85"/>
    <s v="ZONA3"/>
    <x v="11"/>
    <x v="39"/>
    <s v="AD. DIRECTA"/>
    <s v="VIALSUR"/>
    <m/>
    <m/>
    <m/>
    <s v="Reconformación de la Subrazante"/>
    <s v="m²."/>
    <n v="0.35"/>
    <n v="32450"/>
    <m/>
    <d v="2014-01-01T00:00:00"/>
    <d v="2014-06-30T00:00:00"/>
    <s v="EJECUTADO"/>
    <n v="11357.5"/>
  </r>
  <r>
    <m/>
    <m/>
    <s v="MEJORAMIENTO"/>
    <x v="1"/>
    <x v="85"/>
    <s v="ZONA3"/>
    <x v="11"/>
    <x v="39"/>
    <s v="AD. DIRECTA"/>
    <s v="VIALSUR"/>
    <m/>
    <m/>
    <m/>
    <s v="Mejoramiento de la subrasante con suelo seleccionado"/>
    <s v="m³."/>
    <n v="5.92"/>
    <n v="1040"/>
    <m/>
    <d v="2014-01-01T00:00:00"/>
    <d v="2014-04-30T00:00:00"/>
    <s v="EJECUTADO"/>
    <n v="6156.8"/>
  </r>
  <r>
    <m/>
    <m/>
    <s v="MEJORAMIENTO"/>
    <x v="1"/>
    <x v="85"/>
    <s v="ZONA3"/>
    <x v="11"/>
    <x v="39"/>
    <s v="AD. DIRECTA"/>
    <s v="VIALSUR"/>
    <m/>
    <m/>
    <m/>
    <s v="Transporte de material de mejoramiento"/>
    <s v="m3/km."/>
    <n v="0.3"/>
    <n v="14234.2"/>
    <m/>
    <d v="2014-01-05T00:00:00"/>
    <d v="2014-06-30T00:00:00"/>
    <s v="EJECUTADO"/>
    <n v="4270.26"/>
  </r>
  <r>
    <m/>
    <m/>
    <s v="MANTENIMIENTO"/>
    <x v="1"/>
    <x v="85"/>
    <s v="ZONA3"/>
    <x v="12"/>
    <x v="40"/>
    <s v="AD. DIRECTA"/>
    <s v="VIALSUR"/>
    <m/>
    <m/>
    <m/>
    <s v="Explotación de material (incluye cargado)."/>
    <s v="m³."/>
    <n v="2.54"/>
    <n v="1500"/>
    <m/>
    <d v="2014-01-02T00:00:00"/>
    <d v="2014-01-31T00:00:00"/>
    <s v="EJECUTADO"/>
    <n v="3810"/>
  </r>
  <r>
    <m/>
    <m/>
    <s v="MEJORAMIENTO"/>
    <x v="1"/>
    <x v="85"/>
    <s v="ZONA3"/>
    <x v="11"/>
    <x v="39"/>
    <s v="AD. DIRECTA"/>
    <s v="VIALSUR"/>
    <m/>
    <m/>
    <m/>
    <s v="Clasificación de material."/>
    <s v="m³."/>
    <n v="1.47"/>
    <n v="1200"/>
    <m/>
    <d v="2014-06-12T00:00:00"/>
    <d v="2014-06-30T00:00:00"/>
    <s v="EJECUTADO"/>
    <n v="1764"/>
  </r>
  <r>
    <m/>
    <m/>
    <s v="MEJORAMIENTO"/>
    <x v="88"/>
    <x v="86"/>
    <s v="ZONA3"/>
    <x v="12"/>
    <x v="40"/>
    <s v="AD. DIRECTA"/>
    <s v="VIALSUR"/>
    <n v="11"/>
    <m/>
    <n v="1083"/>
    <s v="Explotación de material (incluye cargado)."/>
    <s v="m³."/>
    <n v="2.54"/>
    <n v="960"/>
    <m/>
    <d v="2014-01-02T00:00:00"/>
    <d v="2014-01-31T00:00:00"/>
    <s v="EJECUTADO"/>
    <n v="2438.4"/>
  </r>
  <r>
    <m/>
    <m/>
    <s v="MANTENIMIENTO"/>
    <x v="1"/>
    <x v="86"/>
    <s v="ZONA3"/>
    <x v="12"/>
    <x v="40"/>
    <s v="AD. DIRECTA"/>
    <s v="VIALSUR"/>
    <m/>
    <m/>
    <n v="0"/>
    <s v="Limpieza de derrumbes a máquina"/>
    <s v="m³."/>
    <n v="1.46"/>
    <n v="1320"/>
    <m/>
    <d v="2014-06-01T00:00:00"/>
    <d v="2014-06-30T00:00:00"/>
    <s v="EJECUTADO"/>
    <n v="1927.2"/>
  </r>
  <r>
    <m/>
    <m/>
    <s v="MEJORAMIENTO"/>
    <x v="1"/>
    <x v="86"/>
    <s v="ZONA3"/>
    <x v="12"/>
    <x v="40"/>
    <s v="AD. DIRECTA"/>
    <s v="VIALSUR"/>
    <m/>
    <m/>
    <n v="0"/>
    <s v="Clasificación de material."/>
    <s v="m³."/>
    <n v="1.47"/>
    <n v="1700"/>
    <m/>
    <d v="2014-01-02T00:00:00"/>
    <d v="2014-01-31T00:00:00"/>
    <s v="EJECUTADO"/>
    <n v="2499"/>
  </r>
  <r>
    <m/>
    <m/>
    <s v="MANTENIMIENTO"/>
    <x v="1"/>
    <x v="86"/>
    <s v="ZONA3"/>
    <x v="12"/>
    <x v="40"/>
    <s v="AD. DIRECTA"/>
    <s v="VIALSUR"/>
    <m/>
    <n v="4.84"/>
    <n v="0"/>
    <s v="Rasanteo y conformacion de cunetas con motoniveladora"/>
    <s v="m²."/>
    <n v="0.08"/>
    <n v="26600"/>
    <m/>
    <d v="2014-01-02T00:00:00"/>
    <d v="2014-01-31T00:00:00"/>
    <s v="EJECUTADO"/>
    <n v="2128"/>
  </r>
  <r>
    <m/>
    <m/>
    <s v="MEJORAMIENTO"/>
    <x v="1"/>
    <x v="86"/>
    <s v="ZONA3"/>
    <x v="12"/>
    <x v="40"/>
    <s v="AD. DIRECTA"/>
    <s v="VIALSUR"/>
    <m/>
    <n v="1.3"/>
    <n v="0"/>
    <s v="Mejoramiento de la subrasante con suelo seleccionado"/>
    <s v="m³."/>
    <n v="5.92"/>
    <n v="1430"/>
    <m/>
    <d v="2014-01-02T00:00:00"/>
    <d v="2014-01-31T00:00:00"/>
    <s v="EJECUTADO"/>
    <n v="8465.6"/>
  </r>
  <r>
    <m/>
    <m/>
    <s v="MEJORAMIENTO"/>
    <x v="1"/>
    <x v="86"/>
    <s v="ZONA3"/>
    <x v="12"/>
    <x v="40"/>
    <s v="AD. DIRECTA"/>
    <s v="VIALSUR"/>
    <m/>
    <m/>
    <n v="0"/>
    <s v="Transporte de material para mejoramiento, inc. cargado"/>
    <s v="m³/km."/>
    <n v="0.3"/>
    <n v="15605"/>
    <m/>
    <d v="2014-01-02T00:00:00"/>
    <d v="2014-06-30T00:00:00"/>
    <s v="EJECUTADO"/>
    <n v="4681.5"/>
  </r>
  <r>
    <s v="15"/>
    <s v="EJECUTADO"/>
    <s v="MANTENIMIENTO"/>
    <x v="89"/>
    <x v="87"/>
    <s v="ZONA3"/>
    <x v="12"/>
    <x v="40"/>
    <s v="AD. DIRECTA"/>
    <s v="VIALSUR"/>
    <n v="17.8"/>
    <m/>
    <n v="1083"/>
    <s v="Limpieza de derrumbes a máquina"/>
    <s v="m³."/>
    <n v="1.46"/>
    <n v="17120"/>
    <m/>
    <d v="2014-01-19T00:00:00"/>
    <d v="2014-06-30T00:00:00"/>
    <s v="EJECUTADO"/>
    <n v="24995.200000000001"/>
  </r>
  <r>
    <m/>
    <m/>
    <s v="MEJORAMIENTO"/>
    <x v="1"/>
    <x v="87"/>
    <s v="ZONA3"/>
    <x v="12"/>
    <x v="40"/>
    <s v="AD. DIRECTA"/>
    <s v="VIALSUR"/>
    <m/>
    <m/>
    <n v="0"/>
    <s v="Excavación sin clasificar a maquina (estabilización de talud)"/>
    <s v="m³."/>
    <n v="1.62"/>
    <n v="36270"/>
    <m/>
    <d v="2014-07-19T00:00:00"/>
    <d v="2014-07-31T00:00:00"/>
    <s v="EJECUTADO"/>
    <n v="58757.4"/>
  </r>
  <r>
    <m/>
    <m/>
    <s v="MANTENIMIENTO"/>
    <x v="1"/>
    <x v="87"/>
    <s v="ZONA3"/>
    <x v="12"/>
    <x v="40"/>
    <s v="AD. DIRECTA"/>
    <s v="VIALSUR"/>
    <m/>
    <m/>
    <n v="0"/>
    <s v="Transporte de material excavado, inc. cargado"/>
    <s v="m³/km."/>
    <n v="0.38"/>
    <n v="5513.44"/>
    <m/>
    <d v="2014-07-19T00:00:00"/>
    <d v="2014-07-31T00:00:00"/>
    <s v="EJECUTADO"/>
    <n v="2095.11"/>
  </r>
  <r>
    <s v="16"/>
    <s v="EJECUTADO"/>
    <s v="MEJORAMIENTO"/>
    <x v="90"/>
    <x v="88"/>
    <s v="ZONA3"/>
    <x v="12"/>
    <x v="40"/>
    <s v="AD. DIRECTA"/>
    <s v="VIALSUR"/>
    <n v="23.2"/>
    <m/>
    <n v="1083"/>
    <s v="Excavación sin clasificar a maquina"/>
    <s v="m³."/>
    <n v="1.62"/>
    <n v="5580"/>
    <m/>
    <d v="2014-06-01T00:00:00"/>
    <d v="2014-07-31T00:00:00"/>
    <s v="EJECUTADO"/>
    <n v="9039.6"/>
  </r>
  <r>
    <m/>
    <m/>
    <s v="MANTENIMIENTO"/>
    <x v="1"/>
    <x v="88"/>
    <s v="ZONA3"/>
    <x v="12"/>
    <x v="40"/>
    <s v="AD. DIRECTA"/>
    <s v="VIALSUR"/>
    <m/>
    <m/>
    <n v="0"/>
    <s v="Limpieza de derrumbes a máquina"/>
    <s v="m³."/>
    <n v="1.46"/>
    <n v="7045"/>
    <m/>
    <d v="2014-06-01T00:00:00"/>
    <d v="2014-07-31T00:00:00"/>
    <s v="EJECUTADO"/>
    <n v="10285.700000000001"/>
  </r>
  <r>
    <m/>
    <m/>
    <s v="MANTENIMIENTO"/>
    <x v="1"/>
    <x v="88"/>
    <s v="ZONA3"/>
    <x v="12"/>
    <x v="40"/>
    <s v="AD. DIRECTA"/>
    <s v="VIALSUR"/>
    <m/>
    <n v="25.01"/>
    <n v="0"/>
    <s v="Reconformación de la Subrazante"/>
    <s v="m³."/>
    <n v="0.35"/>
    <n v="137520"/>
    <m/>
    <d v="2014-06-01T00:00:00"/>
    <d v="2014-06-30T00:00:00"/>
    <s v="EJECUTADO"/>
    <n v="48132"/>
  </r>
  <r>
    <m/>
    <m/>
    <s v="MEJORAMIENTO"/>
    <x v="1"/>
    <x v="88"/>
    <s v="ZONA3"/>
    <x v="12"/>
    <x v="40"/>
    <s v="AD. DIRECTA"/>
    <s v="VIALSUR"/>
    <m/>
    <m/>
    <n v="0"/>
    <s v="Mejoramiento de la subrasante con suelo seleccionado"/>
    <s v="m³."/>
    <n v="5.92"/>
    <n v="1297"/>
    <m/>
    <d v="2014-01-02T00:00:00"/>
    <d v="2014-01-31T00:00:00"/>
    <s v="EJECUTADO"/>
    <n v="7678.24"/>
  </r>
  <r>
    <m/>
    <m/>
    <s v="MEJORAMIENTO"/>
    <x v="1"/>
    <x v="88"/>
    <s v="ZONA3"/>
    <x v="12"/>
    <x v="40"/>
    <s v="AD. DIRECTA"/>
    <s v="VIALSUR"/>
    <m/>
    <n v="0.18000000000000002"/>
    <n v="0"/>
    <s v="Excavación y Relleno compactado, con material mejorado"/>
    <s v="m³."/>
    <n v="7.6"/>
    <n v="955"/>
    <m/>
    <d v="2014-07-01T00:00:00"/>
    <d v="2014-07-31T00:00:00"/>
    <s v="EJECUTADO"/>
    <n v="7258"/>
  </r>
  <r>
    <m/>
    <m/>
    <s v="MEJORAMIENTO"/>
    <x v="1"/>
    <x v="88"/>
    <s v="ZONA3"/>
    <x v="12"/>
    <x v="40"/>
    <s v="AD. DIRECTA"/>
    <s v="VIALSUR"/>
    <m/>
    <n v="3.8499999999999996"/>
    <n v="0"/>
    <s v="Clasificacion de material."/>
    <s v="m³."/>
    <n v="1.47"/>
    <n v="21150"/>
    <m/>
    <d v="2014-07-01T00:00:00"/>
    <d v="2014-07-31T00:00:00"/>
    <s v="EJECUTADO"/>
    <n v="31090.5"/>
  </r>
  <r>
    <m/>
    <m/>
    <s v="MEJORAMIENTO"/>
    <x v="1"/>
    <x v="88"/>
    <s v="ZONA3"/>
    <x v="12"/>
    <x v="40"/>
    <s v="AD. DIRECTA"/>
    <s v="VIALSUR"/>
    <m/>
    <n v="1.36"/>
    <n v="0"/>
    <s v="Transporte de material para mejoramiento, inc. cargado"/>
    <s v="m³/km."/>
    <n v="0.38"/>
    <n v="7461.2"/>
    <m/>
    <d v="2014-07-01T00:00:00"/>
    <d v="2014-07-31T00:00:00"/>
    <s v="EJECUTADO"/>
    <n v="2835.26"/>
  </r>
  <r>
    <s v="17"/>
    <s v="EJECUTADO"/>
    <s v="MEJORAMIENTO"/>
    <x v="91"/>
    <x v="89"/>
    <s v="ZONA3"/>
    <x v="12"/>
    <x v="40"/>
    <s v="AD. DIRECTA"/>
    <s v="VIALSUR"/>
    <n v="1"/>
    <m/>
    <n v="1083"/>
    <s v="Clasificacion de material."/>
    <s v="m³."/>
    <n v="1.47"/>
    <n v="300"/>
    <m/>
    <d v="2014-07-16T00:00:00"/>
    <d v="2014-07-31T00:00:00"/>
    <s v="EJECUTADO"/>
    <n v="441"/>
  </r>
  <r>
    <m/>
    <m/>
    <s v="MEJORAMIENTO"/>
    <x v="91"/>
    <x v="89"/>
    <s v="ZONA3"/>
    <x v="12"/>
    <x v="40"/>
    <s v="AD. DIRECTA"/>
    <s v="VIALSUR"/>
    <m/>
    <m/>
    <n v="0"/>
    <s v="Transporte de material para mejoramiento, inc. cargado"/>
    <s v="m³/km."/>
    <n v="0.38"/>
    <n v="926.9"/>
    <m/>
    <d v="2014-07-16T00:00:00"/>
    <d v="2014-07-31T00:00:00"/>
    <s v="EJECUTADO"/>
    <n v="352.22"/>
  </r>
  <r>
    <m/>
    <m/>
    <s v="MANTENIMIENTO"/>
    <x v="92"/>
    <x v="90"/>
    <s v="ZONA3"/>
    <x v="12"/>
    <x v="40"/>
    <s v="AD. DIRECTA"/>
    <s v="VIALSUR"/>
    <n v="7.7"/>
    <m/>
    <n v="1083"/>
    <s v="Limpieza de derrumbes a máquina"/>
    <s v="m³."/>
    <n v="1.46"/>
    <n v="7350"/>
    <m/>
    <d v="2014-02-14T00:00:00"/>
    <d v="2014-03-31T00:00:00"/>
    <s v="EJECUTADO"/>
    <n v="10731"/>
  </r>
  <r>
    <m/>
    <m/>
    <s v="MANTENIMIENTO"/>
    <x v="93"/>
    <x v="91"/>
    <s v="ZONA3"/>
    <x v="12"/>
    <x v="40"/>
    <s v="AD. DIRECTA"/>
    <s v="VIALSUR"/>
    <n v="4.5"/>
    <m/>
    <n v="1083"/>
    <s v="Limpieza de derrumbes a máquina"/>
    <s v="m³."/>
    <n v="1.46"/>
    <n v="2880"/>
    <m/>
    <d v="2014-02-17T00:00:00"/>
    <d v="2014-04-30T00:00:00"/>
    <s v="EJECUTADO"/>
    <n v="4204.8"/>
  </r>
  <r>
    <m/>
    <m/>
    <s v="MEJORAMIENTO"/>
    <x v="94"/>
    <x v="92"/>
    <s v="ZONA3"/>
    <x v="12"/>
    <x v="41"/>
    <s v="AD. DIRECTA"/>
    <s v="VIALSUR"/>
    <n v="11.1"/>
    <m/>
    <n v="1092"/>
    <s v="Explotación de material (incluye cargado)."/>
    <s v="m³."/>
    <n v="2.54"/>
    <n v="640"/>
    <m/>
    <d v="2014-02-03T00:00:00"/>
    <d v="2014-02-07T00:00:00"/>
    <s v="EJECUTADO"/>
    <n v="1625.6"/>
  </r>
  <r>
    <m/>
    <m/>
    <s v="MEJORAMIENTO"/>
    <x v="1"/>
    <x v="92"/>
    <s v="ZONA3"/>
    <x v="12"/>
    <x v="41"/>
    <s v="AD. DIRECTA"/>
    <s v="VIALSUR"/>
    <m/>
    <m/>
    <n v="0"/>
    <s v="Transporte de material para mejoramiento, inc. cargado"/>
    <s v="m³/km."/>
    <n v="0.38"/>
    <n v="514.5"/>
    <m/>
    <d v="2014-02-03T00:00:00"/>
    <d v="2014-02-07T00:00:00"/>
    <s v="EJECUTADO"/>
    <n v="195.51"/>
  </r>
  <r>
    <m/>
    <m/>
    <s v="MANTENIMIENTO"/>
    <x v="95"/>
    <x v="93"/>
    <s v="ZONA3"/>
    <x v="12"/>
    <x v="42"/>
    <s v="AD. DIRECTA"/>
    <s v="VIALSUR"/>
    <n v="6.9"/>
    <n v="4.97"/>
    <n v="797"/>
    <s v="Rasanteo y conformacion de cunetas con motoniveladora"/>
    <s v="m²."/>
    <n v="0.08"/>
    <n v="27300"/>
    <m/>
    <d v="2014-01-02T00:00:00"/>
    <d v="2014-01-05T00:00:00"/>
    <s v="EJECUTADO"/>
    <n v="2184"/>
  </r>
  <r>
    <m/>
    <m/>
    <s v="MEJORAMIENTO"/>
    <x v="96"/>
    <x v="94"/>
    <s v="ZONA3"/>
    <x v="12"/>
    <x v="42"/>
    <s v="AD. DIRECTA"/>
    <s v="VIALSUR"/>
    <n v="3.8"/>
    <m/>
    <n v="797"/>
    <s v="Clasificación de material."/>
    <s v="m³."/>
    <n v="1.47"/>
    <n v="1325"/>
    <m/>
    <d v="2014-01-02T00:00:00"/>
    <d v="2014-01-11T00:00:00"/>
    <s v="EJECUTADO"/>
    <n v="1947.75"/>
  </r>
  <r>
    <m/>
    <m/>
    <s v="MEJORAMIENTO"/>
    <x v="1"/>
    <x v="94"/>
    <s v="ZONA3"/>
    <x v="12"/>
    <x v="42"/>
    <s v="AD. DIRECTA"/>
    <s v="VIALSUR"/>
    <m/>
    <n v="1.08"/>
    <n v="0"/>
    <s v="Mejoramiento de la subrasante con suelo seleccionado"/>
    <s v="m³."/>
    <n v="5.92"/>
    <n v="1192"/>
    <m/>
    <d v="2014-01-02T00:00:00"/>
    <d v="2014-01-11T00:00:00"/>
    <s v="EJECUTADO"/>
    <n v="7056.64"/>
  </r>
  <r>
    <m/>
    <m/>
    <s v="MEJORAMIENTO"/>
    <x v="1"/>
    <x v="94"/>
    <s v="ZONA3"/>
    <x v="12"/>
    <x v="42"/>
    <s v="AD. DIRECTA"/>
    <s v="VIALSUR"/>
    <m/>
    <m/>
    <n v="0"/>
    <s v="Transporte de material para mejoramiento, inc. cargado"/>
    <s v="m³/km."/>
    <n v="0.38"/>
    <n v="764.4"/>
    <m/>
    <d v="2014-01-02T00:00:00"/>
    <d v="2014-01-11T00:00:00"/>
    <s v="EJECUTADO"/>
    <n v="290.47000000000003"/>
  </r>
  <r>
    <m/>
    <m/>
    <s v="MEJORAMIENTO"/>
    <x v="97"/>
    <x v="95"/>
    <s v="ZONA3"/>
    <x v="12"/>
    <x v="43"/>
    <s v="AD. DIRECTA"/>
    <s v="VIALSUR"/>
    <n v="9.6999999999999993"/>
    <m/>
    <n v="639"/>
    <s v="Explotación de material (incluye cargado)."/>
    <s v="m³."/>
    <n v="2.54"/>
    <n v="10895"/>
    <m/>
    <d v="2014-01-16T00:00:00"/>
    <d v="2014-03-31T00:00:00"/>
    <s v="EJECUTADO"/>
    <n v="27673.3"/>
  </r>
  <r>
    <m/>
    <m/>
    <s v="MEJORAMIENTO"/>
    <x v="1"/>
    <x v="95"/>
    <s v="ZONA3"/>
    <x v="12"/>
    <x v="43"/>
    <s v="AD. DIRECTA"/>
    <s v="VIALSUR"/>
    <m/>
    <m/>
    <m/>
    <s v="Clasificación de material."/>
    <s v="m³."/>
    <n v="1.47"/>
    <n v="8985"/>
    <m/>
    <d v="2014-01-16T00:00:00"/>
    <d v="2014-03-31T00:00:00"/>
    <s v="EJECUTADO"/>
    <n v="13207.95"/>
  </r>
  <r>
    <m/>
    <m/>
    <s v="MANTENIMIENTO"/>
    <x v="1"/>
    <x v="95"/>
    <s v="ZONA3"/>
    <x v="12"/>
    <x v="43"/>
    <s v="AD. DIRECTA"/>
    <s v="VIALSUR"/>
    <m/>
    <n v="4.0699999999999994"/>
    <m/>
    <s v="Rasanteo y conformacion de cunetas con motoniveladora"/>
    <s v="m²."/>
    <n v="0.08"/>
    <n v="22344"/>
    <m/>
    <d v="2014-01-16T00:00:00"/>
    <d v="2014-03-31T00:00:00"/>
    <s v="EJECUTADO"/>
    <n v="1787.52"/>
  </r>
  <r>
    <m/>
    <m/>
    <s v="MEJORAMIENTO"/>
    <x v="1"/>
    <x v="95"/>
    <s v="ZONA3"/>
    <x v="12"/>
    <x v="43"/>
    <s v="AD. DIRECTA"/>
    <s v="VIALSUR"/>
    <m/>
    <n v="8.19"/>
    <m/>
    <s v="Mejoramiento de la subrasante con suelo seleccionado"/>
    <s v="m³."/>
    <n v="5.92"/>
    <n v="9011"/>
    <m/>
    <d v="2014-01-16T00:00:00"/>
    <d v="2014-03-31T00:00:00"/>
    <s v="EJECUTADO"/>
    <n v="53345.120000000003"/>
  </r>
  <r>
    <m/>
    <m/>
    <s v="MEJORAMIENTO"/>
    <x v="1"/>
    <x v="95"/>
    <s v="ZONA3"/>
    <x v="12"/>
    <x v="43"/>
    <s v="AD. DIRECTA"/>
    <s v="VIALSUR"/>
    <m/>
    <m/>
    <m/>
    <s v="Transporte de material para mejoramiento, inc. cargado"/>
    <s v="m³/km."/>
    <n v="0.35"/>
    <n v="27961.8"/>
    <m/>
    <d v="2014-01-16T00:00:00"/>
    <d v="2014-03-31T00:00:00"/>
    <s v="EJECUTADO"/>
    <n v="9786.6299999999992"/>
  </r>
  <r>
    <m/>
    <m/>
    <s v="MEJORAMIENTO"/>
    <x v="98"/>
    <x v="96"/>
    <s v="ZONA3"/>
    <x v="12"/>
    <x v="43"/>
    <s v="AD. DIRECTA"/>
    <s v="VIALSUR"/>
    <n v="5.7"/>
    <m/>
    <m/>
    <s v="Explotación de material (incluye cargado)."/>
    <s v="m³."/>
    <n v="2.54"/>
    <n v="880"/>
    <m/>
    <d v="2014-03-21T00:00:00"/>
    <d v="2014-03-31T00:00:00"/>
    <s v="EJECUTADO"/>
    <n v="2235.1999999999998"/>
  </r>
  <r>
    <m/>
    <m/>
    <s v="MEJORAMIENTO"/>
    <x v="1"/>
    <x v="96"/>
    <s v="ZONA3"/>
    <x v="12"/>
    <x v="43"/>
    <s v="AD. DIRECTA"/>
    <s v="VIALSUR"/>
    <m/>
    <m/>
    <m/>
    <s v="Excavación sin clasificar a maquina (Ampliación de la vía)"/>
    <s v="m³."/>
    <n v="1.62"/>
    <n v="4070"/>
    <m/>
    <d v="2014-03-21T00:00:00"/>
    <d v="2014-03-31T00:00:00"/>
    <s v="EJECUTADO"/>
    <n v="6593.4"/>
  </r>
  <r>
    <m/>
    <m/>
    <s v="MEJORAMIENTO"/>
    <x v="1"/>
    <x v="96"/>
    <s v="ZONA3"/>
    <x v="12"/>
    <x v="43"/>
    <s v="AD. DIRECTA"/>
    <s v="VIALSUR"/>
    <m/>
    <m/>
    <m/>
    <s v="Clasificación de material."/>
    <s v="m³."/>
    <n v="1.47"/>
    <n v="2400"/>
    <m/>
    <d v="2014-03-21T00:00:00"/>
    <d v="2014-03-31T00:00:00"/>
    <s v="EJECUTADO"/>
    <n v="3528"/>
  </r>
  <r>
    <m/>
    <m/>
    <s v="MANTENIMIENTO"/>
    <x v="1"/>
    <x v="96"/>
    <s v="ZONA3"/>
    <x v="12"/>
    <x v="43"/>
    <s v="AD. DIRECTA"/>
    <s v="VIALSUR"/>
    <m/>
    <n v="3.6399999999999997"/>
    <m/>
    <s v="Rasanteo y conformacion de cunetas con motoniveladora"/>
    <s v="m²."/>
    <n v="0.08"/>
    <n v="20000"/>
    <m/>
    <d v="2014-03-21T00:00:00"/>
    <d v="2014-03-31T00:00:00"/>
    <s v="EJECUTADO"/>
    <n v="1600"/>
  </r>
  <r>
    <m/>
    <m/>
    <s v="MEJORAMIENTO"/>
    <x v="1"/>
    <x v="96"/>
    <s v="ZONA3"/>
    <x v="12"/>
    <x v="43"/>
    <s v="AD. DIRECTA"/>
    <s v="VIALSUR"/>
    <m/>
    <n v="0.76"/>
    <m/>
    <s v="Mejoramiento de la subrasante con suelo seleccionado"/>
    <s v="m³."/>
    <n v="5.92"/>
    <n v="840"/>
    <m/>
    <d v="2014-03-21T00:00:00"/>
    <d v="2014-03-31T00:00:00"/>
    <s v="EJECUTADO"/>
    <n v="4972.8"/>
  </r>
  <r>
    <m/>
    <m/>
    <s v="MEJORAMIENTO"/>
    <x v="1"/>
    <x v="96"/>
    <s v="ZONA3"/>
    <x v="12"/>
    <x v="43"/>
    <s v="AD. DIRECTA"/>
    <s v="VIALSUR"/>
    <m/>
    <m/>
    <m/>
    <s v="Transporte de material para mejoramiento, inc. cargado"/>
    <s v="m³/km."/>
    <n v="0.38"/>
    <n v="726"/>
    <m/>
    <d v="2014-03-21T00:00:00"/>
    <d v="2014-03-31T00:00:00"/>
    <s v="EJECUTADO"/>
    <n v="275.88"/>
  </r>
  <r>
    <m/>
    <m/>
    <s v="MANTENIMIENTO"/>
    <x v="99"/>
    <x v="97"/>
    <s v="ZONA3"/>
    <x v="12"/>
    <x v="43"/>
    <s v="AD. DIRECTA"/>
    <s v="VIALSUR"/>
    <n v="0.8"/>
    <n v="2.96"/>
    <n v="639"/>
    <s v="Rasanteo y conformacion de cunetas con motoniveladora"/>
    <s v="m²."/>
    <n v="0.08"/>
    <n v="16280"/>
    <m/>
    <d v="2014-04-01T00:00:00"/>
    <d v="2014-04-30T00:00:00"/>
    <s v="EJECUTADO"/>
    <n v="1302.4000000000001"/>
  </r>
  <r>
    <m/>
    <m/>
    <s v="MANTENIMIENTO"/>
    <x v="100"/>
    <x v="98"/>
    <s v="ZONA3"/>
    <x v="13"/>
    <x v="44"/>
    <s v="AD. DIRECTA"/>
    <s v="VIALSUR"/>
    <n v="6.3"/>
    <m/>
    <n v="512"/>
    <s v="Limpieza de derrumbes a maquina"/>
    <s v="m3."/>
    <n v="1.46"/>
    <n v="480"/>
    <m/>
    <d v="2014-01-05T00:00:00"/>
    <d v="2014-05-31T00:00:00"/>
    <s v="EJECUTADO"/>
    <n v="700.8"/>
  </r>
  <r>
    <m/>
    <m/>
    <s v="MANTENIMIENTO"/>
    <x v="101"/>
    <x v="99"/>
    <s v="ZONA3"/>
    <x v="13"/>
    <x v="44"/>
    <s v="AD. DIRECTA"/>
    <s v="VIALSUR"/>
    <n v="4.8"/>
    <m/>
    <n v="512"/>
    <s v="Limpieza de derrumbes a máquina"/>
    <s v="m³."/>
    <n v="1.46"/>
    <n v="840"/>
    <m/>
    <d v="2014-03-21T00:00:00"/>
    <d v="2014-05-31T00:00:00"/>
    <s v="EJECUTADO"/>
    <n v="1226.4000000000001"/>
  </r>
  <r>
    <m/>
    <m/>
    <s v="MANTENIMIENTO"/>
    <x v="102"/>
    <x v="100"/>
    <s v="ZONA3"/>
    <x v="12"/>
    <x v="43"/>
    <s v="AD. DIRECTA"/>
    <s v="VIALSUR"/>
    <m/>
    <m/>
    <m/>
    <s v="Limpieza de derrumbes a máquina"/>
    <s v="m³."/>
    <n v="1.46"/>
    <n v="1440"/>
    <m/>
    <d v="2014-03-21T00:00:00"/>
    <d v="2014-05-31T00:00:00"/>
    <s v="EJECUTADO"/>
    <n v="2102.4"/>
  </r>
  <r>
    <m/>
    <m/>
    <s v="MANTENIMIENTO"/>
    <x v="103"/>
    <x v="101"/>
    <s v="ZONA3"/>
    <x v="12"/>
    <x v="43"/>
    <s v="AD. DIRECTA"/>
    <s v="VIALSUR"/>
    <n v="4.2"/>
    <n v="3.44"/>
    <n v="639"/>
    <s v="Rasanteo y conformacion de cunetas con motoniveladora"/>
    <s v="m²."/>
    <n v="0.08"/>
    <n v="18900"/>
    <m/>
    <d v="2014-02-01T00:00:00"/>
    <d v="2014-02-03T00:00:00"/>
    <s v="EJECUTADO"/>
    <n v="1512"/>
  </r>
  <r>
    <m/>
    <m/>
    <s v="MANTENIMIENTO"/>
    <x v="104"/>
    <x v="102"/>
    <s v="ZONA4"/>
    <x v="14"/>
    <x v="45"/>
    <s v="AD. DIRECTA"/>
    <s v="VIALSUR"/>
    <n v="18"/>
    <n v="12.73"/>
    <n v="716"/>
    <s v="Rasanteo y conformacion de cunetas con motoniveladora"/>
    <s v="m2"/>
    <n v="0.08"/>
    <n v="70000"/>
    <m/>
    <d v="2014-01-01T00:00:00"/>
    <d v="2014-02-28T00:00:00"/>
    <s v="EJECUTADO"/>
    <n v="5600"/>
  </r>
  <r>
    <m/>
    <m/>
    <s v="MEJORAMIENTO"/>
    <x v="1"/>
    <x v="102"/>
    <s v="ZONA4"/>
    <x v="14"/>
    <x v="45"/>
    <s v="AD. DIRECTA"/>
    <s v="VIALSUR"/>
    <m/>
    <n v="3.18"/>
    <n v="0"/>
    <s v="Mejoramiento de la subrasante con suelo seleccionado"/>
    <s v="m3"/>
    <n v="5.92"/>
    <n v="3500"/>
    <m/>
    <d v="2014-01-01T00:00:00"/>
    <d v="2014-02-28T00:00:00"/>
    <s v="EJECUTADO"/>
    <n v="20720"/>
  </r>
  <r>
    <m/>
    <m/>
    <s v="MEJORAMIENTO"/>
    <x v="1"/>
    <x v="102"/>
    <s v="ZONA4"/>
    <x v="14"/>
    <x v="45"/>
    <s v="AD. DIRECTA"/>
    <s v="VIALSUR"/>
    <m/>
    <m/>
    <n v="0"/>
    <s v="Transporte de material de mejoramiento, base , sub-base "/>
    <s v="M3-KM"/>
    <n v="0.3"/>
    <n v="28000"/>
    <m/>
    <d v="2014-01-01T00:00:00"/>
    <d v="2014-02-28T00:00:00"/>
    <s v="EJECUTADO"/>
    <n v="8400"/>
  </r>
  <r>
    <m/>
    <m/>
    <s v="MEJORAMIENTO"/>
    <x v="1"/>
    <x v="102"/>
    <s v="ZONA4"/>
    <x v="14"/>
    <x v="45"/>
    <s v="AD. DIRECTA"/>
    <s v="VIALSUR"/>
    <m/>
    <m/>
    <n v="0"/>
    <s v="Explotación de material de mejoramiento"/>
    <s v="m3"/>
    <n v="2.54"/>
    <n v="3500"/>
    <m/>
    <d v="2014-01-01T00:00:00"/>
    <d v="2014-02-28T00:00:00"/>
    <s v="EJECUTADO"/>
    <n v="8890"/>
  </r>
  <r>
    <m/>
    <m/>
    <s v="MANTENIMIENTO"/>
    <x v="105"/>
    <x v="103"/>
    <s v="ZONA4"/>
    <x v="14"/>
    <x v="46"/>
    <s v="AD. DIRECTA"/>
    <s v="VIALSUR"/>
    <n v="12"/>
    <n v="13.1"/>
    <n v="2132"/>
    <s v="Rasanteo y conformacion de cunetas con motoniveladora"/>
    <s v="m2"/>
    <n v="0.08"/>
    <n v="72000"/>
    <m/>
    <d v="2014-01-01T00:00:00"/>
    <d v="2014-01-31T00:00:00"/>
    <s v="EJECUTADO"/>
    <n v="5760"/>
  </r>
  <r>
    <m/>
    <m/>
    <s v="MEJORAMIENTO"/>
    <x v="1"/>
    <x v="103"/>
    <s v="ZONA4"/>
    <x v="14"/>
    <x v="46"/>
    <s v="AD. DIRECTA"/>
    <s v="VIALSUR"/>
    <m/>
    <m/>
    <n v="0"/>
    <s v="Excavación sin clasificar a máquina"/>
    <s v="m3"/>
    <n v="1.62"/>
    <n v="64"/>
    <m/>
    <d v="2014-01-01T00:00:00"/>
    <d v="2014-01-31T00:00:00"/>
    <s v="EJECUTADO"/>
    <n v="103.68"/>
  </r>
  <r>
    <m/>
    <m/>
    <s v="MANTENIMIENTO"/>
    <x v="106"/>
    <x v="104"/>
    <s v="ZONA4"/>
    <x v="15"/>
    <x v="47"/>
    <s v="AD. DIRECTA"/>
    <s v="VIALSUR"/>
    <n v="3"/>
    <n v="1.9"/>
    <n v="2611"/>
    <s v="Reconformación de la rasante"/>
    <s v="m2"/>
    <n v="0.35"/>
    <n v="10450"/>
    <m/>
    <d v="2014-01-01T00:00:00"/>
    <d v="2014-01-31T00:00:00"/>
    <s v="EJECUTADO"/>
    <n v="3657.5"/>
  </r>
  <r>
    <m/>
    <m/>
    <s v="MEJORAMIENTO"/>
    <x v="1"/>
    <x v="104"/>
    <s v="ZONA4"/>
    <x v="15"/>
    <x v="47"/>
    <s v="AD. DIRECTA"/>
    <s v="VIALSUR"/>
    <m/>
    <n v="0.11"/>
    <n v="0"/>
    <s v="Mejoramiento de la subrasante con suelo seleccionado"/>
    <s v="m3"/>
    <n v="5.92"/>
    <n v="118"/>
    <m/>
    <d v="2014-01-01T00:00:00"/>
    <d v="2014-01-31T00:00:00"/>
    <s v="EJECUTADO"/>
    <n v="698.56"/>
  </r>
  <r>
    <m/>
    <m/>
    <s v="MEJORAMIENTO"/>
    <x v="1"/>
    <x v="104"/>
    <s v="ZONA4"/>
    <x v="15"/>
    <x v="47"/>
    <s v="AD. DIRECTA"/>
    <s v="VIALSUR"/>
    <m/>
    <m/>
    <n v="0"/>
    <s v="Transporte de material de mejoramiento, base , sub-base "/>
    <s v="M3-KM"/>
    <n v="0.3"/>
    <n v="1416"/>
    <m/>
    <d v="2014-01-01T00:00:00"/>
    <d v="2014-01-31T00:00:00"/>
    <s v="EJECUTADO"/>
    <n v="424.8"/>
  </r>
  <r>
    <m/>
    <m/>
    <s v="MANTENIMIENTO"/>
    <x v="107"/>
    <x v="105"/>
    <s v="ZONA4"/>
    <x v="15"/>
    <x v="47"/>
    <s v="AD. DIRECTA"/>
    <s v="VIALSUR"/>
    <n v="3"/>
    <n v="3.28"/>
    <n v="2611"/>
    <s v="Reconformación de la rasante"/>
    <s v="m2"/>
    <n v="0.35"/>
    <n v="18000"/>
    <m/>
    <d v="2014-01-01T00:00:00"/>
    <d v="2014-01-31T00:00:00"/>
    <s v="EJECUTADO"/>
    <n v="6300"/>
  </r>
  <r>
    <m/>
    <m/>
    <s v="MEJORAMIENTO"/>
    <x v="1"/>
    <x v="105"/>
    <s v="ZONA4"/>
    <x v="15"/>
    <x v="47"/>
    <s v="AD. DIRECTA"/>
    <s v="VIALSUR"/>
    <m/>
    <m/>
    <n v="0"/>
    <s v="Excavación sin clasificar a máquina"/>
    <s v="m3"/>
    <n v="1.62"/>
    <n v="9000"/>
    <m/>
    <d v="2014-01-01T00:00:00"/>
    <d v="2014-01-31T00:00:00"/>
    <s v="EJECUTADO"/>
    <n v="14580"/>
  </r>
  <r>
    <m/>
    <m/>
    <s v="MANTENIMIENTO"/>
    <x v="108"/>
    <x v="106"/>
    <s v="ZONA4"/>
    <x v="15"/>
    <x v="48"/>
    <s v="AD. DIRECTA"/>
    <s v="VIALSUR"/>
    <n v="26"/>
    <n v="29.1"/>
    <n v="449"/>
    <s v="Reconformación de la rasante"/>
    <s v="m2"/>
    <n v="0.35"/>
    <n v="160002"/>
    <m/>
    <d v="2014-01-01T00:00:00"/>
    <d v="2014-02-28T00:00:00"/>
    <s v="EJECUTADO"/>
    <n v="56000.7"/>
  </r>
  <r>
    <m/>
    <m/>
    <s v="MEJORAMIENTO"/>
    <x v="1"/>
    <x v="106"/>
    <s v="ZONA4"/>
    <x v="15"/>
    <x v="48"/>
    <s v="AD. DIRECTA"/>
    <s v="VIALSUR"/>
    <m/>
    <n v="4.47"/>
    <n v="0"/>
    <s v="Mejoramiento de la subrasante con suelo seleccionado"/>
    <s v="m3"/>
    <n v="5.92"/>
    <n v="4920"/>
    <m/>
    <d v="2014-01-01T00:00:00"/>
    <d v="2014-02-28T00:00:00"/>
    <s v="EJECUTADO"/>
    <n v="29126.400000000001"/>
  </r>
  <r>
    <m/>
    <m/>
    <s v="MEJORAMIENTO"/>
    <x v="1"/>
    <x v="106"/>
    <s v="ZONA4"/>
    <x v="15"/>
    <x v="48"/>
    <s v="AD. DIRECTA"/>
    <s v="VIALSUR"/>
    <m/>
    <m/>
    <n v="0"/>
    <s v="Transporte de material de mejoramiento, base , sub-base "/>
    <s v="M3-KM"/>
    <n v="0.3"/>
    <n v="40200"/>
    <m/>
    <d v="2014-01-01T00:00:00"/>
    <d v="2014-02-28T00:00:00"/>
    <s v="EJECUTADO"/>
    <n v="12060"/>
  </r>
  <r>
    <m/>
    <m/>
    <s v="MEJORAMIENTO"/>
    <x v="1"/>
    <x v="106"/>
    <s v="ZONA4"/>
    <x v="15"/>
    <x v="48"/>
    <s v="AD. DIRECTA"/>
    <s v="VIALSUR"/>
    <m/>
    <m/>
    <n v="0"/>
    <s v="Excavación sin clasificar a máquina"/>
    <s v="m3"/>
    <n v="1.62"/>
    <n v="4752"/>
    <m/>
    <d v="2014-02-03T00:00:00"/>
    <d v="2014-04-15T00:00:00"/>
    <s v="EJECUTADO"/>
    <n v="7698.24"/>
  </r>
  <r>
    <m/>
    <m/>
    <s v="MANTENIMIENTO"/>
    <x v="109"/>
    <x v="107"/>
    <s v="ZONA4"/>
    <x v="15"/>
    <x v="49"/>
    <s v="CONVENIO"/>
    <s v="VIALSUR"/>
    <n v="180"/>
    <m/>
    <n v="20662"/>
    <s v="Cargada de material inadecuado a máquina"/>
    <s v="m3"/>
    <n v="0.6"/>
    <m/>
    <m/>
    <d v="2014-01-01T00:00:00"/>
    <d v="2014-01-31T00:00:00"/>
    <s v="EJECUTADO"/>
    <n v="0"/>
  </r>
  <r>
    <m/>
    <m/>
    <s v="MEJORAMIENTO"/>
    <x v="1"/>
    <x v="107"/>
    <s v="ZONA4"/>
    <x v="15"/>
    <x v="49"/>
    <s v="CONVENIO"/>
    <s v="VIALSUR"/>
    <m/>
    <m/>
    <n v="0"/>
    <s v="Transporte de material de mejoramiento, distancia 0 a 5,00 Km"/>
    <s v="m3"/>
    <n v="0.81"/>
    <n v="297.60000000000002"/>
    <m/>
    <d v="2014-01-01T00:00:00"/>
    <d v="2014-02-28T00:00:00"/>
    <s v="EJECUTADO"/>
    <n v="241.06"/>
  </r>
  <r>
    <m/>
    <m/>
    <s v="MANTENIMIENTO"/>
    <x v="1"/>
    <x v="107"/>
    <s v="ZONA4"/>
    <x v="15"/>
    <x v="49"/>
    <s v="CONVENIO"/>
    <s v="VIALSUR"/>
    <m/>
    <m/>
    <n v="0"/>
    <s v="Alquiler de excavadora"/>
    <s v="Horas"/>
    <n v="45"/>
    <m/>
    <m/>
    <d v="2014-01-01T00:00:00"/>
    <d v="2014-01-31T00:00:00"/>
    <s v="EJECUTADO"/>
    <n v="0"/>
  </r>
  <r>
    <m/>
    <m/>
    <s v="MANTENIMIENTO"/>
    <x v="1"/>
    <x v="107"/>
    <s v="ZONA4"/>
    <x v="15"/>
    <x v="49"/>
    <s v="CONVENIO"/>
    <s v="VIALSUR"/>
    <m/>
    <n v="0"/>
    <n v="0"/>
    <s v="Acabado de Obra Básica existente"/>
    <s v="Horas"/>
    <n v="50.6"/>
    <m/>
    <m/>
    <d v="2014-01-01T00:00:00"/>
    <d v="2014-02-28T00:00:00"/>
    <s v="EJECUTADO"/>
    <n v="0"/>
  </r>
  <r>
    <m/>
    <m/>
    <s v="SEÑALIZACION"/>
    <x v="1"/>
    <x v="107"/>
    <s v="ZONA4"/>
    <x v="15"/>
    <x v="49"/>
    <s v="CONVENIO"/>
    <s v="VIALSUR"/>
    <m/>
    <m/>
    <n v="0"/>
    <s v="Letrero de identificación"/>
    <s v="UNIDAD"/>
    <n v="704.58"/>
    <m/>
    <m/>
    <d v="2014-01-01T00:00:00"/>
    <d v="2014-01-31T00:00:00"/>
    <s v="EJECUTADO"/>
    <n v="0"/>
  </r>
  <r>
    <m/>
    <m/>
    <s v="MEJORAMIENTO"/>
    <x v="110"/>
    <x v="108"/>
    <s v="ZONA4"/>
    <x v="15"/>
    <x v="49"/>
    <s v="CONTRATO"/>
    <s v="CIA. JARAMILLO"/>
    <m/>
    <m/>
    <n v="0"/>
    <s v="Transporte de material de mejoramiento, distancia mayor a 5,00 Km"/>
    <s v="M3-KM"/>
    <n v="0.24"/>
    <n v="86140.05"/>
    <m/>
    <d v="2014-01-01T00:00:00"/>
    <d v="2014-05-31T00:00:00"/>
    <s v="EJECUTADO"/>
    <n v="20673.61"/>
  </r>
  <r>
    <s v="18"/>
    <s v="EJECUTADO"/>
    <s v="ASFALTO"/>
    <x v="111"/>
    <x v="109"/>
    <s v="ZONA4"/>
    <x v="15"/>
    <x v="47"/>
    <s v="CONTRATO"/>
    <s v="VIALSUR"/>
    <n v="4"/>
    <n v="6.25"/>
    <n v="2611"/>
    <s v="Asfalto para riego de imprimación"/>
    <s v="Lit."/>
    <n v="0.6"/>
    <n v="54000"/>
    <m/>
    <d v="2014-01-01T00:00:00"/>
    <d v="2014-04-30T00:00:00"/>
    <s v="EJECUTADO"/>
    <n v="32400"/>
  </r>
  <r>
    <m/>
    <m/>
    <s v="HORMIGONES"/>
    <x v="1"/>
    <x v="109"/>
    <s v="ZONA4"/>
    <x v="15"/>
    <x v="47"/>
    <s v="CONTRATO"/>
    <s v="VIALSUR"/>
    <m/>
    <m/>
    <n v="0"/>
    <s v="Hormigón estructural Clase C f´c=180 kg/cm2 , cunetas y canales"/>
    <s v="m3"/>
    <n v="130.65"/>
    <n v="900.52"/>
    <m/>
    <d v="2014-03-01T00:00:00"/>
    <d v="2014-04-30T00:00:00"/>
    <s v="EJECUTADO"/>
    <n v="117652.94"/>
  </r>
  <r>
    <m/>
    <m/>
    <s v="SEÑALIZACION"/>
    <x v="1"/>
    <x v="109"/>
    <s v="ZONA4"/>
    <x v="15"/>
    <x v="47"/>
    <s v="CONTRATO"/>
    <s v="VIALSUR"/>
    <m/>
    <n v="2.94"/>
    <n v="0"/>
    <s v="Señalización Horizontal"/>
    <s v="ml"/>
    <n v="0.49"/>
    <n v="11751"/>
    <m/>
    <d v="2014-06-01T00:00:00"/>
    <d v="2014-07-31T00:00:00"/>
    <s v="EJECUTADO"/>
    <n v="5757.99"/>
  </r>
  <r>
    <m/>
    <m/>
    <s v="SEÑALIZACION"/>
    <x v="1"/>
    <x v="109"/>
    <s v="ZONA4"/>
    <x v="15"/>
    <x v="47"/>
    <s v="CONTRATO"/>
    <s v="VIALSUR"/>
    <m/>
    <m/>
    <n v="0"/>
    <s v="Tachas Reflectivas"/>
    <s v="UNIDAD"/>
    <n v="8.33"/>
    <n v="450"/>
    <m/>
    <d v="2014-06-01T00:00:00"/>
    <d v="2014-07-31T00:00:00"/>
    <s v="EJECUTADO"/>
    <n v="3748.5"/>
  </r>
  <r>
    <m/>
    <m/>
    <s v="SEÑALIZACION"/>
    <x v="1"/>
    <x v="109"/>
    <s v="ZONA4"/>
    <x v="15"/>
    <x v="47"/>
    <s v="CONTRATO"/>
    <s v="VIALSUR"/>
    <m/>
    <m/>
    <n v="0"/>
    <s v="Barandas Reflectivas"/>
    <s v="UNIDAD"/>
    <n v="10"/>
    <n v="471"/>
    <m/>
    <d v="2014-06-01T00:00:00"/>
    <d v="2014-07-31T00:00:00"/>
    <s v="EJECUTADO"/>
    <n v="4710"/>
  </r>
  <r>
    <m/>
    <m/>
    <s v="ASFALTO"/>
    <x v="1"/>
    <x v="109"/>
    <s v="ZONA4"/>
    <x v="15"/>
    <x v="47"/>
    <s v="CONTRATO"/>
    <s v="VIALSUR"/>
    <m/>
    <n v="4.3099999999999996"/>
    <n v="0"/>
    <s v="Doble tratamiento superficial bituminoso"/>
    <s v="m2"/>
    <n v="2.79"/>
    <n v="31000"/>
    <m/>
    <d v="2014-01-01T00:00:00"/>
    <d v="2014-04-30T00:00:00"/>
    <s v="EJECUTADO"/>
    <n v="86490"/>
  </r>
  <r>
    <m/>
    <m/>
    <s v="MANTENIMIENTO"/>
    <x v="112"/>
    <x v="110"/>
    <s v="ZONA4"/>
    <x v="14"/>
    <x v="50"/>
    <s v="CONTRATO"/>
    <s v="ING. MANUEL PICOITA"/>
    <n v="100"/>
    <n v="49.98"/>
    <n v="1258"/>
    <s v="Rasanteo y conformacion de cunetas con motoniveladora"/>
    <s v="m2"/>
    <n v="6.8093799999999996E-2"/>
    <n v="274850"/>
    <m/>
    <d v="2014-01-01T00:00:00"/>
    <d v="2014-03-31T00:00:00"/>
    <s v="EJECUTADO"/>
    <n v="18715.580000000002"/>
  </r>
  <r>
    <s v="19"/>
    <s v="EJECUTADO"/>
    <s v="HORMIGONES"/>
    <x v="113"/>
    <x v="111"/>
    <s v="ZONA4"/>
    <x v="15"/>
    <x v="51"/>
    <s v="CONTRATO"/>
    <s v="ING. MAXIMO CASTRO"/>
    <m/>
    <m/>
    <n v="0"/>
    <s v="Hormigon coclopeo F´c 180 Kg / cm 2( 60%)H. Simple"/>
    <s v="m3"/>
    <n v="135.74"/>
    <n v="2094.2800000000002"/>
    <m/>
    <d v="2014-03-01T00:00:00"/>
    <d v="2014-07-31T00:00:00"/>
    <s v="EJECUTADO"/>
    <n v="284277.57"/>
  </r>
  <r>
    <m/>
    <m/>
    <s v="HORMIGONES"/>
    <x v="1"/>
    <x v="111"/>
    <s v="ZONA4"/>
    <x v="15"/>
    <x v="51"/>
    <s v="CONTRATO"/>
    <s v="ING. MAXIMO CASTRO"/>
    <m/>
    <m/>
    <n v="0"/>
    <s v="Hormigon simple F´c 180 Kg / cm 2"/>
    <s v="m3"/>
    <n v="174.39"/>
    <n v="1916.28"/>
    <m/>
    <d v="2014-03-01T00:00:00"/>
    <d v="2014-07-31T00:00:00"/>
    <s v="EJECUTADO"/>
    <n v="334180.07"/>
  </r>
  <r>
    <m/>
    <m/>
    <s v="MEJORAMIENTO"/>
    <x v="1"/>
    <x v="111"/>
    <s v="ZONA4"/>
    <x v="15"/>
    <x v="51"/>
    <s v="CONTRATO"/>
    <s v="ING. MAXIMO CASTRO"/>
    <m/>
    <m/>
    <n v="0"/>
    <s v="Excavación para cunetas y encauzamiento a mano"/>
    <s v="m3"/>
    <n v="9.5"/>
    <n v="7489.95"/>
    <m/>
    <d v="2014-03-01T00:00:00"/>
    <d v="2014-07-31T00:00:00"/>
    <s v="EJECUTADO"/>
    <n v="71154.53"/>
  </r>
  <r>
    <m/>
    <m/>
    <s v="MEJORAMIENTO"/>
    <x v="1"/>
    <x v="111"/>
    <s v="ZONA4"/>
    <x v="15"/>
    <x v="51"/>
    <s v="CONTRATO"/>
    <s v="ING. MAXIMO CASTRO"/>
    <m/>
    <m/>
    <n v="0"/>
    <s v="Excavación de suelo a mano cimientos de Piedra"/>
    <s v="m3"/>
    <n v="9.5"/>
    <n v="220.3"/>
    <m/>
    <d v="2014-03-01T00:00:00"/>
    <d v="2014-07-31T00:00:00"/>
    <s v="EJECUTADO"/>
    <n v="2092.85"/>
  </r>
  <r>
    <m/>
    <m/>
    <s v="MEJORAMIENTO"/>
    <x v="1"/>
    <x v="111"/>
    <s v="ZONA4"/>
    <x v="15"/>
    <x v="51"/>
    <s v="CONTRATO"/>
    <s v="ING. MAXIMO CASTRO"/>
    <m/>
    <m/>
    <n v="0"/>
    <s v="Relleno compactado"/>
    <s v="m3"/>
    <n v="6.44"/>
    <n v="1549.04"/>
    <m/>
    <d v="2014-04-01T00:00:00"/>
    <d v="2014-05-31T00:00:00"/>
    <s v="EJECUTADO"/>
    <n v="9975.82"/>
  </r>
  <r>
    <m/>
    <m/>
    <s v="MEJORAMIENTO"/>
    <x v="1"/>
    <x v="111"/>
    <s v="ZONA4"/>
    <x v="15"/>
    <x v="51"/>
    <s v="CONTRATO"/>
    <s v="ING. MAXIMO CASTRO"/>
    <m/>
    <m/>
    <n v="0"/>
    <s v="Transporte de material mayor a 5 km"/>
    <s v="M3-KM"/>
    <n v="0.3"/>
    <n v="40912.31"/>
    <m/>
    <d v="2014-07-01T00:00:00"/>
    <d v="2014-07-31T00:00:00"/>
    <s v="EJECUTADO"/>
    <n v="12273.69"/>
  </r>
  <r>
    <m/>
    <m/>
    <s v="SEÑALIZACION"/>
    <x v="1"/>
    <x v="111"/>
    <s v="ZONA4"/>
    <x v="15"/>
    <x v="51"/>
    <s v="CONTRATO"/>
    <s v="ING. MAXIMO CASTRO"/>
    <m/>
    <m/>
    <n v="0"/>
    <s v="Letrero de Señalización de 2,4 x 4,80 m"/>
    <s v="UNIDAD"/>
    <n v="913.74"/>
    <n v="2"/>
    <m/>
    <d v="2014-09-01T00:00:00"/>
    <d v="2014-09-30T00:00:00"/>
    <s v="EJECUTADO"/>
    <n v="1827.48"/>
  </r>
  <r>
    <m/>
    <m/>
    <s v="SEÑALIZACION"/>
    <x v="1"/>
    <x v="111"/>
    <s v="ZONA4"/>
    <x v="15"/>
    <x v="51"/>
    <s v="CONTRATO"/>
    <s v="ING. MAXIMO CASTRO"/>
    <m/>
    <m/>
    <n v="0"/>
    <s v="Pintura de Pavimento ancho 10 cm"/>
    <s v="m2"/>
    <n v="0.53"/>
    <n v="37814.230000000003"/>
    <m/>
    <d v="2014-09-01T00:00:00"/>
    <s v="31/09/2014"/>
    <s v="EN EJECUCION"/>
    <n v="20041.54"/>
  </r>
  <r>
    <m/>
    <m/>
    <s v="SEÑALIZACION"/>
    <x v="1"/>
    <x v="111"/>
    <s v="ZONA4"/>
    <x v="15"/>
    <x v="51"/>
    <s v="CONTRATO"/>
    <s v="ING. MAXIMO CASTRO"/>
    <m/>
    <m/>
    <n v="0"/>
    <s v="Letrero de señalización de 0.75 X 0.75"/>
    <s v="UNIDAD"/>
    <n v="176.44"/>
    <n v="204"/>
    <m/>
    <d v="2014-04-01T00:00:00"/>
    <d v="2014-04-30T00:00:00"/>
    <s v="EJECUTADO"/>
    <n v="35993.760000000002"/>
  </r>
  <r>
    <m/>
    <m/>
    <s v="HORMIGONES"/>
    <x v="1"/>
    <x v="111"/>
    <s v="ZONA4"/>
    <x v="15"/>
    <x v="51"/>
    <s v="CONTRATO"/>
    <s v="ING. MAXIMO CASTRO"/>
    <m/>
    <m/>
    <n v="0"/>
    <s v="Acero refuerzo fy= 4200 kg/cm2 ( Suminostro y colocación )"/>
    <s v="kg"/>
    <n v="2.19"/>
    <n v="1002.5"/>
    <m/>
    <d v="2014-07-01T00:00:00"/>
    <d v="2014-07-31T00:00:00"/>
    <s v="EJECUTADO"/>
    <n v="2195.48"/>
  </r>
  <r>
    <m/>
    <m/>
    <s v="HORMIGONES"/>
    <x v="1"/>
    <x v="111"/>
    <s v="ZONA4"/>
    <x v="15"/>
    <x v="51"/>
    <s v="CONTRATO"/>
    <s v="ING. MAXIMO CASTRO"/>
    <m/>
    <m/>
    <n v="0"/>
    <s v="Hormigón estructural"/>
    <s v="m3"/>
    <n v="194.99"/>
    <n v="24.47"/>
    <m/>
    <d v="2014-07-01T00:00:00"/>
    <d v="2014-07-31T00:00:00"/>
    <s v="EJECUTADO"/>
    <n v="4771.41"/>
  </r>
  <r>
    <m/>
    <m/>
    <s v="MEJORAMIENTO"/>
    <x v="1"/>
    <x v="111"/>
    <s v="ZONA4"/>
    <x v="15"/>
    <x v="51"/>
    <s v="CONTRATO"/>
    <s v="ING. MAXIMO CASTRO"/>
    <m/>
    <m/>
    <n v="0"/>
    <s v="Replanteo y Nivelación con aparatos ( Edificaciones) O.T. #2"/>
    <s v="m2"/>
    <n v="0.83"/>
    <n v="1122.57"/>
    <m/>
    <d v="2014-07-01T00:00:00"/>
    <d v="2014-07-31T00:00:00"/>
    <s v="EJECUTADO"/>
    <n v="931.73"/>
  </r>
  <r>
    <m/>
    <m/>
    <s v="MEJORAMIENTO"/>
    <x v="1"/>
    <x v="111"/>
    <s v="ZONA4"/>
    <x v="15"/>
    <x v="51"/>
    <s v="CONTRATO"/>
    <s v="ING. MAXIMO CASTRO"/>
    <m/>
    <m/>
    <n v="0"/>
    <s v="Replanteo y Nivelación con aparatos ( Edificaciones) O.T. #1"/>
    <s v="m2"/>
    <n v="548.87"/>
    <n v="9.64"/>
    <m/>
    <d v="2014-07-01T00:00:00"/>
    <d v="2014-07-31T00:00:00"/>
    <s v="EJECUTADO"/>
    <n v="5291.11"/>
  </r>
  <r>
    <m/>
    <m/>
    <s v="MANTENIMIENTO"/>
    <x v="1"/>
    <x v="111"/>
    <s v="ZONA4"/>
    <x v="15"/>
    <x v="51"/>
    <s v="CONTRATO"/>
    <s v="ING. MAXIMO CASTRO"/>
    <m/>
    <m/>
    <n v="0"/>
    <s v="Rosa a Mano"/>
    <s v="Ha"/>
    <n v="903"/>
    <n v="4.8600000000000003"/>
    <m/>
    <d v="2014-07-01T00:00:00"/>
    <d v="2014-07-31T00:00:00"/>
    <s v="EJECUTADO"/>
    <n v="4388.58"/>
  </r>
  <r>
    <m/>
    <m/>
    <s v="HORMIGONES"/>
    <x v="1"/>
    <x v="111"/>
    <s v="ZONA4"/>
    <x v="15"/>
    <x v="51"/>
    <s v="CONTRATO"/>
    <s v="ING. MAXIMO CASTRO"/>
    <m/>
    <m/>
    <n v="0"/>
    <s v="Acero refuerzo fy= 4200 kg/cm2 ( Suminostro y colocación )"/>
    <s v="kg"/>
    <n v="2.23"/>
    <n v="3630.82"/>
    <m/>
    <d v="2014-07-01T00:00:00"/>
    <d v="2014-07-31T00:00:00"/>
    <s v="EJECUTADO"/>
    <n v="8096.73"/>
  </r>
  <r>
    <m/>
    <m/>
    <s v="MANTENIMIENTO"/>
    <x v="1"/>
    <x v="111"/>
    <s v="ZONA4"/>
    <x v="15"/>
    <x v="51"/>
    <s v="CONTRATO"/>
    <s v="ING. MAXIMO CASTRO"/>
    <m/>
    <m/>
    <n v="0"/>
    <s v="Excavación sin clasificar no incluye desalojo"/>
    <s v="m3"/>
    <n v="1.62"/>
    <n v="133.94999999999999"/>
    <m/>
    <d v="2014-03-01T00:00:00"/>
    <d v="2014-07-31T00:00:00"/>
    <s v="EJECUTADO"/>
    <n v="217"/>
  </r>
  <r>
    <m/>
    <m/>
    <s v="MEJORAMIENTO"/>
    <x v="1"/>
    <x v="111"/>
    <s v="ZONA4"/>
    <x v="15"/>
    <x v="51"/>
    <s v="CONTRATO"/>
    <s v="ING. MAXIMO CASTRO"/>
    <m/>
    <m/>
    <n v="0"/>
    <s v="Relleno compactado con material de sitio"/>
    <s v="m3"/>
    <n v="8.11"/>
    <n v="44"/>
    <m/>
    <d v="2014-03-01T00:00:00"/>
    <d v="2014-07-31T00:00:00"/>
    <s v="EJECUTADO"/>
    <n v="356.84"/>
  </r>
  <r>
    <m/>
    <m/>
    <s v="MEJORAMIENTO"/>
    <x v="1"/>
    <x v="111"/>
    <s v="ZONA4"/>
    <x v="15"/>
    <x v="51"/>
    <s v="CONTRATO"/>
    <s v="ING. MAXIMO CASTRO"/>
    <m/>
    <m/>
    <n v="0"/>
    <s v="Relleno compactado con material granular"/>
    <s v="m3"/>
    <n v="9.9600000000000009"/>
    <n v="238.61"/>
    <m/>
    <d v="2014-03-01T00:00:00"/>
    <d v="2014-07-31T00:00:00"/>
    <s v="EJECUTADO"/>
    <n v="2376.56"/>
  </r>
  <r>
    <m/>
    <m/>
    <s v="HORMIGONES"/>
    <x v="1"/>
    <x v="111"/>
    <s v="ZONA4"/>
    <x v="15"/>
    <x v="51"/>
    <s v="CONTRATO"/>
    <s v="ING. MAXIMO CASTRO"/>
    <m/>
    <m/>
    <n v="0"/>
    <s v="Hormigón Estructural f´c=210 kg/cm2 I/E"/>
    <s v="m3"/>
    <n v="198.68"/>
    <n v="43.41"/>
    <m/>
    <d v="2014-03-01T00:00:00"/>
    <d v="2014-07-31T00:00:00"/>
    <s v="EJECUTADO"/>
    <n v="8624.7000000000007"/>
  </r>
  <r>
    <m/>
    <m/>
    <s v="MEJORAMIENTO"/>
    <x v="1"/>
    <x v="111"/>
    <s v="ZONA4"/>
    <x v="15"/>
    <x v="51"/>
    <s v="CONTRATO"/>
    <s v="ING. MAXIMO CASTRO"/>
    <m/>
    <m/>
    <n v="0"/>
    <s v="Tubería PVC para machinales D=10 cm"/>
    <s v="ml"/>
    <n v="6.07"/>
    <n v="6"/>
    <m/>
    <d v="2014-09-01T00:00:00"/>
    <s v="31/09/2014"/>
    <s v="EN EJECUCION"/>
    <n v="36.42"/>
  </r>
  <r>
    <m/>
    <m/>
    <s v="MEJORAMIENTO"/>
    <x v="1"/>
    <x v="111"/>
    <s v="ZONA4"/>
    <x v="15"/>
    <x v="51"/>
    <s v="CONTRATO"/>
    <s v="ING. MAXIMO CASTRO"/>
    <m/>
    <m/>
    <n v="0"/>
    <s v="Transporte de cemento en camión"/>
    <s v="ton/km"/>
    <n v="0.23"/>
    <n v="656.36"/>
    <m/>
    <d v="2014-09-01T00:00:00"/>
    <s v="31/09/2014"/>
    <s v="EN EJECUCION"/>
    <n v="150.96"/>
  </r>
  <r>
    <m/>
    <m/>
    <s v="MEJORAMIENTO"/>
    <x v="1"/>
    <x v="111"/>
    <s v="ZONA4"/>
    <x v="15"/>
    <x v="51"/>
    <s v="CONTRATO"/>
    <s v="ING. MAXIMO CASTRO"/>
    <m/>
    <m/>
    <n v="0"/>
    <s v="Transporte de hierro en camión"/>
    <s v="ton/km"/>
    <n v="0.22"/>
    <n v="152.49"/>
    <m/>
    <d v="2014-09-01T00:00:00"/>
    <s v="31/09/2014"/>
    <s v="EN EJECUCION"/>
    <n v="33.549999999999997"/>
  </r>
  <r>
    <m/>
    <m/>
    <s v="MANTENIMIENTO"/>
    <x v="114"/>
    <x v="112"/>
    <s v="ZONA4"/>
    <x v="14"/>
    <x v="52"/>
    <s v="AD. DIRECTA"/>
    <s v="VIALSUR"/>
    <m/>
    <m/>
    <n v="0"/>
    <s v="Limpieza de derrumbes"/>
    <s v="m3"/>
    <n v="1.46"/>
    <n v="9960"/>
    <m/>
    <d v="2014-03-01T00:00:00"/>
    <d v="2014-04-30T00:00:00"/>
    <s v="EJECUTADO"/>
    <n v="14541.6"/>
  </r>
  <r>
    <m/>
    <m/>
    <s v="MANTENIMIENTO"/>
    <x v="1"/>
    <x v="112"/>
    <s v="ZONA4"/>
    <x v="14"/>
    <x v="52"/>
    <s v="AD. DIRECTA"/>
    <s v="VIALSUR"/>
    <m/>
    <m/>
    <n v="0"/>
    <s v="Relleno con material granular"/>
    <s v="m3"/>
    <n v="9.9600000000000009"/>
    <n v="800"/>
    <m/>
    <d v="2014-03-01T00:00:00"/>
    <d v="2014-04-30T00:00:00"/>
    <s v="EJECUTADO"/>
    <n v="7968"/>
  </r>
  <r>
    <m/>
    <m/>
    <s v="MANTENIMIENTO"/>
    <x v="115"/>
    <x v="113"/>
    <s v="ZONA4"/>
    <x v="15"/>
    <x v="49"/>
    <s v="AD. DIRECTA"/>
    <s v="VIALSUR"/>
    <m/>
    <m/>
    <n v="0"/>
    <s v="Limpieza de derrumbes"/>
    <s v="m3"/>
    <n v="1.46"/>
    <n v="14400"/>
    <m/>
    <d v="2014-03-01T00:00:00"/>
    <d v="2014-03-31T00:00:00"/>
    <s v="EJECUTADO"/>
    <n v="21024"/>
  </r>
  <r>
    <m/>
    <m/>
    <s v="MANTENIMIENTO"/>
    <x v="116"/>
    <x v="114"/>
    <s v="ZONA4"/>
    <x v="15"/>
    <x v="49"/>
    <s v="AD. DIRECTA"/>
    <s v="VIALSUR"/>
    <m/>
    <m/>
    <n v="0"/>
    <s v="Limpieza de derrumbes"/>
    <s v="m3"/>
    <n v="1.46"/>
    <n v="5000"/>
    <m/>
    <d v="2014-03-01T00:00:00"/>
    <d v="2014-04-30T00:00:00"/>
    <s v="EJECUTADO"/>
    <n v="7300"/>
  </r>
  <r>
    <m/>
    <m/>
    <s v="MANTENIMIENTO"/>
    <x v="1"/>
    <x v="114"/>
    <s v="ZONA4"/>
    <x v="15"/>
    <x v="49"/>
    <s v="AD. DIRECTA"/>
    <s v="VIALSUR"/>
    <m/>
    <m/>
    <n v="0"/>
    <s v="Relleno  Compactado"/>
    <s v="m3"/>
    <n v="8.11"/>
    <n v="540"/>
    <m/>
    <d v="2014-04-01T00:00:00"/>
    <d v="2014-04-30T00:00:00"/>
    <s v="EJECUTADO"/>
    <n v="4379.3999999999996"/>
  </r>
  <r>
    <m/>
    <m/>
    <s v="MANTENIMIENTO"/>
    <x v="117"/>
    <x v="115"/>
    <s v="ZONA4"/>
    <x v="15"/>
    <x v="49"/>
    <s v="AD. DIRECTA"/>
    <s v="VIALSUR"/>
    <n v="5.8"/>
    <n v="9.6"/>
    <n v="20662"/>
    <s v="Reconformación de la rasante"/>
    <s v="m2"/>
    <n v="0.35"/>
    <n v="52800"/>
    <m/>
    <d v="2014-03-01T00:00:00"/>
    <d v="2014-04-30T00:00:00"/>
    <s v="EJECUTADO"/>
    <n v="18480"/>
  </r>
  <r>
    <m/>
    <m/>
    <s v="MEJORAMIENTO"/>
    <x v="1"/>
    <x v="115"/>
    <s v="ZONA4"/>
    <x v="15"/>
    <x v="49"/>
    <s v="AD. DIRECTA"/>
    <s v="VIALSUR"/>
    <m/>
    <n v="3.27"/>
    <n v="0"/>
    <s v="Mejoramiento de la subrasante con suelo seleccionado"/>
    <s v="m3"/>
    <n v="5.92"/>
    <n v="3600"/>
    <m/>
    <d v="2014-03-01T00:00:00"/>
    <d v="2014-04-30T00:00:00"/>
    <s v="EJECUTADO"/>
    <n v="21312"/>
  </r>
  <r>
    <m/>
    <m/>
    <s v="MEJORAMIENTO"/>
    <x v="1"/>
    <x v="115"/>
    <s v="ZONA4"/>
    <x v="15"/>
    <x v="49"/>
    <s v="AD. DIRECTA"/>
    <s v="VIALSUR"/>
    <m/>
    <m/>
    <n v="0"/>
    <s v="Relleno con material granular"/>
    <s v="m3"/>
    <n v="9.9600000000000009"/>
    <n v="588"/>
    <m/>
    <d v="2014-03-01T00:00:00"/>
    <d v="2014-03-31T00:00:00"/>
    <s v="EJECUTADO"/>
    <n v="5856.48"/>
  </r>
  <r>
    <m/>
    <m/>
    <s v="MEJORAMIENTO"/>
    <x v="1"/>
    <x v="115"/>
    <s v="ZONA4"/>
    <x v="15"/>
    <x v="49"/>
    <s v="AD. DIRECTA"/>
    <s v="VIALSUR"/>
    <m/>
    <m/>
    <n v="0"/>
    <s v="Transporte de material de mejoramiento, distancia mayor a 5,00 Km"/>
    <s v="M3-KM"/>
    <n v="0.3"/>
    <n v="13432"/>
    <m/>
    <d v="2014-03-01T00:00:00"/>
    <d v="2014-04-30T00:00:00"/>
    <s v="EJECUTADO"/>
    <n v="4029.6"/>
  </r>
  <r>
    <m/>
    <m/>
    <s v="MANTENIMIENTO"/>
    <x v="118"/>
    <x v="116"/>
    <s v="ZONA4"/>
    <x v="15"/>
    <x v="53"/>
    <s v="AD. DIRECTA"/>
    <s v="VIALSUR"/>
    <n v="10.63"/>
    <n v="47.6"/>
    <n v="2613"/>
    <s v="Reconformación de la rasante"/>
    <s v="m2"/>
    <n v="0.35"/>
    <n v="261800"/>
    <m/>
    <d v="2014-03-01T00:00:00"/>
    <d v="2014-06-30T00:00:00"/>
    <s v="EJECUTADO"/>
    <n v="91630"/>
  </r>
  <r>
    <m/>
    <m/>
    <s v="MEJORAMIENTO"/>
    <x v="1"/>
    <x v="116"/>
    <s v="ZONA4"/>
    <x v="15"/>
    <x v="54"/>
    <s v="AD. DIRECTA"/>
    <s v="VIALSUR"/>
    <n v="10.63"/>
    <n v="14.87"/>
    <n v="696"/>
    <s v="Mejoramiento de la subrasante con suelo seleccionado S/T h= 20 cm. Incluye explotada"/>
    <s v="m3"/>
    <n v="5.92"/>
    <n v="16356"/>
    <m/>
    <d v="2014-03-01T00:00:00"/>
    <d v="2014-06-30T00:00:00"/>
    <s v="EJECUTADO"/>
    <n v="96827.520000000004"/>
  </r>
  <r>
    <m/>
    <m/>
    <s v="MEJORAMIENTO"/>
    <x v="1"/>
    <x v="116"/>
    <s v="ZONA4"/>
    <x v="15"/>
    <x v="55"/>
    <s v="AD. DIRECTA"/>
    <s v="VIALSUR"/>
    <n v="10.63"/>
    <m/>
    <n v="1446"/>
    <s v="Transporte de material de mejoramiento, distancia mayor a 5,00 Km"/>
    <s v="M3-KM"/>
    <n v="0.3"/>
    <n v="57760"/>
    <m/>
    <d v="2014-03-01T00:00:00"/>
    <d v="2014-06-30T00:00:00"/>
    <s v="EJECUTADO"/>
    <n v="17328"/>
  </r>
  <r>
    <m/>
    <m/>
    <s v="MEJORAMIENTO"/>
    <x v="1"/>
    <x v="116"/>
    <s v="ZONA4"/>
    <x v="15"/>
    <x v="55"/>
    <s v="AD. DIRECTA"/>
    <s v="VIALSUR"/>
    <m/>
    <m/>
    <m/>
    <s v="Relleno con material granular"/>
    <s v="m3"/>
    <n v="9.9600000000000009"/>
    <n v="400"/>
    <m/>
    <d v="2014-04-01T00:00:00"/>
    <d v="2014-04-30T00:00:00"/>
    <s v="EJECUTADO"/>
    <n v="3984"/>
  </r>
  <r>
    <m/>
    <m/>
    <s v="ALCANTARILLA"/>
    <x v="1"/>
    <x v="116"/>
    <s v="ZONA4"/>
    <x v="15"/>
    <x v="55"/>
    <s v="AD. DIRECTA"/>
    <s v="VIALSUR"/>
    <m/>
    <m/>
    <m/>
    <s v="Alcantarilla de armico D=1.80, e= 2.5 mm"/>
    <s v="ml"/>
    <n v="561.85"/>
    <n v="15"/>
    <m/>
    <d v="2014-04-01T00:00:00"/>
    <d v="2014-04-30T00:00:00"/>
    <s v="EJECUTADO"/>
    <n v="8427.75"/>
  </r>
  <r>
    <m/>
    <m/>
    <s v="MEJORAMIENTO"/>
    <x v="119"/>
    <x v="117"/>
    <s v="ZONA4"/>
    <x v="15"/>
    <x v="56"/>
    <s v="AD. DIRECTA"/>
    <s v="VIALSUR"/>
    <n v="7.5"/>
    <m/>
    <n v="589"/>
    <s v="Enrocado de piedra diámetro mayor a 70 cm."/>
    <s v="m3"/>
    <n v="36.880000000000003"/>
    <n v="700"/>
    <m/>
    <d v="2014-04-01T00:00:00"/>
    <d v="2014-04-30T00:00:00"/>
    <s v="EJECUTADO"/>
    <n v="25816"/>
  </r>
  <r>
    <m/>
    <m/>
    <s v="MEJORAMIENTO"/>
    <x v="1"/>
    <x v="117"/>
    <s v="ZONA4"/>
    <x v="15"/>
    <x v="56"/>
    <s v="AD. DIRECTA"/>
    <s v="VIALSUR"/>
    <m/>
    <m/>
    <n v="0"/>
    <s v="Relleno con material granular"/>
    <s v="m3"/>
    <n v="9.9600000000000009"/>
    <n v="3200"/>
    <m/>
    <d v="2014-04-01T00:00:00"/>
    <d v="2014-04-30T00:00:00"/>
    <s v="EJECUTADO"/>
    <n v="31872"/>
  </r>
  <r>
    <m/>
    <m/>
    <s v="MANTENIMIENTO"/>
    <x v="1"/>
    <x v="117"/>
    <s v="ZONA4"/>
    <x v="15"/>
    <x v="56"/>
    <s v="AD. DIRECTA"/>
    <s v="VIALSUR"/>
    <m/>
    <m/>
    <n v="0"/>
    <s v="Encauzamiento de río"/>
    <s v="m3"/>
    <n v="2.81"/>
    <n v="4000"/>
    <m/>
    <d v="2014-04-01T00:00:00"/>
    <d v="2014-04-30T00:00:00"/>
    <s v="EJECUTADO"/>
    <n v="11240"/>
  </r>
  <r>
    <m/>
    <m/>
    <s v="MANTENIMIENTO"/>
    <x v="120"/>
    <x v="118"/>
    <s v="ZONA4"/>
    <x v="15"/>
    <x v="57"/>
    <s v="AD. DIRECTA"/>
    <s v="VIALSUR"/>
    <n v="17"/>
    <m/>
    <n v="539"/>
    <s v="Reconformación de la rasante"/>
    <s v="m2"/>
    <n v="0.35"/>
    <n v="20000"/>
    <m/>
    <d v="2014-01-05T00:00:00"/>
    <d v="2014-05-31T00:00:00"/>
    <s v="EJECUTADO"/>
    <n v="7000"/>
  </r>
  <r>
    <m/>
    <m/>
    <s v="MANTENIMIENTO"/>
    <x v="1"/>
    <x v="118"/>
    <s v="ZONA4"/>
    <x v="15"/>
    <x v="57"/>
    <s v="AD. DIRECTA"/>
    <s v="VIALSUR"/>
    <m/>
    <n v="6.9999999999999993E-2"/>
    <n v="0"/>
    <s v="reconformación de la razante"/>
    <s v="m2"/>
    <n v="0.35"/>
    <n v="336"/>
    <m/>
    <d v="2014-04-01T00:00:00"/>
    <d v="2014-04-30T00:00:00"/>
    <s v="EJECUTADO"/>
    <n v="117.6"/>
  </r>
  <r>
    <m/>
    <m/>
    <s v="MANTENIMIENTO"/>
    <x v="121"/>
    <x v="119"/>
    <s v="ZONA4"/>
    <x v="15"/>
    <x v="49"/>
    <s v="AD. DIRECTA"/>
    <s v="VIALSUR"/>
    <m/>
    <m/>
    <n v="0"/>
    <s v="Encauzamiento de río"/>
    <s v="m3"/>
    <n v="1.46"/>
    <n v="246"/>
    <m/>
    <d v="2014-04-01T00:00:00"/>
    <d v="2014-04-30T00:00:00"/>
    <s v="EJECUTADO"/>
    <n v="359.16"/>
  </r>
  <r>
    <m/>
    <m/>
    <s v="MANTENIMIENTO"/>
    <x v="122"/>
    <x v="120"/>
    <s v="ZONA4"/>
    <x v="15"/>
    <x v="58"/>
    <s v="AD. DIRECTA"/>
    <s v="VIALSUR"/>
    <n v="32"/>
    <n v="7.42"/>
    <n v="288"/>
    <s v="reconformación de la razante"/>
    <s v="m2"/>
    <n v="0.35"/>
    <n v="40800"/>
    <m/>
    <d v="2014-06-01T00:00:00"/>
    <d v="2014-06-30T00:00:00"/>
    <s v="EJECUTADO"/>
    <n v="14280"/>
  </r>
  <r>
    <m/>
    <m/>
    <s v="MANTENIMIENTO"/>
    <x v="1"/>
    <x v="120"/>
    <s v="ZONA4"/>
    <x v="15"/>
    <x v="58"/>
    <s v="AD. DIRECTA"/>
    <s v="VIALSUR"/>
    <m/>
    <m/>
    <n v="0"/>
    <s v="Desalojo de Material de escombros"/>
    <s v="m3"/>
    <n v="0.6"/>
    <n v="720"/>
    <m/>
    <d v="2014-06-01T00:00:00"/>
    <d v="2014-06-30T00:00:00"/>
    <s v="EJECUTADO"/>
    <n v="432"/>
  </r>
  <r>
    <m/>
    <m/>
    <s v="MEJORAMIENTO"/>
    <x v="1"/>
    <x v="120"/>
    <s v="ZONA4"/>
    <x v="15"/>
    <x v="58"/>
    <s v="AD. DIRECTA"/>
    <s v="VIALSUR"/>
    <m/>
    <m/>
    <n v="0"/>
    <s v="Excavación en plataforma suelo rocoso a máquina desalojo hasta 50 m(Variante)"/>
    <s v="m3"/>
    <n v="7.97"/>
    <n v="900"/>
    <m/>
    <d v="2014-06-01T00:00:00"/>
    <d v="2014-06-30T00:00:00"/>
    <s v="EJECUTADO"/>
    <n v="7173"/>
  </r>
  <r>
    <m/>
    <m/>
    <s v="MANTENIMIENTO"/>
    <x v="123"/>
    <x v="121"/>
    <s v="ZONA4"/>
    <x v="15"/>
    <x v="49"/>
    <s v="AD. DIRECTA"/>
    <s v="VIALSUR"/>
    <m/>
    <m/>
    <n v="0"/>
    <s v="Encauzamiento de río"/>
    <s v="m3"/>
    <n v="2.81"/>
    <n v="7200"/>
    <m/>
    <d v="2014-06-01T00:00:00"/>
    <d v="2014-06-30T00:00:00"/>
    <s v="EJECUTADO"/>
    <n v="20232"/>
  </r>
  <r>
    <s v="20"/>
    <s v="EJECUTADO"/>
    <s v="MANTENIMIENTO"/>
    <x v="124"/>
    <x v="122"/>
    <s v="ZONA4"/>
    <x v="14"/>
    <x v="59"/>
    <s v="AD. DIRECTA"/>
    <s v="VIALSUR"/>
    <m/>
    <m/>
    <n v="0"/>
    <s v="reconformación de la razante"/>
    <s v="m2"/>
    <n v="0.35"/>
    <n v="48000"/>
    <m/>
    <d v="2014-07-01T00:00:00"/>
    <d v="2014-07-31T00:00:00"/>
    <s v="EJECUTADO"/>
    <n v="16800"/>
  </r>
  <r>
    <m/>
    <m/>
    <s v="MANTENIMIENTO"/>
    <x v="1"/>
    <x v="122"/>
    <s v="ZONA4"/>
    <x v="14"/>
    <x v="59"/>
    <s v="AD. DIRECTA"/>
    <s v="VIALSUR"/>
    <m/>
    <m/>
    <n v="0"/>
    <s v="Desalojo de Material de escombros"/>
    <s v="m3"/>
    <n v="0.6"/>
    <n v="2000"/>
    <m/>
    <d v="2014-07-01T00:00:00"/>
    <d v="2014-07-31T00:00:00"/>
    <s v="EJECUTADO"/>
    <n v="1200"/>
  </r>
  <r>
    <m/>
    <m/>
    <s v="MEJORAMIENTO"/>
    <x v="1"/>
    <x v="122"/>
    <s v="ZONA4"/>
    <x v="14"/>
    <x v="59"/>
    <s v="AD. DIRECTA"/>
    <s v="VIALSUR"/>
    <m/>
    <m/>
    <n v="0"/>
    <s v="Mejoramiento de la subrasante con suelo seleccionado s/t h=20 cm incluye explotada"/>
    <s v="m3"/>
    <n v="5.92"/>
    <n v="1899"/>
    <m/>
    <d v="2014-07-01T00:00:00"/>
    <d v="2014-07-31T00:00:00"/>
    <s v="EJECUTADO"/>
    <n v="11242.08"/>
  </r>
  <r>
    <m/>
    <m/>
    <s v="MEJORAMIENTO"/>
    <x v="1"/>
    <x v="122"/>
    <s v="ZONA4"/>
    <x v="14"/>
    <x v="59"/>
    <s v="AD. DIRECTA"/>
    <s v="VIALSUR"/>
    <m/>
    <m/>
    <n v="0"/>
    <s v="Transporte de mateial mayor a 5 km"/>
    <s v="M3-KM"/>
    <n v="0.3"/>
    <n v="27535"/>
    <m/>
    <d v="2014-07-01T00:00:00"/>
    <d v="2014-07-31T00:00:00"/>
    <s v="EJECUTADO"/>
    <n v="8260.5"/>
  </r>
  <r>
    <s v="20"/>
    <s v="EJECUTADO"/>
    <s v="MANTENIMIENTO"/>
    <x v="125"/>
    <x v="123"/>
    <s v="ZONA4"/>
    <x v="14"/>
    <x v="60"/>
    <s v="AD. DIRECTA"/>
    <s v="VIALSUR"/>
    <m/>
    <m/>
    <n v="0"/>
    <s v="reconformación de la razante"/>
    <s v="m2"/>
    <n v="0.35"/>
    <n v="114000"/>
    <m/>
    <d v="2014-09-01T00:00:00"/>
    <d v="2014-09-30T00:00:00"/>
    <s v="EJECUTADO"/>
    <n v="39900"/>
  </r>
  <r>
    <m/>
    <m/>
    <s v="MANTENIMIENTO"/>
    <x v="1"/>
    <x v="123"/>
    <s v="ZONA4"/>
    <x v="14"/>
    <x v="60"/>
    <s v="AD. DIRECTA"/>
    <s v="VIALSUR"/>
    <m/>
    <m/>
    <n v="0"/>
    <s v="Desalojo de Material de escombros"/>
    <s v="m3"/>
    <n v="0.6"/>
    <n v="1902"/>
    <m/>
    <d v="2014-09-01T00:00:00"/>
    <d v="2014-09-30T00:00:00"/>
    <s v="EJECUTADO"/>
    <n v="1141.2"/>
  </r>
  <r>
    <m/>
    <m/>
    <s v="MEJORAMIENTO"/>
    <x v="1"/>
    <x v="123"/>
    <s v="ZONA4"/>
    <x v="14"/>
    <x v="60"/>
    <s v="AD. DIRECTA"/>
    <s v="VIALSUR"/>
    <m/>
    <m/>
    <n v="0"/>
    <s v="Mejoramiento de la subrasante con suelo seleccionado s/t h=20 cm incluye explotada"/>
    <s v="m3"/>
    <n v="5.92"/>
    <n v="2100"/>
    <m/>
    <d v="2014-09-01T00:00:00"/>
    <d v="2014-09-30T00:00:00"/>
    <s v="EJECUTADO"/>
    <n v="12432"/>
  </r>
  <r>
    <m/>
    <m/>
    <s v="MEJORAMIENTO"/>
    <x v="1"/>
    <x v="123"/>
    <s v="ZONA4"/>
    <x v="14"/>
    <x v="60"/>
    <s v="AD. DIRECTA"/>
    <s v="VIALSUR"/>
    <m/>
    <m/>
    <n v="0"/>
    <s v="Transporte de mateial mayor a 5 km"/>
    <s v="M3-KM"/>
    <n v="0.3"/>
    <n v="33600"/>
    <m/>
    <d v="2014-09-01T00:00:00"/>
    <d v="2014-09-30T00:00:00"/>
    <s v="EJECUTADO"/>
    <n v="10080"/>
  </r>
  <r>
    <m/>
    <m/>
    <s v="MANTENIMIENTO"/>
    <x v="116"/>
    <x v="114"/>
    <s v="ZONA4"/>
    <x v="15"/>
    <x v="56"/>
    <s v="AD. DIRECTA"/>
    <s v="VIALSUR"/>
    <m/>
    <m/>
    <n v="0"/>
    <s v="Rasanteo de la via"/>
    <s v="m2"/>
    <n v="6.8093799999999996E-2"/>
    <n v="42000"/>
    <m/>
    <d v="2014-09-01T00:00:00"/>
    <d v="2014-09-30T00:00:00"/>
    <s v="EJECUTADO"/>
    <n v="2859.94"/>
  </r>
  <r>
    <m/>
    <m/>
    <s v="MANTENIMIENTO"/>
    <x v="1"/>
    <x v="114"/>
    <s v="ZONA4"/>
    <x v="15"/>
    <x v="56"/>
    <s v="AD. DIRECTA"/>
    <s v="VIALSUR"/>
    <m/>
    <m/>
    <n v="0"/>
    <s v="Reconformación de la vía con tractor, corrección de pendiente y rasanteo de la calzada"/>
    <s v="m2"/>
    <n v="0.12"/>
    <n v="6000"/>
    <m/>
    <d v="2014-09-01T00:00:00"/>
    <d v="2014-09-30T00:00:00"/>
    <s v="EJECUTADO"/>
    <n v="720"/>
  </r>
  <r>
    <m/>
    <m/>
    <s v="MANTENIMIENTO"/>
    <x v="126"/>
    <x v="124"/>
    <s v="ZONA4"/>
    <x v="15"/>
    <x v="61"/>
    <s v="AD. DIRECTA"/>
    <s v="VIALSUR"/>
    <m/>
    <m/>
    <n v="0"/>
    <s v="Rasanteo de la via"/>
    <s v="m2"/>
    <n v="6.8093799999999996E-2"/>
    <n v="42000"/>
    <m/>
    <d v="2014-09-01T00:00:00"/>
    <d v="2014-09-30T00:00:00"/>
    <s v="EJECUTADO"/>
    <n v="2859.94"/>
  </r>
  <r>
    <s v="21"/>
    <s v="EJECUTADO"/>
    <s v="MANTENIMIENTO"/>
    <x v="127"/>
    <x v="125"/>
    <s v="ZONA4"/>
    <x v="15"/>
    <x v="49"/>
    <s v="AD. DIRECTA"/>
    <s v="VIALSUR"/>
    <m/>
    <m/>
    <n v="0"/>
    <s v="Rasanteo de la via"/>
    <s v="m2"/>
    <n v="6.8093799999999996E-2"/>
    <n v="8000"/>
    <m/>
    <d v="2014-09-01T00:00:00"/>
    <d v="2014-09-30T00:00:00"/>
    <s v="EJECUTADO"/>
    <n v="544.75"/>
  </r>
  <r>
    <m/>
    <m/>
    <s v="MANTENIMIENTO"/>
    <x v="1"/>
    <x v="125"/>
    <s v="ZONA4"/>
    <x v="15"/>
    <x v="49"/>
    <s v="AD. DIRECTA"/>
    <s v="VIALSUR"/>
    <m/>
    <m/>
    <n v="0"/>
    <s v="Desalojo de Material de escombros"/>
    <s v="m3"/>
    <n v="0.6"/>
    <n v="600"/>
    <m/>
    <d v="2014-09-01T00:00:00"/>
    <d v="2014-09-30T00:00:00"/>
    <s v="EJECUTADO"/>
    <n v="360"/>
  </r>
  <r>
    <m/>
    <m/>
    <s v="MEJORAMIENTO"/>
    <x v="1"/>
    <x v="125"/>
    <s v="ZONA4"/>
    <x v="15"/>
    <x v="49"/>
    <s v="AD. DIRECTA"/>
    <s v="VIALSUR"/>
    <m/>
    <m/>
    <n v="0"/>
    <s v="Transporte de mateial mayor a 5 km"/>
    <s v="M3-KM"/>
    <n v="0.3"/>
    <n v="4800"/>
    <m/>
    <d v="2014-09-01T00:00:00"/>
    <d v="2014-09-30T00:00:00"/>
    <s v="EJECUTADO"/>
    <n v="1440"/>
  </r>
  <r>
    <m/>
    <m/>
    <s v="MANTENIMIENTO"/>
    <x v="128"/>
    <x v="126"/>
    <s v="ZONA4"/>
    <x v="15"/>
    <x v="57"/>
    <s v="AD. DIRECTA"/>
    <s v="VIALSUR"/>
    <m/>
    <m/>
    <n v="0"/>
    <s v="Rasanteo de la via CON TRACTOR"/>
    <s v="m2"/>
    <n v="0.12"/>
    <n v="78000"/>
    <m/>
    <d v="2014-07-01T00:00:00"/>
    <d v="2014-07-31T00:00:00"/>
    <s v="EJECUTADO"/>
    <n v="9360"/>
  </r>
  <r>
    <m/>
    <m/>
    <s v="MANTENIMIENTO"/>
    <x v="1"/>
    <x v="126"/>
    <s v="ZONA4"/>
    <x v="15"/>
    <x v="57"/>
    <s v="AD. DIRECTA"/>
    <s v="VIALSUR"/>
    <m/>
    <m/>
    <n v="0"/>
    <s v="Limpieza de derrumbes"/>
    <s v="m3"/>
    <n v="1.46"/>
    <n v="23000"/>
    <m/>
    <d v="2014-07-01T00:00:00"/>
    <d v="2014-07-31T00:00:00"/>
    <s v="EJECUTADO"/>
    <n v="33580"/>
  </r>
  <r>
    <s v="19"/>
    <s v="EN EJECUCION"/>
    <s v="MEJORAMIENTO"/>
    <x v="129"/>
    <x v="127"/>
    <s v="ZONA4 - ST"/>
    <x v="14"/>
    <x v="52"/>
    <s v="CONVENIO"/>
    <s v="UNIDAD DE NEGOCIOS"/>
    <n v="6.17"/>
    <m/>
    <n v="17667"/>
    <s v="REPLANTEO Y NIVELACION CON APARATOS (VIAS)"/>
    <s v="Km"/>
    <n v="705.7"/>
    <n v="4.5599999999999996"/>
    <m/>
    <d v="2013-10-01T00:00:00"/>
    <d v="2014-01-31T00:00:00"/>
    <s v="EJECUTADO"/>
    <n v="3217.99"/>
  </r>
  <r>
    <m/>
    <m/>
    <s v="MANTENIMIENTO"/>
    <x v="1"/>
    <x v="127"/>
    <s v="ZONA4 - ST"/>
    <x v="14"/>
    <x v="52"/>
    <s v="CONVENIO"/>
    <s v="UNIDAD DE NEGOCIOS"/>
    <m/>
    <m/>
    <n v="0"/>
    <s v="ROZA A MANO"/>
    <s v="Ha"/>
    <n v="1744.8"/>
    <n v="1.73"/>
    <m/>
    <d v="2013-10-01T00:00:00"/>
    <d v="2014-01-31T00:00:00"/>
    <s v="EJECUTADO"/>
    <n v="3018.5"/>
  </r>
  <r>
    <m/>
    <m/>
    <s v="MEJORAMIENTO"/>
    <x v="1"/>
    <x v="127"/>
    <s v="ZONA4 - ST"/>
    <x v="14"/>
    <x v="52"/>
    <s v="CONVENIO"/>
    <s v="UNIDAD DE NEGOCIOS"/>
    <m/>
    <m/>
    <n v="0"/>
    <s v="REMOCIÓN DE ALCANTARILLAS DE TUBO (INCLUYE DESALOJO)"/>
    <s v="M"/>
    <n v="6.86"/>
    <n v="25"/>
    <m/>
    <d v="2013-10-01T00:00:00"/>
    <d v="2014-01-31T00:00:00"/>
    <s v="EJECUTADO"/>
    <n v="171.5"/>
  </r>
  <r>
    <m/>
    <m/>
    <s v="MEJORAMIENTO"/>
    <x v="1"/>
    <x v="127"/>
    <s v="ZONA4 - ST"/>
    <x v="14"/>
    <x v="52"/>
    <s v="CONVENIO"/>
    <s v="UNIDAD DE NEGOCIOS"/>
    <m/>
    <m/>
    <n v="0"/>
    <s v="REMOCION DE HORMIGON"/>
    <s v="m³"/>
    <n v="41.84"/>
    <n v="2.2200000000000002"/>
    <m/>
    <d v="2013-10-01T00:00:00"/>
    <d v="2014-01-31T00:00:00"/>
    <s v="EJECUTADO"/>
    <n v="92.88"/>
  </r>
  <r>
    <m/>
    <m/>
    <s v="MEJORAMIENTO"/>
    <x v="1"/>
    <x v="127"/>
    <s v="ZONA4 - ST"/>
    <x v="14"/>
    <x v="52"/>
    <s v="CONVENIO"/>
    <s v="UNIDAD DE NEGOCIOS"/>
    <m/>
    <m/>
    <n v="0"/>
    <s v="EXCAVACION EN PLATAFORMA SUELO SIN CLASIFICAR, A MAQUINA"/>
    <s v="m³"/>
    <n v="1.58"/>
    <n v="34437.360000000001"/>
    <m/>
    <d v="2013-10-01T00:00:00"/>
    <d v="2014-05-31T00:00:00"/>
    <s v="EJECUTADO"/>
    <n v="54411.03"/>
  </r>
  <r>
    <m/>
    <m/>
    <s v="MEJORAMIENTO"/>
    <x v="1"/>
    <x v="127"/>
    <s v="ZONA4 - ST"/>
    <x v="14"/>
    <x v="52"/>
    <s v="CONVENIO"/>
    <s v="UNIDAD DE NEGOCIOS"/>
    <m/>
    <m/>
    <n v="0"/>
    <s v="EXCAVACION EN ROCA"/>
    <s v="m³"/>
    <n v="6.78"/>
    <n v="7667.69"/>
    <m/>
    <d v="2013-10-01T00:00:00"/>
    <d v="2014-05-31T00:00:00"/>
    <s v="EJECUTADO"/>
    <n v="51986.94"/>
  </r>
  <r>
    <m/>
    <m/>
    <s v="MANTENIMIENTO"/>
    <x v="1"/>
    <x v="127"/>
    <s v="ZONA4 - ST"/>
    <x v="14"/>
    <x v="52"/>
    <s v="CONVENIO"/>
    <s v="UNIDAD DE NEGOCIOS"/>
    <m/>
    <n v="4.0199999999999996"/>
    <n v="0"/>
    <s v="Reconformación de la rasante"/>
    <s v="M²"/>
    <n v="0.35"/>
    <n v="22084.34"/>
    <m/>
    <d v="2013-10-01T00:00:00"/>
    <d v="2014-04-30T00:00:00"/>
    <s v="EJECUTADO"/>
    <n v="7729.52"/>
  </r>
  <r>
    <m/>
    <m/>
    <s v="MANTENIMIENTO"/>
    <x v="1"/>
    <x v="127"/>
    <s v="ZONA4 - ST"/>
    <x v="14"/>
    <x v="52"/>
    <s v="CONVENIO"/>
    <s v="UNIDAD DE NEGOCIOS"/>
    <m/>
    <m/>
    <n v="0"/>
    <s v="LIMPIEZA DE DERRUMBES"/>
    <s v="M²"/>
    <n v="1.46"/>
    <n v="1425.55"/>
    <m/>
    <d v="2014-03-01T00:00:00"/>
    <d v="2014-04-30T00:00:00"/>
    <s v="EJECUTADO"/>
    <n v="2081.3000000000002"/>
  </r>
  <r>
    <m/>
    <m/>
    <s v="MEJORAMIENTO"/>
    <x v="1"/>
    <x v="127"/>
    <s v="ZONA4 - ST"/>
    <x v="14"/>
    <x v="52"/>
    <s v="CONVENIO"/>
    <s v="UNIDAD DE NEGOCIOS"/>
    <m/>
    <m/>
    <n v="0"/>
    <s v="TRAN. MAT. PETREOS, BASE, SUB-BASE, MAT. TRITU, DE PRÉSTAMO Y OTROS D/L=0.5Km"/>
    <s v="M³-Km"/>
    <n v="0.3"/>
    <n v="95128.94"/>
    <m/>
    <d v="2013-10-01T00:00:00"/>
    <d v="2014-04-30T00:00:00"/>
    <s v="EJECUTADO"/>
    <n v="28538.68"/>
  </r>
  <r>
    <m/>
    <m/>
    <s v="MEJORAMIENTO"/>
    <x v="1"/>
    <x v="127"/>
    <s v="ZONA4 - ST"/>
    <x v="14"/>
    <x v="52"/>
    <s v="CONVENIO"/>
    <s v="UNIDAD DE NEGOCIOS"/>
    <m/>
    <m/>
    <n v="0"/>
    <s v="ESTABILIZACIÓN DE TALUDES MEDIANTE LA CONFORMACIÓN DE TERRAZAS"/>
    <s v="m³"/>
    <n v="1.1599999999999999"/>
    <n v="1020"/>
    <m/>
    <d v="2013-10-01T00:00:00"/>
    <d v="2014-01-31T00:00:00"/>
    <s v="EJECUTADO"/>
    <n v="1183.2"/>
  </r>
  <r>
    <m/>
    <m/>
    <s v="MEJORAMIENTO"/>
    <x v="1"/>
    <x v="127"/>
    <s v="ZONA4 - ST"/>
    <x v="14"/>
    <x v="52"/>
    <s v="CONVENIO"/>
    <s v="UNIDAD DE NEGOCIOS"/>
    <m/>
    <m/>
    <n v="0"/>
    <s v="TRAN. MAT. PETREOS, BASE, SUB-BASE, MAT. TRITU, DE PRÉSTAMO Y OTROS, D/L=0.5Km"/>
    <s v="M³-Km"/>
    <n v="0.3"/>
    <n v="479222.49"/>
    <m/>
    <d v="2013-10-01T00:00:00"/>
    <d v="2014-04-30T00:00:00"/>
    <s v="EJECUTADO"/>
    <n v="143766.75"/>
  </r>
  <r>
    <m/>
    <m/>
    <s v="MEJORAMIENTO"/>
    <x v="1"/>
    <x v="127"/>
    <s v="ZONA4 - ST"/>
    <x v="14"/>
    <x v="52"/>
    <s v="CONVENIO"/>
    <s v="UNIDAD DE NEGOCIOS"/>
    <m/>
    <n v="11.04"/>
    <n v="0"/>
    <s v="Mejoramiento de la subrasante con suelo seleccionado"/>
    <s v="m³"/>
    <n v="5.88"/>
    <n v="12144.09"/>
    <m/>
    <d v="2013-10-01T00:00:00"/>
    <d v="2014-04-30T00:00:00"/>
    <s v="EJECUTADO"/>
    <n v="71407.25"/>
  </r>
  <r>
    <m/>
    <m/>
    <s v="MEJORAMIENTO"/>
    <x v="1"/>
    <x v="127"/>
    <s v="ZONA4 - ST"/>
    <x v="14"/>
    <x v="52"/>
    <s v="CONVENIO"/>
    <s v="UNIDAD DE NEGOCIOS"/>
    <m/>
    <m/>
    <n v="0"/>
    <s v="SUBBASE CLASE 2"/>
    <s v="m³"/>
    <n v="9.32"/>
    <n v="3525"/>
    <m/>
    <d v="2013-10-01T00:00:00"/>
    <d v="2014-04-30T00:00:00"/>
    <s v="EJECUTADO"/>
    <n v="32853"/>
  </r>
  <r>
    <m/>
    <m/>
    <s v="MEJORAMIENTO"/>
    <x v="1"/>
    <x v="127"/>
    <s v="ZONA4 - ST"/>
    <x v="14"/>
    <x v="52"/>
    <s v="CONVENIO"/>
    <s v="UNIDAD DE NEGOCIOS"/>
    <m/>
    <m/>
    <n v="0"/>
    <s v="BASE CLASE 2"/>
    <s v="m³"/>
    <n v="19.100000000000001"/>
    <n v="10281.160000000002"/>
    <m/>
    <d v="2014-12-01T00:00:00"/>
    <d v="2014-12-30T00:00:00"/>
    <s v="EJECUTADO"/>
    <n v="196370.16"/>
  </r>
  <r>
    <m/>
    <m/>
    <s v="ASFALTO"/>
    <x v="1"/>
    <x v="127"/>
    <s v="ZONA4 - ST"/>
    <x v="14"/>
    <x v="52"/>
    <s v="CONVENIO"/>
    <s v="UNIDAD DE NEGOCIOS"/>
    <m/>
    <m/>
    <n v="0"/>
    <s v="Doble tratamiento superficial bituminoso"/>
    <s v="m2"/>
    <n v="3.47"/>
    <n v="44424"/>
    <m/>
    <d v="2014-12-01T00:00:00"/>
    <d v="2014-12-30T00:00:00"/>
    <s v="EJECUTADO"/>
    <n v="154151.28"/>
  </r>
  <r>
    <m/>
    <m/>
    <s v="ASFALTO"/>
    <x v="1"/>
    <x v="127"/>
    <s v="ZONA4 - ST"/>
    <x v="14"/>
    <x v="52"/>
    <s v="CONVENIO"/>
    <s v="UNIDAD DE NEGOCIOS"/>
    <m/>
    <m/>
    <n v="0"/>
    <s v="Asfalto para riego de imprimación"/>
    <s v="Lit."/>
    <n v="0.97"/>
    <n v="48866.400000000001"/>
    <m/>
    <d v="2014-12-01T00:00:00"/>
    <d v="2014-12-30T00:00:00"/>
    <s v="EJECUTADO"/>
    <n v="47400.41"/>
  </r>
  <r>
    <m/>
    <m/>
    <s v="SEÑALIZACION"/>
    <x v="1"/>
    <x v="127"/>
    <s v="ZONA4 - ST"/>
    <x v="14"/>
    <x v="52"/>
    <s v="CONVENIO"/>
    <s v="UNIDAD DE NEGOCIOS"/>
    <m/>
    <m/>
    <n v="0"/>
    <s v="SEÑALIZACION Y OBRAS DE ARTE"/>
    <s v="GBL"/>
    <n v="1"/>
    <n v="152708.09727999999"/>
    <m/>
    <d v="2014-12-01T00:00:00"/>
    <d v="2014-12-30T00:00:00"/>
    <s v="EJECUTADO"/>
    <n v="152708.1"/>
  </r>
  <r>
    <m/>
    <m/>
    <s v="HORMIGONES"/>
    <x v="1"/>
    <x v="127"/>
    <s v="ZONA4 - ST"/>
    <x v="14"/>
    <x v="52"/>
    <s v="CONVENIO"/>
    <s v="UNIDAD DE NEGOCIOS"/>
    <m/>
    <m/>
    <n v="0"/>
    <s v="Hormigon simple F´c 180 Kg / cm 2"/>
    <s v="m3"/>
    <n v="178.13"/>
    <n v="1500.5440000000001"/>
    <m/>
    <d v="2014-12-01T00:00:00"/>
    <d v="2014-12-30T00:00:00"/>
    <s v="EJECUTADO"/>
    <n v="267291.90000000002"/>
  </r>
  <r>
    <m/>
    <m/>
    <s v="MANTENIMIENTO"/>
    <x v="1"/>
    <x v="127"/>
    <s v="ZONA4 - ST"/>
    <x v="14"/>
    <x v="52"/>
    <s v="CONVENIO"/>
    <s v="UNIDAD DE NEGOCIOS"/>
    <m/>
    <m/>
    <n v="0"/>
    <s v="LIMPIEZA DE ALCANTARILLA"/>
    <s v="m³"/>
    <n v="10.87"/>
    <n v="36.85"/>
    <m/>
    <d v="2013-10-01T00:00:00"/>
    <d v="2014-03-31T00:00:00"/>
    <s v="EJECUTADO"/>
    <n v="400.56"/>
  </r>
  <r>
    <m/>
    <m/>
    <s v="MEJORAMIENTO"/>
    <x v="1"/>
    <x v="127"/>
    <s v="ZONA4 - ST"/>
    <x v="14"/>
    <x v="52"/>
    <s v="CONVENIO"/>
    <s v="UNIDAD DE NEGOCIOS"/>
    <m/>
    <m/>
    <n v="0"/>
    <s v="EXCAVACIÓN DE ZANJAS A MÁQUINA EN SUELO SIN CLASIFICAR"/>
    <s v="m³"/>
    <n v="1.57"/>
    <n v="486.62"/>
    <m/>
    <d v="2013-10-01T00:00:00"/>
    <d v="2014-04-30T00:00:00"/>
    <s v="EJECUTADO"/>
    <n v="763.99"/>
  </r>
  <r>
    <m/>
    <m/>
    <s v="MEJORAMIENTO"/>
    <x v="1"/>
    <x v="127"/>
    <s v="ZONA4 - ST"/>
    <x v="14"/>
    <x v="52"/>
    <s v="CONVENIO"/>
    <s v="UNIDAD DE NEGOCIOS"/>
    <m/>
    <m/>
    <n v="0"/>
    <s v="EXCAVACIÓN PARA CUNETAS Y ENCAUZAMIENTOS, A MÁQUINA D/L=200M"/>
    <s v="m³"/>
    <n v="1.73"/>
    <n v="432"/>
    <m/>
    <d v="2013-10-01T00:00:00"/>
    <d v="2014-04-30T00:00:00"/>
    <s v="EJECUTADO"/>
    <n v="747.36"/>
  </r>
  <r>
    <m/>
    <m/>
    <s v="ALCANTARILLA"/>
    <x v="1"/>
    <x v="127"/>
    <s v="ZONA4 - ST"/>
    <x v="14"/>
    <x v="52"/>
    <s v="CONVENIO"/>
    <s v="UNIDAD DE NEGOCIOS"/>
    <m/>
    <m/>
    <n v="0"/>
    <s v="ALCANTARILLA METALICA GALVANZADA CORRUGADA PP-68 D=1.20 e= 2MM"/>
    <s v="ml"/>
    <n v="208.57"/>
    <n v="33.36"/>
    <m/>
    <d v="2013-04-01T00:00:00"/>
    <d v="2014-04-30T00:00:00"/>
    <s v="EJECUTADO"/>
    <n v="6957.9"/>
  </r>
  <r>
    <m/>
    <m/>
    <s v="ALCANTARILLA"/>
    <x v="1"/>
    <x v="127"/>
    <s v="ZONA4 - ST"/>
    <x v="14"/>
    <x v="52"/>
    <s v="CONVENIO"/>
    <s v="UNIDAD DE NEGOCIOS"/>
    <m/>
    <m/>
    <n v="0"/>
    <s v="TUBERÍA CORRUGADA Y PERFORADA PARA SUBDRENES PVC D=200 MM"/>
    <s v="M"/>
    <n v="19.16"/>
    <n v="279.12"/>
    <m/>
    <d v="2013-10-01T00:00:00"/>
    <d v="2014-04-30T00:00:00"/>
    <s v="EJECUTADO"/>
    <n v="5347.94"/>
  </r>
  <r>
    <m/>
    <m/>
    <s v="MEJORAMIENTO"/>
    <x v="1"/>
    <x v="127"/>
    <s v="ZONA4 - ST"/>
    <x v="14"/>
    <x v="52"/>
    <s v="CONVENIO"/>
    <s v="UNIDAD DE NEGOCIOS"/>
    <m/>
    <m/>
    <n v="0"/>
    <s v="MEMBRANA DE FIBRA SINTETICA NT-1600"/>
    <s v="M²"/>
    <n v="1.91"/>
    <n v="1116.48"/>
    <m/>
    <d v="2013-10-01T00:00:00"/>
    <d v="2014-04-30T00:00:00"/>
    <s v="EJECUTADO"/>
    <n v="2132.48"/>
  </r>
  <r>
    <m/>
    <m/>
    <s v="MEJORAMIENTO"/>
    <x v="1"/>
    <x v="127"/>
    <s v="ZONA4 - ST"/>
    <x v="14"/>
    <x v="52"/>
    <s v="CONVENIO"/>
    <s v="UNIDAD DE NEGOCIOS"/>
    <m/>
    <m/>
    <n v="0"/>
    <s v="MATERIAL FILTRANTE PARA SUB-DREN S/T"/>
    <s v="m³"/>
    <n v="8.1999999999999993"/>
    <n v="325"/>
    <m/>
    <d v="2013-10-01T00:00:00"/>
    <d v="2014-04-30T00:00:00"/>
    <s v="EJECUTADO"/>
    <n v="2665"/>
  </r>
  <r>
    <m/>
    <m/>
    <s v="MEJORAMIENTO"/>
    <x v="1"/>
    <x v="127"/>
    <s v="ZONA4 - ST"/>
    <x v="14"/>
    <x v="52"/>
    <s v="CONVENIO"/>
    <s v="UNIDAD DE NEGOCIOS"/>
    <m/>
    <m/>
    <n v="0"/>
    <s v="TRAN. MAT. PETREOS, BASE, SUB-BASE, MAT. TRITU, DE PRÉSTAMO Y OTROS, D/L=0.5Km"/>
    <s v="M³-Km"/>
    <n v="0.3"/>
    <n v="22750"/>
    <m/>
    <d v="2013-10-01T00:00:00"/>
    <d v="2014-04-30T00:00:00"/>
    <s v="EJECUTADO"/>
    <n v="6825"/>
  </r>
  <r>
    <m/>
    <m/>
    <s v="MANTENIMIENTO"/>
    <x v="1"/>
    <x v="127"/>
    <s v="ZONA4 - ST"/>
    <x v="14"/>
    <x v="52"/>
    <s v="CONVENIO"/>
    <s v="UNIDAD DE NEGOCIOS"/>
    <m/>
    <m/>
    <n v="0"/>
    <s v="TRAMPA PARA GRASAS Y ACEITES"/>
    <s v="U"/>
    <n v="1040.57"/>
    <n v="1"/>
    <m/>
    <d v="2013-10-01T00:00:00"/>
    <d v="2014-01-31T00:00:00"/>
    <s v="EJECUTADO"/>
    <n v="1040.57"/>
  </r>
  <r>
    <m/>
    <m/>
    <s v="MANTENIMIENTO"/>
    <x v="1"/>
    <x v="127"/>
    <s v="ZONA4 - ST"/>
    <x v="14"/>
    <x v="52"/>
    <s v="CONVENIO"/>
    <s v="UNIDAD DE NEGOCIOS"/>
    <m/>
    <m/>
    <n v="0"/>
    <s v="LETRINA SANITARIA SIN ARRASTRE DE AGUA"/>
    <s v="U"/>
    <n v="664.56"/>
    <n v="2"/>
    <m/>
    <d v="2013-10-01T00:00:00"/>
    <d v="2014-01-31T00:00:00"/>
    <s v="EJECUTADO"/>
    <n v="1329.12"/>
  </r>
  <r>
    <m/>
    <m/>
    <s v="MANTENIMIENTO"/>
    <x v="1"/>
    <x v="127"/>
    <s v="ZONA4 - ST"/>
    <x v="14"/>
    <x v="52"/>
    <s v="CONVENIO"/>
    <s v="UNIDAD DE NEGOCIOS"/>
    <m/>
    <m/>
    <n v="0"/>
    <s v="ESCOMBRERAS"/>
    <s v="m³"/>
    <n v="0.42"/>
    <n v="38791.11"/>
    <m/>
    <d v="2013-10-01T00:00:00"/>
    <d v="2014-04-30T00:00:00"/>
    <s v="EJECUTADO"/>
    <n v="16292.27"/>
  </r>
  <r>
    <m/>
    <m/>
    <s v="MEJORAMIENTO"/>
    <x v="1"/>
    <x v="127"/>
    <s v="ZONA4 - ST"/>
    <x v="14"/>
    <x v="52"/>
    <s v="CONVENIO"/>
    <s v="UNIDAD DE NEGOCIOS"/>
    <m/>
    <m/>
    <n v="0"/>
    <s v="INSTALACION DE TRITURADORA"/>
    <s v="GBL"/>
    <n v="78920.429999999993"/>
    <n v="1"/>
    <m/>
    <d v="2013-10-01T00:00:00"/>
    <d v="2014-01-31T00:00:00"/>
    <s v="EJECUTADO"/>
    <n v="78920.429999999993"/>
  </r>
  <r>
    <m/>
    <m/>
    <s v="MANTENIMIENTO"/>
    <x v="1"/>
    <x v="127"/>
    <s v="ZONA4 - ST"/>
    <x v="14"/>
    <x v="52"/>
    <s v="CONVENIO"/>
    <s v="UNIDAD DE NEGOCIOS"/>
    <m/>
    <m/>
    <n v="0"/>
    <s v="EQUIPO DE PROTECCIÓN PERSONAL"/>
    <s v="U"/>
    <n v="300"/>
    <n v="11"/>
    <m/>
    <d v="2013-10-01T00:00:00"/>
    <d v="2014-01-31T00:00:00"/>
    <s v="EJECUTADO"/>
    <n v="330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674">
  <r>
    <m/>
    <m/>
    <x v="0"/>
    <s v="TERMINACIÓN DE RECONFORMACIÓN DE LA VÍA PURUNUMA - CHINGUILAMACA  ( L TOTAL = 18,8Km, TRABAJO EJECUTADO, 1 KM DE RECONFORMACIÓN Y 3KM DE RESANTEO EN ESTA JORNADA FINAL)"/>
    <s v="TERMINACIÓN DE RECONFORMACIÓN DE LA VÍA PURUNUMA - CHINGUILAMACA  ( L TOTAL = 18,8Km, TRABAJO EJECUTADO, 1 KM DE RECONFORMACIÓN Y 3KM DE RESANTEO EN ESTA JORNADA FINAL)"/>
    <x v="0"/>
    <x v="0"/>
    <s v="PURUNUMA"/>
    <s v="AD. DIRECTA"/>
    <s v="VIALSUR"/>
    <n v="18.8"/>
    <m/>
    <n v="494"/>
    <s v="Excavacion sin clasificar a maquina (explotación de material)"/>
    <s v="m3"/>
    <n v="1.62"/>
    <n v="1200"/>
    <d v="2014-01-01T00:00:00"/>
    <d v="2014-01-31T00:00:00"/>
    <s v="EJECUTADO"/>
    <n v="1944"/>
    <m/>
    <m/>
    <n v="7584"/>
  </r>
  <r>
    <m/>
    <m/>
    <x v="0"/>
    <m/>
    <s v="TERMINACIÓN DE RECONFORMACIÓN DE LA VÍA PURUNUMA - CHINGUILAMACA  ( L TOTAL = 18,8Km, TRABAJO EJECUTADO, 1 KM DE RECONFORMACIÓN Y 3KM DE RESANTEO EN ESTA JORNADA FINAL)"/>
    <x v="0"/>
    <x v="0"/>
    <s v="PURUNUMA"/>
    <s v="AD. DIRECTA"/>
    <s v="VIALSUR"/>
    <m/>
    <m/>
    <n v="0"/>
    <s v="Transporte de material para mejoramiento, inc. cargado"/>
    <s v="m3/km"/>
    <n v="0.35"/>
    <n v="6000"/>
    <d v="2014-01-01T00:00:00"/>
    <d v="2014-01-31T00:00:00"/>
    <s v="EJECUTADO"/>
    <n v="2100"/>
    <m/>
    <m/>
    <m/>
  </r>
  <r>
    <m/>
    <m/>
    <x v="1"/>
    <m/>
    <s v="TERMINACIÓN DE RECONFORMACIÓN DE LA VÍA PURUNUMA - CHINGUILAMACA  ( L TOTAL = 18,8Km, TRABAJO EJECUTADO, 1 KM DE RECONFORMACIÓN Y 3KM DE RESANTEO EN ESTA JORNADA FINAL)"/>
    <x v="0"/>
    <x v="0"/>
    <s v="PURUNUMA"/>
    <s v="AD. DIRECTA"/>
    <s v="VIALSUR"/>
    <m/>
    <n v="1.1000000000000001"/>
    <n v="0"/>
    <s v="Acabado de Obra Básica existente"/>
    <s v="m2"/>
    <n v="0.35"/>
    <n v="6000"/>
    <d v="2014-01-01T00:00:00"/>
    <d v="2014-01-31T00:00:00"/>
    <s v="EJECUTADO"/>
    <n v="2100"/>
    <m/>
    <m/>
    <m/>
  </r>
  <r>
    <m/>
    <m/>
    <x v="1"/>
    <m/>
    <s v="TERMINACIÓN DE RECONFORMACIÓN DE LA VÍA PURUNUMA - CHINGUILAMACA  ( L TOTAL = 18,8Km, TRABAJO EJECUTADO, 1 KM DE RECONFORMACIÓN Y 3KM DE RESANTEO EN ESTA JORNADA FINAL)"/>
    <x v="0"/>
    <x v="0"/>
    <s v="PURUNUMA"/>
    <s v="AD. DIRECTA"/>
    <s v="VIALSUR"/>
    <m/>
    <n v="3.28"/>
    <n v="0"/>
    <s v="Rasanteo y conformacion de cunetas con motoniveladora"/>
    <s v="m2"/>
    <n v="0.08"/>
    <n v="18000"/>
    <d v="2014-01-01T00:00:00"/>
    <d v="2014-01-31T00:00:00"/>
    <s v="EJECUTADO"/>
    <n v="1440"/>
    <m/>
    <m/>
    <m/>
  </r>
  <r>
    <m/>
    <m/>
    <x v="0"/>
    <s v="RECONFORMACIÓN DE LA VÍA PURUNUMA GONZANAMÁ (L INTERVENCIÓN = 5KM A LA FECHA, SON EN TOTAL 7KM)"/>
    <s v="RECONFORMACIÓN DE LA VÍA PURUNUMA GONZANAMÁ (L INTERVENCIÓN = 5KM A LA FECHA, SON EN TOTAL 7KM)"/>
    <x v="0"/>
    <x v="0"/>
    <s v="PURUNUMA"/>
    <s v="AD. DIRECTA"/>
    <s v="VIALSUR"/>
    <n v="5"/>
    <m/>
    <n v="494"/>
    <s v="Excavacion sin clasificar a maquina (explotación de material)"/>
    <s v="m3"/>
    <n v="1.62"/>
    <n v="2080"/>
    <d v="2014-01-01T00:00:00"/>
    <d v="2014-03-31T00:00:00"/>
    <s v="EJECUTADO"/>
    <n v="3369.6"/>
    <m/>
    <m/>
    <n v="31590.799999999999"/>
  </r>
  <r>
    <m/>
    <m/>
    <x v="0"/>
    <m/>
    <s v="RECONFORMACIÓN DE LA VÍA PURUNUMA GONZANAMÁ (L INTERVENCIÓN = 5KM A LA FECHA, SON EN TOTAL 7KM)"/>
    <x v="0"/>
    <x v="0"/>
    <s v="PURUNUMA"/>
    <s v="AD. DIRECTA"/>
    <s v="VIALSUR"/>
    <m/>
    <m/>
    <n v="0"/>
    <s v="Transporte de material para mejoramiento, inc. cargado"/>
    <s v="m3/km"/>
    <n v="0.35"/>
    <n v="46632"/>
    <d v="2014-01-01T00:00:00"/>
    <d v="2014-03-31T00:00:00"/>
    <s v="EJECUTADO"/>
    <n v="16321.2"/>
    <m/>
    <m/>
    <m/>
  </r>
  <r>
    <m/>
    <m/>
    <x v="1"/>
    <m/>
    <s v="RECONFORMACIÓN DE LA VÍA PURUNUMA GONZANAMÁ (L INTERVENCIÓN = 5KM A LA FECHA, SON EN TOTAL 7KM)"/>
    <x v="0"/>
    <x v="0"/>
    <s v="PURUNUMA"/>
    <s v="AD. DIRECTA"/>
    <s v="VIALSUR"/>
    <m/>
    <n v="6.1899999999999995"/>
    <n v="0"/>
    <s v="Acabado de Obra Básica existente"/>
    <s v="m2"/>
    <n v="0.35"/>
    <n v="34000"/>
    <d v="2014-01-01T00:00:00"/>
    <d v="2014-03-31T00:00:00"/>
    <s v="EJECUTADO"/>
    <n v="11900"/>
    <m/>
    <m/>
    <m/>
  </r>
  <r>
    <m/>
    <m/>
    <x v="2"/>
    <s v="CONSTRUCCIÓN DE OBRAS DE ARTE EN LA VÍA CHIRIHUALA-CHANGAIMINA "/>
    <s v="CONSTRUCCIÓN DE OBRAS DE ARTE EN LA VÍA CHIRIHUALA-CHANGAIMINA "/>
    <x v="0"/>
    <x v="0"/>
    <s v="CHANGAIMINA"/>
    <s v="AD. DIRECTA"/>
    <s v="VIALSUR"/>
    <m/>
    <m/>
    <n v="0"/>
    <s v="Excavacion sin clasificar para cunetas"/>
    <s v="m3"/>
    <n v="10.55"/>
    <n v="42.16"/>
    <d v="2014-01-01T00:00:00"/>
    <d v="2014-03-31T00:00:00"/>
    <s v="EJECUTADO"/>
    <n v="444.79"/>
    <m/>
    <m/>
    <n v="17934.11"/>
  </r>
  <r>
    <m/>
    <m/>
    <x v="2"/>
    <m/>
    <s v="CONSTRUCCIÓN DE OBRAS DE ARTE EN LA VÍA CHIRIHUALA-CHANGAIMINA "/>
    <x v="0"/>
    <x v="0"/>
    <s v="CHANGAIMINA"/>
    <s v="AD. DIRECTA"/>
    <s v="VIALSUR"/>
    <m/>
    <m/>
    <n v="0"/>
    <s v="Hormigon simple F´c 180 Kg / cm 2"/>
    <s v="m3"/>
    <n v="178.13"/>
    <n v="96.34"/>
    <d v="2014-01-01T00:00:00"/>
    <d v="2014-03-31T00:00:00"/>
    <s v="EJECUTADO"/>
    <n v="17161.04"/>
    <m/>
    <m/>
    <m/>
  </r>
  <r>
    <m/>
    <m/>
    <x v="2"/>
    <m/>
    <s v="CONSTRUCCIÓN DE OBRAS DE ARTE EN LA VÍA CHIRIHUALA-CHANGAIMINA "/>
    <x v="0"/>
    <x v="0"/>
    <s v="CHANGAIMINA"/>
    <s v="AD. DIRECTA"/>
    <s v="VIALSUR"/>
    <m/>
    <m/>
    <n v="0"/>
    <s v="Bordillos de Hormigon F´c 180 Kg/cm2 incluye encofr."/>
    <s v="m "/>
    <n v="15.04"/>
    <m/>
    <d v="2014-01-01T00:00:00"/>
    <d v="2014-01-31T00:00:00"/>
    <s v="EJECUTADO"/>
    <n v="0"/>
    <m/>
    <m/>
    <m/>
  </r>
  <r>
    <m/>
    <m/>
    <x v="2"/>
    <m/>
    <s v="CONSTRUCCIÓN DE OBRAS DE ARTE EN LA VÍA CHIRIHUALA-CHANGAIMINA "/>
    <x v="0"/>
    <x v="0"/>
    <s v="CHANGAIMINA"/>
    <s v="AD. DIRECTA"/>
    <s v="VIALSUR"/>
    <m/>
    <m/>
    <n v="0"/>
    <s v="Hormigon coclopeo F´c 180 Kg / cm 2( 60%)H. Simple"/>
    <s v="m3"/>
    <n v="141.09"/>
    <m/>
    <d v="2014-01-01T00:00:00"/>
    <d v="2014-01-31T00:00:00"/>
    <s v="EJECUTADO"/>
    <n v="0"/>
    <m/>
    <m/>
    <m/>
  </r>
  <r>
    <m/>
    <m/>
    <x v="2"/>
    <m/>
    <s v="CONSTRUCCIÓN DE OBRAS DE ARTE EN LA VÍA CHIRIHUALA-CHANGAIMINA "/>
    <x v="0"/>
    <x v="0"/>
    <s v="CHANGAIMINA"/>
    <s v="AD. DIRECTA"/>
    <s v="VIALSUR"/>
    <m/>
    <m/>
    <n v="0"/>
    <s v="Señalizacion con Balizas Reflectivas"/>
    <s v="UNIDAD"/>
    <n v="11.32"/>
    <n v="29"/>
    <d v="2014-01-01T00:00:00"/>
    <d v="2014-02-28T00:00:00"/>
    <s v="EJECUTADO"/>
    <n v="328.28"/>
    <m/>
    <m/>
    <m/>
  </r>
  <r>
    <m/>
    <m/>
    <x v="1"/>
    <s v="LIMPIEZA DE DERRUMBES EN LA VIA GONZANAMÁ QUILANGA"/>
    <s v="LIMPIEZA DE DERRUMBES EN LA VIA GONZANAMÁ QUILANGA"/>
    <x v="0"/>
    <x v="1"/>
    <s v="QUILANGA"/>
    <s v="AD. DIRECTA"/>
    <s v="VIALSUR"/>
    <m/>
    <m/>
    <n v="0"/>
    <s v="Limpieza de derrumbes a máquina"/>
    <s v="m3"/>
    <n v="1.46"/>
    <n v="120"/>
    <d v="2014-03-01T00:00:00"/>
    <d v="2014-03-31T00:00:00"/>
    <s v="EJECUTADO"/>
    <n v="175.2"/>
    <m/>
    <m/>
    <n v="175.2"/>
  </r>
  <r>
    <m/>
    <m/>
    <x v="1"/>
    <s v="LIMPIEZA DE DERRUMBES EN LA VIA LLANO GRANDE - LUJINUMA"/>
    <s v="LIMPIEZA DE DERRUMBES EN LA VIA LLANO GRANDE - LUJINUMA"/>
    <x v="0"/>
    <x v="1"/>
    <s v="QUILANGA"/>
    <s v="AD. DIRECTA"/>
    <s v="VIALSUR"/>
    <m/>
    <m/>
    <n v="0"/>
    <s v="Limpieza de derrumbes a máquina"/>
    <s v="m3"/>
    <n v="1.46"/>
    <n v="50"/>
    <d v="2014-03-01T00:00:00"/>
    <d v="2014-03-31T00:00:00"/>
    <s v="EJECUTADO"/>
    <n v="73"/>
    <m/>
    <m/>
    <n v="73"/>
  </r>
  <r>
    <m/>
    <m/>
    <x v="1"/>
    <s v="LIMPIEZA DE DERRUMBES EN LA VIA COMBOLO - POTRERILLOS"/>
    <s v="LIMPIEZA DE DERRUMBES EN LA VIA COMBOLO - POTRERILLOS"/>
    <x v="0"/>
    <x v="1"/>
    <s v="QUILANGA"/>
    <s v="AD. DIRECTA"/>
    <s v="VIALSUR"/>
    <m/>
    <m/>
    <n v="0"/>
    <s v="Limpieza de derrumbes a máquina"/>
    <s v="m3"/>
    <n v="1.46"/>
    <n v="1960"/>
    <d v="2014-03-01T00:00:00"/>
    <d v="2014-03-31T00:00:00"/>
    <s v="EJECUTADO"/>
    <n v="2861.6"/>
    <m/>
    <m/>
    <n v="2861.6"/>
  </r>
  <r>
    <m/>
    <m/>
    <x v="1"/>
    <s v="LIMPIEZA DE DERRUMBES EN LA VIA CHIRIHUALA - CHANGAIMINA"/>
    <s v="LIMPIEZA DE DERRUMBES EN LA VIA CHIRIHUALA - CHANGAIMINA"/>
    <x v="0"/>
    <x v="0"/>
    <s v="CHANGAIMINA"/>
    <s v="AD. DIRECTA"/>
    <s v="VIALSUR"/>
    <m/>
    <m/>
    <n v="0"/>
    <s v="Limpieza de derrumbes a máquina"/>
    <s v="m3"/>
    <n v="1.46"/>
    <n v="250"/>
    <d v="2014-03-01T00:00:00"/>
    <d v="2014-03-31T00:00:00"/>
    <s v="EJECUTADO"/>
    <n v="365"/>
    <m/>
    <m/>
    <n v="365"/>
  </r>
  <r>
    <m/>
    <m/>
    <x v="1"/>
    <s v="LIMPIEZA DE DERRUMBES EN LA VIA ACCESO PRINCIPAL A SACAPALCA"/>
    <s v="LIMPIEZA DE DERRUMBES EN LA VIA ACCESO PRINCIPAL A SACAPALCA"/>
    <x v="0"/>
    <x v="0"/>
    <s v="SACAPALCA"/>
    <s v="AD. DIRECTA"/>
    <s v="VIALSUR"/>
    <m/>
    <m/>
    <n v="0"/>
    <s v="Limpieza de derrumbes a máquina"/>
    <s v="m3"/>
    <n v="1.46"/>
    <n v="250"/>
    <d v="2014-03-01T00:00:00"/>
    <d v="2014-03-31T00:00:00"/>
    <s v="EJECUTADO"/>
    <n v="365"/>
    <m/>
    <m/>
    <n v="365"/>
  </r>
  <r>
    <m/>
    <m/>
    <x v="1"/>
    <s v="RESANTEO Y LIMPIEZA DE DERRUMBES EN LA VIA NAMBACOLA-GERINOMA-CUCULAS"/>
    <s v="RESANTEO Y LIMPIEZA DE DERRUMBES EN LA VIA NAMBACOLA-GERINOMA-CUCULAS"/>
    <x v="0"/>
    <x v="0"/>
    <s v="NAMBACOLA"/>
    <s v="AD. DIRECTA"/>
    <s v="VIALSUR"/>
    <m/>
    <n v="16.37"/>
    <n v="0"/>
    <s v="Rasanteo y conformacion de cunetas con motoniveladora"/>
    <s v="m2"/>
    <n v="0.08"/>
    <n v="90000"/>
    <d v="2014-03-01T00:00:00"/>
    <d v="2014-03-31T00:00:00"/>
    <s v="EJECUTADO"/>
    <n v="7200"/>
    <m/>
    <m/>
    <n v="7200"/>
  </r>
  <r>
    <m/>
    <m/>
    <x v="1"/>
    <s v="RESANTEO Y LIMPIEZA DE CUNETAS EN LA VIA NAMBACOLA- PEÑA NEGRA"/>
    <s v="RESANTEO Y LIMPIEZA DE CUNETAS EN LA VIA NAMBACOLA- PEÑA NEGRA"/>
    <x v="0"/>
    <x v="0"/>
    <s v="NAMBACOLA"/>
    <s v="AD. DIRECTA"/>
    <s v="VIALSUR"/>
    <m/>
    <n v="4.5"/>
    <n v="0"/>
    <s v="Rasanteo y conformacion de cunetas con motoniveladora"/>
    <s v="m2"/>
    <n v="0.08"/>
    <n v="24750"/>
    <d v="2014-01-04T00:00:00"/>
    <d v="2014-04-30T00:00:00"/>
    <s v="EJECUTADO"/>
    <n v="1980"/>
    <m/>
    <m/>
    <n v="1980"/>
  </r>
  <r>
    <m/>
    <m/>
    <x v="1"/>
    <s v="RESANTEO Y LIMPIEZA DE CUNETAS EN LA VIA LANZACA - GRANJA DEPROSUR"/>
    <s v="RESANTEO Y LIMPIEZA DE CUNETAS EN LA VIA LANZACA - GRANJA DEPROSUR"/>
    <x v="0"/>
    <x v="0"/>
    <s v="NAMBACOLA"/>
    <s v="AD. DIRECTA"/>
    <s v="VIALSUR"/>
    <m/>
    <n v="0.91"/>
    <n v="0"/>
    <s v="Rasanteo y conformacion de cunetas con motoniveladora"/>
    <s v="m2"/>
    <n v="0.08"/>
    <n v="5000"/>
    <d v="2014-01-04T00:00:00"/>
    <d v="2014-04-30T00:00:00"/>
    <s v="EJECUTADO"/>
    <n v="400"/>
    <m/>
    <m/>
    <n v="400"/>
  </r>
  <r>
    <m/>
    <m/>
    <x v="1"/>
    <s v="RESANTEO Y LIMPIEZA DE CUNETAS EN LA VIA NAMBACOLA - LA CALERA - LA CALERA ALTO "/>
    <s v="RESANTEO Y LIMPIEZA DE CUNETAS EN LA VIA NAMBACOLA - LA CALERA - LA CALERA ALTO "/>
    <x v="0"/>
    <x v="0"/>
    <s v="NAMBACOLA"/>
    <s v="AD. DIRECTA"/>
    <s v="VIALSUR"/>
    <m/>
    <n v="1.8"/>
    <n v="0"/>
    <s v="Rasanteo y conformacion de cunetas con motoniveladora"/>
    <s v="m2"/>
    <n v="0.08"/>
    <n v="9900"/>
    <d v="2014-01-04T00:00:00"/>
    <d v="2014-04-30T00:00:00"/>
    <s v="EJECUTADO"/>
    <n v="792"/>
    <m/>
    <m/>
    <n v="792"/>
  </r>
  <r>
    <m/>
    <m/>
    <x v="1"/>
    <s v="RESANTEO Y LIMPIEZA DE CUNETAS EN LA VIA GERINOMA ALTO ILLIACA"/>
    <s v="RESANTEO Y LIMPIEZA DE CUNETAS EN LA VIA GERINOMA ALTO ILLIACA"/>
    <x v="0"/>
    <x v="0"/>
    <s v="NAMBACOLA"/>
    <s v="AD. DIRECTA"/>
    <s v="VIALSUR"/>
    <m/>
    <n v="1"/>
    <n v="0"/>
    <s v="Rasanteo y conformacion de cunetas con motoniveladora"/>
    <s v="m2"/>
    <n v="0.08"/>
    <n v="5500"/>
    <d v="2014-01-04T00:00:00"/>
    <d v="2014-04-30T00:00:00"/>
    <s v="EJECUTADO"/>
    <n v="440"/>
    <m/>
    <m/>
    <n v="440"/>
  </r>
  <r>
    <m/>
    <m/>
    <x v="1"/>
    <s v="LIMPIEZA DE DERRUMBES EN LA VIA LA HUACA - SACAPALCA - Y BACHEO CON LASTRES"/>
    <s v="LIMPIEZA DE DERRUMBES EN LA VIA LA HUACA - SACAPALCA - Y BACHEO CON LASTRES"/>
    <x v="0"/>
    <x v="0"/>
    <s v="SACAPALCA"/>
    <s v="AD. DIRECTA"/>
    <s v="VIALSUR"/>
    <m/>
    <m/>
    <n v="0"/>
    <s v="Limpieza de derrumbes a máquina"/>
    <s v="m3"/>
    <n v="1.46"/>
    <n v="720"/>
    <d v="2014-01-04T00:00:00"/>
    <d v="2014-04-30T00:00:00"/>
    <s v="EJECUTADO"/>
    <n v="1051.2"/>
    <m/>
    <m/>
    <n v="1051.2"/>
  </r>
  <r>
    <m/>
    <m/>
    <x v="0"/>
    <m/>
    <s v="LIMPIEZA DE DERRUMBES EN LA VIA LA HUACA - SACAPALCA - Y BACHEO CON LASTRES"/>
    <x v="0"/>
    <x v="0"/>
    <s v="SACAPALCA"/>
    <s v="AD. DIRECTA"/>
    <s v="VIALSUR"/>
    <m/>
    <m/>
    <n v="0"/>
    <s v="Transporte de material para mejoramiento, inc. cargado"/>
    <s v="m3/km"/>
    <n v="0.35"/>
    <n v="720"/>
    <d v="2014-01-04T00:00:00"/>
    <d v="2014-04-30T00:00:00"/>
    <s v="EJECUTADO"/>
    <n v="252"/>
    <m/>
    <m/>
    <n v="252"/>
  </r>
  <r>
    <m/>
    <m/>
    <x v="1"/>
    <s v="LIMPIEZA DE DERRUMBES EN LA VIA AYASAPA - CHANGAIMINA Y BACHEO CON LASTRE"/>
    <s v="LIMPIEZA DE DERRUMBES EN LA VIA AYASAPA - CHANGAIMINA Y BACHEO CON LASTRE"/>
    <x v="0"/>
    <x v="0"/>
    <s v="CHANGAIMINA"/>
    <s v="AD. DIRECTA"/>
    <s v="VIALSUR"/>
    <m/>
    <m/>
    <n v="0"/>
    <s v="Limpieza de derrumbes a máquina"/>
    <s v="m3"/>
    <n v="1.46"/>
    <n v="280"/>
    <d v="2014-01-04T00:00:00"/>
    <d v="2014-04-30T00:00:00"/>
    <s v="EJECUTADO"/>
    <n v="408.8"/>
    <m/>
    <m/>
    <n v="408.8"/>
  </r>
  <r>
    <m/>
    <m/>
    <x v="0"/>
    <m/>
    <s v="LIMPIEZA DE DERRUMBES EN LA VIA AYASAPA - CHANGAIMINA Y BACHEO CON LASTRE"/>
    <x v="0"/>
    <x v="0"/>
    <s v="CHANGAIMINA"/>
    <s v="AD. DIRECTA"/>
    <s v="VIALSUR"/>
    <m/>
    <m/>
    <n v="0"/>
    <s v="Transporte de material para mejoramiento, inc. cargado"/>
    <s v="m3/km"/>
    <n v="0.35"/>
    <n v="2160"/>
    <d v="2014-01-04T00:00:00"/>
    <d v="2014-04-30T00:00:00"/>
    <s v="EJECUTADO"/>
    <n v="756"/>
    <m/>
    <m/>
    <n v="756"/>
  </r>
  <r>
    <m/>
    <m/>
    <x v="1"/>
    <s v="RECONFORMACIÓN Y LIMPIEZA DE CUNETAS EN LA VIA PRINCIPAL - YACURA"/>
    <s v="RECONFORMACIÓN Y LIMPIEZA DE CUNETAS EN LA VIA PRINCIPAL - YACURA"/>
    <x v="0"/>
    <x v="0"/>
    <s v="CHANGAIMINA"/>
    <s v="AD. DIRECTA"/>
    <s v="VIALSUR"/>
    <m/>
    <n v="1.64"/>
    <n v="0"/>
    <s v="Acabado de Obra Básica existente"/>
    <s v="m2"/>
    <n v="0.35"/>
    <n v="9000"/>
    <d v="2014-04-01T00:00:00"/>
    <d v="2014-04-30T00:00:00"/>
    <s v="EJECUTADO"/>
    <n v="3150"/>
    <m/>
    <m/>
    <n v="3150"/>
  </r>
  <r>
    <m/>
    <m/>
    <x v="1"/>
    <s v="RECONFORMACIÓN Y LIMPIEZA DE CUNETAS EN LA VIA EL LIMON - CARBONERA - PLATANAL"/>
    <s v="RECONFORMACIÓN Y LIMPIEZA DE CUNETAS EN LA VIA EL LIMON - CARBONERA - PLATANAL"/>
    <x v="0"/>
    <x v="0"/>
    <s v="NAMBACOLA"/>
    <s v="AD. DIRECTA"/>
    <s v="VIALSUR"/>
    <m/>
    <n v="3.6399999999999997"/>
    <n v="0"/>
    <s v="Acabado de Obra Básica existente"/>
    <s v="m2"/>
    <n v="0.35"/>
    <n v="20000"/>
    <d v="2014-04-01T00:00:00"/>
    <d v="2014-04-30T00:00:00"/>
    <s v="EJECUTADO"/>
    <n v="7000"/>
    <m/>
    <m/>
    <n v="7000"/>
  </r>
  <r>
    <m/>
    <m/>
    <x v="1"/>
    <s v="RECONFORMACIÓN Y LIMPIEZA DE CUNETAS EN LA VIA PRINCIPAL - PIEDRA GRANDE"/>
    <s v="RECONFORMACIÓN Y LIMPIEZA DE CUNETAS EN LA VIA PRINCIPAL - PIEDRA GRANDE"/>
    <x v="0"/>
    <x v="0"/>
    <s v="NAMBACOLA"/>
    <s v="AD. DIRECTA"/>
    <s v="VIALSUR"/>
    <m/>
    <n v="0.91"/>
    <n v="0"/>
    <s v="Acabado de Obra Básica existente"/>
    <s v="m2"/>
    <n v="0.35"/>
    <n v="5000"/>
    <d v="2014-04-01T00:00:00"/>
    <d v="2014-04-30T00:00:00"/>
    <s v="EJECUTADO"/>
    <n v="1750"/>
    <m/>
    <m/>
    <n v="1750"/>
  </r>
  <r>
    <m/>
    <m/>
    <x v="1"/>
    <s v="RECONFORMACIÓN Y LIMPIEZA DE CUNETAS EN LA VIA MOLLEPAMBA BAJO - MOLLEPAMBA ALTO"/>
    <s v="RECONFORMACIÓN Y LIMPIEZA DE CUNETAS EN LA VIA MOLLEPAMBA BAJO - MOLLEPAMBA ALTO"/>
    <x v="0"/>
    <x v="0"/>
    <s v="NAMBACOLA"/>
    <s v="AD. DIRECTA"/>
    <s v="VIALSUR"/>
    <m/>
    <n v="1.1000000000000001"/>
    <n v="0"/>
    <s v="Acabado de Obra Básica existente"/>
    <s v="m2"/>
    <n v="0.35"/>
    <n v="6000"/>
    <d v="2014-04-01T00:00:00"/>
    <d v="2014-04-30T00:00:00"/>
    <s v="EJECUTADO"/>
    <n v="2100"/>
    <m/>
    <m/>
    <n v="2100"/>
  </r>
  <r>
    <m/>
    <m/>
    <x v="1"/>
    <s v="RECONFORMACION, BACHEO Y LIMPIEZA DE CUNETAS EN LA VIA ACCESO PRINCIPAL A LA PARROQUIA NAMBACOLA"/>
    <s v="RECONFORMACION, BACHEO Y LIMPIEZA DE CUNETAS EN LA VIA ACCESO PRINCIPAL A LA PARROQUIA NAMBACOLA"/>
    <x v="0"/>
    <x v="0"/>
    <s v="NAMBACOLA"/>
    <s v="AD. DIRECTA"/>
    <s v="VIALSUR"/>
    <m/>
    <n v="4.1399999999999997"/>
    <n v="0"/>
    <s v="Acabado de Obra Básica existente"/>
    <s v="m2"/>
    <n v="0.35"/>
    <n v="22750"/>
    <d v="2014-01-05T00:00:00"/>
    <d v="2014-05-31T00:00:00"/>
    <s v="EJECUTADO"/>
    <n v="7962.5"/>
    <m/>
    <m/>
    <n v="7962.5"/>
  </r>
  <r>
    <m/>
    <m/>
    <x v="0"/>
    <m/>
    <s v="RECONFORMACION, BACHEO Y LIMPIEZA DE CUNETAS EN LA VIA ACCESO PRINCIPAL A LA PARROQUIA NAMBACOLA"/>
    <x v="0"/>
    <x v="0"/>
    <s v="NAMBACOLA"/>
    <s v="AD. DIRECTA"/>
    <s v="VIALSUR"/>
    <m/>
    <m/>
    <n v="0"/>
    <s v="Transporte de material para mejoramiento, inc cargado"/>
    <s v="m3"/>
    <n v="0.35"/>
    <n v="3774"/>
    <d v="2014-01-05T00:00:00"/>
    <d v="2014-05-31T00:00:00"/>
    <s v="EJECUTADO"/>
    <n v="1320.9"/>
    <m/>
    <m/>
    <n v="1320.9"/>
  </r>
  <r>
    <m/>
    <m/>
    <x v="1"/>
    <s v="RECONFORMACION, BACHEO Y LIMPIEZA DE CUNETAS EN LA VIA SACAPALCA CHANGAIMINA"/>
    <s v="RECONFORMACION, BACHEO Y LIMPIEZA DE CUNETAS EN LA VIA SACAPALCA CHANGAIMINA"/>
    <x v="0"/>
    <x v="0"/>
    <s v="SACAPALCA"/>
    <s v="AD. DIRECTA"/>
    <s v="VIALSUR"/>
    <m/>
    <n v="14"/>
    <n v="0"/>
    <s v="Acabado de Obra Básica existente"/>
    <s v="m2"/>
    <n v="0.35"/>
    <n v="117000"/>
    <d v="2014-06-01T00:00:00"/>
    <d v="2014-06-30T00:00:00"/>
    <s v="EJECUTADO"/>
    <n v="40950"/>
    <m/>
    <m/>
    <n v="40950"/>
  </r>
  <r>
    <m/>
    <m/>
    <x v="0"/>
    <m/>
    <s v="RECONFORMACION, BACHEO Y LIMPIEZA DE CUNETAS EN LA VIA SACAPALCA CHANGAIMINA"/>
    <x v="0"/>
    <x v="0"/>
    <s v="SACAPALCA"/>
    <s v="AD. DIRECTA"/>
    <s v="VIALSUR"/>
    <m/>
    <m/>
    <n v="0"/>
    <s v="Transporte de material para mejoramiento, inc cargado"/>
    <s v="m3"/>
    <n v="0.35"/>
    <n v="31590"/>
    <d v="2014-06-01T00:00:00"/>
    <d v="2014-06-30T00:00:00"/>
    <s v="EJECUTADO"/>
    <n v="11056.5"/>
    <m/>
    <m/>
    <n v="11056.5"/>
  </r>
  <r>
    <m/>
    <m/>
    <x v="1"/>
    <s v="RECONFORMACION, BACHEO Y LIMPIEZA DE CUNETAS EN LA VIA SUNAMANGA SACAPALCA"/>
    <s v="RECONFORMACION, BACHEO Y LIMPIEZA DE CUNETAS EN LA VIA SUNAMANGA SACAPALCA"/>
    <x v="0"/>
    <x v="0"/>
    <s v="SACAPALCA"/>
    <s v="AD. DIRECTA"/>
    <s v="VIALSUR"/>
    <m/>
    <n v="21.28"/>
    <n v="0"/>
    <s v="Acabado de Obra Básica existente"/>
    <s v="m2"/>
    <n v="0.35"/>
    <n v="84000"/>
    <d v="2014-09-01T00:00:00"/>
    <d v="2014-09-30T00:00:00"/>
    <s v="EJECUTADO"/>
    <n v="29400"/>
    <m/>
    <m/>
    <n v="29400"/>
  </r>
  <r>
    <m/>
    <m/>
    <x v="0"/>
    <m/>
    <s v="RECONFORMACION, BACHEO Y LIMPIEZA DE CUNETAS EN LA VIA SUNAMANGA SACAPALCA"/>
    <x v="0"/>
    <x v="0"/>
    <s v="SACAPALCA"/>
    <s v="AD. DIRECTA"/>
    <s v="VIALSUR"/>
    <m/>
    <m/>
    <n v="0"/>
    <s v="Transporte de material para mejoramiento, inc cargado"/>
    <s v="m3"/>
    <n v="0.35"/>
    <n v="22680"/>
    <d v="2014-09-01T00:00:00"/>
    <d v="2014-09-30T00:00:00"/>
    <s v="EJECUTADO"/>
    <n v="7938"/>
    <m/>
    <m/>
    <n v="7938"/>
  </r>
  <r>
    <m/>
    <m/>
    <x v="1"/>
    <s v="RECONFORMACION, BACHEO Y LIMPIEZA DE CUNETAS EN LA VIA SACAPALCA SAN VICENTE DEL RIO"/>
    <s v="RECONFORMACION, BACHEO Y LIMPIEZA DE CUNETAS EN LA VIA SACAPALCA SAN VICENTE DEL RIO"/>
    <x v="0"/>
    <x v="0"/>
    <s v="SACAPALCA"/>
    <s v="AD. DIRECTA"/>
    <s v="VIALSUR"/>
    <m/>
    <n v="10"/>
    <n v="0"/>
    <s v="Acabado de Obra Básica existente"/>
    <s v="m2"/>
    <n v="0.35"/>
    <n v="48000"/>
    <d v="2014-09-01T00:00:00"/>
    <d v="2014-09-30T00:00:00"/>
    <s v="EJECUTADO"/>
    <n v="16800"/>
    <m/>
    <m/>
    <n v="16800"/>
  </r>
  <r>
    <m/>
    <m/>
    <x v="0"/>
    <m/>
    <s v="RECONFORMACION, BACHEO Y LIMPIEZA DE CUNETAS EN LA VIA SACAPALCA SAN VICENTE DEL RIO"/>
    <x v="0"/>
    <x v="0"/>
    <s v="SACAPALCA"/>
    <s v="AD. DIRECTA"/>
    <s v="VIALSUR"/>
    <m/>
    <m/>
    <n v="0"/>
    <s v="Transporte de material para mejoramiento, inc cargado"/>
    <s v="m3"/>
    <n v="0.35"/>
    <n v="12960"/>
    <d v="2014-09-01T00:00:00"/>
    <d v="2014-09-30T00:00:00"/>
    <s v="EJECUTADO"/>
    <n v="4536"/>
    <m/>
    <m/>
    <n v="4536"/>
  </r>
  <r>
    <m/>
    <m/>
    <x v="1"/>
    <s v="RECONFORMACION, BACHEO Y LIMPIEZA DE CUNETAS EN LA VIA SACAPALCA  CHIRIMOYO"/>
    <s v="RECONFORMACION, BACHEO Y LIMPIEZA DE CUNETAS EN LA VIA SACAPALCA  CHIRIMOYO"/>
    <x v="0"/>
    <x v="0"/>
    <s v="SACAPALCA"/>
    <s v="AD. DIRECTA"/>
    <s v="VIALSUR"/>
    <m/>
    <n v="2"/>
    <n v="0"/>
    <s v="Acabado de Obra Básica existente"/>
    <s v="m2"/>
    <n v="0.35"/>
    <n v="12000"/>
    <d v="2014-09-01T00:00:00"/>
    <d v="2014-09-30T00:00:00"/>
    <s v="EJECUTADO"/>
    <n v="4200"/>
    <m/>
    <m/>
    <n v="4200"/>
  </r>
  <r>
    <m/>
    <m/>
    <x v="0"/>
    <m/>
    <s v="RECONFORMACION, BACHEO Y LIMPIEZA DE CUNETAS EN LA VIA SACAPALCA  CHIRIMOYO"/>
    <x v="0"/>
    <x v="0"/>
    <s v="SACAPALCA"/>
    <s v="AD. DIRECTA"/>
    <s v="VIALSUR"/>
    <m/>
    <m/>
    <n v="0"/>
    <s v="Transporte de material para mejoramiento, inc cargado"/>
    <s v="m3"/>
    <n v="0.35"/>
    <n v="3240"/>
    <d v="2014-09-01T00:00:00"/>
    <d v="2014-09-30T00:00:00"/>
    <s v="EJECUTADO"/>
    <n v="1134"/>
    <m/>
    <m/>
    <n v="1134"/>
  </r>
  <r>
    <m/>
    <m/>
    <x v="1"/>
    <s v="RECONFORMACION, BACHEO Y LIMPIEZA DE CUNETAS EN LA VIA CHIRIMOYO LIMON VEGA"/>
    <s v="RECONFORMACION, BACHEO Y LIMPIEZA DE CUNETAS EN LA VIA CHIRIMOYO LIMON VEGA"/>
    <x v="0"/>
    <x v="0"/>
    <s v="SACAPALCA"/>
    <s v="AD. DIRECTA"/>
    <s v="VIALSUR"/>
    <m/>
    <n v="8"/>
    <n v="0"/>
    <s v="Acabado de Obra Básica existente"/>
    <s v="m2"/>
    <n v="0.35"/>
    <n v="60000"/>
    <d v="2014-09-01T00:00:00"/>
    <d v="2014-09-30T00:00:00"/>
    <s v="EJECUTADO"/>
    <n v="21000"/>
    <m/>
    <m/>
    <n v="21000"/>
  </r>
  <r>
    <m/>
    <m/>
    <x v="0"/>
    <m/>
    <s v="RECONFORMACION, BACHEO Y LIMPIEZA DE CUNETAS EN LA VIA CHIRIMOYO LIMON VEGA"/>
    <x v="0"/>
    <x v="0"/>
    <s v="SACAPALCA"/>
    <s v="AD. DIRECTA"/>
    <s v="VIALSUR"/>
    <m/>
    <m/>
    <n v="0"/>
    <s v="Transporte de material para mejoramiento, inc cargado"/>
    <s v="m3"/>
    <n v="0.35"/>
    <n v="16200"/>
    <d v="2014-09-01T00:00:00"/>
    <d v="2014-09-30T00:00:00"/>
    <s v="EJECUTADO"/>
    <n v="5670"/>
    <m/>
    <m/>
    <n v="5670"/>
  </r>
  <r>
    <m/>
    <m/>
    <x v="1"/>
    <s v="TRABAJOS EMERGENTES PARA RAZANTEO Y LIMPIEZA DE CUNETAS BARRIO EL INGENIO"/>
    <s v="TRABAJOS EMERGENTES PARA RAZANTEO Y LIMPIEZA DE CUNETAS BARRIO EL INGENIO"/>
    <x v="0"/>
    <x v="2"/>
    <s v="EL INGENIO"/>
    <s v="AD. DIRECTA"/>
    <s v="VIALSUR"/>
    <m/>
    <n v="6.55"/>
    <n v="0"/>
    <s v="Rasanteo y conformacion de cunetas con motoniveladora"/>
    <s v="m2"/>
    <n v="0.08"/>
    <n v="36000"/>
    <d v="2014-09-01T00:00:00"/>
    <d v="2014-09-30T00:00:00"/>
    <s v="EJECUTADO"/>
    <n v="2880"/>
    <m/>
    <m/>
    <n v="2880"/>
  </r>
  <r>
    <m/>
    <m/>
    <x v="0"/>
    <s v="AMPLIACIÓN DE CURVAS Y DE VIA EN EL BARRIO EL GUABO"/>
    <s v="AMPLIACIÓN DE CURVAS Y DE VIA EN EL BARRIO EL GUABO"/>
    <x v="0"/>
    <x v="2"/>
    <s v="EL INGENIO"/>
    <s v="AD. DIRECTA"/>
    <s v="VIALSUR"/>
    <m/>
    <m/>
    <n v="0"/>
    <s v="Excavación sin clasificar a máquina"/>
    <s v="m3"/>
    <n v="1.62"/>
    <n v="8000"/>
    <d v="2014-09-01T00:00:00"/>
    <d v="2014-09-30T00:00:00"/>
    <s v="EJECUTADO"/>
    <n v="12960"/>
    <m/>
    <m/>
    <n v="12960"/>
  </r>
  <r>
    <m/>
    <m/>
    <x v="0"/>
    <s v="MEJORAMIENTO DE LA VIA BARRIO EL GUABO - COLOCACION DE MATERIAL DE MEJORAMIENTO EN TRAMOS CRITICOS"/>
    <s v="MEJORAMIENTO DE LA VIA BARRIO EL GUABO - COLOCACION DE MATERIAL DE MEJORAMIENTO EN TRAMOS CRITICOS"/>
    <x v="0"/>
    <x v="2"/>
    <s v="AMALUZA"/>
    <s v="AD. DIRECTA"/>
    <s v="VIALSUR"/>
    <m/>
    <m/>
    <n v="0"/>
    <s v="Excavacion sin clasificar a maquina (explotación de material)"/>
    <s v="m3"/>
    <n v="1.62"/>
    <n v="3000"/>
    <d v="2014-09-01T00:00:00"/>
    <d v="2014-09-30T00:00:00"/>
    <s v="EJECUTADO"/>
    <n v="4860"/>
    <m/>
    <m/>
    <n v="23670"/>
  </r>
  <r>
    <m/>
    <m/>
    <x v="0"/>
    <m/>
    <s v="MEJORAMIENTO DE LA VIA BARRIO EL GUABO - COLOCACION DE MATERIAL DE MEJORAMIENTO EN TRAMOS CRITICOS"/>
    <x v="0"/>
    <x v="2"/>
    <s v="AMALUZA"/>
    <s v="AD. DIRECTA"/>
    <s v="VIALSUR"/>
    <m/>
    <m/>
    <n v="0"/>
    <s v="Transporte de material para mejoramiento, inc. cargado"/>
    <s v="m3/km"/>
    <n v="0.35"/>
    <n v="3000"/>
    <d v="2014-09-01T00:00:00"/>
    <d v="2014-09-30T00:00:00"/>
    <s v="EJECUTADO"/>
    <n v="1050"/>
    <m/>
    <m/>
    <m/>
  </r>
  <r>
    <m/>
    <m/>
    <x v="0"/>
    <m/>
    <s v="MEJORAMIENTO DE LA VIA BARRIO EL GUABO - COLOCACION DE MATERIAL DE MEJORAMIENTO EN TRAMOS CRITICOS"/>
    <x v="0"/>
    <x v="2"/>
    <s v="AMALUZA"/>
    <s v="AD. DIRECTA"/>
    <s v="VIALSUR"/>
    <m/>
    <n v="2.73"/>
    <n v="0"/>
    <s v="Mejoramiento de la subrasante con suelo seleccionado"/>
    <s v="m3"/>
    <n v="5.92"/>
    <n v="3000"/>
    <d v="2014-09-01T00:00:00"/>
    <d v="2014-09-30T00:00:00"/>
    <s v="EJECUTADO"/>
    <n v="17760"/>
    <m/>
    <m/>
    <m/>
  </r>
  <r>
    <m/>
    <m/>
    <x v="0"/>
    <s v="MEJORAMIENTO DE LA VIA BARRIO CONSAGUANA"/>
    <s v="MEJORAMIENTO DE LA VIA BARRIO CONSAGUANA"/>
    <x v="0"/>
    <x v="2"/>
    <s v="AMALUZA"/>
    <s v="AD. DIRECTA"/>
    <s v="VIALSUR"/>
    <m/>
    <m/>
    <n v="0"/>
    <s v="Excavacion sin clasificar a maquina (explotación de material)"/>
    <s v="m3"/>
    <n v="1.62"/>
    <n v="2598"/>
    <d v="2014-09-01T00:00:00"/>
    <d v="2014-09-30T00:00:00"/>
    <s v="EJECUTADO"/>
    <n v="4208.76"/>
    <m/>
    <m/>
    <n v="19845.2"/>
  </r>
  <r>
    <m/>
    <m/>
    <x v="0"/>
    <m/>
    <s v="MEJORAMIENTO DE LA VIA BARRIO CONSAGUANA"/>
    <x v="0"/>
    <x v="2"/>
    <s v="AMALUZA"/>
    <s v="AD. DIRECTA"/>
    <s v="VIALSUR"/>
    <m/>
    <m/>
    <n v="0"/>
    <s v="Transporte de material para mejoramiento, inc. cargado"/>
    <s v="m3/km"/>
    <n v="0.35"/>
    <n v="4724"/>
    <d v="2014-09-01T00:00:00"/>
    <d v="2014-09-30T00:00:00"/>
    <s v="EJECUTADO"/>
    <n v="1653.4"/>
    <m/>
    <m/>
    <m/>
  </r>
  <r>
    <m/>
    <m/>
    <x v="0"/>
    <m/>
    <s v="MEJORAMIENTO DE LA VIA BARRIO CONSAGUANA"/>
    <x v="0"/>
    <x v="2"/>
    <s v="AMALUZA"/>
    <s v="AD. DIRECTA"/>
    <s v="VIALSUR"/>
    <m/>
    <n v="2.15"/>
    <n v="0"/>
    <s v="Mejoramiento de la subrasante con suelo seleccionado"/>
    <s v="m3"/>
    <n v="5.92"/>
    <n v="2362"/>
    <d v="2014-09-01T00:00:00"/>
    <d v="2014-09-30T00:00:00"/>
    <s v="EJECUTADO"/>
    <n v="13983.04"/>
    <m/>
    <m/>
    <m/>
  </r>
  <r>
    <m/>
    <m/>
    <x v="1"/>
    <s v="TRABAJOS EMERGENTES DE LIMPIEZA DE DERRUMBES PARROQUIA EL AIRO; PARROQUIA SANTA TERESITA_x000a_"/>
    <s v="TRABAJOS EMERGENTES DE LIMPIEZA DE DERRUMBES PARROQUIA EL AIRO; PARROQUIA SANTA TERESITA_x000a_"/>
    <x v="0"/>
    <x v="2"/>
    <s v="SANTA TERESITA"/>
    <s v="AD. DIRECTA"/>
    <s v="VIALSUR"/>
    <m/>
    <m/>
    <n v="0"/>
    <s v="Limpieza de derrumbes a máquina"/>
    <s v="m3"/>
    <n v="1.46"/>
    <n v="2500"/>
    <d v="2014-09-01T00:00:00"/>
    <d v="2014-09-30T00:00:00"/>
    <s v="EJECUTADO"/>
    <n v="3650"/>
    <m/>
    <m/>
    <n v="3650"/>
  </r>
  <r>
    <s v="1"/>
    <s v="EJECUTADO"/>
    <x v="1"/>
    <s v="MANTENIMIENTO DE VIAS DE LA PARROQUIA BELLAVISTA"/>
    <s v="MANTENIMIENTO DE VIAS DE LA PARROQUIA BELLAVISTA"/>
    <x v="0"/>
    <x v="2"/>
    <s v="BELLAVISTA"/>
    <s v="AD. DIRECTA"/>
    <s v="VIALSUR"/>
    <m/>
    <m/>
    <n v="0"/>
    <s v="Limpieza de derrumbes a máquina"/>
    <s v="m3"/>
    <n v="1.46"/>
    <n v="4000"/>
    <d v="2014-09-01T00:00:00"/>
    <d v="2014-09-30T00:00:00"/>
    <s v="EJECUTADO"/>
    <n v="5840"/>
    <m/>
    <m/>
    <n v="5840"/>
  </r>
  <r>
    <s v="2"/>
    <s v="EJECUTADO"/>
    <x v="1"/>
    <s v="MANTENIMIENTO DE VIAS DE LA PARROQUIA JIMBURA"/>
    <s v="MANTENIMIENTO DE VIAS DE LA PARROQUIA JIMBURA"/>
    <x v="0"/>
    <x v="2"/>
    <s v="JIMBURA"/>
    <s v="AD. DIRECTA"/>
    <s v="VIALSUR"/>
    <m/>
    <m/>
    <n v="0"/>
    <s v="Limpieza de derrumbes a máquina"/>
    <s v="m3"/>
    <n v="1.46"/>
    <n v="3000"/>
    <d v="2014-09-01T00:00:00"/>
    <d v="2014-09-30T00:00:00"/>
    <s v="EJECUTADO"/>
    <n v="4380"/>
    <m/>
    <m/>
    <n v="4380"/>
  </r>
  <r>
    <m/>
    <m/>
    <x v="0"/>
    <s v="MEJORAMIENTO DE LA VIA LA NARANJA BATALLADEROS"/>
    <s v="MEJORAMIENTO DE LA VIA LA NARANJA BATALLADEROS"/>
    <x v="0"/>
    <x v="2"/>
    <s v="27 DE ABRIL"/>
    <s v="AD. DIRECTA"/>
    <s v="VIALSUR"/>
    <m/>
    <n v="8"/>
    <n v="0"/>
    <s v="Excavacion sin clasificar a maquina (explotación de material)"/>
    <s v="m3"/>
    <n v="1.62"/>
    <n v="1000"/>
    <d v="2014-09-01T00:00:00"/>
    <d v="2014-09-30T00:00:00"/>
    <s v="EJECUTADO"/>
    <n v="1620"/>
    <m/>
    <m/>
    <n v="9007.2000000000007"/>
  </r>
  <r>
    <m/>
    <m/>
    <x v="0"/>
    <m/>
    <s v="MEJORAMIENTO DE LA VIA LA NARANJA BATALLADEROS"/>
    <x v="0"/>
    <x v="2"/>
    <s v="27 DE ABRIL"/>
    <s v="AD. DIRECTA"/>
    <s v="VIALSUR"/>
    <m/>
    <m/>
    <n v="0"/>
    <s v="Transporte de material para mejoramiento, inc. cargado"/>
    <s v="m3/km"/>
    <n v="0.35"/>
    <n v="2880"/>
    <d v="2014-09-01T00:00:00"/>
    <d v="2014-09-30T00:00:00"/>
    <s v="EJECUTADO"/>
    <n v="1008"/>
    <m/>
    <m/>
    <m/>
  </r>
  <r>
    <m/>
    <m/>
    <x v="0"/>
    <m/>
    <s v="MEJORAMIENTO DE LA VIA LA NARANJA BATALLADEROS"/>
    <x v="0"/>
    <x v="2"/>
    <s v="27 DE ABRIL"/>
    <s v="AD. DIRECTA"/>
    <s v="VIALSUR"/>
    <m/>
    <n v="1.31"/>
    <n v="0"/>
    <s v="Mejoramiento de la subrasante con suelo seleccionado"/>
    <s v="m2"/>
    <n v="4.43"/>
    <n v="1440"/>
    <d v="2014-09-01T00:00:00"/>
    <d v="2014-09-30T00:00:00"/>
    <s v="EJECUTADO"/>
    <n v="6379.2"/>
    <m/>
    <m/>
    <m/>
  </r>
  <r>
    <m/>
    <m/>
    <x v="0"/>
    <s v="MEJORAMIENTO DE LA VIA LA NARANJA EL SAUCO"/>
    <s v="MEJORAMIENTO DE LA VIA LA NARANJA EL SAUCO"/>
    <x v="0"/>
    <x v="2"/>
    <s v="27 DE ABRIL"/>
    <s v="AD. DIRECTA"/>
    <s v="VIALSUR"/>
    <m/>
    <m/>
    <n v="0"/>
    <s v="Excavacion sin clasificar a maquina (explotación de material)"/>
    <s v="m3"/>
    <n v="1.62"/>
    <n v="12000"/>
    <d v="2014-09-01T00:00:00"/>
    <d v="2014-09-30T00:00:00"/>
    <s v="EJECUTADO"/>
    <n v="19440"/>
    <m/>
    <m/>
    <n v="28044"/>
  </r>
  <r>
    <m/>
    <m/>
    <x v="0"/>
    <m/>
    <s v="MEJORAMIENTO DE LA VIA LA NARANJA EL SAUCO"/>
    <x v="0"/>
    <x v="2"/>
    <s v="27 DE ABRIL"/>
    <s v="AD. DIRECTA"/>
    <s v="VIALSUR"/>
    <m/>
    <m/>
    <n v="0"/>
    <s v="Transporte de material para mejoramiento, inc. cargado"/>
    <s v="m3/km"/>
    <n v="0.35"/>
    <n v="1800"/>
    <d v="2014-09-01T00:00:00"/>
    <d v="2014-09-30T00:00:00"/>
    <s v="EJECUTADO"/>
    <n v="630"/>
    <m/>
    <m/>
    <m/>
  </r>
  <r>
    <m/>
    <m/>
    <x v="0"/>
    <m/>
    <s v="MEJORAMIENTO DE LA VIA LA NARANJA EL SAUCO"/>
    <x v="0"/>
    <x v="2"/>
    <s v="27 DE ABRIL"/>
    <s v="AD. DIRECTA"/>
    <s v="VIALSUR"/>
    <m/>
    <n v="1.64"/>
    <n v="0"/>
    <s v="Mejoramiento de la subrasante con suelo seleccionado"/>
    <s v="m2"/>
    <n v="4.43"/>
    <n v="1800"/>
    <d v="2014-09-01T00:00:00"/>
    <d v="2014-09-30T00:00:00"/>
    <s v="EJECUTADO"/>
    <n v="7974"/>
    <m/>
    <m/>
    <m/>
  </r>
  <r>
    <m/>
    <m/>
    <x v="0"/>
    <s v="MEJORAMIENTO DE LA VIA LA NARANJA LA VEGA"/>
    <s v="MEJORAMIENTO DE LA VIA LA NARANJA LA VEGA"/>
    <x v="0"/>
    <x v="2"/>
    <s v="27 DE ABRIL"/>
    <s v="AD. DIRECTA"/>
    <s v="VIALSUR"/>
    <m/>
    <m/>
    <n v="0"/>
    <s v="Excavacion sin clasificar a maquina (explotación de material)"/>
    <s v="m3"/>
    <n v="1.62"/>
    <n v="0"/>
    <d v="2014-09-01T00:00:00"/>
    <d v="2014-09-30T00:00:00"/>
    <s v="EJECUTADO"/>
    <n v="0"/>
    <m/>
    <m/>
    <n v="13378.5"/>
  </r>
  <r>
    <m/>
    <m/>
    <x v="0"/>
    <m/>
    <s v="MEJORAMIENTO DE LA VIA LA NARANJA LA VEGA"/>
    <x v="0"/>
    <x v="2"/>
    <s v="27 DE ABRIL"/>
    <s v="AD. DIRECTA"/>
    <s v="VIALSUR"/>
    <m/>
    <m/>
    <n v="0"/>
    <s v="Transporte de material para mejoramiento, inc. cargado"/>
    <s v="m3/km"/>
    <n v="0.35"/>
    <n v="4050"/>
    <d v="2014-09-01T00:00:00"/>
    <d v="2014-09-30T00:00:00"/>
    <s v="EJECUTADO"/>
    <n v="1417.5"/>
    <m/>
    <m/>
    <m/>
  </r>
  <r>
    <m/>
    <m/>
    <x v="0"/>
    <m/>
    <s v="MEJORAMIENTO DE LA VIA LA NARANJA LA VEGA"/>
    <x v="0"/>
    <x v="2"/>
    <s v="27 DE ABRIL"/>
    <s v="AD. DIRECTA"/>
    <s v="VIALSUR"/>
    <m/>
    <n v="2.4500000000000002"/>
    <n v="0"/>
    <s v="Mejoramiento de la subrasante con suelo seleccionado"/>
    <s v="m2"/>
    <n v="4.43"/>
    <n v="2700"/>
    <d v="2014-09-01T00:00:00"/>
    <d v="2014-09-30T00:00:00"/>
    <s v="EJECUTADO"/>
    <n v="11961"/>
    <m/>
    <m/>
    <m/>
  </r>
  <r>
    <m/>
    <m/>
    <x v="0"/>
    <s v="MEJORAMIENTO DE LA VIA LA NARANJA PINDO BAJO"/>
    <s v="MEJORAMIENTO DE LA VIA LA NARANJA PINDO BAJO"/>
    <x v="0"/>
    <x v="2"/>
    <s v="27 DE ABRIL"/>
    <s v="AD. DIRECTA"/>
    <s v="VIALSUR"/>
    <m/>
    <m/>
    <n v="0"/>
    <s v="Excavacion sin clasificar a maquina (explotación de material)"/>
    <s v="m3"/>
    <n v="1.62"/>
    <n v="3000"/>
    <d v="2014-09-01T00:00:00"/>
    <d v="2014-09-30T00:00:00"/>
    <s v="EJECUTADO"/>
    <n v="4860"/>
    <m/>
    <m/>
    <n v="16008.75"/>
  </r>
  <r>
    <m/>
    <m/>
    <x v="0"/>
    <m/>
    <s v="MEJORAMIENTO DE LA VIA LA NARANJA PINDO BAJO"/>
    <x v="0"/>
    <x v="2"/>
    <s v="27 DE ABRIL"/>
    <s v="AD. DIRECTA"/>
    <s v="VIALSUR"/>
    <m/>
    <m/>
    <n v="0"/>
    <s v="Transporte de material para mejoramiento, inc. cargado"/>
    <s v="m3/km"/>
    <n v="0.35"/>
    <n v="3375"/>
    <d v="2014-09-01T00:00:00"/>
    <d v="2014-09-30T00:00:00"/>
    <s v="EJECUTADO"/>
    <n v="1181.25"/>
    <m/>
    <m/>
    <m/>
  </r>
  <r>
    <m/>
    <m/>
    <x v="0"/>
    <m/>
    <s v="MEJORAMIENTO DE LA VIA LA NARANJA PINDO BAJO"/>
    <x v="0"/>
    <x v="2"/>
    <s v="27 DE ABRIL"/>
    <s v="AD. DIRECTA"/>
    <s v="VIALSUR"/>
    <m/>
    <n v="2.0499999999999998"/>
    <n v="0"/>
    <s v="Mejoramiento de la subrasante con suelo seleccionado"/>
    <s v="m2"/>
    <n v="4.43"/>
    <n v="2250"/>
    <d v="2014-09-01T00:00:00"/>
    <d v="2014-09-30T00:00:00"/>
    <s v="EJECUTADO"/>
    <n v="9967.5"/>
    <m/>
    <m/>
    <m/>
  </r>
  <r>
    <m/>
    <m/>
    <x v="0"/>
    <s v="RECONFORMACIÓN DE LA VIA SAN ANTONIO DE LAS ARADAS - QUEBRADA QUIROZ (L TOTAL = 5,4KM, TRABAJO EJECUTADO)"/>
    <s v="RECONFORMACIÓN DE LA VIA SAN ANTONIO DE LAS ARADAS - QUEBRADA QUIROZ (L TOTAL = 5,4KM, TRABAJO EJECUTADO)"/>
    <x v="0"/>
    <x v="1"/>
    <s v="SANANTONIODELASARADAS"/>
    <s v="AD. DIRECTA"/>
    <s v="VIALSUR"/>
    <n v="5.4"/>
    <m/>
    <n v="709"/>
    <s v="Excavacion sin clasificar a maquina (explotación de material)"/>
    <s v="m3"/>
    <n v="1.62"/>
    <n v="3456"/>
    <d v="2014-01-01T00:00:00"/>
    <d v="2014-01-31T00:00:00"/>
    <s v="EJECUTADO"/>
    <n v="5598.72"/>
    <m/>
    <m/>
    <n v="27693.52"/>
  </r>
  <r>
    <m/>
    <m/>
    <x v="0"/>
    <m/>
    <s v="RECONFORMACIÓN DE LA VIA SAN ANTONIO DE LAS ARADAS - QUEBRADA QUIROZ (L TOTAL = 5,4KM, TRABAJO EJECUTADO)"/>
    <x v="0"/>
    <x v="1"/>
    <s v="SANANTONIODELASARADAS"/>
    <s v="AD. DIRECTA"/>
    <s v="VIALSUR"/>
    <m/>
    <m/>
    <n v="0"/>
    <s v="Transporte de material para mejoramiento, inc. cargado"/>
    <s v="m3/km"/>
    <n v="0.35"/>
    <n v="44928"/>
    <d v="2014-01-01T00:00:00"/>
    <d v="2014-01-31T00:00:00"/>
    <s v="EJECUTADO"/>
    <n v="15724.8"/>
    <m/>
    <m/>
    <m/>
  </r>
  <r>
    <m/>
    <m/>
    <x v="1"/>
    <m/>
    <s v="RECONFORMACIÓN DE LA VIA SAN ANTONIO DE LAS ARADAS - QUEBRADA QUIROZ (L TOTAL = 5,4KM, TRABAJO EJECUTADO)"/>
    <x v="0"/>
    <x v="1"/>
    <s v="SANANTONIODELASARADAS"/>
    <s v="AD. DIRECTA"/>
    <s v="VIALSUR"/>
    <m/>
    <n v="3.3099999999999996"/>
    <n v="0"/>
    <s v="Acabado de Obra Básica existente"/>
    <s v="m2"/>
    <n v="0.35"/>
    <n v="18200"/>
    <d v="2014-01-01T00:00:00"/>
    <d v="2014-01-31T00:00:00"/>
    <s v="EJECUTADO"/>
    <n v="6370"/>
    <m/>
    <m/>
    <m/>
  </r>
  <r>
    <m/>
    <m/>
    <x v="0"/>
    <s v="MANTENIMIENTO DE LA VIA &quot; COLAISACA-PULPERIA&quot;, PARROQUIA COLAISACA, CANTON CALVAS"/>
    <s v="MANTENIMIENTO DE LA VIA &quot; COLAISACA-PULPERIA&quot;, PARROQUIA COLAISACA, CANTON CALVAS"/>
    <x v="0"/>
    <x v="3"/>
    <s v="COLAISACA"/>
    <s v="AD. DIRECTA"/>
    <s v="VIALSUR"/>
    <n v="2"/>
    <m/>
    <n v="1712"/>
    <s v="Excavacion sin clasificar a maquina (explotación de material)"/>
    <s v="m3"/>
    <n v="1.62"/>
    <n v="4974"/>
    <d v="2014-01-01T00:00:00"/>
    <d v="2014-01-31T00:00:00"/>
    <s v="EJECUTADO"/>
    <n v="8057.88"/>
    <m/>
    <m/>
    <n v="45489.42"/>
  </r>
  <r>
    <m/>
    <m/>
    <x v="0"/>
    <m/>
    <s v="MANTENIMIENTO DE LA VIA &quot; COLAISACA-PULPERIA&quot;, PARROQUIA COLAISACA, CANTON CALVAS"/>
    <x v="0"/>
    <x v="3"/>
    <s v="COLAISACA"/>
    <s v="AD. DIRECTA"/>
    <s v="VIALSUR"/>
    <m/>
    <m/>
    <n v="0"/>
    <s v="Transporte de material para mejoramiento, inc. cargado"/>
    <s v="m3/km"/>
    <n v="0.35"/>
    <n v="24626"/>
    <d v="2014-01-01T00:00:00"/>
    <d v="2014-03-31T00:00:00"/>
    <s v="EJECUTADO"/>
    <n v="8619.1"/>
    <m/>
    <m/>
    <m/>
  </r>
  <r>
    <m/>
    <m/>
    <x v="1"/>
    <m/>
    <s v="MANTENIMIENTO DE LA VIA &quot; COLAISACA-PULPERIA&quot;, PARROQUIA COLAISACA, CANTON CALVAS"/>
    <x v="0"/>
    <x v="3"/>
    <s v="COLAISACA"/>
    <s v="AD. DIRECTA"/>
    <s v="VIALSUR"/>
    <m/>
    <n v="5.1899999999999995"/>
    <n v="0"/>
    <s v="Acabado de Obra Básica existente"/>
    <s v="m2"/>
    <n v="0.35"/>
    <n v="28500"/>
    <d v="2014-01-01T00:00:00"/>
    <d v="2014-03-31T00:00:00"/>
    <s v="EJECUTADO"/>
    <n v="9975"/>
    <m/>
    <m/>
    <m/>
  </r>
  <r>
    <m/>
    <m/>
    <x v="0"/>
    <m/>
    <s v="MANTENIMIENTO DE LA VIA &quot; COLAISACA-PULPERIA&quot;, PARROQUIA COLAISACA, CANTON CALVAS"/>
    <x v="0"/>
    <x v="3"/>
    <s v="COLAISACA"/>
    <s v="AD. DIRECTA"/>
    <s v="VIALSUR"/>
    <m/>
    <n v="2.89"/>
    <n v="0"/>
    <s v="Mejoramiento de la subrasante con suelo seleccionado"/>
    <s v="m3"/>
    <n v="5.92"/>
    <n v="3182"/>
    <d v="2014-01-01T00:00:00"/>
    <d v="2014-03-31T00:00:00"/>
    <s v="EJECUTADO"/>
    <n v="18837.439999999999"/>
    <m/>
    <m/>
    <m/>
  </r>
  <r>
    <m/>
    <m/>
    <x v="0"/>
    <s v="APERTURA DE VIA SECTOR DE QUIZANGA Y AMPLIACION EN OTRAS PARTES DEL TRAMO SANGUILLIN - LUCERO (Longitud 100m)"/>
    <s v="APERTURA DE VIA SECTOR DE QUIZANGA Y AMPLIACION EN OTRAS PARTES DEL TRAMO SANGUILLIN - LUCERO (Longitud 100m)"/>
    <x v="0"/>
    <x v="3"/>
    <s v="SANGUILLÍN"/>
    <s v="AD. DIRECTA"/>
    <s v="VIALSUR"/>
    <n v="0.1"/>
    <m/>
    <n v="1506"/>
    <s v="Excavacion sin clasificar a maquina (explotación de material)"/>
    <s v="m3"/>
    <n v="1.62"/>
    <n v="6712"/>
    <d v="2014-01-01T00:00:00"/>
    <d v="2014-04-30T00:00:00"/>
    <s v="EJECUTADO"/>
    <n v="10873.44"/>
    <m/>
    <m/>
    <n v="12175.44"/>
  </r>
  <r>
    <m/>
    <m/>
    <x v="0"/>
    <m/>
    <s v="APERTURA DE VIA SECTOR DE QUIZANGA Y AMPLIACION EN OTRAS PARTES DEL TRAMO SANGUILLIN - LUCERO (Longitud 100m)"/>
    <x v="0"/>
    <x v="3"/>
    <s v="SANGUILLÍN"/>
    <s v="AD. DIRECTA"/>
    <s v="VIALSUR"/>
    <m/>
    <m/>
    <n v="0"/>
    <s v="Transporte de material"/>
    <s v="m3/km"/>
    <n v="0.35"/>
    <n v="3720"/>
    <d v="2014-01-01T00:00:00"/>
    <d v="2014-04-30T00:00:00"/>
    <s v="EJECUTADO"/>
    <n v="1302"/>
    <m/>
    <m/>
    <m/>
  </r>
  <r>
    <m/>
    <m/>
    <x v="1"/>
    <s v="MANTENIMIENTO DE EMERGENCIA A VIAS DE LA PARROQUIA TACAMOROS INICIA 7 MARZO 2014"/>
    <s v="MANTENIMIENTO DE EMERGENCIA A VIAS DE LA PARROQUIA TACAMOROS INICIA 7 MARZO 2014"/>
    <x v="0"/>
    <x v="4"/>
    <s v="TACAMOROS"/>
    <s v="AD. DIRECTA"/>
    <s v="VIALSUR"/>
    <m/>
    <m/>
    <n v="0"/>
    <s v="Limpieza de derrumbes a máquina"/>
    <s v="m3"/>
    <n v="1.46"/>
    <n v="1344"/>
    <d v="2014-01-01T00:00:00"/>
    <d v="2014-03-31T00:00:00"/>
    <s v="EJECUTADO"/>
    <n v="1962.24"/>
    <m/>
    <m/>
    <n v="7553.33"/>
  </r>
  <r>
    <m/>
    <m/>
    <x v="1"/>
    <m/>
    <s v="MANTENIMIENTO DE EMERGENCIA A VIAS DE LA PARROQUIA TACAMOROS INICIA 7 MARZO 2014"/>
    <x v="0"/>
    <x v="4"/>
    <s v="TACAMOROS"/>
    <s v="AD. DIRECTA"/>
    <s v="VIALSUR"/>
    <m/>
    <m/>
    <n v="0"/>
    <s v="Limpieza de alcantarillas y desalojo hasta 6m"/>
    <s v="m3"/>
    <n v="16.128"/>
    <n v="346.67"/>
    <d v="2014-01-01T00:00:00"/>
    <d v="2014-03-31T00:00:00"/>
    <s v="EJECUTADO"/>
    <n v="5591.09"/>
    <m/>
    <m/>
    <m/>
  </r>
  <r>
    <m/>
    <m/>
    <x v="1"/>
    <s v="ENCAUSAMIENTO DE QUEBRADA TUNGANI"/>
    <s v="ENCAUSAMIENTO DE QUEBRADA TUNGANI"/>
    <x v="0"/>
    <x v="0"/>
    <s v="GONZANAMÁ"/>
    <s v="AD. DIRECTA"/>
    <s v="VIALSUR"/>
    <m/>
    <m/>
    <n v="0"/>
    <s v="Excavacion sin clasificar a maquina (explotación de material)"/>
    <s v="m3"/>
    <n v="1.62"/>
    <n v="500"/>
    <d v="2014-01-01T00:00:00"/>
    <d v="2014-03-31T00:00:00"/>
    <s v="EJECUTADO"/>
    <n v="810"/>
    <m/>
    <m/>
    <n v="810"/>
  </r>
  <r>
    <m/>
    <m/>
    <x v="0"/>
    <s v="MANTENIMIENTO DE LA VIA &quot; CARIAMANGA - SAN GUILLIN  DE LA PARROQUIA SAN GUILLIN, CANTON CALVAS&quot;"/>
    <s v="MANTENIMIENTO DE LA VIA &quot; CARIAMANGA - SAN GUILLIN  DE LA PARROQUIA SAN GUILLIN, CANTON CALVAS&quot;"/>
    <x v="0"/>
    <x v="3"/>
    <s v="SANGUILLÍN"/>
    <s v="AD. DIRECTA"/>
    <s v="VIALSUR"/>
    <m/>
    <m/>
    <n v="0"/>
    <s v="Excavación sin clasificar a maquina (explotación de material) "/>
    <s v="m3"/>
    <n v="1.62"/>
    <n v="7744"/>
    <d v="2014-04-01T00:00:00"/>
    <d v="2014-05-31T00:00:00"/>
    <s v="EJECUTADO"/>
    <n v="12545.28"/>
    <m/>
    <m/>
    <n v="137131.85"/>
  </r>
  <r>
    <m/>
    <m/>
    <x v="0"/>
    <m/>
    <s v="MANTENIMIENTO DE LA VIA &quot; CARIAMANGA - SAN GUILLIN  DE LA PARROQUIA SAN GUILLIN, CANTON CALVAS&quot;"/>
    <x v="0"/>
    <x v="3"/>
    <s v="SANGUILLÍN"/>
    <s v="AD. DIRECTA"/>
    <s v="VIALSUR"/>
    <m/>
    <m/>
    <n v="0"/>
    <s v="Transporte de material para mejoramiento, inc cargado"/>
    <s v="m3/km"/>
    <n v="0.35"/>
    <n v="103483"/>
    <d v="2014-04-01T00:00:00"/>
    <d v="2014-05-31T00:00:00"/>
    <s v="EJECUTADO"/>
    <n v="36219.050000000003"/>
    <m/>
    <m/>
    <m/>
  </r>
  <r>
    <m/>
    <m/>
    <x v="1"/>
    <m/>
    <s v="MANTENIMIENTO DE LA VIA &quot; CARIAMANGA - SAN GUILLIN  DE LA PARROQUIA SAN GUILLIN, CANTON CALVAS&quot;"/>
    <x v="0"/>
    <x v="3"/>
    <s v="SANGUILLÍN"/>
    <s v="AD. DIRECTA"/>
    <s v="VIALSUR"/>
    <m/>
    <n v="4.3"/>
    <n v="0"/>
    <s v="Acabado de Obra Básica existente"/>
    <s v="m2"/>
    <n v="0.35"/>
    <n v="23600"/>
    <d v="2014-04-01T00:00:00"/>
    <d v="2014-05-31T00:00:00"/>
    <s v="EJECUTADO"/>
    <n v="8260"/>
    <m/>
    <m/>
    <m/>
  </r>
  <r>
    <m/>
    <m/>
    <x v="0"/>
    <m/>
    <s v="MANTENIMIENTO DE LA VIA &quot; CARIAMANGA - SAN GUILLIN  DE LA PARROQUIA SAN GUILLIN, CANTON CALVAS&quot;"/>
    <x v="0"/>
    <x v="3"/>
    <s v="SANGUILLÍN"/>
    <s v="AD. DIRECTA"/>
    <s v="VIALSUR"/>
    <m/>
    <n v="7.04"/>
    <n v="0"/>
    <s v="Mejoramiento de la subrasante con suelo seleccionado"/>
    <s v="m3"/>
    <n v="5.92"/>
    <n v="7744"/>
    <d v="2014-04-01T00:00:00"/>
    <d v="2014-05-31T00:00:00"/>
    <s v="EJECUTADO"/>
    <n v="45844.480000000003"/>
    <m/>
    <m/>
    <m/>
  </r>
  <r>
    <m/>
    <m/>
    <x v="1"/>
    <m/>
    <s v="MANTENIMIENTO DE LA VIA &quot; CARIAMANGA - SAN GUILLIN  DE LA PARROQUIA SAN GUILLIN, CANTON CALVAS&quot;"/>
    <x v="0"/>
    <x v="3"/>
    <s v="SANGUILLÍN"/>
    <s v="AD. DIRECTA"/>
    <s v="VIALSUR"/>
    <m/>
    <m/>
    <n v="0"/>
    <s v="Limpieza de derrumbes a máquina"/>
    <s v="m3"/>
    <n v="1.46"/>
    <n v="600"/>
    <d v="2014-04-01T00:00:00"/>
    <d v="2014-05-31T00:00:00"/>
    <s v="EJECUTADO"/>
    <n v="876"/>
    <m/>
    <m/>
    <m/>
  </r>
  <r>
    <m/>
    <m/>
    <x v="1"/>
    <m/>
    <s v="MANTENIMIENTO DE LA VIA &quot; CARIAMANGA - SAN GUILLIN  DE LA PARROQUIA SAN GUILLIN, CANTON CALVAS&quot;"/>
    <x v="0"/>
    <x v="3"/>
    <s v="SANGUILLÍN"/>
    <s v="AD. DIRECTA"/>
    <s v="VIALSUR"/>
    <m/>
    <m/>
    <n v="0"/>
    <s v="Limpieza de alcantarillas y desalojo hasta 6m"/>
    <s v="m3"/>
    <n v="16.13"/>
    <n v="1240"/>
    <d v="2014-04-01T00:00:00"/>
    <d v="2014-05-31T00:00:00"/>
    <s v="EJECUTADO"/>
    <n v="20001.2"/>
    <m/>
    <m/>
    <m/>
  </r>
  <r>
    <m/>
    <m/>
    <x v="1"/>
    <m/>
    <s v="MANTENIMIENTO DE LA VIA &quot; CARIAMANGA - SAN GUILLIN  DE LA PARROQUIA SAN GUILLIN, CANTON CALVAS&quot;"/>
    <x v="0"/>
    <x v="3"/>
    <s v="SANGUILLÍN"/>
    <s v="AD. DIRECTA"/>
    <s v="VIALSUR"/>
    <m/>
    <n v="30.430000000000003"/>
    <n v="0"/>
    <s v="Rasanteo y conformacion de cunetas con motoniveladora"/>
    <s v="m2"/>
    <n v="0.08"/>
    <n v="167323"/>
    <d v="2014-01-05T00:00:00"/>
    <d v="2014-05-31T00:00:00"/>
    <s v="EJECUTADO"/>
    <n v="13385.84"/>
    <m/>
    <m/>
    <m/>
  </r>
  <r>
    <s v="3"/>
    <s v="EJECUTADO"/>
    <x v="0"/>
    <s v="Mejoramiento de la Vía  SAN GUILLIN-QUIZANGA DE LA PARROQUIA SAN GUILLIN, CANTON CALVAS"/>
    <s v="Mejoramiento de la Vía  SAN GUILLIN-QUIZANGA DE LA PARROQUIA SAN GUILLIN, CANTON CALVAS"/>
    <x v="0"/>
    <x v="3"/>
    <s v="SANGUILLÍN"/>
    <s v="AD. DIRECTA"/>
    <s v="VIALSUR"/>
    <n v="4"/>
    <m/>
    <n v="1506"/>
    <s v="Excavacion sin clasificar a maquina (explotación de material)"/>
    <s v="m3"/>
    <n v="1.62"/>
    <n v="1848"/>
    <d v="2014-07-01T00:00:00"/>
    <d v="2014-07-31T00:00:00"/>
    <s v="EJECUTADO"/>
    <n v="2993.76"/>
    <m/>
    <m/>
    <n v="21527.52"/>
  </r>
  <r>
    <m/>
    <m/>
    <x v="0"/>
    <m/>
    <s v="Mejoramiento de la Vía  SAN GUILLIN-QUIZANGA DE LA PARROQUIA SAN GUILLIN, CANTON CALVAS"/>
    <x v="0"/>
    <x v="3"/>
    <s v="SANGUILLÍN"/>
    <s v="AD. DIRECTA"/>
    <s v="VIALSUR"/>
    <m/>
    <m/>
    <n v="0"/>
    <s v="Transporte de material para mejoramiento, inc. cargado"/>
    <s v="m3/km"/>
    <n v="0.35"/>
    <n v="3696"/>
    <d v="2014-07-01T00:00:00"/>
    <d v="2014-07-31T00:00:00"/>
    <s v="EJECUTADO"/>
    <n v="1293.5999999999999"/>
    <m/>
    <m/>
    <m/>
  </r>
  <r>
    <m/>
    <m/>
    <x v="1"/>
    <m/>
    <s v="Mejoramiento de la Vía  SAN GUILLIN-QUIZANGA DE LA PARROQUIA SAN GUILLIN, CANTON CALVAS"/>
    <x v="0"/>
    <x v="3"/>
    <s v="SANGUILLÍN"/>
    <s v="AD. DIRECTA"/>
    <s v="VIALSUR"/>
    <m/>
    <n v="3.28"/>
    <n v="0"/>
    <s v="Acabado de la obra básica existente"/>
    <s v="m2"/>
    <n v="0.35"/>
    <n v="18000"/>
    <d v="2014-07-01T00:00:00"/>
    <d v="2014-07-31T00:00:00"/>
    <s v="EJECUTADO"/>
    <n v="6300"/>
    <m/>
    <m/>
    <m/>
  </r>
  <r>
    <m/>
    <m/>
    <x v="0"/>
    <m/>
    <s v="Mejoramiento de la Vía  SAN GUILLIN-QUIZANGA DE LA PARROQUIA SAN GUILLIN, CANTON CALVAS"/>
    <x v="0"/>
    <x v="3"/>
    <s v="SANGUILLÍN"/>
    <s v="AD. DIRECTA"/>
    <s v="VIALSUR"/>
    <m/>
    <n v="1.68"/>
    <n v="0"/>
    <s v="Mejoramiento de la subrasante con suelo seleccionado"/>
    <s v="m3"/>
    <n v="5.92"/>
    <n v="1848"/>
    <d v="2014-07-01T00:00:00"/>
    <d v="2014-07-31T00:00:00"/>
    <s v="EJECUTADO"/>
    <n v="10940.16"/>
    <m/>
    <m/>
    <m/>
  </r>
  <r>
    <s v="4"/>
    <s v="EJECUTADO"/>
    <x v="1"/>
    <s v="MANTENIMIENTO DE EMERGENCIA A VIAS DE LA PARROQUIA COLAISACA"/>
    <s v="MANTENIMIENTO DE EMERGENCIA A VIAS DE LA PARROQUIA COLAISACA"/>
    <x v="0"/>
    <x v="3"/>
    <s v="COLAISACA"/>
    <s v="AD. DIRECTA"/>
    <s v="VIALSUR"/>
    <m/>
    <m/>
    <n v="0"/>
    <s v="Limpieza de derrumbes a máquina"/>
    <s v="m3"/>
    <n v="1.46"/>
    <n v="8516"/>
    <d v="2014-07-01T00:00:00"/>
    <d v="2014-07-31T00:00:00"/>
    <s v="EJECUTADO"/>
    <n v="12433.36"/>
    <m/>
    <m/>
    <n v="12433.36"/>
  </r>
  <r>
    <s v="5"/>
    <s v="EJECUTADO"/>
    <x v="0"/>
    <s v="Mejoramiento de la Vía  SAN GUILLIN-USAIMA DE LA PARROQUIA SAN GUILLIN, CANTON CALVAS"/>
    <s v="Mejoramiento de la Vía  SAN GUILLIN-USAIMA DE LA PARROQUIA SAN GUILLIN, CANTON CALVAS"/>
    <x v="0"/>
    <x v="3"/>
    <s v="SANGUILLÍN"/>
    <s v="AD. DIRECTA"/>
    <s v="VIALSUR"/>
    <n v="2"/>
    <m/>
    <n v="1506"/>
    <s v="Excavacion sin clasificar a maquina (explotación de material)"/>
    <s v="m3"/>
    <n v="1.62"/>
    <n v="672"/>
    <d v="2014-07-01T00:00:00"/>
    <d v="2014-07-31T00:00:00"/>
    <s v="EJECUTADO"/>
    <n v="1088.6400000000001"/>
    <m/>
    <m/>
    <n v="6937.2"/>
  </r>
  <r>
    <m/>
    <m/>
    <x v="0"/>
    <m/>
    <s v="Mejoramiento de la Vía  SAN GUILLIN-USAIMA DE LA PARROQUIA SAN GUILLIN, CANTON CALVAS"/>
    <x v="0"/>
    <x v="3"/>
    <s v="SANGUILLÍN"/>
    <s v="AD. DIRECTA"/>
    <s v="VIALSUR"/>
    <m/>
    <m/>
    <n v="0"/>
    <s v="Transporte de material para mejoramiento, inc. cargado"/>
    <s v="m3/km"/>
    <n v="0.35"/>
    <n v="5376"/>
    <d v="2014-07-01T00:00:00"/>
    <d v="2014-07-31T00:00:00"/>
    <s v="EJECUTADO"/>
    <n v="1881.6"/>
    <m/>
    <m/>
    <m/>
  </r>
  <r>
    <m/>
    <m/>
    <x v="1"/>
    <m/>
    <s v="Mejoramiento de la Vía  SAN GUILLIN-USAIMA DE LA PARROQUIA SAN GUILLIN, CANTON CALVAS"/>
    <x v="0"/>
    <x v="3"/>
    <s v="SANGUILLÍN"/>
    <s v="AD. DIRECTA"/>
    <s v="VIALSUR"/>
    <m/>
    <n v="1.49"/>
    <n v="0"/>
    <s v="Razanteo con Motoniveladora"/>
    <s v="m2"/>
    <n v="0.08"/>
    <n v="8147"/>
    <d v="2014-07-01T00:00:00"/>
    <d v="2014-07-31T00:00:00"/>
    <s v="EJECUTADO"/>
    <n v="651.76"/>
    <m/>
    <m/>
    <m/>
  </r>
  <r>
    <m/>
    <m/>
    <x v="0"/>
    <m/>
    <s v="Mejoramiento de la Vía  SAN GUILLIN-USAIMA DE LA PARROQUIA SAN GUILLIN, CANTON CALVAS"/>
    <x v="0"/>
    <x v="3"/>
    <s v="SANGUILLÍN"/>
    <s v="AD. DIRECTA"/>
    <s v="VIALSUR"/>
    <m/>
    <n v="0.51"/>
    <n v="0"/>
    <s v="Mejoramiento de la subrasante con suelo seleccionado"/>
    <s v="m3"/>
    <n v="5.92"/>
    <n v="560"/>
    <d v="2014-07-01T00:00:00"/>
    <d v="2014-07-31T00:00:00"/>
    <s v="EJECUTADO"/>
    <n v="3315.2"/>
    <m/>
    <m/>
    <m/>
  </r>
  <r>
    <s v="6"/>
    <s v="EJECUTADO"/>
    <x v="0"/>
    <s v="Mejoramiento VIAL P. San Guillin :Camayos, San Joaquin,Chullafaique,Pasallal, CANTON CALVAS"/>
    <s v="Mejoramiento VIAL P. San Guillin :Camayos, San Joaquin,Chullafaique,Pasallal, CANTON CALVAS"/>
    <x v="0"/>
    <x v="3"/>
    <s v="SANGUILLÍN"/>
    <s v="AD. DIRECTA"/>
    <s v="VIALSUR"/>
    <n v="2"/>
    <m/>
    <n v="1506"/>
    <s v="Excavacion sin clasificar a maquina (explotación de material)"/>
    <s v="m3"/>
    <n v="1.62"/>
    <n v="1534"/>
    <d v="2014-07-01T00:00:00"/>
    <d v="2014-07-31T00:00:00"/>
    <s v="EJECUTADO"/>
    <n v="2485.08"/>
    <m/>
    <m/>
    <n v="30337.059999999998"/>
  </r>
  <r>
    <m/>
    <m/>
    <x v="0"/>
    <m/>
    <s v="Mejoramiento VIAL P. San Guillin :Camayos, San Joaquin,Chullafaique,Pasallal, CANTON CALVAS"/>
    <x v="0"/>
    <x v="3"/>
    <s v="SANGUILLÍN"/>
    <s v="AD. DIRECTA"/>
    <s v="VIALSUR"/>
    <m/>
    <m/>
    <n v="0"/>
    <s v="Transporte de material para mejoramiento, inc. cargado"/>
    <s v="m3/km"/>
    <n v="0.35"/>
    <n v="4602"/>
    <d v="2014-07-01T00:00:00"/>
    <d v="2014-07-31T00:00:00"/>
    <s v="EJECUTADO"/>
    <n v="1610.7"/>
    <m/>
    <m/>
    <m/>
  </r>
  <r>
    <m/>
    <m/>
    <x v="1"/>
    <m/>
    <s v="Mejoramiento VIAL P. San Guillin :Camayos, San Joaquin,Chullafaique,Pasallal, CANTON CALVAS"/>
    <x v="0"/>
    <x v="3"/>
    <s v="SANGUILLÍN"/>
    <s v="AD. DIRECTA"/>
    <s v="VIALSUR"/>
    <m/>
    <n v="39"/>
    <n v="0"/>
    <s v="Razanteo con Motoniveladora"/>
    <s v="m2"/>
    <n v="0.08"/>
    <n v="214500"/>
    <d v="2014-07-01T00:00:00"/>
    <d v="2014-07-31T00:00:00"/>
    <s v="EJECUTADO"/>
    <n v="17160"/>
    <m/>
    <m/>
    <m/>
  </r>
  <r>
    <m/>
    <m/>
    <x v="0"/>
    <m/>
    <s v="Mejoramiento VIAL P. San Guillin :Camayos, San Joaquin,Chullafaique,Pasallal, CANTON CALVAS"/>
    <x v="0"/>
    <x v="3"/>
    <s v="SANGUILLÍN"/>
    <s v="AD. DIRECTA"/>
    <s v="VIALSUR"/>
    <m/>
    <n v="1.39"/>
    <n v="0"/>
    <s v="Mejoramiento de la subrasante con suelo seleccionado"/>
    <s v="m3"/>
    <n v="5.92"/>
    <n v="1534"/>
    <d v="2014-07-01T00:00:00"/>
    <d v="2014-07-31T00:00:00"/>
    <s v="EJECUTADO"/>
    <n v="9081.2800000000007"/>
    <m/>
    <m/>
    <m/>
  </r>
  <r>
    <m/>
    <m/>
    <x v="0"/>
    <s v="MANTENIMIENTO VIAL P. QUIZANGA - LUCERO"/>
    <s v="MANTENIMIENTO VIAL P. QUIZANGA - LUCERO"/>
    <x v="0"/>
    <x v="3"/>
    <s v="SANGUILLÍN"/>
    <s v="AD. DIRECTA"/>
    <s v="VIALSUR"/>
    <m/>
    <m/>
    <n v="0"/>
    <s v="Excavación sin clasificar a maquina (explotación de material) "/>
    <s v="m3"/>
    <n v="1.62"/>
    <m/>
    <d v="2014-06-01T00:00:00"/>
    <d v="2014-06-30T00:00:00"/>
    <s v="EJECUTADO"/>
    <n v="0"/>
    <m/>
    <m/>
    <n v="21024.9"/>
  </r>
  <r>
    <m/>
    <m/>
    <x v="0"/>
    <m/>
    <s v="MANTENIMIENTO VIAL P. QUIZANGA - LUCERO"/>
    <x v="0"/>
    <x v="3"/>
    <s v="SANGUILLÍN"/>
    <s v="AD. DIRECTA"/>
    <s v="VIALSUR"/>
    <m/>
    <m/>
    <n v="0"/>
    <s v="Transporte de material para mejoramiento, inc cargado"/>
    <s v="m3/km"/>
    <n v="0.35"/>
    <n v="5670"/>
    <d v="2014-06-01T00:00:00"/>
    <d v="2014-06-30T00:00:00"/>
    <s v="EJECUTADO"/>
    <n v="1984.5"/>
    <m/>
    <m/>
    <m/>
  </r>
  <r>
    <m/>
    <m/>
    <x v="1"/>
    <m/>
    <s v="MANTENIMIENTO VIAL P. QUIZANGA - LUCERO"/>
    <x v="0"/>
    <x v="3"/>
    <s v="SANGUILLÍN"/>
    <s v="AD. DIRECTA"/>
    <s v="VIALSUR"/>
    <m/>
    <n v="4.91"/>
    <n v="0"/>
    <s v="Acabado de Obra Básica existente"/>
    <s v="m2"/>
    <n v="0.35"/>
    <n v="27000"/>
    <d v="2014-06-01T00:00:00"/>
    <d v="2014-06-30T00:00:00"/>
    <s v="EJECUTADO"/>
    <n v="9450"/>
    <m/>
    <m/>
    <m/>
  </r>
  <r>
    <m/>
    <m/>
    <x v="0"/>
    <m/>
    <s v="MANTENIMIENTO VIAL P. QUIZANGA - LUCERO"/>
    <x v="0"/>
    <x v="3"/>
    <s v="SANGUILLÍN"/>
    <s v="AD. DIRECTA"/>
    <s v="VIALSUR"/>
    <m/>
    <n v="1.47"/>
    <n v="0"/>
    <s v="Mejoramiento de la subrasante con suelo seleccionado"/>
    <s v="m3"/>
    <n v="5.92"/>
    <n v="1620"/>
    <d v="2014-06-01T00:00:00"/>
    <d v="2014-06-30T00:00:00"/>
    <s v="EJECUTADO"/>
    <n v="9590.4"/>
    <m/>
    <m/>
    <m/>
  </r>
  <r>
    <m/>
    <m/>
    <x v="0"/>
    <s v="CONVENIO DE MANTENIMIENTO DE LA VIA SOZORANGA - NUEVA FATIMA, CANTON SOZORANGA._x000a_Longtud 13,30KM"/>
    <s v="CONVENIO DE MANTENIMIENTO DE LA VIA SOZORANGA - NUEVA FATIMA, CANTON SOZORANGA._x000a_Longtud 13,30KM"/>
    <x v="0"/>
    <x v="4"/>
    <s v="NUEVAFÁTIMA"/>
    <s v="CONVENIO"/>
    <s v="VIALSUR"/>
    <n v="13.3"/>
    <m/>
    <n v="642"/>
    <s v="Excavación sin clasificar a maquina (explotación de material) "/>
    <s v="m3"/>
    <n v="1.62"/>
    <n v="13340"/>
    <d v="2014-01-01T00:00:00"/>
    <d v="2014-03-31T00:00:00"/>
    <s v="EJECUTADO"/>
    <n v="21610.799999999999"/>
    <m/>
    <m/>
    <n v="172988.94000000003"/>
  </r>
  <r>
    <m/>
    <m/>
    <x v="1"/>
    <m/>
    <s v="CONVENIO DE MANTENIMIENTO DE LA VIA SOZORANGA - NUEVA FATIMA, CANTON SOZORANGA._x000a_Longtud 13,30KM"/>
    <x v="0"/>
    <x v="4"/>
    <s v="NUEVAFÁTIMA"/>
    <s v="CONVENIO"/>
    <s v="VIALSUR"/>
    <m/>
    <m/>
    <n v="0"/>
    <s v="Limpieza de derrumbes a máquina"/>
    <s v="m3"/>
    <n v="1.46"/>
    <n v="6176"/>
    <d v="2014-01-01T00:00:00"/>
    <d v="2014-03-31T00:00:00"/>
    <s v="EJECUTADO"/>
    <n v="9016.9599999999991"/>
    <m/>
    <m/>
    <m/>
  </r>
  <r>
    <m/>
    <m/>
    <x v="1"/>
    <m/>
    <s v="CONVENIO DE MANTENIMIENTO DE LA VIA SOZORANGA - NUEVA FATIMA, CANTON SOZORANGA._x000a_Longtud 13,30KM"/>
    <x v="0"/>
    <x v="4"/>
    <s v="NUEVAFÁTIMA"/>
    <s v="CONVENIO"/>
    <s v="VIALSUR"/>
    <m/>
    <m/>
    <n v="0"/>
    <s v="Transporte de material de derrumbes (desalojo a escombrera)"/>
    <s v="m3/km"/>
    <n v="0.24"/>
    <n v="4328"/>
    <d v="2014-01-01T00:00:00"/>
    <d v="2014-03-31T00:00:00"/>
    <s v="EJECUTADO"/>
    <n v="1038.72"/>
    <m/>
    <m/>
    <m/>
  </r>
  <r>
    <m/>
    <m/>
    <x v="0"/>
    <m/>
    <s v="CONVENIO DE MANTENIMIENTO DE LA VIA SOZORANGA - NUEVA FATIMA, CANTON SOZORANGA._x000a_Longtud 13,30KM"/>
    <x v="0"/>
    <x v="4"/>
    <s v="NUEVAFÁTIMA"/>
    <s v="CONVENIO"/>
    <s v="VIALSUR"/>
    <m/>
    <m/>
    <n v="0"/>
    <s v="Transporte de material para mejoramiento, inc cargado"/>
    <s v="m3/km"/>
    <n v="0.35"/>
    <n v="95305.2"/>
    <d v="2014-01-01T00:00:00"/>
    <d v="2014-03-31T00:00:00"/>
    <s v="EJECUTADO"/>
    <n v="33356.82"/>
    <m/>
    <m/>
    <m/>
  </r>
  <r>
    <m/>
    <m/>
    <x v="1"/>
    <m/>
    <s v="CONVENIO DE MANTENIMIENTO DE LA VIA SOZORANGA - NUEVA FATIMA, CANTON SOZORANGA._x000a_Longtud 13,30KM"/>
    <x v="0"/>
    <x v="4"/>
    <s v="NUEVAFÁTIMA"/>
    <s v="CONVENIO"/>
    <s v="VIALSUR"/>
    <m/>
    <n v="9.74"/>
    <n v="0"/>
    <s v="Rasanteo y conformacion de cunetas con motoniveladora"/>
    <s v="m2"/>
    <n v="0.08"/>
    <n v="53520"/>
    <d v="2014-01-01T00:00:00"/>
    <d v="2014-03-31T00:00:00"/>
    <s v="EJECUTADO"/>
    <n v="4281.6000000000004"/>
    <m/>
    <m/>
    <m/>
  </r>
  <r>
    <m/>
    <m/>
    <x v="1"/>
    <m/>
    <s v="CONVENIO DE MANTENIMIENTO DE LA VIA SOZORANGA - NUEVA FATIMA, CANTON SOZORANGA._x000a_Longtud 13,30KM"/>
    <x v="0"/>
    <x v="4"/>
    <s v="NUEVAFÁTIMA"/>
    <s v="CONVENIO"/>
    <s v="VIALSUR"/>
    <m/>
    <n v="4.87"/>
    <n v="0"/>
    <s v="Acabado de Obra Básica existente"/>
    <s v="m2"/>
    <n v="0.35"/>
    <n v="26760"/>
    <d v="2014-01-01T00:00:00"/>
    <d v="2014-03-31T00:00:00"/>
    <s v="EJECUTADO"/>
    <n v="9366"/>
    <m/>
    <m/>
    <m/>
  </r>
  <r>
    <m/>
    <m/>
    <x v="0"/>
    <m/>
    <s v="CONVENIO DE MANTENIMIENTO DE LA VIA SOZORANGA - NUEVA FATIMA, CANTON SOZORANGA._x000a_Longtud 13,30KM"/>
    <x v="0"/>
    <x v="4"/>
    <s v="NUEVAFÁTIMA"/>
    <s v="CONVENIO"/>
    <s v="VIALSUR"/>
    <m/>
    <n v="10.79"/>
    <n v="0"/>
    <s v="Mejoramiento de la subrasante con suelo seleccionado"/>
    <s v="m3"/>
    <n v="5.92"/>
    <n v="11868"/>
    <d v="2014-01-01T00:00:00"/>
    <d v="2014-03-31T00:00:00"/>
    <s v="EJECUTADO"/>
    <n v="70258.559999999998"/>
    <m/>
    <m/>
    <m/>
  </r>
  <r>
    <m/>
    <m/>
    <x v="1"/>
    <m/>
    <s v="CONVENIO DE MANTENIMIENTO DE LA VIA SOZORANGA - NUEVA FATIMA, CANTON SOZORANGA._x000a_Longtud 13,30KM"/>
    <x v="0"/>
    <x v="4"/>
    <s v="NUEVAFÁTIMA"/>
    <s v="CONVENIO"/>
    <s v="VIALSUR"/>
    <m/>
    <m/>
    <n v="0"/>
    <s v="Limpieza de alcantarillas y desalojo hasta 6m"/>
    <s v="m3"/>
    <n v="16.128"/>
    <n v="410"/>
    <d v="2014-01-01T00:00:00"/>
    <d v="2014-03-31T00:00:00"/>
    <s v="EJECUTADO"/>
    <n v="6612.48"/>
    <m/>
    <m/>
    <m/>
  </r>
  <r>
    <m/>
    <m/>
    <x v="1"/>
    <m/>
    <s v="CONVENIO DE MANTENIMIENTO DE LA VIA SOZORANGA - NUEVA FATIMA, CANTON SOZORANGA._x000a_Longtud 13,30KM"/>
    <x v="0"/>
    <x v="4"/>
    <s v="NUEVAFÁTIMA"/>
    <s v="AD. DIRECTA"/>
    <s v="VIALSUR"/>
    <m/>
    <m/>
    <n v="0"/>
    <s v="Limpieza de derrumbes a máquina"/>
    <s v="m3"/>
    <n v="1.46"/>
    <n v="11950"/>
    <d v="2014-01-01T00:00:00"/>
    <d v="2014-05-31T00:00:00"/>
    <s v="EJECUTADO"/>
    <n v="17447"/>
    <m/>
    <m/>
    <m/>
  </r>
  <r>
    <m/>
    <m/>
    <x v="0"/>
    <s v="MANTENIMIENTO DE VIAS PARROQUIA TACAMOROS INICIO 16 DE SEPTIEMBRE 2014"/>
    <s v="MANTENIMIENTO DE VIAS PARROQUIA TACAMOROS INICIO 16 DE SEPTIEMBRE 2014"/>
    <x v="0"/>
    <x v="4"/>
    <s v="TACAMOROS"/>
    <s v="AD. DIRECTA"/>
    <s v="VIALSUR"/>
    <m/>
    <m/>
    <n v="0"/>
    <s v="Excavación sin clasificar a maquina (explotación de material) "/>
    <s v="m3"/>
    <n v="1.62"/>
    <n v="5120"/>
    <d v="2014-09-16T00:00:00"/>
    <d v="2014-11-30T00:00:00"/>
    <s v="EN EJECUCION"/>
    <n v="8294.4"/>
    <m/>
    <m/>
    <n v="61116.800000000003"/>
  </r>
  <r>
    <m/>
    <m/>
    <x v="0"/>
    <m/>
    <s v="MANTENIMIENTO DE VIAS PARROQUIA TACAMOROS INICIO 16 DE SEPTIEMBRE 2014"/>
    <x v="0"/>
    <x v="4"/>
    <s v="TACAMOROS"/>
    <s v="AD. DIRECTA"/>
    <s v="VIALSUR"/>
    <m/>
    <m/>
    <n v="0"/>
    <s v="Transporte de material para mejoramiento, inc cargado"/>
    <s v="m3/km"/>
    <n v="0.3"/>
    <n v="35840"/>
    <d v="2014-09-16T00:00:00"/>
    <d v="2014-11-30T00:00:00"/>
    <s v="EN EJECUCION"/>
    <n v="10752"/>
    <m/>
    <m/>
    <m/>
  </r>
  <r>
    <m/>
    <m/>
    <x v="0"/>
    <m/>
    <s v="MANTENIMIENTO DE VIAS PARROQUIA TACAMOROS INICIO 16 DE SEPTIEMBRE 2014"/>
    <x v="0"/>
    <x v="4"/>
    <s v="TACAMOROS"/>
    <s v="AD. DIRECTA"/>
    <s v="VIALSUR"/>
    <m/>
    <n v="4.6500000000000004"/>
    <n v="0"/>
    <s v="Mejoramiento de la subrasante con suelo seleccionado"/>
    <s v="m3"/>
    <n v="5.92"/>
    <n v="5120"/>
    <d v="2014-09-16T00:00:00"/>
    <d v="2014-11-30T00:00:00"/>
    <s v="EN EJECUCION"/>
    <n v="30310.400000000001"/>
    <m/>
    <m/>
    <m/>
  </r>
  <r>
    <m/>
    <m/>
    <x v="1"/>
    <m/>
    <s v="MANTENIMIENTO DE VIAS PARROQUIA TACAMOROS INICIO 16 DE SEPTIEMBRE 2014"/>
    <x v="0"/>
    <x v="4"/>
    <s v="TACAMOROS"/>
    <s v="AD. DIRECTA"/>
    <s v="VIALSUR"/>
    <m/>
    <n v="19.600000000000001"/>
    <n v="0"/>
    <s v="Resanteo a máquina ( incluye cunteas)"/>
    <s v="m3"/>
    <n v="0.1"/>
    <n v="117600"/>
    <d v="2014-09-16T00:00:00"/>
    <d v="2014-11-30T00:00:00"/>
    <s v="EN EJECUCION"/>
    <n v="11760"/>
    <m/>
    <m/>
    <m/>
  </r>
  <r>
    <m/>
    <m/>
    <x v="0"/>
    <s v="TERRACEO EN LA VIA SOZORANGA A NUEVA FATIMA"/>
    <s v="TERRACEO EN LA VIA SOZORANGA A NUEVA FATIMA"/>
    <x v="0"/>
    <x v="4"/>
    <s v="NUEVAFÁTIMA"/>
    <s v="AD. DIRECTA"/>
    <s v="VIALSUR"/>
    <m/>
    <m/>
    <m/>
    <s v="Excavación sin clasificar a maquina (explotación de material) "/>
    <s v="m3"/>
    <n v="1.62"/>
    <n v="6400"/>
    <d v="2014-11-01T00:00:00"/>
    <d v="2014-11-30T00:00:00"/>
    <s v="EN EJECUCION"/>
    <n v="10368"/>
    <m/>
    <m/>
    <n v="10368"/>
  </r>
  <r>
    <m/>
    <m/>
    <x v="0"/>
    <s v="APERTURA APROCHES AL PUENTE DE NAMBACOLA"/>
    <s v="APERTURA APROCHES AL PUENTE DE NAMBACOLA"/>
    <x v="0"/>
    <x v="0"/>
    <s v="NAMBACOLA"/>
    <s v="AD. DIRECTA"/>
    <s v="VIALSUR"/>
    <m/>
    <m/>
    <n v="0"/>
    <s v="Excavación sin clasificar a maquina (explotación de material) "/>
    <s v="m3"/>
    <n v="1.62"/>
    <n v="3240"/>
    <d v="2014-11-01T00:00:00"/>
    <d v="2014-11-30T00:00:00"/>
    <s v="EN EJECUCION"/>
    <n v="5248.8"/>
    <m/>
    <m/>
    <n v="12715.8"/>
  </r>
  <r>
    <m/>
    <m/>
    <x v="0"/>
    <m/>
    <s v="APERTURA APROCHES AL PUENTE DE NAMBACOLA"/>
    <x v="0"/>
    <x v="0"/>
    <s v="NAMBACOLA"/>
    <s v="AD. DIRECTA"/>
    <s v="VIALSUR"/>
    <m/>
    <m/>
    <n v="0"/>
    <s v="Transporte de material para mejoramiento, inc cargado"/>
    <s v="m3/km"/>
    <n v="0.3"/>
    <n v="50"/>
    <d v="2014-11-01T00:00:00"/>
    <d v="2014-11-30T00:00:00"/>
    <s v="EN EJECUCION"/>
    <n v="15"/>
    <m/>
    <m/>
    <m/>
  </r>
  <r>
    <m/>
    <m/>
    <x v="0"/>
    <m/>
    <s v="APERTURA APROCHES AL PUENTE DE NAMBACOLA"/>
    <x v="0"/>
    <x v="0"/>
    <s v="NAMBACOLA"/>
    <s v="AD. DIRECTA"/>
    <s v="VIALSUR"/>
    <m/>
    <n v="0.09"/>
    <n v="0"/>
    <s v="Mejoramiento de la subrasante con suelo seleccionado"/>
    <s v="m3"/>
    <n v="5.92"/>
    <n v="100"/>
    <d v="2014-11-01T00:00:00"/>
    <d v="2014-11-30T00:00:00"/>
    <s v="EN EJECUCION"/>
    <n v="592"/>
    <m/>
    <m/>
    <m/>
  </r>
  <r>
    <m/>
    <m/>
    <x v="0"/>
    <m/>
    <s v="APERTURA APROCHES AL PUENTE DE NAMBACOLA"/>
    <x v="0"/>
    <x v="0"/>
    <s v="NAMBACOLA"/>
    <s v="AD. DIRECTA"/>
    <s v="VIALSUR"/>
    <m/>
    <n v="0.33"/>
    <n v="0"/>
    <s v="Relleno Compactado a maquina"/>
    <s v="m3"/>
    <n v="3.5"/>
    <n v="1960"/>
    <d v="2014-11-01T00:00:00"/>
    <d v="2014-11-30T00:00:00"/>
    <s v="EN EJECUCION"/>
    <n v="6860"/>
    <m/>
    <m/>
    <m/>
  </r>
  <r>
    <m/>
    <m/>
    <x v="1"/>
    <s v="MANTENIMIENTO RUTINARIO VIAL EN LOS CANTONES CALVAS, ESPINDOLA, GONZANAMÁ, QUILANGA Y SOZORANGA (CONTRATO SIE-NRO.821-VIALSUR E.P.-2013)"/>
    <s v="MANTENIMIENTO RUTINARIO VIAL EN LOS CANTONES CALVAS, ESPINDOLA, GONZANAMÁ, QUILANGA Y SOZORANGA (CONTRATO SIE-NRO.821-VIALSUR E.P.-2013)"/>
    <x v="0"/>
    <x v="3"/>
    <s v="EL LUCERO"/>
    <s v="CONTRATO"/>
    <s v="VIALSUR"/>
    <n v="15.453333333333333"/>
    <n v="25.41"/>
    <n v="677.77777777777783"/>
    <s v="Rasanteo y conformacion de cunetas con motoniveladora"/>
    <s v="m2"/>
    <n v="0.08"/>
    <n v="139737.5"/>
    <d v="2014-01-01T00:00:00"/>
    <d v="2014-02-28T00:00:00"/>
    <s v="EJECUTADO"/>
    <n v="11179"/>
    <m/>
    <m/>
    <n v="11179"/>
  </r>
  <r>
    <m/>
    <m/>
    <x v="1"/>
    <s v="MANTENIMIENTO RUTINARIO VIAL EN LOS CANTONES CALVAS, ESPINDOLA, GONZANAMÁ, QUILANGA Y SOZORANGA (CONTRATO SIE-NRO.821-VIALSUR E.P.-2013)"/>
    <s v="MANTENIMIENTO RUTINARIO VIAL EN LOS CANTONES CALVAS, ESPINDOLA, GONZANAMÁ, QUILANGA Y SOZORANGA (CONTRATO SIE-NRO.821-VIALSUR E.P.-2013)"/>
    <x v="0"/>
    <x v="0"/>
    <s v="PURUNUMA"/>
    <s v="CONTRATO"/>
    <s v="VIALSUR"/>
    <n v="15.453333333333333"/>
    <n v="25.41"/>
    <n v="677.77777777777783"/>
    <s v="Rasanteo y conformacion de cunetas con motoniveladora"/>
    <s v="m2"/>
    <n v="0.08"/>
    <n v="139737.5"/>
    <d v="2014-01-01T00:00:00"/>
    <d v="2014-02-28T00:00:00"/>
    <s v="EJECUTADO"/>
    <n v="11179"/>
    <m/>
    <m/>
    <n v="11179"/>
  </r>
  <r>
    <m/>
    <m/>
    <x v="1"/>
    <s v="MANTENIMIENTO RUTINARIO VIAL EN LOS CANTONES CALVAS, ESPINDOLA, GONZANAMÁ, QUILANGA Y SOZORANGA (CONTRATO SIE-NRO.821-VIALSUR E.P.-2013)"/>
    <s v="MANTENIMIENTO RUTINARIO VIAL EN LOS CANTONES CALVAS, ESPINDOLA, GONZANAMÁ, QUILANGA Y SOZORANGA (CONTRATO SIE-NRO.821-VIALSUR E.P.-2013)"/>
    <x v="0"/>
    <x v="0"/>
    <s v="SACAPALCA"/>
    <s v="CONTRATO"/>
    <s v="VIALSUR"/>
    <n v="15.453333333333333"/>
    <n v="25.41"/>
    <n v="677.77777777777783"/>
    <s v="Rasanteo y conformacion de cunetas con motoniveladora"/>
    <s v="m2"/>
    <n v="0.08"/>
    <n v="139737.5"/>
    <d v="2014-01-01T00:00:00"/>
    <d v="2014-02-28T00:00:00"/>
    <s v="EJECUTADO"/>
    <n v="11179"/>
    <m/>
    <m/>
    <n v="11179"/>
  </r>
  <r>
    <m/>
    <m/>
    <x v="1"/>
    <s v="MANTENIMIENTO RUTINARIO VIAL EN LOS CANTONES CALVAS, ESPINDOLA, GONZANAMÁ, QUILANGA Y SOZORANGA (CONTRATO SIE-NRO.821-VIALSUR E.P.-2013)"/>
    <s v="MANTENIMIENTO RUTINARIO VIAL EN LOS CANTONES CALVAS, ESPINDOLA, GONZANAMÁ, QUILANGA Y SOZORANGA (CONTRATO SIE-NRO.821-VIALSUR E.P.-2013)"/>
    <x v="0"/>
    <x v="1"/>
    <s v="SANANTONIODELASARADAS"/>
    <s v="CONTRATO"/>
    <s v="VIALSUR"/>
    <n v="15.453333333333333"/>
    <n v="25.41"/>
    <n v="677.77777777777783"/>
    <s v="Rasanteo y conformacion de cunetas con motoniveladora"/>
    <s v="m2"/>
    <n v="0.08"/>
    <n v="139737.5"/>
    <d v="2014-01-01T00:00:00"/>
    <d v="2014-02-28T00:00:00"/>
    <s v="EJECUTADO"/>
    <n v="11179"/>
    <m/>
    <m/>
    <n v="11179"/>
  </r>
  <r>
    <m/>
    <m/>
    <x v="1"/>
    <s v="MANTENIMIENTO RUTINARIO VIAL EN LOS CANTONES CALVAS, ESPINDOLA, GONZANAMÁ, QUILANGA Y SOZORANGA (CONTRATO SIE-NRO.821-VIALSUR E.P.-2013)"/>
    <s v="MANTENIMIENTO RUTINARIO VIAL EN LOS CANTONES CALVAS, ESPINDOLA, GONZANAMÁ, QUILANGA Y SOZORANGA (CONTRATO SIE-NRO.821-VIALSUR E.P.-2013)"/>
    <x v="0"/>
    <x v="2"/>
    <s v="JIMBURA"/>
    <s v="CONTRATO"/>
    <s v="VIALSUR"/>
    <n v="15.453333333333333"/>
    <n v="25.41"/>
    <n v="677.77777777777783"/>
    <s v="Rasanteo y conformacion de cunetas con motoniveladora"/>
    <s v="m2"/>
    <n v="0.08"/>
    <n v="139737.5"/>
    <d v="2014-01-01T00:00:00"/>
    <d v="2014-02-28T00:00:00"/>
    <s v="EJECUTADO"/>
    <n v="11179"/>
    <m/>
    <m/>
    <n v="11179"/>
  </r>
  <r>
    <m/>
    <m/>
    <x v="3"/>
    <s v="ALCANTARILLA MULTIPLACA QUEBRADA DE AMINDURO"/>
    <s v="ALCANTARILLA MULTIPLACA QUEBRADA DE AMINDURO"/>
    <x v="0"/>
    <x v="1"/>
    <s v="QUILANGA"/>
    <s v="CONTRATO"/>
    <s v="VIALSUR"/>
    <m/>
    <m/>
    <n v="677.77777777777783"/>
    <s v="CONSTRUCCION DE ALCANTARILLA MULTIPLACA"/>
    <s v="GBL"/>
    <n v="1"/>
    <n v="14512.49"/>
    <d v="2014-01-01T00:00:00"/>
    <d v="2014-02-28T00:00:00"/>
    <s v="EJECUTADO"/>
    <n v="14512.49"/>
    <m/>
    <m/>
    <n v="14512.49"/>
  </r>
  <r>
    <m/>
    <m/>
    <x v="1"/>
    <s v="VÍA Y DE FUNDOCHAMBA - FUNDOCHAMBA, CANTON QUILANGA, L=2.9 K, trabajos del 13 al 22 de Noviembre del 2014."/>
    <s v="VÍA Y DE FUNDOCHAMBA - FUNDOCHAMBA, CANTON QUILANGA, L=2.9 K, trabajos del 13 al 22 de Noviembre del 2014."/>
    <x v="0"/>
    <x v="1"/>
    <s v="QUILANGA"/>
    <s v="AD. DIRECTA"/>
    <s v="VIALSUR"/>
    <n v="2.9"/>
    <n v="3.17"/>
    <n v="677.77777777777783"/>
    <s v="Acabado de Obra Básica existente"/>
    <s v="m2"/>
    <n v="0.35"/>
    <n v="17400"/>
    <d v="2014-11-13T00:00:00"/>
    <d v="2014-11-22T00:00:00"/>
    <s v="EJECUTADO"/>
    <n v="6090"/>
    <m/>
    <m/>
    <n v="6090"/>
  </r>
  <r>
    <m/>
    <m/>
    <x v="0"/>
    <s v="VÍA Y DE FUNDOCHAMBA - FUNDOCHAMBA, CANTON QUILANGA, L=2.9 K, trabajos del 13 al 22 de Noviembre del 2014."/>
    <s v="VÍA Y DE FUNDOCHAMBA - FUNDOCHAMBA, CANTON QUILANGA, L=2.9 K, trabajos del 13 al 22 de Noviembre del 2014."/>
    <x v="0"/>
    <x v="1"/>
    <s v="QUILANGA"/>
    <s v="AD. DIRECTA"/>
    <s v="VIALSUR"/>
    <m/>
    <n v="1.58"/>
    <m/>
    <s v="Mejoramiento de la subrasante con suelo seleccionado"/>
    <s v="m3"/>
    <n v="5.92"/>
    <n v="1740"/>
    <d v="2014-11-13T00:00:00"/>
    <d v="2014-11-22T00:00:00"/>
    <s v="EJECUTADO"/>
    <n v="10300.799999999999"/>
    <m/>
    <m/>
    <n v="10300.799999999999"/>
  </r>
  <r>
    <m/>
    <m/>
    <x v="0"/>
    <s v="VÍA Y DE FUNDOCHAMBA - FUNDOCHAMBA, CANTON QUILANGA, L=2.9 K, trabajos del 13 al 22 de Noviembre del 2014."/>
    <s v="VÍA Y DE FUNDOCHAMBA - FUNDOCHAMBA, CANTON QUILANGA, L=2.9 K, trabajos del 13 al 22 de Noviembre del 2014."/>
    <x v="0"/>
    <x v="1"/>
    <s v="QUILANGA"/>
    <s v="AD. DIRECTA"/>
    <s v="VIALSUR"/>
    <m/>
    <m/>
    <m/>
    <s v="Transporte de material de Mejoramiento"/>
    <s v="M3-KM"/>
    <n v="0.3"/>
    <n v="20880"/>
    <d v="2014-11-13T00:00:00"/>
    <d v="2014-11-22T00:00:00"/>
    <s v="EJECUTADO"/>
    <n v="6264"/>
    <m/>
    <m/>
    <n v="6264"/>
  </r>
  <r>
    <m/>
    <m/>
    <x v="1"/>
    <s v="VÍA FUNDOCHAMBA - EL SAUCE, CANTON QUILANGA, L=5 KM, trabajos del 13 al 22 de Noviembre del 2014."/>
    <s v="VÍA FUNDOCHAMBA - EL SAUCE, CANTON QUILANGA, L=5 KM, trabajos del 13 al 22 de Noviembre del 2014."/>
    <x v="0"/>
    <x v="1"/>
    <s v="QUILANGA"/>
    <s v="AD. DIRECTA"/>
    <s v="VIALSUR"/>
    <n v="5"/>
    <n v="4.55"/>
    <m/>
    <s v="Acabado de Obra Básica existente"/>
    <s v="m2"/>
    <n v="0.35"/>
    <n v="25000"/>
    <d v="2014-11-13T00:00:00"/>
    <d v="2014-11-22T00:00:00"/>
    <s v="EJECUTADO"/>
    <n v="8750"/>
    <m/>
    <m/>
    <n v="8750"/>
  </r>
  <r>
    <m/>
    <m/>
    <x v="0"/>
    <s v="VÍA FUNDOCHAMBA - EL SAUCE, CANTON QUILANGA, L=5 KM, trabajos del 13 al 22 de Noviembre del 2014."/>
    <s v="VÍA FUNDOCHAMBA - EL SAUCE, CANTON QUILANGA, L=5 KM, trabajos del 13 al 22 de Noviembre del 2014."/>
    <x v="0"/>
    <x v="1"/>
    <s v="QUILANGA"/>
    <s v="AD. DIRECTA"/>
    <s v="VIALSUR"/>
    <m/>
    <n v="1.7"/>
    <m/>
    <s v="Mejoramiento de la subrasante con suelo seleccionado"/>
    <s v="m3"/>
    <n v="5.92"/>
    <n v="1875"/>
    <d v="2014-11-13T00:00:00"/>
    <d v="2014-11-22T00:00:00"/>
    <s v="EJECUTADO"/>
    <n v="11100"/>
    <m/>
    <m/>
    <n v="11100"/>
  </r>
  <r>
    <m/>
    <m/>
    <x v="0"/>
    <s v="VÍA FUNDOCHAMBA - EL SAUCE, CANTON QUILANGA, L=5 KM, trabajos del 13 al 22 de Noviembre del 2014."/>
    <s v="VÍA FUNDOCHAMBA - EL SAUCE, CANTON QUILANGA, L=5 KM, trabajos del 13 al 22 de Noviembre del 2014."/>
    <x v="0"/>
    <x v="1"/>
    <s v="QUILANGA"/>
    <s v="AD. DIRECTA"/>
    <s v="VIALSUR"/>
    <m/>
    <m/>
    <m/>
    <s v="Transporte de material de Mejoramiento"/>
    <s v="M3-KM"/>
    <n v="0.3"/>
    <n v="4687.5"/>
    <d v="2014-11-13T00:00:00"/>
    <d v="2014-11-22T00:00:00"/>
    <s v="EJECUTADO"/>
    <n v="1406.25"/>
    <m/>
    <m/>
    <n v="1406.25"/>
  </r>
  <r>
    <m/>
    <m/>
    <x v="1"/>
    <s v="VÍA FUNDOCHAMBA - PUENTE DE QUIROZ, CANTON QUILANGA L=4.7 KM, trabajos del 13 al 22 de Noviembre del 2014."/>
    <s v="VÍA FUNDOCHAMBA - PUENTE DE QUIROZ, CANTON QUILANGA L=4.7 KM, trabajos del 13 al 22 de Noviembre del 2014."/>
    <x v="0"/>
    <x v="1"/>
    <s v="QUILANGA"/>
    <s v="AD. DIRECTA"/>
    <s v="VIALSUR"/>
    <n v="4.7"/>
    <n v="4.7"/>
    <m/>
    <s v="Acabado de Obra Básica existente"/>
    <s v="m2"/>
    <n v="0.35"/>
    <n v="25850"/>
    <d v="2014-11-13T00:00:00"/>
    <d v="2014-11-22T00:00:00"/>
    <s v="EJECUTADO"/>
    <n v="9047.5"/>
    <m/>
    <m/>
    <n v="9047.5"/>
  </r>
  <r>
    <m/>
    <m/>
    <x v="0"/>
    <s v="VÍA FUNDOCHAMBA - PUENTE DE QUIROZ, CANTON QUILANGA L=4.7 KM, trabajos del 13 al 22 de Noviembre del 2014."/>
    <s v="VÍA FUNDOCHAMBA - PUENTE DE QUIROZ, CANTON QUILANGA L=4.7 KM, trabajos del 13 al 22 de Noviembre del 2014."/>
    <x v="0"/>
    <x v="1"/>
    <s v="QUILANGA"/>
    <s v="AD. DIRECTA"/>
    <s v="VIALSUR"/>
    <m/>
    <n v="1.76"/>
    <m/>
    <s v="Mejoramiento de la subrasante con suelo seleccionado"/>
    <s v="m3"/>
    <n v="5.92"/>
    <n v="1938.75"/>
    <d v="2014-11-13T00:00:00"/>
    <d v="2014-11-22T00:00:00"/>
    <s v="EJECUTADO"/>
    <n v="11477.4"/>
    <m/>
    <m/>
    <n v="11477.4"/>
  </r>
  <r>
    <m/>
    <m/>
    <x v="0"/>
    <s v="VÍA FUNDOCHAMBA - PUENTE DE QUIROZ, CANTON QUILANGA L=4.7 KM, trabajos del 13 al 22 de Noviembre del 2014."/>
    <s v="VÍA FUNDOCHAMBA - PUENTE DE QUIROZ, CANTON QUILANGA L=4.7 KM, trabajos del 13 al 22 de Noviembre del 2014."/>
    <x v="0"/>
    <x v="1"/>
    <s v="QUILANGA"/>
    <s v="AD. DIRECTA"/>
    <s v="VIALSUR"/>
    <m/>
    <m/>
    <m/>
    <s v="Transporte de material de Mejoramiento"/>
    <s v="M3-KM"/>
    <n v="0.3"/>
    <n v="4846.875"/>
    <d v="2014-11-13T00:00:00"/>
    <d v="2014-11-22T00:00:00"/>
    <s v="EJECUTADO"/>
    <n v="1454.06"/>
    <m/>
    <m/>
    <n v="1454.06"/>
  </r>
  <r>
    <m/>
    <m/>
    <x v="1"/>
    <s v="VÍA PUENTE DE QUIROZ- SAN ANTONIO DE LAS ARADAS, CANTON QUILANGA L=5.2 KM, trabajos del 27 de Noviembre al 6 de Diciembre del 2014."/>
    <s v="VÍA PUENTE DE QUIROZ- SAN ANTONIO DE LAS ARADAS, CANTON QUILANGA L=5.2 KM, trabajos del 27 de Noviembre al 6 de Diciembre del 2014."/>
    <x v="0"/>
    <x v="1"/>
    <s v="QUILANGA"/>
    <s v="AD. DIRECTA"/>
    <s v="VIALSUR"/>
    <n v="5.2"/>
    <n v="5.2"/>
    <m/>
    <s v="Acabado de Obra Básica existente"/>
    <s v="m2"/>
    <n v="0.35"/>
    <n v="28600"/>
    <d v="2014-11-27T00:00:00"/>
    <d v="2014-12-06T00:00:00"/>
    <s v="EN EJECUCION"/>
    <n v="10010"/>
    <m/>
    <m/>
    <n v="10010"/>
  </r>
  <r>
    <m/>
    <m/>
    <x v="0"/>
    <s v="VÍA PUENTE DE QUIROZ- SAN ANTONIO DE LAS ARADAS, CANTON QUILANGA L=5.2 KM, trabajos del 27 de Noviembre al 6 de Diciembre del 2014."/>
    <s v="VÍA PUENTE DE QUIROZ- SAN ANTONIO DE LAS ARADAS, CANTON QUILANGA L=5.2 KM, trabajos del 27 de Noviembre al 6 de Diciembre del 2014."/>
    <x v="0"/>
    <x v="1"/>
    <s v="QUILANGA"/>
    <s v="AD. DIRECTA"/>
    <s v="VIALSUR"/>
    <m/>
    <n v="1.95"/>
    <m/>
    <s v="Mejoramiento de la subrasante con suelo seleccionado"/>
    <s v="m3"/>
    <n v="5.92"/>
    <n v="2145"/>
    <d v="2014-11-27T00:00:00"/>
    <d v="2014-12-06T00:00:00"/>
    <s v="EN EJECUCION"/>
    <n v="12698.4"/>
    <m/>
    <m/>
    <n v="12698.4"/>
  </r>
  <r>
    <m/>
    <m/>
    <x v="0"/>
    <s v="VÍA PUENTE DE QUIROZ- SAN ANTONIO DE LAS ARADAS, CANTON QUILANGA L=5.2 KM, trabajos del 27 de Noviembre al 6 de Diciembre del 2014."/>
    <s v="VÍA PUENTE DE QUIROZ- SAN ANTONIO DE LAS ARADAS, CANTON QUILANGA L=5.2 KM, trabajos del 27 de Noviembre al 6 de Diciembre del 2014."/>
    <x v="0"/>
    <x v="1"/>
    <s v="QUILANGA"/>
    <s v="AD. DIRECTA"/>
    <s v="VIALSUR"/>
    <m/>
    <m/>
    <m/>
    <s v="Transporte de material de Mejoramiento"/>
    <s v="M3-KM"/>
    <n v="0.3"/>
    <n v="27885"/>
    <d v="2014-11-27T00:00:00"/>
    <d v="2014-12-06T00:00:00"/>
    <s v="EN EJECUCION"/>
    <n v="8365.5"/>
    <m/>
    <m/>
    <n v="8365.5"/>
  </r>
  <r>
    <m/>
    <m/>
    <x v="1"/>
    <s v="VÍA SOCCHIBAMBA AMALUZA, CANTON ESPINDOLA L=3.1 KM, trabajos del 20 al 23 de Noviembre del 2014."/>
    <s v="VÍA SOCCHIBAMBA AMALUZA, CANTON ESPINDOLA L=3.1 KM, trabajos del 20 al 23 de Noviembre del 2014."/>
    <x v="0"/>
    <x v="2"/>
    <s v="AMALUZA"/>
    <s v="AD. DIRECTA"/>
    <s v="VIALSUR"/>
    <n v="5.2"/>
    <n v="2.82"/>
    <m/>
    <s v="Acabado de Obra Básica existente"/>
    <s v="m2"/>
    <n v="0.35"/>
    <n v="15500"/>
    <d v="2014-11-20T00:00:00"/>
    <d v="2014-11-23T00:00:00"/>
    <s v="EJECUTADO"/>
    <n v="5425"/>
    <m/>
    <m/>
    <n v="5425"/>
  </r>
  <r>
    <m/>
    <m/>
    <x v="0"/>
    <s v="VÍA SOCCHIBAMBA AMALUZA, CANTON ESPINDOLA L=3.1 KM, trabajos del 20 al 23 de Noviembre del 2014."/>
    <s v="VÍA SOCCHIBAMBA AMALUZA, CANTON ESPINDOLA L=3.1 KM, trabajos del 20 al 23 de Noviembre del 2014."/>
    <x v="0"/>
    <x v="2"/>
    <s v="AMALUZA"/>
    <s v="AD. DIRECTA"/>
    <s v="VIALSUR"/>
    <m/>
    <n v="1.41"/>
    <m/>
    <s v="Mejoramiento de la subrasante con suelo seleccionado"/>
    <s v="m3"/>
    <n v="5.92"/>
    <n v="1550"/>
    <d v="2014-11-20T00:00:00"/>
    <d v="2014-11-23T00:00:00"/>
    <s v="EJECUTADO"/>
    <n v="9176"/>
    <m/>
    <m/>
    <n v="9176"/>
  </r>
  <r>
    <m/>
    <m/>
    <x v="0"/>
    <s v="VÍA SOCCHIBAMBA AMALUZA, CANTON ESPINDOLA L=3.1 KM, trabajos del 20 al 23 de Noviembre del 2014."/>
    <s v="VÍA SOCCHIBAMBA AMALUZA, CANTON ESPINDOLA L=3.1 KM, trabajos del 20 al 23 de Noviembre del 2014."/>
    <x v="0"/>
    <x v="2"/>
    <s v="AMALUZA"/>
    <s v="AD. DIRECTA"/>
    <s v="VIALSUR"/>
    <m/>
    <m/>
    <m/>
    <s v="Transporte de material de Mejoramiento"/>
    <s v="M3-KM"/>
    <n v="0.3"/>
    <n v="6975"/>
    <d v="2014-11-20T00:00:00"/>
    <d v="2014-11-23T00:00:00"/>
    <s v="EJECUTADO"/>
    <n v="2092.5"/>
    <m/>
    <m/>
    <n v="2092.5"/>
  </r>
  <r>
    <m/>
    <m/>
    <x v="1"/>
    <s v="VÍA AMALUZA JIMBURA, CANTON ESPINDOLA L=16.8 KM, trabajos se inician el 23 de Noviembre del 2014"/>
    <s v="VÍA AMALUZA JIMBURA, CANTON ESPINDOLA L=16.8 KM, trabajos se inician el 23 de Noviembre del 2014"/>
    <x v="0"/>
    <x v="2"/>
    <s v="JIMBURA"/>
    <s v="AD. DIRECTA"/>
    <s v="VIALSUR"/>
    <n v="16.8"/>
    <n v="1.34"/>
    <m/>
    <s v="Acabado de Obra Básica existente"/>
    <s v="m2"/>
    <n v="0.35"/>
    <n v="7349.9999999999991"/>
    <d v="2014-11-23T00:00:00"/>
    <m/>
    <s v="EJECUTADO"/>
    <n v="2572.5"/>
    <m/>
    <m/>
    <n v="2572.5"/>
  </r>
  <r>
    <m/>
    <m/>
    <x v="0"/>
    <s v="VÍA AMALUZA JIMBURA, CANTON ESPINDOLA L=16.8 KM, trabajos se inician el 23 de Noviembre del 2014"/>
    <s v="VÍA AMALUZA JIMBURA, CANTON ESPINDOLA L=16.8 KM, trabajos se inician el 23 de Noviembre del 2014"/>
    <x v="0"/>
    <x v="2"/>
    <s v="JIMBURA"/>
    <s v="AD. DIRECTA"/>
    <s v="VIALSUR"/>
    <m/>
    <n v="11.3"/>
    <m/>
    <s v="Mejoramiento de la subrasante con suelo seleccionado"/>
    <s v="m3"/>
    <n v="5.92"/>
    <n v="12432"/>
    <d v="2014-11-23T00:00:00"/>
    <m/>
    <s v="EJECUTADO"/>
    <n v="73597.440000000002"/>
    <m/>
    <m/>
    <n v="73597.440000000002"/>
  </r>
  <r>
    <m/>
    <m/>
    <x v="0"/>
    <s v="VÍA AMALUZA JIMBURA, CANTON ESPINDOLA L=16.8 KM, trabajos se inician el 23 de Noviembre del 2014"/>
    <s v="VÍA AMALUZA JIMBURA, CANTON ESPINDOLA L=16.8 KM, trabajos se inician el 23 de Noviembre del 2014"/>
    <x v="0"/>
    <x v="2"/>
    <s v="JIMBURA"/>
    <s v="AD. DIRECTA"/>
    <s v="VIALSUR"/>
    <m/>
    <m/>
    <m/>
    <s v="Transporte de material de Mejoramiento"/>
    <s v="M3-KM"/>
    <n v="0.3"/>
    <n v="5292"/>
    <d v="2014-11-23T00:00:00"/>
    <m/>
    <s v="EJECUTADO"/>
    <n v="1587.6"/>
    <m/>
    <m/>
    <n v="1587.6"/>
  </r>
  <r>
    <m/>
    <m/>
    <x v="1"/>
    <s v="VÍA JIMBURA EL CEMENTERIO, CANTON ESPINDOLA L=0.8 KM, trabajos se inician el 23 de Noviembre del 2014"/>
    <s v="VÍA JIMBURA EL CEMENTERIO, CANTON ESPINDOLA L=0.8 KM, trabajos se inician el 23 de Noviembre del 2014"/>
    <x v="0"/>
    <x v="2"/>
    <s v="JIMBURA"/>
    <s v="AD. DIRECTA"/>
    <s v="VIALSUR"/>
    <n v="0.8"/>
    <n v="0.23"/>
    <m/>
    <s v="Acabado de Obra Básica existente"/>
    <s v="m2"/>
    <n v="0.35"/>
    <n v="1260"/>
    <d v="2014-11-23T00:00:00"/>
    <m/>
    <s v="EJECUTADO"/>
    <n v="441"/>
    <m/>
    <m/>
    <n v="441"/>
  </r>
  <r>
    <m/>
    <m/>
    <x v="0"/>
    <s v="VÍA JIMBURA EL CEMENTERIO, CANTON ESPINDOLA L=0.8 KM, trabajos se inician el 23 de Noviembre del 2014"/>
    <s v="VÍA JIMBURA EL CEMENTERIO, CANTON ESPINDOLA L=0.8 KM, trabajos se inician el 23 de Noviembre del 2014"/>
    <x v="0"/>
    <x v="2"/>
    <s v="JIMBURA"/>
    <s v="AD. DIRECTA"/>
    <s v="VIALSUR"/>
    <m/>
    <n v="2.91"/>
    <m/>
    <s v="Mejoramiento de la subrasante con suelo seleccionado"/>
    <s v="m3"/>
    <n v="5.92"/>
    <n v="3196.8"/>
    <d v="2014-11-23T00:00:00"/>
    <m/>
    <s v="EJECUTADO"/>
    <n v="18925.060000000001"/>
    <m/>
    <m/>
    <n v="18925.060000000001"/>
  </r>
  <r>
    <m/>
    <m/>
    <x v="0"/>
    <s v="VÍA JIMBURA EL CEMENTERIO, CANTON ESPINDOLA L=0.8 KM, trabajos se inician el 23 de Noviembre del 2014"/>
    <s v="VÍA JIMBURA EL CEMENTERIO, CANTON ESPINDOLA L=0.8 KM, trabajos se inician el 23 de Noviembre del 2014"/>
    <x v="0"/>
    <x v="2"/>
    <s v="JIMBURA"/>
    <s v="AD. DIRECTA"/>
    <s v="VIALSUR"/>
    <m/>
    <m/>
    <m/>
    <s v="Transporte de material de Mejoramiento"/>
    <s v="M3-KM"/>
    <n v="0.3"/>
    <n v="1458"/>
    <d v="2014-11-23T00:00:00"/>
    <m/>
    <s v="EJECUTADO"/>
    <n v="437.4"/>
    <m/>
    <m/>
    <n v="437.4"/>
  </r>
  <r>
    <m/>
    <m/>
    <x v="1"/>
    <s v="VÍA JIMBURA EL SALADO, CANTON ESPINDOLA L=0.8 KM, trabajos se ejecutaron el 23 de Noviembre del 2014"/>
    <s v="VÍA JIMBURA EL SALADO, CANTON ESPINDOLA L=0.8 KM, trabajos se ejecutaron el 23 de Noviembre del 2014"/>
    <x v="0"/>
    <x v="2"/>
    <s v="JIMBURA"/>
    <s v="AD. DIRECTA"/>
    <s v="VIALSUR"/>
    <n v="0.8"/>
    <n v="0.23"/>
    <m/>
    <s v="Acabado de Obra Básica existente"/>
    <s v="m2"/>
    <n v="0.35"/>
    <n v="1260"/>
    <d v="2014-11-23T00:00:00"/>
    <m/>
    <s v="EJECUTADO"/>
    <n v="441"/>
    <m/>
    <m/>
    <n v="441"/>
  </r>
  <r>
    <m/>
    <m/>
    <x v="1"/>
    <s v="MANTENIMIENTO DE VIAS PARROQUIA TACAMOROS inicio 16 sept 2014  "/>
    <s v="MANTENIMIENTO DE VIAS PARROQUIA TACAMOROS inicio 16 sept 2014  "/>
    <x v="0"/>
    <x v="4"/>
    <s v="TACAMOROS"/>
    <s v="AD. DIRECTA"/>
    <s v="VIALSUR"/>
    <m/>
    <n v="1.46"/>
    <m/>
    <s v="Excavación sin clasificar a maquina (explotación de material) "/>
    <s v="m3"/>
    <n v="1.62"/>
    <n v="8010"/>
    <d v="2014-09-16T00:00:00"/>
    <m/>
    <s v="EJECUTADO"/>
    <n v="12976.2"/>
    <m/>
    <m/>
    <n v="12976.2"/>
  </r>
  <r>
    <m/>
    <m/>
    <x v="0"/>
    <s v="MANTENIMIENTO DE VIAS PARROQUIA TACAMOROS inicio 16 sept 2014  "/>
    <s v="MANTENIMIENTO DE VIAS PARROQUIA TACAMOROS inicio 16 sept 2014  "/>
    <x v="0"/>
    <x v="4"/>
    <s v="TACAMOROS"/>
    <s v="AD. DIRECTA"/>
    <s v="VIALSUR"/>
    <m/>
    <m/>
    <m/>
    <s v="Transporte de material para mejoramiento, inc cargado"/>
    <s v="m3/km"/>
    <n v="0.3"/>
    <n v="35840"/>
    <d v="2014-09-16T00:00:00"/>
    <m/>
    <s v="EJECUTADO"/>
    <n v="10752"/>
    <m/>
    <m/>
    <n v="10752"/>
  </r>
  <r>
    <m/>
    <m/>
    <x v="0"/>
    <s v="MANTENIMIENTO DE VIAS PARROQUIA TACAMOROS inicio 16 sept 2014  "/>
    <s v="MANTENIMIENTO DE VIAS PARROQUIA TACAMOROS inicio 16 sept 2014  "/>
    <x v="0"/>
    <x v="4"/>
    <s v="TACAMOROS"/>
    <s v="AD. DIRECTA"/>
    <s v="VIALSUR"/>
    <m/>
    <m/>
    <m/>
    <s v="Mejoramiento de la subrasante con suelo seleccionado"/>
    <s v="m3"/>
    <n v="5.92"/>
    <n v="5120"/>
    <d v="2014-09-16T00:00:00"/>
    <m/>
    <s v="EJECUTADO"/>
    <n v="30310.400000000001"/>
    <m/>
    <m/>
    <n v="30310.400000000001"/>
  </r>
  <r>
    <m/>
    <m/>
    <x v="1"/>
    <s v="MANTENIMIENTO DE VIAS PARROQUIA TACAMOROS inicio 16 sept 2014  "/>
    <s v="MANTENIMIENTO DE VIAS PARROQUIA TACAMOROS inicio 16 sept 2014  "/>
    <x v="0"/>
    <x v="4"/>
    <s v="TACAMOROS"/>
    <s v="AD. DIRECTA"/>
    <s v="VIALSUR"/>
    <m/>
    <m/>
    <m/>
    <s v="Resanteo a máquina (incluye cunetas)"/>
    <s v="m2"/>
    <n v="0.1"/>
    <n v="150600"/>
    <d v="2014-09-16T00:00:00"/>
    <m/>
    <s v="EJECUTADO"/>
    <n v="15060"/>
    <m/>
    <m/>
    <n v="15060"/>
  </r>
  <r>
    <m/>
    <m/>
    <x v="1"/>
    <s v="MANTENIMIENTO DE VIAS PARROQUIA TACAMOROS inicio 16 sept 2014  "/>
    <s v="MANTENIMIENTO DE VIAS PARROQUIA TACAMOROS inicio 16 sept 2014  "/>
    <x v="0"/>
    <x v="4"/>
    <s v="TACAMOROS"/>
    <s v="AD. DIRECTA"/>
    <s v="VIALSUR"/>
    <m/>
    <m/>
    <m/>
    <s v="Acabado de Obra Básica existente"/>
    <s v="m2"/>
    <n v="0.35"/>
    <n v="5850"/>
    <d v="2014-09-16T00:00:00"/>
    <m/>
    <s v="EJECUTADO"/>
    <n v="2047.5"/>
    <m/>
    <m/>
    <n v="2047.5"/>
  </r>
  <r>
    <m/>
    <m/>
    <x v="1"/>
    <s v="NUEVA FATIMA TERRACEO VIA PRINCIPAL Y EXPLOTACION DE MATERIAL PARA VIAS RURALES DE LA PARROQUIA, COORDINACION CON MUNICIPIO"/>
    <s v="NUEVA FATIMA TERRACEO VIA PRINCIPAL Y EXPLOTACION DE MATERIAL PARA VIAS RURALES DE LA PARROQUIA, COORDINACION CON MUNICIPIO"/>
    <x v="0"/>
    <x v="4"/>
    <s v="NUEVAFÁTIMA"/>
    <s v="AD. DIRECTA"/>
    <s v="VIALSUR"/>
    <m/>
    <m/>
    <m/>
    <s v="Excavación sin clasificar a maquina (explotación de material) "/>
    <s v="m3"/>
    <n v="1.62"/>
    <n v="11136"/>
    <d v="2014-09-16T00:00:00"/>
    <m/>
    <s v="EJECUTADO"/>
    <n v="18040.32"/>
    <m/>
    <m/>
    <n v="18040.32"/>
  </r>
  <r>
    <m/>
    <m/>
    <x v="4"/>
    <s v="PAGO DE RAJUSTE DE PRECIOS DE LA VIA CARIAMANGA EL LUCERO RIO PINDO"/>
    <s v="PAGO DE RAJUSTE DE PRECIOS DE LA VIA CARIAMANGA EL LUCERO RIO PINDO"/>
    <x v="0"/>
    <x v="3"/>
    <s v="CARIAMANGA"/>
    <s v="CONTRATO"/>
    <s v="VIALSUR"/>
    <m/>
    <m/>
    <n v="677.77777777777783"/>
    <s v="ASFALTADO DE LA VIA CARIAMANGA EL LUCERO RIO PINDO"/>
    <s v="GBL"/>
    <n v="1"/>
    <n v="843163.44"/>
    <d v="2014-01-01T00:00:00"/>
    <d v="2014-02-28T00:00:00"/>
    <s v="EJECUTADO"/>
    <n v="843163.44"/>
    <m/>
    <m/>
    <n v="843163.44"/>
  </r>
  <r>
    <m/>
    <m/>
    <x v="1"/>
    <s v="MANTENIMIENTO RUTINARIO VIAL EN LOS CANTONES CALVAS, ESPINDOLA, GONZANAMÁ, QUILANGA Y SOZORANGA (CONTRATO SIE-NRO.821-VIALSUR E.P.-2013)"/>
    <s v="MANTENIMIENTO RUTINARIO VIAL EN LOS CANTONES CALVAS, ESPINDOLA, GONZANAMÁ, QUILANGA Y SOZORANGA (CONTRATO SIE-NRO.821-VIALSUR E.P.-2013)"/>
    <x v="0"/>
    <x v="4"/>
    <s v="SOZORANGA"/>
    <s v="CONTRATO"/>
    <s v="VIALSUR"/>
    <m/>
    <n v="25.41"/>
    <n v="677.77777777777783"/>
    <s v="Rasanteo y conformacion de cunetas con motoniveladora"/>
    <s v="m2"/>
    <n v="0.08"/>
    <n v="139737.5"/>
    <d v="2014-01-01T00:00:00"/>
    <d v="2014-02-28T00:00:00"/>
    <s v="EJECUTADO"/>
    <n v="11179"/>
    <m/>
    <m/>
    <n v="11179"/>
  </r>
  <r>
    <m/>
    <m/>
    <x v="1"/>
    <s v="VIA MERCADILLO CHITOQUE GAUTUNUMA"/>
    <s v="VIA MERCADILLO CHITOQUE GAUTUNUMA"/>
    <x v="1"/>
    <x v="5"/>
    <s v="MERCADILLO"/>
    <s v="AD. DIRECTA"/>
    <s v="VIALSUR"/>
    <n v="9"/>
    <m/>
    <n v="489"/>
    <s v="Roza a mano"/>
    <s v="Ha"/>
    <n v="948.16"/>
    <n v="1"/>
    <d v="2014-09-01T00:00:00"/>
    <d v="2014-10-30T00:00:00"/>
    <s v="EJECUTADO"/>
    <n v="948.16"/>
    <m/>
    <m/>
    <n v="29781.91"/>
  </r>
  <r>
    <m/>
    <m/>
    <x v="0"/>
    <m/>
    <s v="VIA MERCADILLO CHITOQUE GAUTUNUMA"/>
    <x v="1"/>
    <x v="5"/>
    <s v="MERCADILLO"/>
    <s v="AD. DIRECTA"/>
    <s v="VIALSUR"/>
    <m/>
    <m/>
    <n v="0"/>
    <s v="Excavación sin clasificar a máquina"/>
    <s v="m3"/>
    <n v="1.62"/>
    <n v="3000"/>
    <d v="2014-09-01T00:00:00"/>
    <d v="2014-10-30T00:00:00"/>
    <s v="EJECUTADO"/>
    <n v="4860"/>
    <m/>
    <m/>
    <m/>
  </r>
  <r>
    <m/>
    <m/>
    <x v="1"/>
    <m/>
    <s v="VIA MERCADILLO CHITOQUE GAUTUNUMA"/>
    <x v="1"/>
    <x v="5"/>
    <s v="MERCADILLO"/>
    <s v="AD. DIRECTA"/>
    <s v="VIALSUR"/>
    <m/>
    <m/>
    <n v="0"/>
    <s v="Limpieza de derrumbes a máquina"/>
    <s v="m3"/>
    <n v="1.46"/>
    <n v="600"/>
    <d v="2014-09-01T00:00:00"/>
    <d v="2014-10-30T00:00:00"/>
    <s v="EJECUTADO"/>
    <n v="876"/>
    <m/>
    <m/>
    <m/>
  </r>
  <r>
    <m/>
    <m/>
    <x v="1"/>
    <m/>
    <s v="VIA MERCADILLO CHITOQUE GAUTUNUMA"/>
    <x v="1"/>
    <x v="5"/>
    <s v="MERCADILLO"/>
    <s v="AD. DIRECTA"/>
    <s v="VIALSUR"/>
    <m/>
    <m/>
    <n v="0"/>
    <s v="Limpieza de cunetas y alcantarillas a maquina"/>
    <s v="m3"/>
    <n v="1.46"/>
    <n v="150"/>
    <d v="2014-09-01T00:00:00"/>
    <d v="2014-10-30T00:00:00"/>
    <s v="EJECUTADO"/>
    <n v="219"/>
    <m/>
    <m/>
    <m/>
  </r>
  <r>
    <m/>
    <m/>
    <x v="1"/>
    <m/>
    <s v="VIA MERCADILLO CHITOQUE GAUTUNUMA"/>
    <x v="1"/>
    <x v="5"/>
    <s v="MERCADILLO"/>
    <s v="AD. DIRECTA"/>
    <s v="VIALSUR"/>
    <m/>
    <m/>
    <n v="0"/>
    <s v="Transporte de material excavado ( desalojo de escombrera)"/>
    <s v="m3/km"/>
    <n v="0.3"/>
    <n v="9000"/>
    <d v="2014-09-01T00:00:00"/>
    <d v="2014-10-30T00:00:00"/>
    <s v="EJECUTADO"/>
    <n v="2700"/>
    <m/>
    <m/>
    <m/>
  </r>
  <r>
    <m/>
    <m/>
    <x v="0"/>
    <m/>
    <s v="VIA MERCADILLO CHITOQUE GAUTUNUMA"/>
    <x v="1"/>
    <x v="5"/>
    <s v="MERCADILLO"/>
    <s v="AD. DIRECTA"/>
    <s v="VIALSUR"/>
    <m/>
    <m/>
    <n v="0"/>
    <s v="Transporte de material de mejoramiento, inc cargado"/>
    <s v="m3/km"/>
    <n v="0.3"/>
    <n v="2812.5"/>
    <d v="2014-09-01T00:00:00"/>
    <d v="2014-10-30T00:00:00"/>
    <s v="EJECUTADO"/>
    <n v="843.75"/>
    <m/>
    <m/>
    <m/>
  </r>
  <r>
    <m/>
    <m/>
    <x v="1"/>
    <m/>
    <s v="VIA MERCADILLO CHITOQUE GAUTUNUMA"/>
    <x v="1"/>
    <x v="5"/>
    <s v="MERCADILLO"/>
    <s v="AD. DIRECTA"/>
    <s v="VIALSUR"/>
    <m/>
    <n v="10.91"/>
    <n v="0"/>
    <s v="Rasanteo y conformacion de cunetas con motoniveladora"/>
    <s v="m2"/>
    <n v="0.08"/>
    <n v="60000"/>
    <d v="2014-09-01T00:00:00"/>
    <d v="2014-10-30T00:00:00"/>
    <s v="EJECUTADO"/>
    <n v="4800"/>
    <m/>
    <m/>
    <m/>
  </r>
  <r>
    <m/>
    <m/>
    <x v="1"/>
    <m/>
    <s v="VIA MERCADILLO CHITOQUE GAUTUNUMA"/>
    <x v="1"/>
    <x v="5"/>
    <s v="MERCADILLO"/>
    <s v="AD. DIRECTA"/>
    <s v="VIALSUR"/>
    <m/>
    <n v="4.0999999999999996"/>
    <n v="0"/>
    <s v="Reconformación de la rasante"/>
    <s v="m2"/>
    <n v="0.35"/>
    <n v="22500"/>
    <d v="2014-09-01T00:00:00"/>
    <d v="2014-10-30T00:00:00"/>
    <s v="EJECUTADO"/>
    <n v="7875"/>
    <m/>
    <m/>
    <m/>
  </r>
  <r>
    <m/>
    <m/>
    <x v="0"/>
    <m/>
    <s v="VIA MERCADILLO CHITOQUE GAUTUNUMA"/>
    <x v="1"/>
    <x v="5"/>
    <s v="MERCADILLO"/>
    <s v="AD. DIRECTA"/>
    <s v="VIALSUR"/>
    <m/>
    <n v="1.02"/>
    <n v="0"/>
    <s v="Mejoramiento de la subrasante con suelo seleccionado"/>
    <s v="m3"/>
    <n v="5.92"/>
    <n v="1125"/>
    <d v="2014-09-01T00:00:00"/>
    <d v="2014-10-30T00:00:00"/>
    <s v="EJECUTADO"/>
    <n v="6660"/>
    <m/>
    <m/>
    <m/>
  </r>
  <r>
    <m/>
    <m/>
    <x v="1"/>
    <s v="VIA TACAMOROS - LA VICTORIA - LA BOCANA- EL LIMON; TRAMO - TACAMOROS - LA VICTORIA L= 14 KM._x000a_(PARALIZADO POR INVIERNO)"/>
    <s v="VIA TACAMOROS - LA VICTORIA - LA BOCANA- EL LIMON; TRAMO - TACAMOROS - LA VICTORIA L= 14 KM._x000a_(PARALIZADO POR INVIERNO)"/>
    <x v="1"/>
    <x v="6"/>
    <s v="LA VICTORIA"/>
    <s v="AD. DIRECTA"/>
    <s v="VIALSUR"/>
    <n v="14"/>
    <m/>
    <n v="1077"/>
    <s v="Roza a mano"/>
    <s v="Ha"/>
    <n v="948.16"/>
    <n v="0"/>
    <d v="2014-01-01T00:00:00"/>
    <d v="2014-01-31T00:00:00"/>
    <s v="EJECUTADO"/>
    <n v="0"/>
    <m/>
    <m/>
    <n v="44877.760000000002"/>
  </r>
  <r>
    <m/>
    <m/>
    <x v="0"/>
    <m/>
    <s v="VIA TACAMOROS - LA VICTORIA - LA BOCANA- EL LIMON; TRAMO - TACAMOROS - LA VICTORIA L= 14 KM._x000a_(PARALIZADO POR INVIERNO)"/>
    <x v="1"/>
    <x v="6"/>
    <s v="LA VICTORIA"/>
    <s v="AD. DIRECTA"/>
    <s v="VIALSUR"/>
    <m/>
    <m/>
    <n v="0"/>
    <s v="Excavación sin clasificar a máquina"/>
    <s v="m3"/>
    <n v="1.62"/>
    <n v="4884"/>
    <d v="2014-01-01T00:00:00"/>
    <d v="2014-02-28T00:00:00"/>
    <s v="EJECUTADO"/>
    <n v="7912.08"/>
    <m/>
    <m/>
    <m/>
  </r>
  <r>
    <m/>
    <m/>
    <x v="1"/>
    <m/>
    <s v="VIA TACAMOROS - LA VICTORIA - LA BOCANA- EL LIMON; TRAMO - TACAMOROS - LA VICTORIA L= 14 KM._x000a_(PARALIZADO POR INVIERNO)"/>
    <x v="1"/>
    <x v="6"/>
    <s v="LA VICTORIA"/>
    <s v="AD. DIRECTA"/>
    <s v="VIALSUR"/>
    <m/>
    <m/>
    <n v="0"/>
    <s v="Limpieza de derrumbes a máquina"/>
    <s v="m3"/>
    <n v="1.46"/>
    <n v="3300"/>
    <d v="2014-01-01T00:00:00"/>
    <d v="2014-02-28T00:00:00"/>
    <s v="EJECUTADO"/>
    <n v="4818"/>
    <m/>
    <m/>
    <m/>
  </r>
  <r>
    <m/>
    <m/>
    <x v="1"/>
    <m/>
    <s v="VIA TACAMOROS - LA VICTORIA - LA BOCANA- EL LIMON; TRAMO - TACAMOROS - LA VICTORIA L= 14 KM._x000a_(PARALIZADO POR INVIERNO)"/>
    <x v="1"/>
    <x v="6"/>
    <s v="LA VICTORIA"/>
    <s v="AD. DIRECTA"/>
    <s v="VIALSUR"/>
    <m/>
    <m/>
    <n v="0"/>
    <s v="Limpieza de cunetas y alcantarillas a maquina"/>
    <s v="m3"/>
    <n v="1.47"/>
    <n v="0"/>
    <d v="2014-01-01T00:00:00"/>
    <d v="2014-01-31T00:00:00"/>
    <s v="EJECUTADO"/>
    <n v="0"/>
    <m/>
    <m/>
    <m/>
  </r>
  <r>
    <m/>
    <m/>
    <x v="1"/>
    <m/>
    <s v="VIA TACAMOROS - LA VICTORIA - LA BOCANA- EL LIMON; TRAMO - TACAMOROS - LA VICTORIA L= 14 KM._x000a_(PARALIZADO POR INVIERNO)"/>
    <x v="1"/>
    <x v="6"/>
    <s v="LA VICTORIA"/>
    <s v="AD. DIRECTA"/>
    <s v="VIALSUR"/>
    <m/>
    <m/>
    <n v="0"/>
    <s v="Transporte de material excavado ( desalojo de escombrera)"/>
    <s v="m3/km"/>
    <n v="0.3"/>
    <n v="0"/>
    <d v="2014-01-01T00:00:00"/>
    <d v="2014-01-31T00:00:00"/>
    <s v="EJECUTADO"/>
    <n v="0"/>
    <m/>
    <m/>
    <m/>
  </r>
  <r>
    <m/>
    <m/>
    <x v="0"/>
    <m/>
    <s v="VIA TACAMOROS - LA VICTORIA - LA BOCANA- EL LIMON; TRAMO - TACAMOROS - LA VICTORIA L= 14 KM._x000a_(PARALIZADO POR INVIERNO)"/>
    <x v="1"/>
    <x v="6"/>
    <s v="LA VICTORIA"/>
    <s v="AD. DIRECTA"/>
    <s v="VIALSUR"/>
    <m/>
    <m/>
    <n v="0"/>
    <s v="Transporte de material de mejoramiento, inc cargado"/>
    <s v="m3/km"/>
    <n v="0.3"/>
    <n v="32520"/>
    <d v="2014-01-01T00:00:00"/>
    <d v="2014-02-28T00:00:00"/>
    <s v="EJECUTADO"/>
    <n v="9756"/>
    <m/>
    <m/>
    <m/>
  </r>
  <r>
    <m/>
    <m/>
    <x v="1"/>
    <m/>
    <s v="VIA TACAMOROS - LA VICTORIA - LA BOCANA- EL LIMON; TRAMO - TACAMOROS - LA VICTORIA L= 14 KM._x000a_(PARALIZADO POR INVIERNO)"/>
    <x v="1"/>
    <x v="6"/>
    <s v="LA VICTORIA"/>
    <s v="AD. DIRECTA"/>
    <s v="VIALSUR"/>
    <m/>
    <n v="11.82"/>
    <n v="0"/>
    <s v="Rasanteo y conformacion de cunetas con motoniveladora"/>
    <s v="m2"/>
    <n v="0.08"/>
    <n v="65000"/>
    <d v="2014-01-01T00:00:00"/>
    <d v="2014-02-28T00:00:00"/>
    <s v="EJECUTADO"/>
    <n v="5200"/>
    <m/>
    <m/>
    <m/>
  </r>
  <r>
    <m/>
    <m/>
    <x v="1"/>
    <m/>
    <s v="VIA TACAMOROS - LA VICTORIA - LA BOCANA- EL LIMON; TRAMO - TACAMOROS - LA VICTORIA L= 14 KM._x000a_(PARALIZADO POR INVIERNO)"/>
    <x v="1"/>
    <x v="6"/>
    <s v="LA VICTORIA"/>
    <s v="AD. DIRECTA"/>
    <s v="VIALSUR"/>
    <m/>
    <n v="0"/>
    <n v="0"/>
    <s v="Reconformación de la rasante"/>
    <s v="m2"/>
    <n v="0.35"/>
    <n v="0"/>
    <d v="2014-01-01T00:00:00"/>
    <d v="2014-01-31T00:00:00"/>
    <s v="EJECUTADO"/>
    <n v="0"/>
    <m/>
    <m/>
    <m/>
  </r>
  <r>
    <m/>
    <m/>
    <x v="0"/>
    <m/>
    <s v="VIA TACAMOROS - LA VICTORIA - LA BOCANA- EL LIMON; TRAMO - TACAMOROS - LA VICTORIA L= 14 KM._x000a_(PARALIZADO POR INVIERNO)"/>
    <x v="1"/>
    <x v="6"/>
    <s v="LA VICTORIA"/>
    <s v="AD. DIRECTA"/>
    <s v="VIALSUR"/>
    <m/>
    <n v="2.64"/>
    <n v="0"/>
    <s v="Mejoramiento de la subrasante con suelo seleccionado"/>
    <s v="m3"/>
    <n v="5.92"/>
    <n v="2904"/>
    <d v="2014-02-01T00:00:00"/>
    <d v="2014-02-28T00:00:00"/>
    <s v="EJECUTADO"/>
    <n v="17191.68"/>
    <m/>
    <m/>
    <m/>
  </r>
  <r>
    <m/>
    <m/>
    <x v="1"/>
    <s v="VIA ALAMOR VICENTINO "/>
    <s v="VIA ALAMOR VICENTINO "/>
    <x v="1"/>
    <x v="5"/>
    <s v="VICENTINO"/>
    <s v="AD. DIRECTA"/>
    <s v="VIALSUR"/>
    <n v="16"/>
    <m/>
    <n v="640"/>
    <s v="Roza a mano"/>
    <s v="Ha"/>
    <n v="948.16"/>
    <n v="0"/>
    <d v="2014-02-01T00:00:00"/>
    <d v="2014-02-28T00:00:00"/>
    <s v="EJECUTADO"/>
    <n v="0"/>
    <m/>
    <m/>
    <n v="54658"/>
  </r>
  <r>
    <m/>
    <m/>
    <x v="0"/>
    <m/>
    <s v="VIA ALAMOR VICENTINO "/>
    <x v="1"/>
    <x v="5"/>
    <s v="VICENTINO"/>
    <s v="AD. DIRECTA"/>
    <s v="VIALSUR"/>
    <m/>
    <m/>
    <n v="0"/>
    <s v="Excavación sin clasificar a máquina"/>
    <s v="m3"/>
    <n v="1.62"/>
    <n v="700"/>
    <d v="2014-02-01T00:00:00"/>
    <d v="2014-02-28T00:00:00"/>
    <s v="EJECUTADO"/>
    <n v="1134"/>
    <m/>
    <m/>
    <m/>
  </r>
  <r>
    <m/>
    <m/>
    <x v="1"/>
    <m/>
    <s v="VIA ALAMOR VICENTINO "/>
    <x v="1"/>
    <x v="5"/>
    <s v="VICENTINO"/>
    <s v="AD. DIRECTA"/>
    <s v="VIALSUR"/>
    <m/>
    <m/>
    <n v="0"/>
    <s v="Limpieza de derrumbes a máquina"/>
    <s v="m3"/>
    <n v="1.46"/>
    <n v="1000"/>
    <d v="2014-02-01T00:00:00"/>
    <d v="2014-02-28T00:00:00"/>
    <s v="EJECUTADO"/>
    <n v="1460"/>
    <m/>
    <m/>
    <m/>
  </r>
  <r>
    <m/>
    <m/>
    <x v="1"/>
    <m/>
    <s v="VIA ALAMOR VICENTINO "/>
    <x v="1"/>
    <x v="5"/>
    <s v="VICENTINO"/>
    <s v="AD. DIRECTA"/>
    <s v="VIALSUR"/>
    <m/>
    <m/>
    <n v="0"/>
    <s v="Limpieza de cunetas y alcantarillas a maquina"/>
    <s v="m3"/>
    <n v="1.47"/>
    <n v="0"/>
    <d v="2014-02-01T00:00:00"/>
    <d v="2014-02-28T00:00:00"/>
    <s v="EJECUTADO"/>
    <n v="0"/>
    <m/>
    <m/>
    <m/>
  </r>
  <r>
    <m/>
    <m/>
    <x v="1"/>
    <m/>
    <s v="VIA ALAMOR VICENTINO "/>
    <x v="1"/>
    <x v="5"/>
    <s v="VICENTINO"/>
    <s v="AD. DIRECTA"/>
    <s v="VIALSUR"/>
    <m/>
    <m/>
    <n v="0"/>
    <s v="Transporte de material excavado ( desalojo de escombrera)"/>
    <s v="m3/km"/>
    <n v="0.3"/>
    <n v="0"/>
    <d v="2014-02-01T00:00:00"/>
    <d v="2014-02-28T00:00:00"/>
    <s v="EJECUTADO"/>
    <n v="0"/>
    <m/>
    <m/>
    <m/>
  </r>
  <r>
    <m/>
    <m/>
    <x v="0"/>
    <m/>
    <s v="VIA ALAMOR VICENTINO "/>
    <x v="1"/>
    <x v="5"/>
    <s v="VICENTINO"/>
    <s v="AD. DIRECTA"/>
    <s v="VIALSUR"/>
    <m/>
    <m/>
    <n v="0"/>
    <s v="Transporte de material de mejoramiento, inc cargado"/>
    <s v="m3/km"/>
    <n v="0.3"/>
    <n v="15900"/>
    <d v="2014-02-01T00:00:00"/>
    <d v="2014-02-28T00:00:00"/>
    <s v="EJECUTADO"/>
    <n v="4770"/>
    <m/>
    <m/>
    <m/>
  </r>
  <r>
    <m/>
    <m/>
    <x v="1"/>
    <m/>
    <s v="VIA ALAMOR VICENTINO "/>
    <x v="1"/>
    <x v="5"/>
    <s v="VICENTINO"/>
    <s v="AD. DIRECTA"/>
    <s v="VIALSUR"/>
    <m/>
    <n v="14.549999999999999"/>
    <n v="0"/>
    <s v="Rasanteo y conformacion de cunetas con motoniveladora"/>
    <s v="m2"/>
    <n v="0.08"/>
    <n v="80000"/>
    <d v="2014-02-01T00:00:00"/>
    <d v="2014-02-28T00:00:00"/>
    <s v="EJECUTADO"/>
    <n v="6400"/>
    <m/>
    <m/>
    <m/>
  </r>
  <r>
    <m/>
    <m/>
    <x v="1"/>
    <m/>
    <s v="VIA ALAMOR VICENTINO "/>
    <x v="1"/>
    <x v="5"/>
    <s v="VICENTINO"/>
    <s v="AD. DIRECTA"/>
    <s v="VIALSUR"/>
    <m/>
    <n v="19.100000000000001"/>
    <n v="0"/>
    <s v="Reconformación de la rasante"/>
    <s v="m2"/>
    <n v="0.35"/>
    <n v="105000"/>
    <d v="2014-02-01T00:00:00"/>
    <d v="2014-01-31T00:00:00"/>
    <s v="EJECUTADO"/>
    <n v="36750"/>
    <m/>
    <m/>
    <m/>
  </r>
  <r>
    <m/>
    <m/>
    <x v="0"/>
    <m/>
    <s v="VIA ALAMOR VICENTINO "/>
    <x v="1"/>
    <x v="5"/>
    <s v="VICENTINO"/>
    <s v="AD. DIRECTA"/>
    <s v="VIALSUR"/>
    <m/>
    <n v="0.64"/>
    <n v="0"/>
    <s v="Mejoramiento de la subrasante con suelo seleccionado"/>
    <s v="m3"/>
    <n v="5.92"/>
    <n v="700"/>
    <d v="2014-02-01T00:00:00"/>
    <d v="2014-02-28T00:00:00"/>
    <s v="EJECUTADO"/>
    <n v="4144"/>
    <m/>
    <m/>
    <m/>
  </r>
  <r>
    <m/>
    <m/>
    <x v="1"/>
    <s v="VIA LA HOYADA EL LIMO (CANTON PUYANGO)"/>
    <s v="VIA LA HOYADA EL LIMO (CANTON PUYANGO)"/>
    <x v="1"/>
    <x v="5"/>
    <s v="ELLIMO"/>
    <s v="AD. DIRECTA"/>
    <s v="VIALSUR"/>
    <n v="16"/>
    <m/>
    <n v="1388"/>
    <s v="Roza a mano"/>
    <s v="Ha"/>
    <n v="948.16"/>
    <n v="0"/>
    <d v="2014-01-01T00:00:00"/>
    <d v="2014-01-31T00:00:00"/>
    <s v="EJECUTADO"/>
    <n v="0"/>
    <m/>
    <m/>
    <n v="43646"/>
  </r>
  <r>
    <m/>
    <m/>
    <x v="0"/>
    <m/>
    <s v="VIA LA HOYADA EL LIMO (CANTON PUYANGO)"/>
    <x v="1"/>
    <x v="5"/>
    <s v="ELLIMO"/>
    <s v="AD. DIRECTA"/>
    <s v="VIALSUR"/>
    <m/>
    <m/>
    <n v="0"/>
    <s v="Excavación sin clasificar a máquina"/>
    <s v="m3"/>
    <n v="1.62"/>
    <n v="500"/>
    <d v="2014-01-01T00:00:00"/>
    <d v="2014-01-31T00:00:00"/>
    <s v="EJECUTADO"/>
    <n v="810"/>
    <m/>
    <m/>
    <m/>
  </r>
  <r>
    <m/>
    <m/>
    <x v="1"/>
    <m/>
    <s v="VIA LA HOYADA EL LIMO (CANTON PUYANGO)"/>
    <x v="1"/>
    <x v="5"/>
    <s v="ELLIMO"/>
    <s v="AD. DIRECTA"/>
    <s v="VIALSUR"/>
    <m/>
    <m/>
    <n v="0"/>
    <s v="Limpieza de derrumbes a máquina"/>
    <s v="m3"/>
    <n v="1.46"/>
    <n v="600"/>
    <d v="2014-01-01T00:00:00"/>
    <d v="2014-01-31T00:00:00"/>
    <s v="EJECUTADO"/>
    <n v="876"/>
    <m/>
    <m/>
    <m/>
  </r>
  <r>
    <m/>
    <m/>
    <x v="1"/>
    <m/>
    <s v="VIA LA HOYADA EL LIMO (CANTON PUYANGO)"/>
    <x v="1"/>
    <x v="5"/>
    <s v="ELLIMO"/>
    <s v="AD. DIRECTA"/>
    <s v="VIALSUR"/>
    <m/>
    <m/>
    <n v="0"/>
    <s v="Limpieza de cunetas y alcantarillas a maquina"/>
    <s v="m3"/>
    <n v="1.47"/>
    <n v="0"/>
    <d v="2014-01-01T00:00:00"/>
    <d v="2014-01-31T00:00:00"/>
    <s v="EJECUTADO"/>
    <n v="0"/>
    <m/>
    <m/>
    <m/>
  </r>
  <r>
    <m/>
    <m/>
    <x v="1"/>
    <m/>
    <s v="VIA LA HOYADA EL LIMO (CANTON PUYANGO)"/>
    <x v="1"/>
    <x v="5"/>
    <s v="ELLIMO"/>
    <s v="AD. DIRECTA"/>
    <s v="VIALSUR"/>
    <m/>
    <m/>
    <n v="0"/>
    <s v="Transporte de material excavado ( desalojo de escombrera)"/>
    <s v="m3/km"/>
    <n v="0.3"/>
    <n v="0"/>
    <d v="2014-01-01T00:00:00"/>
    <d v="2014-01-31T00:00:00"/>
    <s v="EJECUTADO"/>
    <n v="0"/>
    <m/>
    <m/>
    <m/>
  </r>
  <r>
    <m/>
    <m/>
    <x v="0"/>
    <m/>
    <s v="VIA LA HOYADA EL LIMO (CANTON PUYANGO)"/>
    <x v="1"/>
    <x v="5"/>
    <s v="ELLIMO"/>
    <s v="AD. DIRECTA"/>
    <s v="VIALSUR"/>
    <m/>
    <m/>
    <n v="0"/>
    <s v="Transporte de material de mejoramiento, inc cargado"/>
    <s v="m3/km"/>
    <n v="0.3"/>
    <n v="7500"/>
    <d v="2014-01-01T00:00:00"/>
    <d v="2014-01-31T00:00:00"/>
    <s v="EJECUTADO"/>
    <n v="2250"/>
    <m/>
    <m/>
    <m/>
  </r>
  <r>
    <m/>
    <m/>
    <x v="1"/>
    <m/>
    <s v="VIA LA HOYADA EL LIMO (CANTON PUYANGO)"/>
    <x v="1"/>
    <x v="5"/>
    <s v="ELLIMO"/>
    <s v="AD. DIRECTA"/>
    <s v="VIALSUR"/>
    <m/>
    <n v="0"/>
    <n v="0"/>
    <s v="Rasanteo y conformacion de cunetas con motoniveladora"/>
    <s v="m2"/>
    <n v="0.08"/>
    <m/>
    <d v="2014-02-03T00:00:00"/>
    <d v="2014-01-31T00:00:00"/>
    <s v="EJECUTADO"/>
    <n v="0"/>
    <m/>
    <m/>
    <m/>
  </r>
  <r>
    <m/>
    <m/>
    <x v="1"/>
    <m/>
    <s v="VIA LA HOYADA EL LIMO (CANTON PUYANGO)"/>
    <x v="1"/>
    <x v="5"/>
    <s v="ELLIMO"/>
    <s v="AD. DIRECTA"/>
    <s v="VIALSUR"/>
    <m/>
    <n v="19.100000000000001"/>
    <n v="0"/>
    <s v="Reconformación de la rasante"/>
    <s v="m2"/>
    <n v="0.35"/>
    <n v="105000"/>
    <d v="2014-01-01T00:00:00"/>
    <d v="2014-01-31T00:00:00"/>
    <s v="EJECUTADO"/>
    <n v="36750"/>
    <m/>
    <m/>
    <m/>
  </r>
  <r>
    <m/>
    <m/>
    <x v="0"/>
    <m/>
    <s v="VIA LA HOYADA EL LIMO (CANTON PUYANGO)"/>
    <x v="1"/>
    <x v="5"/>
    <s v="ELLIMO"/>
    <s v="AD. DIRECTA"/>
    <s v="VIALSUR"/>
    <m/>
    <n v="0.45"/>
    <n v="0"/>
    <s v="Mejoramiento de la subrasante con suelo seleccionado"/>
    <s v="m3"/>
    <n v="5.92"/>
    <n v="500"/>
    <d v="2014-01-01T00:00:00"/>
    <d v="2014-01-31T00:00:00"/>
    <s v="EJECUTADO"/>
    <n v="2960"/>
    <m/>
    <m/>
    <m/>
  </r>
  <r>
    <m/>
    <m/>
    <x v="1"/>
    <s v="VIA GUAYACAN - PALTAPAMBA - (CANTON PUYANGO)_x000a_(PARALIZADO POR INVIERNO)"/>
    <s v="VIA GUAYACAN - PALTAPAMBA - (CANTON PUYANGO)_x000a_(PARALIZADO POR INVIERNO)"/>
    <x v="1"/>
    <x v="5"/>
    <s v="VICENTINO"/>
    <s v="AD. DIRECTA"/>
    <s v="VIALSUR"/>
    <n v="6.5"/>
    <m/>
    <n v="640"/>
    <s v="Roza a mano"/>
    <s v="Ha"/>
    <n v="948.16"/>
    <n v="0"/>
    <d v="2014-01-01T00:00:00"/>
    <d v="2014-02-28T00:00:00"/>
    <s v="EJECUTADO"/>
    <n v="0"/>
    <m/>
    <m/>
    <n v="46818.9"/>
  </r>
  <r>
    <m/>
    <m/>
    <x v="0"/>
    <m/>
    <s v="VIA GUAYACAN - PALTAPAMBA - (CANTON PUYANGO)_x000a_(PARALIZADO POR INVIERNO)"/>
    <x v="1"/>
    <x v="5"/>
    <s v="VICENTINO"/>
    <s v="AD. DIRECTA"/>
    <s v="VIALSUR"/>
    <m/>
    <m/>
    <n v="0"/>
    <s v="Excavación sin clasificar a máquina"/>
    <s v="m3"/>
    <n v="1.62"/>
    <n v="1800"/>
    <d v="2014-01-01T00:00:00"/>
    <d v="2014-02-28T00:00:00"/>
    <s v="EJECUTADO"/>
    <n v="2916"/>
    <m/>
    <m/>
    <m/>
  </r>
  <r>
    <m/>
    <m/>
    <x v="1"/>
    <m/>
    <s v="VIA GUAYACAN - PALTAPAMBA - (CANTON PUYANGO)_x000a_(PARALIZADO POR INVIERNO)"/>
    <x v="1"/>
    <x v="5"/>
    <s v="VICENTINO"/>
    <s v="AD. DIRECTA"/>
    <s v="VIALSUR"/>
    <m/>
    <m/>
    <n v="0"/>
    <s v="Limpieza de derrumbes a máquina"/>
    <s v="m3"/>
    <n v="1.46"/>
    <n v="900"/>
    <d v="2014-01-01T00:00:00"/>
    <d v="2014-02-28T00:00:00"/>
    <s v="EJECUTADO"/>
    <n v="1314"/>
    <m/>
    <m/>
    <m/>
  </r>
  <r>
    <m/>
    <m/>
    <x v="1"/>
    <m/>
    <s v="VIA GUAYACAN - PALTAPAMBA - (CANTON PUYANGO)_x000a_(PARALIZADO POR INVIERNO)"/>
    <x v="1"/>
    <x v="5"/>
    <s v="VICENTINO"/>
    <s v="AD. DIRECTA"/>
    <s v="VIALSUR"/>
    <m/>
    <m/>
    <n v="0"/>
    <s v="Limpieza de cunetas y alcantarillas a maquina"/>
    <s v="m3"/>
    <n v="1.47"/>
    <n v="70"/>
    <d v="2014-02-03T00:00:00"/>
    <d v="2014-02-28T00:00:00"/>
    <s v="EJECUTADO"/>
    <n v="102.9"/>
    <m/>
    <m/>
    <m/>
  </r>
  <r>
    <m/>
    <m/>
    <x v="1"/>
    <m/>
    <s v="VIA GUAYACAN - PALTAPAMBA - (CANTON PUYANGO)_x000a_(PARALIZADO POR INVIERNO)"/>
    <x v="1"/>
    <x v="5"/>
    <s v="VICENTINO"/>
    <s v="AD. DIRECTA"/>
    <s v="VIALSUR"/>
    <m/>
    <m/>
    <n v="0"/>
    <s v="Transporte de material excavado ( desalojo de escombrera)"/>
    <s v="m3/km"/>
    <n v="0.3"/>
    <n v="0"/>
    <d v="2014-01-01T00:00:00"/>
    <d v="2014-02-28T00:00:00"/>
    <s v="EJECUTADO"/>
    <n v="0"/>
    <m/>
    <m/>
    <m/>
  </r>
  <r>
    <m/>
    <m/>
    <x v="0"/>
    <m/>
    <s v="VIA GUAYACAN - PALTAPAMBA - (CANTON PUYANGO)_x000a_(PARALIZADO POR INVIERNO)"/>
    <x v="1"/>
    <x v="5"/>
    <s v="VICENTINO"/>
    <s v="AD. DIRECTA"/>
    <s v="VIALSUR"/>
    <m/>
    <m/>
    <n v="0"/>
    <s v="Transporte de material de mejoramiento, inc cargado"/>
    <s v="m3/km"/>
    <n v="0.3"/>
    <n v="75600"/>
    <d v="2014-01-01T00:00:00"/>
    <d v="2014-02-28T00:00:00"/>
    <s v="EJECUTADO"/>
    <n v="22680"/>
    <m/>
    <m/>
    <m/>
  </r>
  <r>
    <m/>
    <m/>
    <x v="1"/>
    <m/>
    <s v="VIA GUAYACAN - PALTAPAMBA - (CANTON PUYANGO)_x000a_(PARALIZADO POR INVIERNO)"/>
    <x v="1"/>
    <x v="5"/>
    <s v="VICENTINO"/>
    <s v="AD. DIRECTA"/>
    <s v="VIALSUR"/>
    <m/>
    <n v="0.91"/>
    <n v="0"/>
    <s v="Rasanteo y conformacion de cunetas con motoniveladora"/>
    <s v="m2"/>
    <n v="0.08"/>
    <n v="5000"/>
    <d v="2014-01-01T00:00:00"/>
    <d v="2014-01-31T00:00:00"/>
    <s v="EJECUTADO"/>
    <n v="400"/>
    <m/>
    <m/>
    <m/>
  </r>
  <r>
    <m/>
    <m/>
    <x v="1"/>
    <m/>
    <s v="VIA GUAYACAN - PALTAPAMBA - (CANTON PUYANGO)_x000a_(PARALIZADO POR INVIERNO)"/>
    <x v="1"/>
    <x v="5"/>
    <s v="VICENTINO"/>
    <s v="AD. DIRECTA"/>
    <s v="VIALSUR"/>
    <m/>
    <n v="4.55"/>
    <n v="0"/>
    <s v="Reconformación de la rasante"/>
    <s v="m2"/>
    <n v="0.35"/>
    <n v="25000"/>
    <d v="2014-01-01T00:00:00"/>
    <d v="2014-02-28T00:00:00"/>
    <s v="EJECUTADO"/>
    <n v="8750"/>
    <m/>
    <m/>
    <m/>
  </r>
  <r>
    <m/>
    <m/>
    <x v="0"/>
    <m/>
    <s v="VIA GUAYACAN - PALTAPAMBA - (CANTON PUYANGO)_x000a_(PARALIZADO POR INVIERNO)"/>
    <x v="1"/>
    <x v="5"/>
    <s v="VICENTINO"/>
    <s v="AD. DIRECTA"/>
    <s v="VIALSUR"/>
    <m/>
    <n v="1.64"/>
    <n v="0"/>
    <s v="Mejoramiento de la subrasante con suelo seleccionado"/>
    <s v="m3"/>
    <n v="5.92"/>
    <n v="1800"/>
    <d v="2014-01-01T00:00:00"/>
    <d v="2014-02-28T00:00:00"/>
    <s v="EJECUTADO"/>
    <n v="10656"/>
    <m/>
    <m/>
    <m/>
  </r>
  <r>
    <s v="7"/>
    <s v="EJECUTADO"/>
    <x v="1"/>
    <s v="MANTENIEMIENTO DE VIAS DEL CANTON PUYANGO (PARROQUIAS ARENAL, CIANO, EL LIMO Y MERCADILLO)"/>
    <s v="MANTENIEMIENTO DE VIAS DEL CANTON PUYANGO (PARROQUIAS ARENAL, CIANO, EL LIMO Y MERCADILLO)"/>
    <x v="1"/>
    <x v="5"/>
    <s v="CIANO"/>
    <s v="AD. DIRECTA"/>
    <s v="VIALSUR"/>
    <n v="15"/>
    <m/>
    <n v="567"/>
    <s v="Roza a mano"/>
    <s v="Ha"/>
    <n v="948.16"/>
    <n v="1"/>
    <d v="2014-03-01T00:00:00"/>
    <d v="2014-03-31T00:00:00"/>
    <s v="EJECUTADO"/>
    <n v="948.16"/>
    <m/>
    <m/>
    <n v="145347.78999999998"/>
  </r>
  <r>
    <m/>
    <m/>
    <x v="0"/>
    <m/>
    <s v="MANTENIEMIENTO DE VIAS DEL CANTON PUYANGO (PARROQUIAS ARENAL, CIANO, EL LIMO Y MERCADILLO)"/>
    <x v="1"/>
    <x v="5"/>
    <s v="CIANO"/>
    <s v="AD. DIRECTA"/>
    <s v="VIALSUR"/>
    <m/>
    <m/>
    <m/>
    <s v="Excavacion sin clasificar a maquina (explotación de material)"/>
    <s v="m3"/>
    <n v="1.62"/>
    <n v="8060"/>
    <d v="2014-03-01T00:00:00"/>
    <d v="2014-07-31T00:00:00"/>
    <s v="EJECUTADO"/>
    <n v="13057.2"/>
    <m/>
    <m/>
    <m/>
  </r>
  <r>
    <m/>
    <m/>
    <x v="1"/>
    <m/>
    <s v="MANTENIEMIENTO DE VIAS DEL CANTON PUYANGO (PARROQUIAS ARENAL, CIANO, EL LIMO Y MERCADILLO)"/>
    <x v="1"/>
    <x v="5"/>
    <s v="CIANO"/>
    <s v="AD. DIRECTA"/>
    <s v="VIALSUR"/>
    <m/>
    <m/>
    <m/>
    <s v="Limpieza de derrumbes a máquina"/>
    <s v="m3"/>
    <n v="1.46"/>
    <n v="13498"/>
    <d v="2014-03-01T00:00:00"/>
    <d v="2014-07-31T00:00:00"/>
    <s v="EJECUTADO"/>
    <n v="19707.080000000002"/>
    <m/>
    <m/>
    <m/>
  </r>
  <r>
    <m/>
    <m/>
    <x v="1"/>
    <m/>
    <s v="MANTENIEMIENTO DE VIAS DEL CANTON PUYANGO (PARROQUIAS ARENAL, CIANO, EL LIMO Y MERCADILLO)"/>
    <x v="1"/>
    <x v="5"/>
    <s v="CIANO"/>
    <s v="AD. DIRECTA"/>
    <s v="VIALSUR"/>
    <m/>
    <m/>
    <m/>
    <s v="Limpieza de cunetas y alcantarillas a máquina"/>
    <s v="m3"/>
    <n v="1.46"/>
    <n v="1290"/>
    <d v="2014-03-01T00:00:00"/>
    <d v="2014-05-31T00:00:00"/>
    <s v="EJECUTADO"/>
    <n v="1883.4"/>
    <m/>
    <m/>
    <m/>
  </r>
  <r>
    <m/>
    <m/>
    <x v="1"/>
    <m/>
    <s v="MANTENIEMIENTO DE VIAS DEL CANTON PUYANGO (PARROQUIAS ARENAL, CIANO, EL LIMO Y MERCADILLO)"/>
    <x v="1"/>
    <x v="5"/>
    <s v="CIANO"/>
    <s v="AD. DIRECTA"/>
    <s v="VIALSUR"/>
    <m/>
    <m/>
    <m/>
    <s v="Transporte de material excavado (desalojo a escombrera)"/>
    <s v="m3/km"/>
    <n v="0.3"/>
    <n v="28252"/>
    <d v="2014-03-01T00:00:00"/>
    <d v="2014-07-31T00:00:00"/>
    <s v="EJECUTADO"/>
    <n v="8475.6"/>
    <m/>
    <m/>
    <m/>
  </r>
  <r>
    <m/>
    <m/>
    <x v="0"/>
    <m/>
    <s v="MANTENIEMIENTO DE VIAS DEL CANTON PUYANGO (PARROQUIAS ARENAL, CIANO, EL LIMO Y MERCADILLO)"/>
    <x v="1"/>
    <x v="5"/>
    <s v="CIANO"/>
    <s v="AD. DIRECTA"/>
    <s v="VIALSUR"/>
    <m/>
    <m/>
    <m/>
    <s v="Transporte de material para mejoramiento, inc. cargado"/>
    <s v="m3/km"/>
    <n v="0.3"/>
    <n v="37740.5"/>
    <d v="2014-03-01T00:00:00"/>
    <d v="2014-07-31T00:00:00"/>
    <s v="EJECUTADO"/>
    <n v="11322.15"/>
    <m/>
    <m/>
    <m/>
  </r>
  <r>
    <m/>
    <m/>
    <x v="1"/>
    <m/>
    <s v="MANTENIEMIENTO DE VIAS DEL CANTON PUYANGO (PARROQUIAS ARENAL, CIANO, EL LIMO Y MERCADILLO)"/>
    <x v="1"/>
    <x v="5"/>
    <s v="CIANO"/>
    <s v="AD. DIRECTA"/>
    <s v="VIALSUR"/>
    <m/>
    <n v="107.37"/>
    <m/>
    <s v="Rasanteo y conformacion de cunetas con motoniveladora"/>
    <s v="m2"/>
    <n v="0.08"/>
    <n v="590500"/>
    <d v="2014-03-01T00:00:00"/>
    <d v="2014-07-31T00:00:00"/>
    <s v="EJECUTADO"/>
    <n v="47240"/>
    <m/>
    <m/>
    <m/>
  </r>
  <r>
    <m/>
    <m/>
    <x v="1"/>
    <m/>
    <s v="MANTENIEMIENTO DE VIAS DEL CANTON PUYANGO (PARROQUIAS ARENAL, CIANO, EL LIMO Y MERCADILLO)"/>
    <x v="1"/>
    <x v="5"/>
    <s v="CIANO"/>
    <s v="AD. DIRECTA"/>
    <s v="VIALSUR"/>
    <m/>
    <n v="4.0999999999999996"/>
    <m/>
    <s v="Reconformación de la rasante"/>
    <s v="m2"/>
    <n v="0.35"/>
    <n v="22500"/>
    <d v="2014-03-01T00:00:00"/>
    <d v="2014-04-30T00:00:00"/>
    <s v="EJECUTADO"/>
    <n v="7875"/>
    <m/>
    <m/>
    <m/>
  </r>
  <r>
    <m/>
    <m/>
    <x v="0"/>
    <m/>
    <s v="MANTENIEMIENTO DE VIAS DEL CANTON PUYANGO (PARROQUIAS ARENAL, CIANO, EL LIMO Y MERCADILLO)"/>
    <x v="1"/>
    <x v="5"/>
    <s v="CIANO"/>
    <s v="AD. DIRECTA"/>
    <s v="VIALSUR"/>
    <m/>
    <n v="5.35"/>
    <m/>
    <s v="Mejoramiento de la subrasante con suelo seleccionado"/>
    <s v="m3"/>
    <n v="5.92"/>
    <n v="5885"/>
    <d v="2014-03-01T00:00:00"/>
    <d v="2014-07-31T00:00:00"/>
    <s v="EJECUTADO"/>
    <n v="34839.199999999997"/>
    <m/>
    <m/>
    <m/>
  </r>
  <r>
    <s v="8"/>
    <s v="EN EJECUCION"/>
    <x v="5"/>
    <s v="REHABILITACION DE LA VIA Y CELICA - POZUL - PINDAL_x000a_(CONVENIO GPL - VIALSUR.EP RECURSOS)"/>
    <s v="REHABILITACION DE LA VIA Y CELICA - POZUL - PINDAL_x000a_(CONVENIO GPL - VIALSUR.EP RECURSOS)"/>
    <x v="1"/>
    <x v="7"/>
    <s v="PINDAL C"/>
    <s v="CONVENIO"/>
    <s v="VIALSUR"/>
    <n v="26"/>
    <n v="1.02"/>
    <n v="2919"/>
    <s v="Bacheo con material de base clase 3"/>
    <s v="m3"/>
    <n v="19.149999999999999"/>
    <n v="1100"/>
    <d v="2014-02-03T00:00:00"/>
    <d v="2014-07-31T00:00:00"/>
    <s v="EJECUTADO"/>
    <n v="21065"/>
    <m/>
    <m/>
    <n v="883751.8"/>
  </r>
  <r>
    <m/>
    <m/>
    <x v="5"/>
    <m/>
    <s v="REHABILITACION DE LA VIA Y CELICA - POZUL - PINDAL_x000a_(CONVENIO GPL - VIALSUR.EP RECURSOS)"/>
    <x v="1"/>
    <x v="7"/>
    <s v="PINDAL C"/>
    <s v="CONVENIO"/>
    <s v="VIALSUR"/>
    <m/>
    <m/>
    <n v="0"/>
    <s v="Imprimación Asfaltica"/>
    <s v="Lt."/>
    <n v="0.98"/>
    <n v="59500"/>
    <d v="2014-02-03T00:00:00"/>
    <d v="2014-03-31T00:00:00"/>
    <s v="EJECUTADO"/>
    <n v="58310"/>
    <m/>
    <m/>
    <m/>
  </r>
  <r>
    <m/>
    <m/>
    <x v="5"/>
    <m/>
    <s v="REHABILITACION DE LA VIA Y CELICA - POZUL - PINDAL_x000a_(CONVENIO GPL - VIALSUR.EP RECURSOS)"/>
    <x v="1"/>
    <x v="7"/>
    <s v="PINDAL C"/>
    <s v="CONVENIO"/>
    <s v="VIALSUR"/>
    <m/>
    <m/>
    <n v="0"/>
    <s v="Bacheo asfaltico con material 3/4&quot; (manual)"/>
    <s v="m2"/>
    <n v="3.17"/>
    <n v="25880"/>
    <d v="2014-02-03T00:00:00"/>
    <d v="2014-07-31T00:00:00"/>
    <s v="EJECUTADO"/>
    <n v="82039.600000000006"/>
    <m/>
    <m/>
    <m/>
  </r>
  <r>
    <m/>
    <m/>
    <x v="5"/>
    <m/>
    <s v="REHABILITACION DE LA VIA Y CELICA - POZUL - PINDAL_x000a_(CONVENIO GPL - VIALSUR.EP RECURSOS)"/>
    <x v="1"/>
    <x v="7"/>
    <s v="PINDAL C"/>
    <s v="CONVENIO"/>
    <s v="VIALSUR"/>
    <m/>
    <n v="27"/>
    <n v="0"/>
    <s v="Sello asfaltico con material 3/8&quot;"/>
    <s v="m2"/>
    <n v="2.8"/>
    <n v="173874"/>
    <d v="2014-03-01T00:00:00"/>
    <d v="2014-07-31T00:00:00"/>
    <s v="EJECUTADO"/>
    <n v="486847.2"/>
    <m/>
    <m/>
    <m/>
  </r>
  <r>
    <m/>
    <m/>
    <x v="5"/>
    <m/>
    <s v="REHABILITACION DE LA VIA Y CELICA - POZUL - PINDAL_x000a_(CONVENIO GPL - VIALSUR.EP RECURSOS)"/>
    <x v="1"/>
    <x v="7"/>
    <s v="PINDAL C"/>
    <s v="CONVENIO"/>
    <s v="VIALSUR"/>
    <m/>
    <n v="8.59"/>
    <n v="0"/>
    <s v="Reconformación de base"/>
    <s v="m2"/>
    <n v="0.35"/>
    <n v="47200"/>
    <d v="2014-01-05T00:00:00"/>
    <d v="2014-07-31T00:00:00"/>
    <s v="EJECUTADO"/>
    <n v="16520"/>
    <m/>
    <m/>
    <m/>
  </r>
  <r>
    <m/>
    <m/>
    <x v="5"/>
    <m/>
    <s v="REHABILITACION DE LA VIA Y CELICA - POZUL - PINDAL_x000a_(CONVENIO GPL - VIALSUR.EP RECURSOS)"/>
    <x v="1"/>
    <x v="8"/>
    <s v="POZUL"/>
    <s v="CONVENIO"/>
    <s v="VIALSUR"/>
    <m/>
    <m/>
    <n v="0"/>
    <s v="Transporte de material  ( Catamayo - Loja)"/>
    <s v="m3/km"/>
    <n v="0.3"/>
    <n v="729900"/>
    <d v="2014-02-03T00:00:00"/>
    <d v="2014-07-31T00:00:00"/>
    <s v="EJECUTADO"/>
    <n v="218970"/>
    <m/>
    <m/>
    <m/>
  </r>
  <r>
    <s v="9"/>
    <s v="EJECUTADO"/>
    <x v="5"/>
    <s v="REHABILITACION DE LA VÍA MACARÁ - SAUCILLO_x000a_(CONVENIO GPL - VIALSUR.EP RECURSOS)"/>
    <s v="REHABILITACION DE LA VÍA MACARÁ - SAUCILLO_x000a_(CONVENIO GPL - VIALSUR.EP RECURSOS)"/>
    <x v="1"/>
    <x v="6"/>
    <s v="MACARÁ"/>
    <s v="CONVENIO"/>
    <s v="VIALSUR"/>
    <n v="42"/>
    <n v="0.51"/>
    <n v="6573"/>
    <s v="Bacheo con material de base clase 3"/>
    <s v="m3"/>
    <n v="19.149999999999999"/>
    <n v="732.5"/>
    <d v="2014-03-01T00:00:00"/>
    <d v="2014-07-31T00:00:00"/>
    <s v="EJECUTADO"/>
    <n v="14027.38"/>
    <m/>
    <m/>
    <n v="590470.46"/>
  </r>
  <r>
    <m/>
    <m/>
    <x v="5"/>
    <m/>
    <s v="REHABILITACION DE LA VÍA MACARÁ - SAUCILLO_x000a_(CONVENIO GPL - VIALSUR.EP RECURSOS)"/>
    <x v="1"/>
    <x v="6"/>
    <s v="MACARÁ"/>
    <s v="CONVENIO"/>
    <s v="VIALSUR"/>
    <m/>
    <m/>
    <n v="0"/>
    <s v="Imprimación asfaltica"/>
    <s v="Lt"/>
    <n v="0.98"/>
    <n v="75582"/>
    <d v="2014-03-01T00:00:00"/>
    <d v="2014-07-31T00:00:00"/>
    <s v="EJECUTADO"/>
    <n v="74070.36"/>
    <m/>
    <m/>
    <m/>
  </r>
  <r>
    <m/>
    <m/>
    <x v="5"/>
    <m/>
    <s v="REHABILITACION DE LA VÍA MACARÁ - SAUCILLO_x000a_(CONVENIO GPL - VIALSUR.EP RECURSOS)"/>
    <x v="1"/>
    <x v="6"/>
    <s v="MACARÁ"/>
    <s v="CONVENIO"/>
    <s v="VIALSUR"/>
    <m/>
    <n v="42"/>
    <n v="0"/>
    <s v="Bacheo asfaltico con material 3/4&quot; Y 3/8&quot; (manual)"/>
    <s v="m2"/>
    <n v="3.48"/>
    <n v="8314"/>
    <d v="2014-03-01T00:00:00"/>
    <d v="2014-07-31T00:00:00"/>
    <s v="EJECUTADO"/>
    <n v="28932.720000000001"/>
    <m/>
    <m/>
    <m/>
  </r>
  <r>
    <m/>
    <m/>
    <x v="5"/>
    <m/>
    <s v="REHABILITACION DE LA VÍA MACARÁ - SAUCILLO_x000a_(CONVENIO GPL - VIALSUR.EP RECURSOS)"/>
    <x v="1"/>
    <x v="6"/>
    <s v="MACARÁ"/>
    <s v="CONVENIO"/>
    <s v="VIALSUR"/>
    <m/>
    <m/>
    <n v="0"/>
    <s v="Transporte de material (Catamayo - Loja)"/>
    <s v="m3/km"/>
    <n v="0.3"/>
    <n v="295300"/>
    <d v="2014-03-01T00:00:00"/>
    <d v="2014-07-31T00:00:00"/>
    <s v="EJECUTADO"/>
    <n v="88590"/>
    <m/>
    <m/>
    <m/>
  </r>
  <r>
    <m/>
    <m/>
    <x v="5"/>
    <m/>
    <s v="REHABILITACION DE LA VÍA MACARÁ - SAUCILLO_x000a_(CONVENIO GPL - VIALSUR.EP RECURSOS)"/>
    <x v="1"/>
    <x v="6"/>
    <s v="MACARÁ"/>
    <s v="CONVENIO"/>
    <s v="VIALSUR"/>
    <m/>
    <n v="12.91"/>
    <n v="0"/>
    <s v="Reconformación de base"/>
    <s v="m2"/>
    <n v="0.35"/>
    <n v="71000"/>
    <d v="2014-01-05T00:00:00"/>
    <d v="2014-07-31T00:00:00"/>
    <s v="EJECUTADO"/>
    <n v="24850"/>
    <m/>
    <m/>
    <m/>
  </r>
  <r>
    <m/>
    <m/>
    <x v="5"/>
    <m/>
    <s v="REHABILITACION DE LA VÍA MACARÁ - SAUCILLO_x000a_(CONVENIO GPL - VIALSUR.EP RECURSOS)"/>
    <x v="1"/>
    <x v="6"/>
    <s v="MACARÁ"/>
    <s v="CONVENIO"/>
    <s v="VIALSUR"/>
    <m/>
    <m/>
    <n v="0"/>
    <s v="Doble tratamiento superficial bituminoso"/>
    <s v="m2"/>
    <n v="4.5"/>
    <n v="80000"/>
    <d v="2014-01-05T00:00:00"/>
    <d v="2014-05-31T00:00:00"/>
    <s v="EJECUTADO"/>
    <n v="360000"/>
    <m/>
    <m/>
    <m/>
  </r>
  <r>
    <m/>
    <m/>
    <x v="1"/>
    <s v="CONTRATO SIE-NRO-828-VIALSUR.EP-2013 CONTRATACION DE MAQUINARIA PARA EL MANTENIMIENTO RUTINARIO DE VIAS EN LOS CANTONES (PINDAL CELICA PUYANGO MACARA Y ZAPOTILLO)"/>
    <s v="CONTRATO SIE-NRO-828-VIALSUR.EP-2013 CONTRATACION DE MAQUINARIA PARA EL MANTENIMIENTO RUTINARIO DE VIAS EN LOS CANTONES (PINDAL CELICA PUYANGO MACARA Y ZAPOTILLO)"/>
    <x v="1"/>
    <x v="7"/>
    <s v="PINDAL C"/>
    <s v="CONTRATO"/>
    <s v="VIALSUR"/>
    <n v="3.1"/>
    <n v="15.709999999999999"/>
    <n v="2919"/>
    <s v="Rasanteo y conformacion de cunetas con motoniveladora"/>
    <s v="m²."/>
    <n v="0.08"/>
    <n v="86355"/>
    <d v="2014-02-17T00:00:00"/>
    <d v="2014-02-28T00:00:00"/>
    <s v="EJECUTADO"/>
    <n v="6908.4"/>
    <m/>
    <m/>
    <n v="6908.4"/>
  </r>
  <r>
    <m/>
    <m/>
    <x v="1"/>
    <m/>
    <s v="CONTRATO SIE-NRO-828-VIALSUR.EP-2013 CONTRATACION DE MAQUINARIA PARA EL MANTENIMIENTO RUTINARIO DE VIAS EN LOS CANTONES (PINDAL CELICA PUYANGO MACARA Y ZAPOTILLO)"/>
    <x v="1"/>
    <x v="9"/>
    <s v="BOLASPAMBA"/>
    <s v="CONTRATO"/>
    <s v="VIALSUR"/>
    <n v="3.1"/>
    <n v="12.89"/>
    <n v="889"/>
    <s v="Rasanteo y conformacion de cunetas con motoniveladora"/>
    <s v="m²."/>
    <n v="0.08"/>
    <n v="70865"/>
    <d v="2014-02-17T00:00:00"/>
    <d v="2014-02-28T00:00:00"/>
    <s v="EJECUTADO"/>
    <n v="5669.2"/>
    <m/>
    <m/>
    <n v="5669.2"/>
  </r>
  <r>
    <m/>
    <m/>
    <x v="1"/>
    <m/>
    <s v="CONTRATO SIE-NRO-828-VIALSUR.EP-2013 CONTRATACION DE MAQUINARIA PARA EL MANTENIMIENTO RUTINARIO DE VIAS EN LOS CANTONES (PINDAL CELICA PUYANGO MACARA Y ZAPOTILLO)"/>
    <x v="1"/>
    <x v="9"/>
    <s v="GARZAREAL"/>
    <s v="CONTRATO"/>
    <s v="VIALSUR"/>
    <n v="3.1"/>
    <n v="19.610000000000003"/>
    <n v="1426"/>
    <s v="Rasanteo y conformacion de cunetas con motoniveladora"/>
    <s v="m²."/>
    <n v="0.08"/>
    <n v="107820"/>
    <d v="2014-03-01T00:00:00"/>
    <d v="2014-03-31T00:00:00"/>
    <s v="EJECUTADO"/>
    <n v="8625.6"/>
    <m/>
    <m/>
    <n v="8625.6"/>
  </r>
  <r>
    <m/>
    <m/>
    <x v="1"/>
    <m/>
    <s v="CONTRATO SIE-NRO-828-VIALSUR.EP-2013 CONTRATACION DE MAQUINARIA PARA EL MANTENIMIENTO RUTINARIO DE VIAS EN LOS CANTONES (PINDAL CELICA PUYANGO MACARA Y ZAPOTILLO)"/>
    <x v="1"/>
    <x v="9"/>
    <s v="CAZADEROS"/>
    <s v="CONTRATO"/>
    <s v="VIALSUR"/>
    <n v="3.1"/>
    <n v="48.01"/>
    <n v="879"/>
    <s v="Rasanteo y conformacion de cunetas con motoniveladora"/>
    <s v="m²."/>
    <n v="0.08"/>
    <n v="264017.5"/>
    <d v="2014-03-01T00:00:00"/>
    <d v="2014-03-31T00:00:00"/>
    <s v="EJECUTADO"/>
    <n v="21121.4"/>
    <m/>
    <m/>
    <n v="21121.4"/>
  </r>
  <r>
    <m/>
    <m/>
    <x v="1"/>
    <m/>
    <s v="CONTRATO SIE-NRO-828-VIALSUR.EP-2013 CONTRATACION DE MAQUINARIA PARA EL MANTENIMIENTO RUTINARIO DE VIAS EN LOS CANTONES (PINDAL CELICA PUYANGO MACARA Y ZAPOTILLO)"/>
    <x v="1"/>
    <x v="5"/>
    <s v="ELLIMO"/>
    <s v="CONTRATO"/>
    <s v="VIALSUR"/>
    <n v="3.1"/>
    <n v="24.25"/>
    <n v="1388"/>
    <s v="Rasanteo y conformacion de cunetas con motoniveladora"/>
    <s v="m²."/>
    <n v="0.08"/>
    <n v="133350"/>
    <d v="2014-03-01T00:00:00"/>
    <d v="2014-03-31T00:00:00"/>
    <s v="EJECUTADO"/>
    <n v="10668"/>
    <m/>
    <m/>
    <n v="10668"/>
  </r>
  <r>
    <m/>
    <m/>
    <x v="1"/>
    <m/>
    <s v="CONTRATO SIE-NRO-828-VIALSUR.EP-2013 CONTRATACION DE MAQUINARIA PARA EL MANTENIMIENTO RUTINARIO DE VIAS EN LOS CANTONES (PINDAL CELICA PUYANGO MACARA Y ZAPOTILLO)"/>
    <x v="1"/>
    <x v="8"/>
    <s v="CRUZPAMBA "/>
    <s v="CONTRATO"/>
    <s v="VIALSUR"/>
    <n v="3.1"/>
    <n v="19.610000000000003"/>
    <n v="661"/>
    <s v="Rasanteo y conformacion de cunetas con motoniveladora"/>
    <s v="m²."/>
    <n v="0.08"/>
    <n v="107820"/>
    <d v="2014-03-01T00:00:00"/>
    <d v="2014-03-31T00:00:00"/>
    <s v="EJECUTADO"/>
    <n v="8625.6"/>
    <m/>
    <m/>
    <n v="8625.6"/>
  </r>
  <r>
    <s v="10"/>
    <s v="EJECUTADO"/>
    <x v="1"/>
    <s v="MANTENIMIENTO DE LA VIA MANGAHURQUILLO CAZADEROS PROGRESO GRAMADALES LA LEONERA"/>
    <s v="MANTENIMIENTO DE LA VIA MANGAHURQUILLO CAZADEROS PROGRESO GRAMADALES LA LEONERA"/>
    <x v="1"/>
    <x v="9"/>
    <s v="CAZADEROS"/>
    <s v="AD. DIRECTA"/>
    <s v="VIALSUR"/>
    <m/>
    <m/>
    <n v="0"/>
    <s v="Limpieza de derrumbes a máquina"/>
    <s v="m3"/>
    <n v="1.46"/>
    <n v="52000"/>
    <d v="2014-06-01T00:00:00"/>
    <d v="2014-07-31T00:00:00"/>
    <s v="EJECUTADO"/>
    <n v="75920"/>
    <m/>
    <m/>
    <n v="147920"/>
  </r>
  <r>
    <m/>
    <m/>
    <x v="1"/>
    <m/>
    <s v="MANTENIMIENTO DE LA VIA MANGAHURQUILLO CAZADEROS PROGRESO GRAMADALES LA LEONERA"/>
    <x v="1"/>
    <x v="9"/>
    <s v="CAZADEROS"/>
    <s v="AD. DIRECTA"/>
    <s v="VIALSUR"/>
    <m/>
    <n v="109.10000000000001"/>
    <n v="0"/>
    <s v="Pefilado de razante con tractor"/>
    <s v="m3"/>
    <n v="0.12"/>
    <n v="600000"/>
    <d v="2014-06-01T00:00:00"/>
    <d v="2014-07-31T00:00:00"/>
    <s v="EJECUTADO"/>
    <n v="72000"/>
    <m/>
    <m/>
    <m/>
  </r>
  <r>
    <s v="10"/>
    <s v="EJECUTADO"/>
    <x v="1"/>
    <s v="MANTENIMINETO DE VIAS DE LA PARROQUIA BOLASPAMBA CANTON ZAPOTILLO"/>
    <s v="MANTENIMINETO DE VIAS DE LA PARROQUIA BOLASPAMBA CANTON ZAPOTILLO"/>
    <x v="1"/>
    <x v="9"/>
    <s v="CAZADEROS"/>
    <s v="AD. DIRECTA"/>
    <s v="VIALSUR"/>
    <m/>
    <m/>
    <n v="0"/>
    <s v="Limpieza de derrumbes a máquina"/>
    <s v="m3"/>
    <n v="1.46"/>
    <n v="6750"/>
    <d v="2014-06-01T00:00:00"/>
    <d v="2014-07-31T00:00:00"/>
    <s v="EJECUTADO"/>
    <n v="9855"/>
    <m/>
    <m/>
    <n v="45855"/>
  </r>
  <r>
    <m/>
    <m/>
    <x v="1"/>
    <m/>
    <s v="MANTENIMINETO DE VIAS DE LA PARROQUIA BOLASPAMBA CANTON ZAPOTILLO"/>
    <x v="1"/>
    <x v="9"/>
    <s v="CAZADEROS"/>
    <s v="AD. DIRECTA"/>
    <s v="VIALSUR"/>
    <m/>
    <n v="54.55"/>
    <n v="0"/>
    <s v="Pefilado de razante con tractor"/>
    <s v="m3"/>
    <n v="0.12"/>
    <n v="300000"/>
    <d v="2014-06-01T00:00:00"/>
    <d v="2014-07-31T00:00:00"/>
    <s v="EJECUTADO"/>
    <n v="36000"/>
    <m/>
    <m/>
    <m/>
  </r>
  <r>
    <m/>
    <m/>
    <x v="1"/>
    <s v="MEJORAMIENTO DE LA VIA MERCADILLO SAN JOSE I ETAPA, CANTON PUYANGO"/>
    <s v="MEJORAMIENTO DE LA VIA MERCADILLO SAN JOSE I ETAPA, CANTON PUYANGO"/>
    <x v="1"/>
    <x v="5"/>
    <s v="MERCADILLO"/>
    <s v="AD. DIRECTA"/>
    <s v="VIALSUR"/>
    <m/>
    <m/>
    <n v="0"/>
    <s v="Roza a mano"/>
    <s v="Ha"/>
    <n v="948.16"/>
    <n v="1.2"/>
    <d v="2014-10-01T00:00:00"/>
    <d v="2014-11-30T00:00:00"/>
    <s v="EN EJECUCION"/>
    <n v="1137.79"/>
    <m/>
    <m/>
    <n v="94279.420000000013"/>
  </r>
  <r>
    <m/>
    <m/>
    <x v="0"/>
    <m/>
    <s v="MEJORAMIENTO DE LA VIA MERCADILLO SAN JOSE I ETAPA, CANTON PUYANGO"/>
    <x v="1"/>
    <x v="5"/>
    <s v="MERCADILLO"/>
    <s v="AD. DIRECTA"/>
    <s v="VIALSUR"/>
    <m/>
    <m/>
    <n v="0"/>
    <s v="Excavación sin clasificar a máquina"/>
    <s v="m3"/>
    <n v="1.62"/>
    <n v="22826"/>
    <d v="2014-10-01T00:00:00"/>
    <d v="2014-11-30T00:00:00"/>
    <s v="EN EJECUCION"/>
    <n v="36978.120000000003"/>
    <m/>
    <m/>
    <m/>
  </r>
  <r>
    <m/>
    <m/>
    <x v="1"/>
    <m/>
    <s v="MEJORAMIENTO DE LA VIA MERCADILLO SAN JOSE I ETAPA, CANTON PUYANGO"/>
    <x v="1"/>
    <x v="5"/>
    <s v="MERCADILLO"/>
    <s v="AD. DIRECTA"/>
    <s v="VIALSUR"/>
    <m/>
    <m/>
    <n v="0"/>
    <s v="Limpieza de derrumbes a máquina"/>
    <s v="m3"/>
    <n v="1.46"/>
    <n v="0"/>
    <d v="2014-10-01T00:00:00"/>
    <d v="2014-11-30T00:00:00"/>
    <s v="EN EJECUCION"/>
    <n v="0"/>
    <m/>
    <m/>
    <m/>
  </r>
  <r>
    <m/>
    <m/>
    <x v="1"/>
    <m/>
    <s v="MEJORAMIENTO DE LA VIA MERCADILLO SAN JOSE I ETAPA, CANTON PUYANGO"/>
    <x v="1"/>
    <x v="5"/>
    <s v="MERCADILLO"/>
    <s v="AD. DIRECTA"/>
    <s v="VIALSUR"/>
    <m/>
    <m/>
    <n v="0"/>
    <s v="Limpieza de cunetas y alcantarillas a maquina"/>
    <s v="m3"/>
    <n v="1.47"/>
    <n v="0"/>
    <d v="2014-10-01T00:00:00"/>
    <d v="2014-11-30T00:00:00"/>
    <s v="EN EJECUCION"/>
    <n v="0"/>
    <m/>
    <m/>
    <m/>
  </r>
  <r>
    <m/>
    <m/>
    <x v="1"/>
    <m/>
    <s v="MEJORAMIENTO DE LA VIA MERCADILLO SAN JOSE I ETAPA, CANTON PUYANGO"/>
    <x v="1"/>
    <x v="5"/>
    <s v="MERCADILLO"/>
    <s v="AD. DIRECTA"/>
    <s v="VIALSUR"/>
    <m/>
    <m/>
    <n v="0"/>
    <s v="Transporte de material excavado ( desalojo de escombrera)"/>
    <s v="m3/km"/>
    <n v="0.3"/>
    <n v="10271.700000000001"/>
    <d v="2014-10-01T00:00:00"/>
    <d v="2014-11-30T00:00:00"/>
    <s v="EN EJECUCION"/>
    <n v="3081.51"/>
    <m/>
    <m/>
    <m/>
  </r>
  <r>
    <m/>
    <m/>
    <x v="0"/>
    <m/>
    <s v="MEJORAMIENTO DE LA VIA MERCADILLO SAN JOSE I ETAPA, CANTON PUYANGO"/>
    <x v="1"/>
    <x v="5"/>
    <s v="MERCADILLO"/>
    <s v="AD. DIRECTA"/>
    <s v="VIALSUR"/>
    <m/>
    <m/>
    <n v="0"/>
    <s v="Transporte de material de mejoramiento, inc cargado"/>
    <s v="m3/km"/>
    <n v="0.3"/>
    <n v="36840"/>
    <d v="2014-10-01T00:00:00"/>
    <d v="2014-11-30T00:00:00"/>
    <s v="EN EJECUCION"/>
    <n v="11052"/>
    <m/>
    <m/>
    <m/>
  </r>
  <r>
    <m/>
    <m/>
    <x v="1"/>
    <m/>
    <s v="MEJORAMIENTO DE LA VIA MERCADILLO SAN JOSE I ETAPA, CANTON PUYANGO"/>
    <x v="1"/>
    <x v="5"/>
    <s v="MERCADILLO"/>
    <s v="AD. DIRECTA"/>
    <s v="VIALSUR"/>
    <m/>
    <n v="0"/>
    <n v="0"/>
    <s v="Rasanteo y conformacion de cunetas con motoniveladora"/>
    <s v="m2"/>
    <n v="0.08"/>
    <n v="0"/>
    <d v="2014-10-01T00:00:00"/>
    <d v="2014-11-30T00:00:00"/>
    <s v="EN EJECUCION"/>
    <n v="0"/>
    <m/>
    <m/>
    <m/>
  </r>
  <r>
    <m/>
    <m/>
    <x v="1"/>
    <m/>
    <s v="MEJORAMIENTO DE LA VIA MERCADILLO SAN JOSE I ETAPA, CANTON PUYANGO"/>
    <x v="1"/>
    <x v="5"/>
    <s v="MERCADILLO"/>
    <s v="AD. DIRECTA"/>
    <s v="VIALSUR"/>
    <m/>
    <n v="11.459999999999999"/>
    <n v="0"/>
    <s v="Reconformación de la rasante"/>
    <s v="m2"/>
    <n v="0.35"/>
    <n v="63000"/>
    <d v="2014-10-01T00:00:00"/>
    <d v="2014-11-30T00:00:00"/>
    <s v="EN EJECUCION"/>
    <n v="22050"/>
    <m/>
    <m/>
    <m/>
  </r>
  <r>
    <m/>
    <m/>
    <x v="0"/>
    <m/>
    <s v="MEJORAMIENTO DE LA VIA MERCADILLO SAN JOSE I ETAPA, CANTON PUYANGO"/>
    <x v="1"/>
    <x v="5"/>
    <s v="MERCADILLO"/>
    <s v="AD. DIRECTA"/>
    <s v="VIALSUR"/>
    <m/>
    <n v="3.07"/>
    <n v="0"/>
    <s v="Mejoramiento de la subrasante con suelo seleccionado"/>
    <s v="m3"/>
    <n v="5.92"/>
    <n v="3375"/>
    <d v="2014-10-01T00:00:00"/>
    <d v="2014-11-30T00:00:00"/>
    <s v="EN EJECUCION"/>
    <n v="19980"/>
    <m/>
    <m/>
    <m/>
  </r>
  <r>
    <m/>
    <m/>
    <x v="1"/>
    <s v="MEJORAMIENTO DE LA VIA PINDAL MILAGROS PALETILLAS"/>
    <s v="MEJORAMIENTO DE LA VIA PINDAL MILAGROS PALETILLAS"/>
    <x v="1"/>
    <x v="9"/>
    <s v="PALETILLAS"/>
    <s v="AD. DIRECTA"/>
    <s v="VIALSUR"/>
    <m/>
    <m/>
    <n v="0"/>
    <s v="Roza a mano"/>
    <s v="Ha"/>
    <n v="948.16"/>
    <n v="6"/>
    <d v="2014-10-01T00:00:00"/>
    <d v="2014-11-30T00:00:00"/>
    <s v="EN EJECUCION"/>
    <n v="5688.96"/>
    <m/>
    <m/>
    <n v="146186.86000000002"/>
  </r>
  <r>
    <m/>
    <m/>
    <x v="0"/>
    <m/>
    <s v="MEJORAMIENTO DE LA VIA PINDAL MILAGROS PALETILLAS"/>
    <x v="1"/>
    <x v="9"/>
    <s v="PALETILLAS"/>
    <s v="AD. DIRECTA"/>
    <s v="VIALSUR"/>
    <m/>
    <m/>
    <n v="0"/>
    <s v="Excavación sin clasificar a máquina"/>
    <s v="m3"/>
    <n v="1.62"/>
    <n v="12895"/>
    <d v="2014-10-01T00:00:00"/>
    <d v="2014-11-30T00:00:00"/>
    <s v="EN EJECUCION"/>
    <n v="20889.900000000001"/>
    <m/>
    <m/>
    <m/>
  </r>
  <r>
    <m/>
    <m/>
    <x v="1"/>
    <m/>
    <s v="MEJORAMIENTO DE LA VIA PINDAL MILAGROS PALETILLAS"/>
    <x v="1"/>
    <x v="9"/>
    <s v="PALETILLAS"/>
    <s v="AD. DIRECTA"/>
    <s v="VIALSUR"/>
    <m/>
    <m/>
    <n v="0"/>
    <s v="Limpieza de derrumbes a máquina"/>
    <s v="m3"/>
    <n v="1.46"/>
    <n v="0"/>
    <d v="2014-10-01T00:00:00"/>
    <d v="2014-11-30T00:00:00"/>
    <s v="EN EJECUCION"/>
    <n v="0"/>
    <m/>
    <m/>
    <m/>
  </r>
  <r>
    <m/>
    <m/>
    <x v="1"/>
    <m/>
    <s v="MEJORAMIENTO DE LA VIA PINDAL MILAGROS PALETILLAS"/>
    <x v="1"/>
    <x v="9"/>
    <s v="PALETILLAS"/>
    <s v="AD. DIRECTA"/>
    <s v="VIALSUR"/>
    <m/>
    <m/>
    <n v="0"/>
    <s v="Limpieza de cunetas y alcantarillas a maquina"/>
    <s v="m3"/>
    <n v="1.47"/>
    <n v="70"/>
    <d v="2014-10-01T00:00:00"/>
    <d v="2014-11-30T00:00:00"/>
    <s v="EN EJECUCION"/>
    <n v="102.9"/>
    <m/>
    <m/>
    <m/>
  </r>
  <r>
    <m/>
    <m/>
    <x v="1"/>
    <m/>
    <s v="MEJORAMIENTO DE LA VIA PINDAL MILAGROS PALETILLAS"/>
    <x v="1"/>
    <x v="9"/>
    <s v="PALETILLAS"/>
    <s v="AD. DIRECTA"/>
    <s v="VIALSUR"/>
    <m/>
    <m/>
    <n v="0"/>
    <s v="Transporte de material excavado ( desalojo de escombrera)"/>
    <s v="m3/km"/>
    <n v="0.3"/>
    <n v="38685"/>
    <d v="2014-10-01T00:00:00"/>
    <d v="2014-11-30T00:00:00"/>
    <s v="EN EJECUCION"/>
    <n v="11605.5"/>
    <m/>
    <m/>
    <m/>
  </r>
  <r>
    <m/>
    <m/>
    <x v="0"/>
    <m/>
    <s v="MEJORAMIENTO DE LA VIA PINDAL MILAGROS PALETILLAS"/>
    <x v="1"/>
    <x v="9"/>
    <s v="PALETILLAS"/>
    <s v="AD. DIRECTA"/>
    <s v="VIALSUR"/>
    <m/>
    <m/>
    <n v="0"/>
    <s v="Transporte de material de mejoramiento, inc cargado"/>
    <s v="m3/km"/>
    <n v="0.3"/>
    <n v="40320"/>
    <d v="2014-10-01T00:00:00"/>
    <d v="2014-11-30T00:00:00"/>
    <s v="EN EJECUCION"/>
    <n v="12096"/>
    <m/>
    <m/>
    <m/>
  </r>
  <r>
    <m/>
    <m/>
    <x v="1"/>
    <m/>
    <s v="MEJORAMIENTO DE LA VIA PINDAL MILAGROS PALETILLAS"/>
    <x v="1"/>
    <x v="9"/>
    <s v="PALETILLAS"/>
    <s v="AD. DIRECTA"/>
    <s v="VIALSUR"/>
    <m/>
    <n v="6.55"/>
    <n v="0"/>
    <s v="Rasanteo y conformacion de cunetas con motoniveladora"/>
    <s v="m2"/>
    <n v="0.08"/>
    <n v="36000"/>
    <d v="2014-10-01T00:00:00"/>
    <d v="2014-11-30T00:00:00"/>
    <s v="EN EJECUCION"/>
    <n v="2880"/>
    <m/>
    <m/>
    <m/>
  </r>
  <r>
    <m/>
    <m/>
    <x v="1"/>
    <m/>
    <s v="MEJORAMIENTO DE LA VIA PINDAL MILAGROS PALETILLAS"/>
    <x v="1"/>
    <x v="9"/>
    <s v="PALETILLAS"/>
    <s v="AD. DIRECTA"/>
    <s v="VIALSUR"/>
    <m/>
    <n v="17.28"/>
    <n v="0"/>
    <s v="Reconformación de la rasante"/>
    <s v="m2"/>
    <n v="0.35"/>
    <n v="95000"/>
    <d v="2014-10-01T00:00:00"/>
    <d v="2014-11-30T00:00:00"/>
    <s v="EN EJECUCION"/>
    <n v="33250"/>
    <m/>
    <m/>
    <m/>
  </r>
  <r>
    <m/>
    <m/>
    <x v="0"/>
    <m/>
    <s v="MEJORAMIENTO DE LA VIA PINDAL MILAGROS PALETILLAS"/>
    <x v="1"/>
    <x v="9"/>
    <s v="PALETILLAS"/>
    <s v="AD. DIRECTA"/>
    <s v="VIALSUR"/>
    <m/>
    <n v="9.16"/>
    <n v="0"/>
    <s v="Mejoramiento de la subrasante con suelo seleccionado"/>
    <s v="m3"/>
    <n v="5.92"/>
    <n v="10080"/>
    <d v="2014-10-01T00:00:00"/>
    <d v="2014-11-30T00:00:00"/>
    <s v="EN EJECUCION"/>
    <n v="59673.599999999999"/>
    <m/>
    <m/>
    <m/>
  </r>
  <r>
    <m/>
    <m/>
    <x v="1"/>
    <s v="MANTENIMIENTO DE LA VIA EL LIMON LA BOCANA LA VICTORIA CANTON MACARA"/>
    <s v="MANTENIMIENTO DE LA VIA EL LIMON LA BOCANA LA VICTORIA CANTON MACARA"/>
    <x v="1"/>
    <x v="6"/>
    <s v="LA VICTORIA"/>
    <s v="AD. DIRECTA"/>
    <s v="VIALSUR"/>
    <m/>
    <m/>
    <n v="0"/>
    <s v="Roza a mano"/>
    <s v="Ha"/>
    <n v="948.16"/>
    <n v="2.2999999999999998"/>
    <d v="2014-10-01T00:00:00"/>
    <d v="2014-11-30T00:00:00"/>
    <s v="EN EJECUCION"/>
    <n v="2180.77"/>
    <m/>
    <m/>
    <n v="92354.569999999992"/>
  </r>
  <r>
    <m/>
    <m/>
    <x v="0"/>
    <m/>
    <s v="MANTENIMIENTO DE LA VIA EL LIMON LA BOCANA LA VICTORIA CANTON MACARA"/>
    <x v="1"/>
    <x v="6"/>
    <s v="LA VICTORIA"/>
    <s v="AD. DIRECTA"/>
    <s v="VIALSUR"/>
    <m/>
    <m/>
    <n v="0"/>
    <s v="Excavación sin clasificar a máquina"/>
    <s v="m3"/>
    <n v="1.62"/>
    <n v="0"/>
    <d v="2014-10-01T00:00:00"/>
    <d v="2014-11-30T00:00:00"/>
    <s v="EN EJECUCION"/>
    <n v="0"/>
    <m/>
    <m/>
    <m/>
  </r>
  <r>
    <m/>
    <m/>
    <x v="1"/>
    <m/>
    <s v="MANTENIMIENTO DE LA VIA EL LIMON LA BOCANA LA VICTORIA CANTON MACARA"/>
    <x v="1"/>
    <x v="6"/>
    <s v="LA VICTORIA"/>
    <s v="AD. DIRECTA"/>
    <s v="VIALSUR"/>
    <m/>
    <m/>
    <n v="0"/>
    <s v="Limpieza de derrumbes a máquina"/>
    <s v="m3"/>
    <n v="1.46"/>
    <n v="1035"/>
    <d v="2014-10-01T00:00:00"/>
    <d v="2014-11-30T00:00:00"/>
    <s v="EN EJECUCION"/>
    <n v="1511.1"/>
    <m/>
    <m/>
    <m/>
  </r>
  <r>
    <m/>
    <m/>
    <x v="1"/>
    <m/>
    <s v="MANTENIMIENTO DE LA VIA EL LIMON LA BOCANA LA VICTORIA CANTON MACARA"/>
    <x v="1"/>
    <x v="6"/>
    <s v="LA VICTORIA"/>
    <s v="AD. DIRECTA"/>
    <s v="VIALSUR"/>
    <m/>
    <m/>
    <n v="0"/>
    <s v="Limpieza de cunetas y alcantarillas a maquina"/>
    <s v="m3"/>
    <n v="1.47"/>
    <n v="0"/>
    <d v="2014-10-01T00:00:00"/>
    <d v="2014-11-30T00:00:00"/>
    <s v="EN EJECUCION"/>
    <n v="0"/>
    <m/>
    <m/>
    <m/>
  </r>
  <r>
    <m/>
    <m/>
    <x v="1"/>
    <m/>
    <s v="MANTENIMIENTO DE LA VIA EL LIMON LA BOCANA LA VICTORIA CANTON MACARA"/>
    <x v="1"/>
    <x v="6"/>
    <s v="LA VICTORIA"/>
    <s v="AD. DIRECTA"/>
    <s v="VIALSUR"/>
    <m/>
    <m/>
    <n v="0"/>
    <s v="Transporte de material excavado ( desalojo de escombrera)"/>
    <s v="m3/km"/>
    <n v="0.3"/>
    <n v="0"/>
    <d v="2014-10-01T00:00:00"/>
    <d v="2014-11-30T00:00:00"/>
    <s v="EN EJECUCION"/>
    <n v="0"/>
    <m/>
    <m/>
    <m/>
  </r>
  <r>
    <m/>
    <m/>
    <x v="0"/>
    <m/>
    <s v="MANTENIMIENTO DE LA VIA EL LIMON LA BOCANA LA VICTORIA CANTON MACARA"/>
    <x v="1"/>
    <x v="6"/>
    <s v="LA VICTORIA"/>
    <s v="AD. DIRECTA"/>
    <s v="VIALSUR"/>
    <m/>
    <m/>
    <n v="0"/>
    <s v="Transporte de material de mejoramiento, inc cargado"/>
    <s v="m3/km"/>
    <n v="0.3"/>
    <n v="36225"/>
    <d v="2014-10-01T00:00:00"/>
    <d v="2014-11-30T00:00:00"/>
    <s v="EN EJECUCION"/>
    <n v="10867.5"/>
    <m/>
    <m/>
    <m/>
  </r>
  <r>
    <m/>
    <m/>
    <x v="1"/>
    <m/>
    <s v="MANTENIMIENTO DE LA VIA EL LIMON LA BOCANA LA VICTORIA CANTON MACARA"/>
    <x v="1"/>
    <x v="6"/>
    <s v="LA VICTORIA"/>
    <s v="AD. DIRECTA"/>
    <s v="VIALSUR"/>
    <m/>
    <n v="0"/>
    <n v="0"/>
    <s v="Rasanteo y conformacion de cunetas con motoniveladora"/>
    <s v="m2"/>
    <n v="0.08"/>
    <n v="0"/>
    <d v="2014-10-01T00:00:00"/>
    <d v="2014-11-30T00:00:00"/>
    <s v="EN EJECUCION"/>
    <n v="0"/>
    <m/>
    <m/>
    <m/>
  </r>
  <r>
    <m/>
    <m/>
    <x v="1"/>
    <m/>
    <s v="MANTENIMIENTO DE LA VIA EL LIMON LA BOCANA LA VICTORIA CANTON MACARA"/>
    <x v="1"/>
    <x v="6"/>
    <s v="LA VICTORIA"/>
    <s v="AD. DIRECTA"/>
    <s v="VIALSUR"/>
    <m/>
    <n v="29.28"/>
    <n v="0"/>
    <s v="Reconformación de la rasante"/>
    <s v="m2"/>
    <n v="0.35"/>
    <n v="161000"/>
    <d v="2014-10-01T00:00:00"/>
    <d v="2014-11-30T00:00:00"/>
    <s v="EN EJECUCION"/>
    <n v="56350"/>
    <m/>
    <m/>
    <m/>
  </r>
  <r>
    <m/>
    <m/>
    <x v="0"/>
    <m/>
    <s v="MANTENIMIENTO DE LA VIA EL LIMON LA BOCANA LA VICTORIA CANTON MACARA"/>
    <x v="1"/>
    <x v="6"/>
    <s v="LA VICTORIA"/>
    <s v="AD. DIRECTA"/>
    <s v="VIALSUR"/>
    <m/>
    <n v="3.29"/>
    <n v="0"/>
    <s v="Mejoramiento de la subrasante con suelo seleccionado"/>
    <s v="m3"/>
    <n v="5.92"/>
    <n v="3622.5"/>
    <d v="2014-10-01T00:00:00"/>
    <d v="2014-11-30T00:00:00"/>
    <s v="EN EJECUCION"/>
    <n v="21445.200000000001"/>
    <m/>
    <m/>
    <m/>
  </r>
  <r>
    <m/>
    <m/>
    <x v="1"/>
    <s v="MANTENIMIENTO DE LA VIA SAN JUAMPAMBA - ACHIMA, PARROQUIA SABIANGO, CANTON MACARA"/>
    <s v="MANTENIMIENTO DE LA VIA SAN JUAMPAMBA - ACHIMA, PARROQUIA SABIANGO, CANTON MACARA"/>
    <x v="1"/>
    <x v="6"/>
    <s v="LA VICTORIA"/>
    <s v="AD. DIRECTA"/>
    <s v="VIALSUR"/>
    <m/>
    <m/>
    <n v="0"/>
    <s v="Roza a mano"/>
    <s v="Ha"/>
    <n v="948.16"/>
    <n v="2.6"/>
    <d v="2014-10-01T00:00:00"/>
    <d v="2014-11-30T00:00:00"/>
    <s v="EN EJECUCION"/>
    <n v="2465.2199999999998"/>
    <m/>
    <m/>
    <n v="89042.22"/>
  </r>
  <r>
    <m/>
    <m/>
    <x v="0"/>
    <m/>
    <s v="MANTENIMIENTO DE LA VIA SAN JUAMPAMBA - ACHIMA, PARROQUIA SABIANGO, CANTON MACARA"/>
    <x v="1"/>
    <x v="6"/>
    <s v="LA VICTORIA"/>
    <s v="AD. DIRECTA"/>
    <s v="VIALSUR"/>
    <m/>
    <m/>
    <n v="0"/>
    <s v="Excavación sin clasificar a máquina"/>
    <s v="m3"/>
    <n v="1.62"/>
    <n v="4700"/>
    <d v="2014-10-01T00:00:00"/>
    <d v="2014-11-30T00:00:00"/>
    <s v="EN EJECUCION"/>
    <n v="7614"/>
    <m/>
    <m/>
    <m/>
  </r>
  <r>
    <m/>
    <m/>
    <x v="1"/>
    <m/>
    <s v="MANTENIMIENTO DE LA VIA SAN JUAMPAMBA - ACHIMA, PARROQUIA SABIANGO, CANTON MACARA"/>
    <x v="1"/>
    <x v="6"/>
    <s v="LA VICTORIA"/>
    <s v="AD. DIRECTA"/>
    <s v="VIALSUR"/>
    <m/>
    <m/>
    <n v="0"/>
    <s v="Limpieza de derrumbes a máquina"/>
    <s v="m3"/>
    <n v="1.46"/>
    <n v="3000"/>
    <d v="2014-10-01T00:00:00"/>
    <d v="2014-11-30T00:00:00"/>
    <s v="EN EJECUCION"/>
    <n v="4380"/>
    <m/>
    <m/>
    <m/>
  </r>
  <r>
    <m/>
    <m/>
    <x v="1"/>
    <m/>
    <s v="MANTENIMIENTO DE LA VIA SAN JUAMPAMBA - ACHIMA, PARROQUIA SABIANGO, CANTON MACARA"/>
    <x v="1"/>
    <x v="6"/>
    <s v="LA VICTORIA"/>
    <s v="AD. DIRECTA"/>
    <s v="VIALSUR"/>
    <m/>
    <m/>
    <n v="0"/>
    <s v="Limpieza de cunetas y alcantarillas a maquina"/>
    <s v="m3"/>
    <n v="1.47"/>
    <n v="0"/>
    <d v="2014-10-01T00:00:00"/>
    <d v="2014-11-30T00:00:00"/>
    <s v="EN EJECUCION"/>
    <n v="0"/>
    <m/>
    <m/>
    <m/>
  </r>
  <r>
    <m/>
    <m/>
    <x v="1"/>
    <m/>
    <s v="MANTENIMIENTO DE LA VIA SAN JUAMPAMBA - ACHIMA, PARROQUIA SABIANGO, CANTON MACARA"/>
    <x v="1"/>
    <x v="6"/>
    <s v="LA VICTORIA"/>
    <s v="AD. DIRECTA"/>
    <s v="VIALSUR"/>
    <m/>
    <m/>
    <n v="0"/>
    <s v="Transporte de material excavado ( desalojo de escombrera)"/>
    <s v="m3/km"/>
    <n v="0.3"/>
    <n v="3000"/>
    <d v="2014-10-01T00:00:00"/>
    <d v="2014-11-30T00:00:00"/>
    <s v="EN EJECUCION"/>
    <n v="900"/>
    <m/>
    <m/>
    <m/>
  </r>
  <r>
    <m/>
    <m/>
    <x v="0"/>
    <m/>
    <s v="MANTENIMIENTO DE LA VIA SAN JUAMPAMBA - ACHIMA, PARROQUIA SABIANGO, CANTON MACARA"/>
    <x v="1"/>
    <x v="6"/>
    <s v="LA VICTORIA"/>
    <s v="AD. DIRECTA"/>
    <s v="VIALSUR"/>
    <m/>
    <m/>
    <n v="0"/>
    <s v="Transporte de material de mejoramiento, inc cargado"/>
    <s v="m3/km"/>
    <n v="0.3"/>
    <n v="62100"/>
    <d v="2014-10-01T00:00:00"/>
    <d v="2014-11-30T00:00:00"/>
    <s v="EN EJECUCION"/>
    <n v="18630"/>
    <m/>
    <m/>
    <m/>
  </r>
  <r>
    <m/>
    <m/>
    <x v="1"/>
    <m/>
    <s v="MANTENIMIENTO DE LA VIA SAN JUAMPAMBA - ACHIMA, PARROQUIA SABIANGO, CANTON MACARA"/>
    <x v="1"/>
    <x v="6"/>
    <s v="LA VICTORIA"/>
    <s v="AD. DIRECTA"/>
    <s v="VIALSUR"/>
    <m/>
    <n v="0"/>
    <n v="0"/>
    <s v="Rasanteo y conformacion de cunetas con motoniveladora"/>
    <s v="m2"/>
    <n v="0.08"/>
    <n v="0"/>
    <d v="2014-10-01T00:00:00"/>
    <d v="2014-11-30T00:00:00"/>
    <s v="EN EJECUCION"/>
    <n v="0"/>
    <m/>
    <m/>
    <m/>
  </r>
  <r>
    <m/>
    <m/>
    <x v="1"/>
    <m/>
    <s v="MANTENIMIENTO DE LA VIA SAN JUAMPAMBA - ACHIMA, PARROQUIA SABIANGO, CANTON MACARA"/>
    <x v="1"/>
    <x v="6"/>
    <s v="LA VICTORIA"/>
    <s v="AD. DIRECTA"/>
    <s v="VIALSUR"/>
    <m/>
    <n v="10.459999999999999"/>
    <n v="0"/>
    <s v="Reconformación de la rasante"/>
    <s v="m2"/>
    <n v="0.35"/>
    <n v="57500"/>
    <d v="2014-10-01T00:00:00"/>
    <d v="2014-11-30T00:00:00"/>
    <s v="EN EJECUCION"/>
    <n v="20125"/>
    <m/>
    <m/>
    <m/>
  </r>
  <r>
    <m/>
    <m/>
    <x v="0"/>
    <m/>
    <s v="MANTENIMIENTO DE LA VIA SAN JUAMPAMBA - ACHIMA, PARROQUIA SABIANGO, CANTON MACARA"/>
    <x v="1"/>
    <x v="6"/>
    <s v="LA VICTORIA"/>
    <s v="AD. DIRECTA"/>
    <s v="VIALSUR"/>
    <m/>
    <n v="5.36"/>
    <n v="0"/>
    <s v="Mejoramiento de la subrasante con suelo seleccionado"/>
    <s v="m3"/>
    <n v="5.92"/>
    <n v="5900"/>
    <d v="2014-10-01T00:00:00"/>
    <d v="2014-11-30T00:00:00"/>
    <s v="EN EJECUCION"/>
    <n v="34928"/>
    <m/>
    <m/>
    <m/>
  </r>
  <r>
    <m/>
    <m/>
    <x v="1"/>
    <s v="MANTENIMIENTO DE LA VIA ALAMOR - VICENTINO, CANTON PUYANGO"/>
    <s v="MANTENIMIENTO DE LA VIA ALAMOR - VICENTINO, CANTON PUYANGO"/>
    <x v="1"/>
    <x v="5"/>
    <s v="VICENTINO"/>
    <s v="AD. DIRECTA"/>
    <s v="VIALSUR"/>
    <m/>
    <m/>
    <n v="0"/>
    <s v="Roza a mano"/>
    <s v="Ha"/>
    <n v="948.16"/>
    <n v="2"/>
    <d v="2014-10-01T00:00:00"/>
    <d v="2014-11-30T00:00:00"/>
    <s v="EN EJECUCION"/>
    <n v="1896.32"/>
    <m/>
    <m/>
    <n v="92390.720000000001"/>
  </r>
  <r>
    <m/>
    <m/>
    <x v="0"/>
    <m/>
    <s v="MANTENIMIENTO DE LA VIA ALAMOR - VICENTINO, CANTON PUYANGO"/>
    <x v="1"/>
    <x v="5"/>
    <s v="VICENTINO"/>
    <s v="AD. DIRECTA"/>
    <s v="VIALSUR"/>
    <m/>
    <m/>
    <n v="0"/>
    <s v="Excavación sin clasificar a máquina"/>
    <s v="m3"/>
    <n v="1.62"/>
    <n v="5760"/>
    <d v="2014-10-01T00:00:00"/>
    <d v="2014-11-30T00:00:00"/>
    <s v="EN EJECUCION"/>
    <n v="9331.2000000000007"/>
    <m/>
    <m/>
    <m/>
  </r>
  <r>
    <m/>
    <m/>
    <x v="1"/>
    <m/>
    <s v="MANTENIMIENTO DE LA VIA ALAMOR - VICENTINO, CANTON PUYANGO"/>
    <x v="1"/>
    <x v="5"/>
    <s v="VICENTINO"/>
    <s v="AD. DIRECTA"/>
    <s v="VIALSUR"/>
    <m/>
    <m/>
    <n v="0"/>
    <s v="Limpieza de derrumbes a máquina"/>
    <s v="m3"/>
    <n v="1.46"/>
    <n v="6000"/>
    <d v="2014-10-01T00:00:00"/>
    <d v="2014-11-30T00:00:00"/>
    <s v="EN EJECUCION"/>
    <n v="8760"/>
    <m/>
    <m/>
    <m/>
  </r>
  <r>
    <m/>
    <m/>
    <x v="1"/>
    <m/>
    <s v="MANTENIMIENTO DE LA VIA ALAMOR - VICENTINO, CANTON PUYANGO"/>
    <x v="1"/>
    <x v="5"/>
    <s v="VICENTINO"/>
    <s v="AD. DIRECTA"/>
    <s v="VIALSUR"/>
    <m/>
    <m/>
    <n v="0"/>
    <s v="Limpieza de cunetas y alcantarillas a maquina"/>
    <s v="m3"/>
    <n v="1.47"/>
    <n v="0"/>
    <d v="2014-10-01T00:00:00"/>
    <d v="2014-11-30T00:00:00"/>
    <s v="EN EJECUCION"/>
    <n v="0"/>
    <m/>
    <m/>
    <m/>
  </r>
  <r>
    <m/>
    <m/>
    <x v="1"/>
    <m/>
    <s v="MANTENIMIENTO DE LA VIA ALAMOR - VICENTINO, CANTON PUYANGO"/>
    <x v="1"/>
    <x v="5"/>
    <s v="VICENTINO"/>
    <s v="AD. DIRECTA"/>
    <s v="VIALSUR"/>
    <m/>
    <m/>
    <n v="0"/>
    <s v="Transporte de material excavado ( desalojo de escombrera)"/>
    <s v="m3/km"/>
    <n v="0.3"/>
    <n v="48000"/>
    <d v="2014-10-01T00:00:00"/>
    <d v="2014-11-30T00:00:00"/>
    <s v="EN EJECUCION"/>
    <n v="14400"/>
    <m/>
    <m/>
    <m/>
  </r>
  <r>
    <m/>
    <m/>
    <x v="0"/>
    <m/>
    <s v="MANTENIMIENTO DE LA VIA ALAMOR - VICENTINO, CANTON PUYANGO"/>
    <x v="1"/>
    <x v="5"/>
    <s v="VICENTINO"/>
    <s v="AD. DIRECTA"/>
    <s v="VIALSUR"/>
    <m/>
    <m/>
    <n v="0"/>
    <s v="Transporte de material de mejoramiento, inc cargado"/>
    <s v="m3/km"/>
    <n v="0.3"/>
    <n v="46080"/>
    <d v="2014-10-01T00:00:00"/>
    <d v="2014-11-30T00:00:00"/>
    <s v="EN EJECUCION"/>
    <n v="13824"/>
    <m/>
    <m/>
    <m/>
  </r>
  <r>
    <m/>
    <m/>
    <x v="1"/>
    <m/>
    <s v="MANTENIMIENTO DE LA VIA ALAMOR - VICENTINO, CANTON PUYANGO"/>
    <x v="1"/>
    <x v="5"/>
    <s v="VICENTINO"/>
    <s v="AD. DIRECTA"/>
    <s v="VIALSUR"/>
    <m/>
    <n v="0"/>
    <n v="0"/>
    <s v="Rasanteo y conformacion de cunetas con motoniveladora"/>
    <s v="m2"/>
    <n v="0.08"/>
    <n v="0"/>
    <d v="2014-10-01T00:00:00"/>
    <d v="2014-11-30T00:00:00"/>
    <s v="EN EJECUCION"/>
    <n v="0"/>
    <m/>
    <m/>
    <m/>
  </r>
  <r>
    <m/>
    <m/>
    <x v="1"/>
    <m/>
    <s v="MANTENIMIENTO DE LA VIA ALAMOR - VICENTINO, CANTON PUYANGO"/>
    <x v="1"/>
    <x v="5"/>
    <s v="VICENTINO"/>
    <s v="AD. DIRECTA"/>
    <s v="VIALSUR"/>
    <m/>
    <n v="5.24"/>
    <n v="0"/>
    <s v="Reconformación de la rasante"/>
    <s v="m2"/>
    <n v="0.35"/>
    <n v="28800"/>
    <d v="2014-10-01T00:00:00"/>
    <d v="2014-11-30T00:00:00"/>
    <s v="EN EJECUCION"/>
    <n v="10080"/>
    <m/>
    <m/>
    <m/>
  </r>
  <r>
    <m/>
    <m/>
    <x v="0"/>
    <m/>
    <s v="MANTENIMIENTO DE LA VIA ALAMOR - VICENTINO, CANTON PUYANGO"/>
    <x v="1"/>
    <x v="5"/>
    <s v="VICENTINO"/>
    <s v="AD. DIRECTA"/>
    <s v="VIALSUR"/>
    <m/>
    <n v="5.24"/>
    <n v="0"/>
    <s v="Mejoramiento de la subrasante con suelo seleccionado"/>
    <s v="m3"/>
    <n v="5.92"/>
    <n v="5760"/>
    <d v="2014-10-01T00:00:00"/>
    <d v="2014-11-30T00:00:00"/>
    <s v="EN EJECUCION"/>
    <n v="34099.199999999997"/>
    <m/>
    <m/>
    <m/>
  </r>
  <r>
    <m/>
    <m/>
    <x v="6"/>
    <s v="CONSTRUCCION DE ESTRIBOS PARA PUENTE BAYLEY SECTOR EL ARENAL CONVENIO NRO 007-2013 GADM PUYANGO - VIALSUR.EP(MUNICIPIO AUN NO INICIA LOS TRABAJOS) APORTES GAD $ 10000,00 Y VIALSUR $ 10 500,00, las estructuras se encuentran en bodega del GAP. PUYANGO, en espera de firma de convenio para realizar entrega"/>
    <s v="CONSTRUCCION DE ESTRIBOS PARA PUENTE BAYLEY SECTOR EL ARENAL CONVENIO NRO 007-2013 GADM PUYANGO - VIALSUR.EP(MUNICIPIO AUN NO INICIA LOS TRABAJOS) APORTES GAD $ 10000,00 Y VIALSUR $ 10 500,00, las estructuras se encuentran en bodega del GAP. PUYANGO, en espera de firma de convenio para realizar entrega"/>
    <x v="1"/>
    <x v="5"/>
    <s v="ELARENAL"/>
    <s v="CONVENIO"/>
    <s v="VIALSUR"/>
    <n v="3.1"/>
    <n v="0"/>
    <n v="467"/>
    <m/>
    <s v="m3"/>
    <m/>
    <n v="0"/>
    <m/>
    <m/>
    <s v="EJECUTADO"/>
    <n v="0"/>
    <m/>
    <m/>
    <n v="0"/>
  </r>
  <r>
    <m/>
    <m/>
    <x v="6"/>
    <s v="CONSTRUCCION DE ESTRIBOS PARA PUENTE BAYLEY SECTOR CIANO CONVENIO  NRO. 006-2013 GADP CIANO - VIALSUR.EP(ESTRIBOS EJECUTADOS) GADP $ 15 000, 00 Y VIALSUR. EP $ 10 000,00. Las estructuras se encuentran en bodega del GAP. PUYANGO, en espera de firma de convenio para realizar entrega"/>
    <s v="CONSTRUCCION DE ESTRIBOS PARA PUENTE BAYLEY SECTOR CIANO CONVENIO  NRO. 006-2013 GADP CIANO - VIALSUR.EP(ESTRIBOS EJECUTADOS) GADP $ 15 000, 00 Y VIALSUR. EP $ 10 000,00. Las estructuras se encuentran en bodega del GAP. PUYANGO, en espera de firma de convenio para realizar entrega"/>
    <x v="1"/>
    <x v="5"/>
    <s v="CIANO"/>
    <s v="CONVENIO"/>
    <s v="VIALSUR"/>
    <n v="3.1"/>
    <n v="0"/>
    <n v="567"/>
    <s v="ESTRIBOS CONSTRUIDOS"/>
    <s v="m3"/>
    <m/>
    <n v="0"/>
    <d v="2014-01-01T00:00:00"/>
    <d v="2014-01-31T00:00:00"/>
    <s v="EJECUTADO"/>
    <n v="10000"/>
    <m/>
    <m/>
    <n v="10000"/>
  </r>
  <r>
    <s v="11"/>
    <s v="EJECUTADO"/>
    <x v="0"/>
    <s v="VIA, CHINCHAS-ZAMBI-RIO PINDO, L=55,88 km. (Catamayo)"/>
    <s v="VIA, CHINCHAS-ZAMBI-RIO PINDO, L=55,88 km. (Catamayo)"/>
    <x v="2"/>
    <x v="10"/>
    <s v="zambi"/>
    <s v="AD. DIRECTA"/>
    <s v="VIALSUR"/>
    <n v="15"/>
    <m/>
    <n v="267"/>
    <s v="Excavación sin clasificar a máquina (ampliación de la vía en áreas críticas)"/>
    <s v="m³."/>
    <n v="1.62"/>
    <n v="700"/>
    <d v="2014-06-01T00:00:00"/>
    <d v="2014-06-30T00:00:00"/>
    <s v="EJECUTADO"/>
    <n v="1134"/>
    <m/>
    <m/>
    <n v="202459.11000000002"/>
  </r>
  <r>
    <m/>
    <m/>
    <x v="0"/>
    <m/>
    <s v="VIA, CHINCHAS-ZAMBI-RIO PINDO, L=55,88 km. (Catamayo)"/>
    <x v="2"/>
    <x v="10"/>
    <s v="ZAMBI"/>
    <s v="AD. DIRECTA"/>
    <s v="VIALSUR"/>
    <m/>
    <m/>
    <n v="0"/>
    <s v="Explotación  de material (incluye cargado)"/>
    <s v="m³."/>
    <n v="2.54"/>
    <n v="800"/>
    <d v="2014-01-05T00:00:00"/>
    <d v="2014-05-31T00:00:00"/>
    <s v="EJECUTADO"/>
    <n v="2032"/>
    <m/>
    <m/>
    <m/>
  </r>
  <r>
    <m/>
    <m/>
    <x v="0"/>
    <m/>
    <s v="VIA, CHINCHAS-ZAMBI-RIO PINDO, L=55,88 km. (Catamayo)"/>
    <x v="2"/>
    <x v="10"/>
    <s v="ZAMBI"/>
    <s v="AD. DIRECTA"/>
    <s v="VIALSUR"/>
    <m/>
    <m/>
    <n v="0"/>
    <s v="Relleno compactado, con material mejorado (estructura de la vía)."/>
    <s v="m³."/>
    <n v="5.05"/>
    <n v="368"/>
    <d v="2014-11-22T00:00:00"/>
    <d v="2014-12-14T00:00:00"/>
    <s v="EN EJECUCION"/>
    <n v="1858.4"/>
    <m/>
    <m/>
    <m/>
  </r>
  <r>
    <m/>
    <m/>
    <x v="0"/>
    <m/>
    <s v="VIA, CHINCHAS-ZAMBI-RIO PINDO, L=55,88 km. (Catamayo)"/>
    <x v="2"/>
    <x v="10"/>
    <s v="ZAMBI"/>
    <s v="AD. DIRECTA"/>
    <s v="VIALSUR"/>
    <m/>
    <m/>
    <n v="0"/>
    <s v="Clasificación de material."/>
    <s v="m³."/>
    <n v="1.47"/>
    <n v="700"/>
    <d v="2014-06-12T00:00:00"/>
    <d v="2014-06-30T00:00:00"/>
    <s v="EJECUTADO"/>
    <n v="1029"/>
    <m/>
    <m/>
    <m/>
  </r>
  <r>
    <m/>
    <m/>
    <x v="1"/>
    <m/>
    <s v="VIA, CHINCHAS-ZAMBI-RIO PINDO, L=55,88 km. (Catamayo)"/>
    <x v="2"/>
    <x v="10"/>
    <s v="ZAMBI"/>
    <s v="AD. DIRECTA"/>
    <s v="VIALSUR"/>
    <m/>
    <m/>
    <n v="0"/>
    <s v="Limpieza de derrumbes a maquina"/>
    <s v="m³."/>
    <n v="1.46"/>
    <n v="10858"/>
    <d v="2014-01-01T00:00:00"/>
    <d v="2014-06-30T00:00:00"/>
    <s v="EJECUTADO"/>
    <n v="15852.68"/>
    <m/>
    <m/>
    <m/>
  </r>
  <r>
    <m/>
    <m/>
    <x v="1"/>
    <m/>
    <s v="VIA, CHINCHAS-ZAMBI-RIO PINDO, L=55,88 km. (Catamayo)"/>
    <x v="2"/>
    <x v="10"/>
    <s v="ZAMBI"/>
    <s v="AD. DIRECTA"/>
    <s v="VIALSUR"/>
    <m/>
    <m/>
    <n v="0"/>
    <s v="Limpieza de cunetas y alcantarillas a maquina"/>
    <s v="m³."/>
    <n v="1.47"/>
    <n v="2380"/>
    <d v="2014-01-05T00:00:00"/>
    <d v="2014-07-31T00:00:00"/>
    <s v="EJECUTADO"/>
    <n v="3498.6"/>
    <m/>
    <m/>
    <m/>
  </r>
  <r>
    <m/>
    <m/>
    <x v="1"/>
    <m/>
    <s v="VIA, CHINCHAS-ZAMBI-RIO PINDO, L=55,88 km. (Catamayo)"/>
    <x v="2"/>
    <x v="10"/>
    <s v="GUAYQUICHUMA"/>
    <s v="AD. DIRECTA"/>
    <s v="VIALSUR"/>
    <n v="17"/>
    <n v="16.330000000000002"/>
    <n v="144"/>
    <s v="Rasanteo y conformacion de cunetas con motoniveladora"/>
    <s v="m²."/>
    <n v="0.1"/>
    <n v="89782"/>
    <d v="2014-01-01T00:00:00"/>
    <d v="2014-11-30T00:00:00"/>
    <s v="EN EJECUCION"/>
    <n v="8978.2000000000007"/>
    <m/>
    <m/>
    <m/>
  </r>
  <r>
    <m/>
    <m/>
    <x v="1"/>
    <m/>
    <s v="VIA, CHINCHAS-ZAMBI-RIO PINDO, L=55,88 km. (Catamayo)"/>
    <x v="2"/>
    <x v="10"/>
    <s v="GUAYQUICHUMA"/>
    <s v="AD. DIRECTA"/>
    <s v="VIALSUR"/>
    <m/>
    <n v="83.76"/>
    <n v="0"/>
    <s v="Reconformación de la Subrazante"/>
    <s v="m²."/>
    <n v="0.35"/>
    <n v="460641"/>
    <d v="2014-01-01T00:00:00"/>
    <d v="2014-12-14T00:00:00"/>
    <s v="EN EJECUCION"/>
    <n v="161224.35"/>
    <m/>
    <m/>
    <m/>
  </r>
  <r>
    <m/>
    <m/>
    <x v="0"/>
    <m/>
    <s v="VIA, CHINCHAS-ZAMBI-RIO PINDO, L=55,88 km. (Catamayo)"/>
    <x v="2"/>
    <x v="10"/>
    <s v="GUAYQUICHUMA"/>
    <s v="AD. DIRECTA"/>
    <s v="VIALSUR"/>
    <m/>
    <m/>
    <n v="0"/>
    <s v="Transporte de material de mejoramiento"/>
    <s v="m3/km."/>
    <n v="0.3"/>
    <n v="7052.92"/>
    <d v="2014-01-05T00:00:00"/>
    <d v="2014-12-14T00:00:00"/>
    <s v="EN EJECUCION"/>
    <n v="2115.88"/>
    <m/>
    <m/>
    <m/>
  </r>
  <r>
    <m/>
    <m/>
    <x v="0"/>
    <m/>
    <s v="VIA, CHINCHAS-ZAMBI-RIO PINDO, L=55,88 km. (Catamayo)"/>
    <x v="2"/>
    <x v="10"/>
    <s v="GUAYQUICHUMA"/>
    <s v="AD. DIRECTA"/>
    <s v="VIALSUR"/>
    <m/>
    <m/>
    <n v="0"/>
    <s v="Mejoramiento de la subrasante con suelo seleccionado"/>
    <s v="m³."/>
    <n v="5.92"/>
    <n v="800"/>
    <d v="2014-11-22T00:00:00"/>
    <d v="2014-12-14T00:00:00"/>
    <s v="EN EJECUCION"/>
    <n v="4736"/>
    <m/>
    <m/>
    <m/>
  </r>
  <r>
    <m/>
    <m/>
    <x v="1"/>
    <s v="VIA, ACCESO A RUMIPOTRERO, L=4,5 km. (Catamayo)"/>
    <s v="VIA, ACCESO A RUMIPOTRERO, L=4,5 km. (Catamayo)"/>
    <x v="2"/>
    <x v="10"/>
    <s v="GUAYQUICHUMA"/>
    <s v="AD. DIRECTA"/>
    <s v="VIALSUR"/>
    <n v="4.5"/>
    <m/>
    <n v="144"/>
    <s v="Limpieza de derrumbes a máquina"/>
    <s v="m³."/>
    <n v="1.46"/>
    <n v="440"/>
    <d v="2014-04-11T00:00:00"/>
    <d v="2014-06-30T00:00:00"/>
    <s v="EJECUTADO"/>
    <n v="642.4"/>
    <m/>
    <m/>
    <n v="0"/>
  </r>
  <r>
    <m/>
    <m/>
    <x v="1"/>
    <m/>
    <s v="VIA, ACCESO A RUMIPOTRERO, L=4,5 km. (Catamayo)"/>
    <x v="2"/>
    <x v="10"/>
    <s v="GUAYQUICHUMA"/>
    <s v="AD. DIRECTA"/>
    <s v="VIALSUR"/>
    <m/>
    <n v="5.3999999999999995"/>
    <m/>
    <s v="Rasanteo y conformacion de cunetas con motoniveladora"/>
    <s v="m²."/>
    <n v="0.1"/>
    <n v="29650"/>
    <d v="2014-06-01T00:00:00"/>
    <d v="2014-09-30T00:00:00"/>
    <s v="EJECUTADO"/>
    <n v="2965"/>
    <m/>
    <m/>
    <m/>
  </r>
  <r>
    <m/>
    <m/>
    <x v="1"/>
    <s v="VIA, CHIGUANGO-CHIGUANGO ALTO, L=3,1 km. (Catamayo)"/>
    <s v="VIA, CHIGUANGO-CHIGUANGO ALTO, L=3,1 km. (Catamayo)"/>
    <x v="2"/>
    <x v="10"/>
    <s v="GUAYQUICHUMA"/>
    <s v="AD. DIRECTA"/>
    <s v="VIALSUR"/>
    <n v="3.1"/>
    <n v="2.2699999999999996"/>
    <n v="144"/>
    <s v="Rasanteo y conformacion de cunetas con motoniveladora"/>
    <s v="m²."/>
    <n v="0.08"/>
    <n v="12460"/>
    <d v="2014-02-07T00:00:00"/>
    <d v="2014-02-08T00:00:00"/>
    <s v="EJECUTADO"/>
    <n v="996.8"/>
    <m/>
    <m/>
    <n v="996.8"/>
  </r>
  <r>
    <m/>
    <m/>
    <x v="1"/>
    <s v="VIA CHINCHAS LA ARADA, L=6.7 KM. (incluye 0.4 km accesos al sitio la Cruz ( ( Zambi - Catamayo)"/>
    <s v="VIA CHINCHAS LA ARADA, L=6.7 KM. (incluye 0.4 km accesos al sitio la Cruz ( ( Zambi - Catamayo)"/>
    <x v="2"/>
    <x v="10"/>
    <s v="ZAMBI"/>
    <s v="AD. DIRECTA"/>
    <s v="VIALSUR"/>
    <n v="6.7"/>
    <m/>
    <n v="267"/>
    <s v="Limpieza de derrumbes a máquina"/>
    <s v="m³."/>
    <n v="1.46"/>
    <n v="300"/>
    <d v="2014-06-01T00:00:00"/>
    <d v="2014-06-30T00:00:00"/>
    <s v="EJECUTADO"/>
    <n v="438"/>
    <m/>
    <m/>
    <n v="0"/>
  </r>
  <r>
    <m/>
    <m/>
    <x v="1"/>
    <m/>
    <s v="VIA CHINCHAS LA ARADA, L=6.7 KM. (incluye 0.4 km accesos al sitio la Cruz ( ( Zambi - Catamayo)"/>
    <x v="2"/>
    <x v="10"/>
    <s v="ZAMBI"/>
    <s v="AD. DIRECTA"/>
    <s v="VIALSUR"/>
    <m/>
    <n v="4.8899999999999997"/>
    <m/>
    <s v="Reconformación de la Subrazante"/>
    <s v="m²."/>
    <n v="0.35"/>
    <n v="26880"/>
    <d v="2014-06-01T00:00:00"/>
    <d v="2014-06-30T00:00:00"/>
    <s v="EJECUTADO"/>
    <n v="9408"/>
    <m/>
    <m/>
    <m/>
  </r>
  <r>
    <m/>
    <m/>
    <x v="1"/>
    <s v="VIA, ACCESO A BARRIOS: LA CHORA-LA LIBERTAD, L=6,7 km, AL PORVENIR, L=1,1 km.  (Catamayo)"/>
    <s v="VIA, ACCESO A BARRIOS: LA CHORA-LA LIBERTAD, L=6,7 km, AL PORVENIR, L=1,1 km.  (Catamayo)"/>
    <x v="2"/>
    <x v="10"/>
    <s v="ZAMBI"/>
    <s v="AD. DIRECTA"/>
    <s v="VIALSUR"/>
    <m/>
    <m/>
    <n v="0"/>
    <s v="Limpieza de derrumbes a máquina"/>
    <s v="m³."/>
    <n v="1.46"/>
    <n v="850"/>
    <d v="2014-04-09T00:00:00"/>
    <d v="2014-06-30T00:00:00"/>
    <s v="EJECUTADO"/>
    <n v="1241"/>
    <m/>
    <m/>
    <n v="16156.5"/>
  </r>
  <r>
    <m/>
    <m/>
    <x v="1"/>
    <m/>
    <s v="VIA, ACCESO A BARRIOS: LA CHORA-LA LIBERTAD, L=6,7 km, AL PORVENIR, L=1,1 km.  (Catamayo)"/>
    <x v="2"/>
    <x v="10"/>
    <s v="ZAMBI"/>
    <s v="AD. DIRECTA"/>
    <s v="VIALSUR"/>
    <m/>
    <n v="1.85"/>
    <n v="0"/>
    <s v="Rasanteo y conformacion de cunetas con motoniveladora"/>
    <s v="m²."/>
    <n v="0.08"/>
    <n v="10175"/>
    <d v="2014-04-09T00:00:00"/>
    <d v="2014-04-15T00:00:00"/>
    <s v="EJECUTADO"/>
    <n v="814"/>
    <m/>
    <m/>
    <m/>
  </r>
  <r>
    <m/>
    <m/>
    <x v="1"/>
    <m/>
    <s v="VIA, ACCESO A BARRIOS: LA CHORA-LA LIBERTAD, L=6,7 km, AL PORVENIR, L=1,1 km.  (Catamayo)"/>
    <x v="2"/>
    <x v="10"/>
    <s v="ZAMBI"/>
    <s v="AD. DIRECTA"/>
    <s v="VIALSUR"/>
    <n v="7.8"/>
    <n v="7.33"/>
    <n v="267"/>
    <s v="Acabado de Obra Básica existente"/>
    <s v="m²."/>
    <n v="0.35"/>
    <n v="40290"/>
    <d v="2014-04-09T00:00:00"/>
    <d v="2014-06-30T00:00:00"/>
    <s v="EJECUTADO"/>
    <n v="14101.5"/>
    <m/>
    <m/>
    <m/>
  </r>
  <r>
    <m/>
    <m/>
    <x v="0"/>
    <s v="VIA, ACCESO AL BARRIO, TOGUEROS, L=1,65 km (Catamayo)"/>
    <s v="VIA, ACCESO AL BARRIO, TOGUEROS, L=1,65 km (Catamayo)"/>
    <x v="2"/>
    <x v="10"/>
    <s v="SAN PEDRO DE LA BENDITA"/>
    <s v="AD. DIRECTA"/>
    <s v="VIALSUR"/>
    <n v="1.65"/>
    <m/>
    <n v="245"/>
    <s v="Excavación sin clasificar a maquina (construcción de drenes y subdrenes)"/>
    <s v="m³."/>
    <n v="1.62"/>
    <n v="1920"/>
    <d v="2014-05-01T00:00:00"/>
    <d v="2014-05-31T00:00:00"/>
    <s v="EJECUTADO"/>
    <n v="3110.4"/>
    <m/>
    <m/>
    <n v="20934.349999999999"/>
  </r>
  <r>
    <m/>
    <m/>
    <x v="0"/>
    <m/>
    <s v="VIA, ACCESO AL BARRIO, TOGUEROS, L=1,65 km (Catamayo)"/>
    <x v="2"/>
    <x v="10"/>
    <s v="SAN PEDRO DE LA BENDITA"/>
    <s v="AD. DIRECTA"/>
    <s v="VIALSUR"/>
    <m/>
    <m/>
    <n v="0"/>
    <s v="Explotación de material incluye cargado"/>
    <s v="m³."/>
    <n v="1.62"/>
    <n v="700"/>
    <d v="2014-04-16T00:00:00"/>
    <d v="2014-04-30T00:00:00"/>
    <s v="EJECUTADO"/>
    <n v="1134"/>
    <m/>
    <m/>
    <m/>
  </r>
  <r>
    <m/>
    <m/>
    <x v="0"/>
    <m/>
    <s v="VIA, ACCESO AL BARRIO, TOGUEROS, L=1,65 km (Catamayo)"/>
    <x v="2"/>
    <x v="10"/>
    <s v="SAN PEDRO DE LA BENDITA"/>
    <s v="AD. DIRECTA"/>
    <s v="VIALSUR"/>
    <m/>
    <m/>
    <n v="0"/>
    <s v="Clasificación de material."/>
    <s v="m³."/>
    <n v="1.47"/>
    <n v="1500"/>
    <d v="2014-01-05T00:00:00"/>
    <d v="2014-05-31T00:00:00"/>
    <s v="EJECUTADO"/>
    <n v="2205"/>
    <m/>
    <m/>
    <m/>
  </r>
  <r>
    <m/>
    <m/>
    <x v="1"/>
    <m/>
    <s v="VIA, ACCESO AL BARRIO, TOGUEROS, L=1,65 km (Catamayo)"/>
    <x v="2"/>
    <x v="10"/>
    <s v="SAN PEDRO DE LA BENDITA"/>
    <s v="AD. DIRECTA"/>
    <s v="VIALSUR"/>
    <m/>
    <m/>
    <n v="0"/>
    <s v="Limpieza de derrumbes a máquina"/>
    <s v="m³."/>
    <n v="1.46"/>
    <n v="875"/>
    <d v="2014-04-16T00:00:00"/>
    <d v="2014-04-30T00:00:00"/>
    <s v="EJECUTADO"/>
    <n v="1277.5"/>
    <m/>
    <m/>
    <m/>
  </r>
  <r>
    <m/>
    <m/>
    <x v="1"/>
    <m/>
    <s v="VIA, ACCESO AL BARRIO, TOGUEROS, L=1,65 km (Catamayo)"/>
    <x v="2"/>
    <x v="10"/>
    <s v="SAN PEDRO DE LA BENDITA"/>
    <s v="AD. DIRECTA"/>
    <s v="VIALSUR"/>
    <m/>
    <n v="1.53"/>
    <n v="0"/>
    <s v="Rasanteo y conformacion de cunetas con motoniveladora"/>
    <s v="m²."/>
    <n v="0.08"/>
    <n v="8370"/>
    <d v="2014-04-16T00:00:00"/>
    <d v="2014-04-30T00:00:00"/>
    <s v="EJECUTADO"/>
    <n v="669.6"/>
    <m/>
    <m/>
    <m/>
  </r>
  <r>
    <m/>
    <m/>
    <x v="1"/>
    <m/>
    <s v="VIA, ACCESO AL BARRIO, TOGUEROS, L=1,65 km (Catamayo)"/>
    <x v="2"/>
    <x v="10"/>
    <s v="SAN PEDRO DE LA BENDITA"/>
    <s v="AD. DIRECTA"/>
    <s v="VIALSUR"/>
    <m/>
    <m/>
    <n v="0"/>
    <s v="Transporte de material excavado, inc. cargado"/>
    <s v="m³/km."/>
    <n v="0.38"/>
    <n v="780"/>
    <d v="2014-04-16T00:00:00"/>
    <d v="2014-04-30T00:00:00"/>
    <s v="EJECUTADO"/>
    <n v="296.39999999999998"/>
    <m/>
    <m/>
    <m/>
  </r>
  <r>
    <m/>
    <m/>
    <x v="0"/>
    <m/>
    <s v="VIA, ACCESO AL BARRIO, TOGUEROS, L=1,65 km (Catamayo)"/>
    <x v="2"/>
    <x v="10"/>
    <s v="SAN PEDRO DE LA BENDITA"/>
    <s v="AD. DIRECTA"/>
    <s v="VIALSUR"/>
    <m/>
    <m/>
    <n v="0"/>
    <s v="Transporte de material para mejoramiento, inc. cargado"/>
    <s v="m³/km."/>
    <n v="0.3"/>
    <n v="6429.36"/>
    <d v="2014-04-16T00:00:00"/>
    <d v="2014-05-31T00:00:00"/>
    <s v="EJECUTADO"/>
    <n v="1928.81"/>
    <m/>
    <m/>
    <m/>
  </r>
  <r>
    <m/>
    <m/>
    <x v="0"/>
    <m/>
    <s v="VIA, ACCESO AL BARRIO, TOGUEROS, L=1,65 km (Catamayo)"/>
    <x v="2"/>
    <x v="10"/>
    <s v="SAN PEDRO DE LA BENDITA"/>
    <s v="AD. DIRECTA"/>
    <s v="VIALSUR"/>
    <m/>
    <n v="1.58"/>
    <n v="0"/>
    <s v="Mejoramiento de la subrasante con suelo seleccionado"/>
    <s v="m³."/>
    <n v="5.92"/>
    <n v="1742"/>
    <d v="2014-04-16T00:00:00"/>
    <d v="2014-05-31T00:00:00"/>
    <s v="EJECUTADO"/>
    <n v="10312.64"/>
    <m/>
    <m/>
    <m/>
  </r>
  <r>
    <m/>
    <m/>
    <x v="3"/>
    <s v="VIA, INDIUCHO-EL TAMBO, L=12,7 km. (Catamayo)  FALLA GEOLOGICA, ABS. 8+500  Inicio: 7 de marzo, continúa."/>
    <s v="VIA, INDIUCHO-EL TAMBO, L=12,7 km. (Catamayo)  FALLA GEOLOGICA, ABS. 8+500  Inicio: 7 de marzo, continúa."/>
    <x v="2"/>
    <x v="10"/>
    <s v="EL TAMBO"/>
    <s v="AD. DIRECTA"/>
    <s v="VIALSUR"/>
    <n v="12.7"/>
    <m/>
    <n v="2886"/>
    <s v="Suministro y colocación de alcantarilla D=1.20 m."/>
    <s v="ml."/>
    <n v="208.57"/>
    <n v="14"/>
    <d v="2014-01-05T00:00:00"/>
    <d v="2014-05-31T00:00:00"/>
    <s v="EJECUTADO"/>
    <n v="2919.98"/>
    <m/>
    <m/>
    <n v="42722.719999999994"/>
  </r>
  <r>
    <m/>
    <m/>
    <x v="0"/>
    <m/>
    <s v="VIA, INDIUCHO-EL TAMBO, L=12,7 km. (Catamayo)  FALLA GEOLOGICA, ABS. 8+500  Inicio: 7 de marzo, continúa."/>
    <x v="2"/>
    <x v="10"/>
    <s v="EL TAMBO"/>
    <s v="AD. DIRECTA"/>
    <s v="VIALSUR"/>
    <m/>
    <m/>
    <n v="0"/>
    <s v="Material filtrante (construcción de subdrenes)"/>
    <s v="m3"/>
    <n v="9.84"/>
    <n v="800"/>
    <d v="2014-01-05T00:00:00"/>
    <d v="2014-05-31T00:00:00"/>
    <s v="EJECUTADO"/>
    <n v="7872"/>
    <m/>
    <m/>
    <m/>
  </r>
  <r>
    <m/>
    <m/>
    <x v="0"/>
    <m/>
    <s v="VIA, INDIUCHO-EL TAMBO, L=12,7 km. (Catamayo)  FALLA GEOLOGICA, ABS. 8+500  Inicio: 7 de marzo, continúa."/>
    <x v="2"/>
    <x v="10"/>
    <s v="EL TAMBO"/>
    <s v="AD. DIRECTA"/>
    <s v="VIALSUR"/>
    <m/>
    <m/>
    <n v="0"/>
    <s v="Relleno Compactado con material mejorado (estructura de la vía)"/>
    <s v="m3"/>
    <n v="5.05"/>
    <n v="440"/>
    <d v="2014-01-05T00:00:00"/>
    <d v="2014-05-31T00:00:00"/>
    <s v="EJECUTADO"/>
    <n v="2222"/>
    <m/>
    <m/>
    <m/>
  </r>
  <r>
    <m/>
    <m/>
    <x v="0"/>
    <m/>
    <s v="VIA, INDIUCHO-EL TAMBO, L=12,7 km. (Catamayo)  FALLA GEOLOGICA, ABS. 8+500  Inicio: 7 de marzo, continúa."/>
    <x v="2"/>
    <x v="10"/>
    <s v="EL TAMBO"/>
    <s v="AD. DIRECTA"/>
    <s v="VIALSUR"/>
    <m/>
    <m/>
    <n v="0"/>
    <s v="ESCOMBRERAS"/>
    <s v="m3"/>
    <n v="0.92"/>
    <n v="4372.8"/>
    <d v="2014-01-05T00:00:00"/>
    <d v="2014-05-31T00:00:00"/>
    <s v="EJECUTADO"/>
    <n v="4022.98"/>
    <m/>
    <m/>
    <m/>
  </r>
  <r>
    <m/>
    <m/>
    <x v="0"/>
    <m/>
    <s v="VIA, INDIUCHO-EL TAMBO, L=12,7 km. (Catamayo)  FALLA GEOLOGICA, ABS. 8+500  Inicio: 7 de marzo, continúa."/>
    <x v="2"/>
    <x v="10"/>
    <s v="EL TAMBO"/>
    <s v="AD. DIRECTA"/>
    <s v="VIALSUR"/>
    <m/>
    <m/>
    <n v="0"/>
    <s v="Explotación de material (incluye cargado)."/>
    <s v="m³."/>
    <n v="2.54"/>
    <n v="1300"/>
    <d v="2014-03-07T00:00:00"/>
    <d v="2014-04-23T00:00:00"/>
    <s v="EJECUTADO"/>
    <n v="3302"/>
    <m/>
    <m/>
    <m/>
  </r>
  <r>
    <m/>
    <m/>
    <x v="0"/>
    <m/>
    <s v="VIA, INDIUCHO-EL TAMBO, L=12,7 km. (Catamayo)  FALLA GEOLOGICA, ABS. 8+500  Inicio: 7 de marzo, continúa."/>
    <x v="2"/>
    <x v="10"/>
    <s v="EL TAMBO"/>
    <s v="AD. DIRECTA"/>
    <s v="VIALSUR"/>
    <m/>
    <m/>
    <n v="0"/>
    <s v="Excavación sin clasificar a maquina (Ampliación de la vía)"/>
    <s v="m³."/>
    <n v="1.62"/>
    <n v="4930"/>
    <d v="2014-03-07T00:00:00"/>
    <d v="2014-04-23T00:00:00"/>
    <s v="EJECUTADO"/>
    <n v="7986.6"/>
    <m/>
    <m/>
    <m/>
  </r>
  <r>
    <m/>
    <m/>
    <x v="0"/>
    <m/>
    <s v="VIA, INDIUCHO-EL TAMBO, L=12,7 km. (Catamayo)  FALLA GEOLOGICA, ABS. 8+500  Inicio: 7 de marzo, continúa."/>
    <x v="2"/>
    <x v="10"/>
    <s v="EL TAMBO"/>
    <s v="AD. DIRECTA"/>
    <s v="VIALSUR"/>
    <m/>
    <m/>
    <n v="0"/>
    <s v="Clasificación de material."/>
    <s v="m³."/>
    <n v="1.47"/>
    <n v="2130"/>
    <d v="2014-03-07T00:00:00"/>
    <d v="2014-03-31T00:00:00"/>
    <s v="EJECUTADO"/>
    <n v="3131.1"/>
    <m/>
    <m/>
    <m/>
  </r>
  <r>
    <m/>
    <m/>
    <x v="1"/>
    <m/>
    <s v="VIA, INDIUCHO-EL TAMBO, L=12,7 km. (Catamayo)  FALLA GEOLOGICA, ABS. 8+500  Inicio: 7 de marzo, continúa."/>
    <x v="2"/>
    <x v="10"/>
    <s v="EL TAMBO"/>
    <s v="AD. DIRECTA"/>
    <s v="VIALSUR"/>
    <m/>
    <m/>
    <n v="0"/>
    <s v="Transporte de material excavado, inc. cargado"/>
    <s v="m³/km."/>
    <n v="0.38"/>
    <n v="1457"/>
    <d v="2014-03-07T00:00:00"/>
    <d v="2014-04-23T00:00:00"/>
    <s v="EJECUTADO"/>
    <n v="553.66"/>
    <m/>
    <m/>
    <m/>
  </r>
  <r>
    <m/>
    <m/>
    <x v="0"/>
    <m/>
    <s v="VIA, INDIUCHO-EL TAMBO, L=12,7 km. (Catamayo)  FALLA GEOLOGICA, ABS. 8+500  Inicio: 7 de marzo, continúa."/>
    <x v="2"/>
    <x v="10"/>
    <s v="EL TAMBO"/>
    <s v="AD. DIRECTA"/>
    <s v="VIALSUR"/>
    <m/>
    <m/>
    <n v="0"/>
    <s v="Transporte de material petreo, inc. cargado"/>
    <s v="m³/km."/>
    <n v="0.3"/>
    <n v="5902.4"/>
    <d v="2014-03-07T00:00:00"/>
    <d v="2014-04-23T00:00:00"/>
    <s v="EJECUTADO"/>
    <n v="1770.72"/>
    <m/>
    <m/>
    <m/>
  </r>
  <r>
    <m/>
    <m/>
    <x v="0"/>
    <m/>
    <s v="VIA, INDIUCHO-EL TAMBO, L=12,7 km. (Catamayo)  FALLA GEOLOGICA, ABS. 8+500  Inicio: 7 de marzo, continúa."/>
    <x v="2"/>
    <x v="10"/>
    <s v="EL TAMBO"/>
    <s v="AD. DIRECTA"/>
    <s v="VIALSUR"/>
    <m/>
    <m/>
    <n v="0"/>
    <s v="Transporte de material para mejoramiento, inc. cargado"/>
    <s v="m³/km."/>
    <n v="0.3"/>
    <n v="11572"/>
    <d v="2014-03-07T00:00:00"/>
    <d v="2014-04-23T00:00:00"/>
    <s v="EJECUTADO"/>
    <n v="3471.6"/>
    <m/>
    <m/>
    <m/>
  </r>
  <r>
    <m/>
    <m/>
    <x v="0"/>
    <m/>
    <s v="VIA, INDIUCHO-EL TAMBO, L=12,7 km. (Catamayo)  FALLA GEOLOGICA, ABS. 8+500  Inicio: 7 de marzo, continúa."/>
    <x v="2"/>
    <x v="10"/>
    <s v="EL TAMBO"/>
    <s v="AD. DIRECTA"/>
    <s v="VIALSUR"/>
    <m/>
    <n v="0.84"/>
    <n v="0"/>
    <s v="Mejoramiento de la subrasante con suelo seleccionado"/>
    <s v="m³"/>
    <n v="5.92"/>
    <n v="924"/>
    <d v="2014-03-07T00:00:00"/>
    <d v="2014-03-31T00:00:00"/>
    <s v="EJECUTADO"/>
    <n v="5470.08"/>
    <m/>
    <m/>
    <m/>
  </r>
  <r>
    <m/>
    <m/>
    <x v="1"/>
    <s v="VIA, INDIUCHO-EL TAMBO, L=12,7 km. (Catamayo)"/>
    <s v="VIA, INDIUCHO-EL TAMBO, L=12,7 km. (Catamayo)"/>
    <x v="2"/>
    <x v="10"/>
    <s v="EL TAMBO"/>
    <s v="AD. DIRECTA"/>
    <s v="VIALSUR"/>
    <n v="12.7"/>
    <m/>
    <n v="2886"/>
    <s v="Limpieza de derrumbes a máquina"/>
    <s v="m³."/>
    <n v="1.46"/>
    <n v="1975"/>
    <d v="2014-02-18T00:00:00"/>
    <d v="2014-05-31T00:00:00"/>
    <s v="EJECUTADO"/>
    <n v="2883.5"/>
    <m/>
    <m/>
    <n v="2883.5"/>
  </r>
  <r>
    <m/>
    <m/>
    <x v="1"/>
    <s v="VIA, EL TAMBO-CHAPAMARCA-VILLONACO, L=18,2 km. (Catamayo)"/>
    <s v="VIA, EL TAMBO-CHAPAMARCA-VILLONACO, L=18,2 km. (Catamayo)"/>
    <x v="2"/>
    <x v="10"/>
    <s v="EL TAMBO"/>
    <s v="AD. DIRECTA"/>
    <s v="VIALSUR"/>
    <n v="18.2"/>
    <m/>
    <n v="2886"/>
    <s v="Limpieza de derrumbes a máquina"/>
    <s v="m³."/>
    <n v="1.46"/>
    <n v="2750"/>
    <d v="2014-04-04T00:00:00"/>
    <d v="2014-06-30T00:00:00"/>
    <s v="EJECUTADO"/>
    <n v="4015"/>
    <m/>
    <m/>
    <n v="10857.5"/>
  </r>
  <r>
    <m/>
    <m/>
    <x v="1"/>
    <m/>
    <s v="VIA, EL TAMBO-CHAPAMARCA-VILLONACO, L=18,2 km. (Catamayo)"/>
    <x v="2"/>
    <x v="10"/>
    <s v="EL TAMBO"/>
    <s v="AD. DIRECTA"/>
    <s v="VIALSUR"/>
    <m/>
    <n v="3.5599999999999996"/>
    <n v="0"/>
    <s v="Reconformación de la Subrazante"/>
    <s v="m2"/>
    <n v="0.35"/>
    <n v="19550"/>
    <d v="2014-06-01T00:00:00"/>
    <d v="2014-06-30T00:00:00"/>
    <s v="EJECUTADO"/>
    <n v="6842.5"/>
    <m/>
    <m/>
    <m/>
  </r>
  <r>
    <m/>
    <m/>
    <x v="1"/>
    <s v="VIA, EL TAMBO-LA ERA, L=8,6 km. (Catamayo)"/>
    <s v="VIA, EL TAMBO-LA ERA, L=8,6 km. (Catamayo)"/>
    <x v="2"/>
    <x v="10"/>
    <s v="EL TAMBO"/>
    <s v="AD. DIRECTA"/>
    <s v="VIALSUR"/>
    <n v="8.6"/>
    <m/>
    <n v="2886"/>
    <s v="Limpieza de derrumbes a máquina"/>
    <s v="m³."/>
    <n v="1.46"/>
    <n v="3200"/>
    <d v="2014-04-10T00:00:00"/>
    <d v="2014-06-30T00:00:00"/>
    <s v="EJECUTADO"/>
    <n v="4672"/>
    <m/>
    <m/>
    <n v="40493.599999999999"/>
  </r>
  <r>
    <m/>
    <m/>
    <x v="0"/>
    <m/>
    <s v="VIA, EL TAMBO-LA ERA, L=8,6 km. (Catamayo)"/>
    <x v="2"/>
    <x v="10"/>
    <s v="EL TAMBO"/>
    <s v="AD. DIRECTA"/>
    <s v="VIALSUR"/>
    <m/>
    <m/>
    <n v="0"/>
    <s v="Relleno Compactado con material mejorado (estructura de la vía)"/>
    <s v="m³."/>
    <n v="5.05"/>
    <n v="360"/>
    <d v="2014-06-01T00:00:00"/>
    <d v="2014-06-30T00:00:00"/>
    <s v="EJECUTADO"/>
    <n v="1818"/>
    <m/>
    <m/>
    <m/>
  </r>
  <r>
    <m/>
    <m/>
    <x v="0"/>
    <m/>
    <s v="VIA, EL TAMBO-LA ERA, L=8,6 km. (Catamayo)"/>
    <x v="2"/>
    <x v="10"/>
    <s v="EL TAMBO"/>
    <s v="AD. DIRECTA"/>
    <s v="VIALSUR"/>
    <m/>
    <m/>
    <n v="0"/>
    <s v="Transporte de material mejorado, inc. Cargado"/>
    <s v="m³./km."/>
    <n v="0.3"/>
    <n v="972"/>
    <d v="2014-06-01T00:00:00"/>
    <d v="2014-06-30T00:00:00"/>
    <s v="EJECUTADO"/>
    <n v="291.60000000000002"/>
    <m/>
    <m/>
    <m/>
  </r>
  <r>
    <m/>
    <m/>
    <x v="1"/>
    <m/>
    <s v="VIA, EL TAMBO-LA ERA, L=8,6 km. (Catamayo)"/>
    <x v="2"/>
    <x v="10"/>
    <s v="EL TAMBO"/>
    <s v="AD. DIRECTA"/>
    <s v="VIALSUR"/>
    <m/>
    <n v="17.520000000000003"/>
    <n v="0"/>
    <s v="Reconformación de la Subrazante"/>
    <s v="m³."/>
    <n v="0.35"/>
    <n v="96320"/>
    <d v="2014-01-05T00:00:00"/>
    <d v="2014-06-30T00:00:00"/>
    <s v="EJECUTADO"/>
    <n v="33712"/>
    <m/>
    <m/>
    <m/>
  </r>
  <r>
    <m/>
    <m/>
    <x v="1"/>
    <s v="VIA ACCESO A LA MERCED BAJA, L= 1.6 KM. VIA ANTIGUA, LA ERA - &quot;Y&quot; DEL CANAL, L= 2,3 KM (EL TAMBO - CATAMAYO)"/>
    <s v="VIA ACCESO A LA MERCED BAJA, L= 1.6 KM. VIA ANTIGUA, LA ERA - &quot;Y&quot; DEL CANAL, L= 2,3 KM (EL TAMBO - CATAMAYO)"/>
    <x v="2"/>
    <x v="10"/>
    <s v="EL TAMBO"/>
    <s v="AD. DIRECTA"/>
    <s v="VIALSUR"/>
    <n v="1.6"/>
    <m/>
    <n v="2886"/>
    <s v="Limpieza de derrumbes a máquina"/>
    <s v="m³."/>
    <n v="1.46"/>
    <n v="1050"/>
    <d v="2014-06-01T00:00:00"/>
    <d v="2014-06-30T00:00:00"/>
    <s v="EJECUTADO"/>
    <n v="1533"/>
    <m/>
    <m/>
    <n v="7780.5"/>
  </r>
  <r>
    <m/>
    <m/>
    <x v="1"/>
    <m/>
    <s v="VIA ACCESO A LA MERCED BAJA, L= 1.6 KM. VIA ANTIGUA, LA ERA - &quot;Y&quot; DEL CANAL, L= 2,3 KM (EL TAMBO - CATAMAYO)"/>
    <x v="2"/>
    <x v="10"/>
    <s v="EL TAMBO"/>
    <s v="AD. DIRECTA"/>
    <s v="VIALSUR"/>
    <m/>
    <n v="3.25"/>
    <n v="0"/>
    <s v="Reconformación de la Subrazante"/>
    <s v="m2"/>
    <n v="0.35"/>
    <n v="17850"/>
    <d v="2014-06-01T00:00:00"/>
    <d v="2014-06-30T00:00:00"/>
    <s v="EJECUTADO"/>
    <n v="6247.5"/>
    <m/>
    <m/>
    <m/>
  </r>
  <r>
    <m/>
    <m/>
    <x v="0"/>
    <s v="VIA, SOBRINOSPAMBA-EL HUAYCO, L=4,7 km. (Catamayo)"/>
    <s v="VIA, SOBRINOSPAMBA-EL HUAYCO, L=4,7 km. (Catamayo)"/>
    <x v="2"/>
    <x v="10"/>
    <s v="EL TAMBO"/>
    <s v="AD. DIRECTA"/>
    <s v="VIALSUR"/>
    <n v="4.7"/>
    <m/>
    <n v="2886"/>
    <s v="Clasificación de material."/>
    <s v="m³."/>
    <n v="1.47"/>
    <n v="100"/>
    <d v="2014-04-10T00:00:00"/>
    <d v="2014-04-11T00:00:00"/>
    <s v="EJECUTADO"/>
    <n v="147"/>
    <m/>
    <m/>
    <n v="627.24"/>
  </r>
  <r>
    <m/>
    <m/>
    <x v="0"/>
    <m/>
    <s v="VIA, SOBRINOSPAMBA-EL HUAYCO, L=4,7 km. (Catamayo)"/>
    <x v="2"/>
    <x v="10"/>
    <s v="EL TAMBO"/>
    <s v="AD. DIRECTA"/>
    <s v="VIALSUR"/>
    <n v="4.7"/>
    <m/>
    <n v="2886"/>
    <s v="Transporte de material para mejoramiento, inc. cargado"/>
    <s v="m³/km."/>
    <n v="0.3"/>
    <n v="180"/>
    <d v="2014-04-10T00:00:00"/>
    <d v="2014-04-11T00:00:00"/>
    <s v="EJECUTADO"/>
    <n v="54"/>
    <m/>
    <m/>
    <m/>
  </r>
  <r>
    <m/>
    <m/>
    <x v="0"/>
    <m/>
    <s v="VIA, SOBRINOSPAMBA-EL HUAYCO, L=4,7 km. (Catamayo)"/>
    <x v="2"/>
    <x v="10"/>
    <s v="EL TAMBO"/>
    <s v="AD. DIRECTA"/>
    <s v="VIALSUR"/>
    <n v="4.7"/>
    <n v="7.0000000000000007E-2"/>
    <n v="2886"/>
    <s v="Mejoramiento de la subrasante con suelo seleccionado"/>
    <s v="m³."/>
    <n v="5.92"/>
    <n v="72"/>
    <d v="2014-04-10T00:00:00"/>
    <d v="2014-04-11T00:00:00"/>
    <s v="EJECUTADO"/>
    <n v="426.24"/>
    <m/>
    <m/>
    <m/>
  </r>
  <r>
    <s v="12"/>
    <s v="EJECUTADO"/>
    <x v="1"/>
    <s v="VIA, &quot;Y&quot; del ROSARIO-RIO YAGUACHI, L=15,4 km. (Chaguar.)"/>
    <s v="VIA, &quot;Y&quot; del ROSARIO-RIO YAGUACHI, L=15,4 km. (Chaguar.)"/>
    <x v="2"/>
    <x v="11"/>
    <s v="EL ROSARIO"/>
    <s v="AD. DIRECTA"/>
    <s v="VIALSUR"/>
    <n v="15.4"/>
    <m/>
    <n v="200"/>
    <s v="Limpieza de derrumbes a máquina"/>
    <s v="m³."/>
    <n v="1.46"/>
    <n v="8875"/>
    <d v="2014-02-18T00:00:00"/>
    <d v="2014-07-31T00:00:00"/>
    <s v="EJECUTADO"/>
    <n v="12957.5"/>
    <m/>
    <m/>
    <n v="68891.39"/>
  </r>
  <r>
    <m/>
    <m/>
    <x v="1"/>
    <m/>
    <s v="VIA, &quot;Y&quot; del ROSARIO-RIO YAGUACHI, L=15,4 km. (Chaguar.)"/>
    <x v="2"/>
    <x v="11"/>
    <s v="EL ROSARIO"/>
    <s v="AD. DIRECTA"/>
    <s v="VIALSUR"/>
    <m/>
    <m/>
    <m/>
    <s v="Limpieza de cunetas y alcantarillas a máquina"/>
    <s v="m³."/>
    <n v="1.47"/>
    <n v="700"/>
    <d v="2014-07-01T00:00:00"/>
    <d v="2014-07-31T00:00:00"/>
    <s v="EJECUTADO"/>
    <n v="1029"/>
    <m/>
    <m/>
    <m/>
  </r>
  <r>
    <m/>
    <m/>
    <x v="1"/>
    <m/>
    <s v="VIA, &quot;Y&quot; del ROSARIO-RIO YAGUACHI, L=15,4 km. (Chaguar.)"/>
    <x v="2"/>
    <x v="11"/>
    <s v="EL ROSARIO"/>
    <s v="AD. DIRECTA"/>
    <s v="VIALSUR"/>
    <m/>
    <m/>
    <m/>
    <s v="Transporte de material excavado, inc. cargado"/>
    <s v="m³/km."/>
    <n v="0.38"/>
    <n v="639.36"/>
    <d v="2014-07-01T00:00:00"/>
    <d v="2014-07-31T00:00:00"/>
    <s v="EJECUTADO"/>
    <n v="242.96"/>
    <m/>
    <m/>
    <m/>
  </r>
  <r>
    <m/>
    <m/>
    <x v="0"/>
    <m/>
    <s v="VIA, &quot;Y&quot; del ROSARIO-RIO YAGUACHI, L=15,4 km. (Chaguar.)"/>
    <x v="2"/>
    <x v="11"/>
    <s v="EL ROSARIO"/>
    <s v="AD. DIRECTA"/>
    <s v="VIALSUR"/>
    <m/>
    <m/>
    <m/>
    <s v="Transporte de material para mejoramiento, inc. cargado"/>
    <s v="m³/km."/>
    <n v="0.38"/>
    <n v="8378.76"/>
    <d v="2014-07-01T00:00:00"/>
    <d v="2014-12-14T00:00:00"/>
    <s v="EN EJECUCION"/>
    <n v="3183.93"/>
    <m/>
    <m/>
    <m/>
  </r>
  <r>
    <m/>
    <m/>
    <x v="0"/>
    <m/>
    <s v="VIA, &quot;Y&quot; del ROSARIO-RIO YAGUACHI, L=15,4 km. (Chaguar.)"/>
    <x v="2"/>
    <x v="11"/>
    <s v="EL ROSARIO"/>
    <s v="AD. DIRECTA"/>
    <s v="VIALSUR"/>
    <m/>
    <m/>
    <m/>
    <s v="Transporte de material petreo, inc. Cargado (&gt; a 5 km.)"/>
    <s v="m³/km."/>
    <n v="0.3"/>
    <n v="648"/>
    <d v="2014-07-01T00:00:00"/>
    <d v="2014-12-14T00:00:00"/>
    <s v="EN EJECUCION"/>
    <n v="194.4"/>
    <m/>
    <m/>
    <m/>
  </r>
  <r>
    <m/>
    <m/>
    <x v="0"/>
    <m/>
    <s v="VIA, &quot;Y&quot; del ROSARIO-RIO YAGUACHI, L=15,4 km. (Chaguar.)"/>
    <x v="2"/>
    <x v="11"/>
    <s v="EL ROSARIO"/>
    <s v="AD. DIRECTA"/>
    <s v="VIALSUR"/>
    <m/>
    <m/>
    <m/>
    <s v="Material filtrante (costrucción de subdrenes)"/>
    <s v="m³."/>
    <n v="9.84"/>
    <n v="100"/>
    <d v="2014-07-01T00:00:00"/>
    <d v="2014-12-14T00:00:00"/>
    <s v="EN EJECUCION"/>
    <n v="984"/>
    <m/>
    <m/>
    <m/>
  </r>
  <r>
    <m/>
    <m/>
    <x v="1"/>
    <m/>
    <s v="VIA, &quot;Y&quot; del ROSARIO-RIO YAGUACHI, L=15,4 km. (Chaguar.)"/>
    <x v="2"/>
    <x v="11"/>
    <s v="EL ROSARIO"/>
    <s v="AD. DIRECTA"/>
    <s v="VIALSUR"/>
    <m/>
    <n v="16.07"/>
    <m/>
    <s v="Reconformación de la subrasante"/>
    <s v="m²."/>
    <n v="0.35"/>
    <n v="88350"/>
    <d v="2014-07-01T00:00:00"/>
    <d v="2014-07-31T00:00:00"/>
    <s v="EJECUTADO"/>
    <n v="30922.5"/>
    <m/>
    <m/>
    <m/>
  </r>
  <r>
    <m/>
    <m/>
    <x v="0"/>
    <m/>
    <s v="VIA, &quot;Y&quot; del ROSARIO-RIO YAGUACHI, L=15,4 km. (Chaguar.)"/>
    <x v="2"/>
    <x v="11"/>
    <s v="EL ROSARIO"/>
    <s v="AD. DIRECTA"/>
    <s v="VIALSUR"/>
    <m/>
    <n v="0.65"/>
    <m/>
    <s v="Mejoramiento de la subrasante con suelo seleccionado"/>
    <s v="m³."/>
    <n v="5.92"/>
    <n v="720"/>
    <d v="2014-07-01T00:00:00"/>
    <d v="2014-07-31T00:00:00"/>
    <s v="EJECUTADO"/>
    <n v="4262.3999999999996"/>
    <m/>
    <m/>
    <m/>
  </r>
  <r>
    <m/>
    <m/>
    <x v="0"/>
    <m/>
    <s v="VIA, &quot;Y&quot; del ROSARIO-RIO YAGUACHI, L=15,4 km. (Chaguar.)"/>
    <x v="2"/>
    <x v="11"/>
    <s v="EL ROSARIO"/>
    <s v="AD. DIRECTA"/>
    <s v="VIALSUR"/>
    <m/>
    <m/>
    <m/>
    <s v="Excavación y Relleno compactado, con material mejorado"/>
    <s v="m³."/>
    <n v="7.6"/>
    <n v="1600"/>
    <d v="2014-07-01T00:00:00"/>
    <d v="2014-12-14T00:00:00"/>
    <s v="EN EJECUCION"/>
    <n v="12160"/>
    <m/>
    <m/>
    <m/>
  </r>
  <r>
    <m/>
    <m/>
    <x v="0"/>
    <m/>
    <s v="VIA, &quot;Y&quot; del ROSARIO-RIO YAGUACHI, L=15,4 km. (Chaguar.)"/>
    <x v="2"/>
    <x v="11"/>
    <s v="EL ROSARIO"/>
    <s v="AD. DIRECTA"/>
    <s v="VIALSUR"/>
    <m/>
    <m/>
    <m/>
    <s v="Clasificación de material."/>
    <s v="m³."/>
    <n v="1.47"/>
    <n v="2010"/>
    <d v="2014-07-01T00:00:00"/>
    <d v="2014-12-14T00:00:00"/>
    <s v="EN EJECUCION"/>
    <n v="2954.7"/>
    <m/>
    <m/>
    <m/>
  </r>
  <r>
    <s v="13"/>
    <s v="EJECUTADO"/>
    <x v="1"/>
    <s v="VIA, CORDILLERA DE RAMOS-4 LOMAS, L=6,2 km. (Chaguar.)"/>
    <s v="VIA, CORDILLERA DE RAMOS-4 LOMAS, L=6,2 km. (Chaguar.)"/>
    <x v="2"/>
    <x v="11"/>
    <s v="EL ROSARIO"/>
    <s v="AD. DIRECTA"/>
    <s v="VIALSUR"/>
    <n v="6.2"/>
    <n v="5.08"/>
    <n v="200"/>
    <s v="Reconformación de la subrasante"/>
    <s v="m²."/>
    <n v="0.35"/>
    <n v="27900"/>
    <d v="2014-07-29T00:00:00"/>
    <d v="2014-07-31T00:00:00"/>
    <s v="EJECUTADO"/>
    <n v="9765"/>
    <m/>
    <m/>
    <n v="9765"/>
  </r>
  <r>
    <m/>
    <m/>
    <x v="0"/>
    <s v="VIA CUATRO CAMINOS - AMARILLOS, L=10.1 KM ( CHAGUARPAMBA) INICIO 2 DE OCT. FIN 14 NOV"/>
    <s v="VIA CUATRO CAMINOS - AMARILLOS, L=10.1 KM ( CHAGUARPAMBA) INICIO 2 DE OCT. FIN 14 NOV"/>
    <x v="2"/>
    <x v="11"/>
    <s v="AMARILLOS"/>
    <s v="AD. DIRECTA"/>
    <s v="VIALSUR"/>
    <n v="10.1"/>
    <m/>
    <n v="350"/>
    <s v="Explotación de material (incluye cargado)."/>
    <s v="m³."/>
    <n v="2.54"/>
    <n v="8900"/>
    <d v="2014-10-02T00:00:00"/>
    <d v="2014-11-14T00:00:00"/>
    <s v="EJECUTADO"/>
    <n v="22606"/>
    <m/>
    <m/>
    <n v="105274.38"/>
  </r>
  <r>
    <m/>
    <m/>
    <x v="0"/>
    <m/>
    <s v="VIA CUATRO CAMINOS - AMARILLOS, L=10.1 KM ( CHAGUARPAMBA) INICIO 2 DE OCT. FIN 14 NOV"/>
    <x v="2"/>
    <x v="11"/>
    <s v="AMARILLOS"/>
    <s v="AD. DIRECTA"/>
    <s v="VIALSUR"/>
    <m/>
    <m/>
    <n v="0"/>
    <s v="Clasificación de material."/>
    <s v="m³."/>
    <n v="1.47"/>
    <n v="8400"/>
    <d v="2014-10-02T00:00:00"/>
    <d v="2014-11-14T00:00:00"/>
    <s v="EJECUTADO"/>
    <n v="12348"/>
    <m/>
    <m/>
    <m/>
  </r>
  <r>
    <m/>
    <m/>
    <x v="1"/>
    <m/>
    <s v="VIA CUATRO CAMINOS - AMARILLOS, L=10.1 KM ( CHAGUARPAMBA) INICIO 2 DE OCT. FIN 14 NOV"/>
    <x v="2"/>
    <x v="11"/>
    <s v="AMARILLOS"/>
    <s v="AD. DIRECTA"/>
    <s v="VIALSUR"/>
    <m/>
    <m/>
    <n v="0"/>
    <s v="Limpieza de derrumbes a máquina"/>
    <s v="m³."/>
    <n v="1.46"/>
    <n v="3600"/>
    <d v="2014-10-02T00:00:00"/>
    <d v="2014-11-14T00:00:00"/>
    <s v="EJECUTADO"/>
    <n v="5256"/>
    <m/>
    <m/>
    <m/>
  </r>
  <r>
    <m/>
    <m/>
    <x v="1"/>
    <m/>
    <s v="VIA CUATRO CAMINOS - AMARILLOS, L=10.1 KM ( CHAGUARPAMBA) INICIO 2 DE OCT. FIN 14 NOV"/>
    <x v="2"/>
    <x v="11"/>
    <s v="AMARILLOS"/>
    <s v="AD. DIRECTA"/>
    <s v="VIALSUR"/>
    <m/>
    <n v="10.57"/>
    <n v="0"/>
    <s v="Rasanteo y conformacion de cunetas con motoniveladora"/>
    <s v="m²."/>
    <n v="0.08"/>
    <n v="58110"/>
    <d v="2014-10-02T00:00:00"/>
    <d v="2014-11-14T00:00:00"/>
    <s v="EJECUTADO"/>
    <n v="4648.8"/>
    <m/>
    <m/>
    <m/>
  </r>
  <r>
    <m/>
    <m/>
    <x v="0"/>
    <m/>
    <s v="VIA CUATRO CAMINOS - AMARILLOS, L=10.1 KM ( CHAGUARPAMBA) INICIO 2 DE OCT. FIN 14 NOV"/>
    <x v="2"/>
    <x v="11"/>
    <s v="AMARILLOS"/>
    <s v="AD. DIRECTA"/>
    <s v="VIALSUR"/>
    <m/>
    <n v="7.92"/>
    <n v="0"/>
    <s v="Mejoramiento de la subrasante con suelo seleccionado"/>
    <s v="m³."/>
    <n v="5.92"/>
    <n v="8715"/>
    <d v="2014-10-02T00:00:00"/>
    <d v="2014-11-14T00:00:00"/>
    <s v="EJECUTADO"/>
    <n v="51592.800000000003"/>
    <m/>
    <m/>
    <m/>
  </r>
  <r>
    <m/>
    <m/>
    <x v="0"/>
    <m/>
    <s v="VIA CUATRO CAMINOS - AMARILLOS, L=10.1 KM ( CHAGUARPAMBA) INICIO 2 DE OCT. FIN 14 NOV"/>
    <x v="2"/>
    <x v="11"/>
    <s v="AMARILLOS"/>
    <s v="AD. DIRECTA"/>
    <s v="VIALSUR"/>
    <m/>
    <m/>
    <n v="0"/>
    <s v="Transporte de material para mejoramiento, inc. cargado"/>
    <s v="m³/km."/>
    <n v="0.38"/>
    <n v="23217.84"/>
    <d v="2014-10-02T00:00:00"/>
    <d v="2014-11-14T00:00:00"/>
    <s v="EJECUTADO"/>
    <n v="8822.7800000000007"/>
    <m/>
    <m/>
    <m/>
  </r>
  <r>
    <m/>
    <s v="EJECUTADO"/>
    <x v="1"/>
    <s v="VIA ACCESO AL BARRIO LA ESPERANZA L=1.1 KM INICIO: 5 NOV FIN 5 NOV"/>
    <s v="VIA ACCESO AL BARRIO LA ESPERANZA L=1.1 KM INICIO: 5 NOV FIN 5 NOV"/>
    <x v="2"/>
    <x v="11"/>
    <s v="AMARILLOS"/>
    <s v="AD. DIRECTA"/>
    <s v="VIALSUR"/>
    <n v="1.1000000000000001"/>
    <n v="0.91"/>
    <n v="350"/>
    <s v="Rasanteo y conformacion de cunetas con motoniveladora"/>
    <s v="m²."/>
    <n v="0.08"/>
    <n v="4960"/>
    <d v="2014-11-05T00:00:00"/>
    <d v="2014-11-05T00:00:00"/>
    <s v="EJECUTADO"/>
    <n v="396.8"/>
    <m/>
    <m/>
    <n v="396.8"/>
  </r>
  <r>
    <m/>
    <m/>
    <x v="0"/>
    <s v="VIA AMRILLOS BUENAVISTA (limita Parroquial), L=4.9 km. Chaguarpamba"/>
    <s v="VIA AMRILLOS BUENAVISTA (limita Parroquial), L=4.9 km. Chaguarpamba"/>
    <x v="2"/>
    <x v="11"/>
    <s v="BUENAVISTA"/>
    <s v="AD. DIRECTA"/>
    <s v="VIALSUR"/>
    <n v="4.9000000000000004"/>
    <m/>
    <n v="483"/>
    <s v="Explotación de material (incluye cargado)."/>
    <s v="m³."/>
    <n v="2.54"/>
    <n v="320"/>
    <d v="2014-10-15T00:00:00"/>
    <d v="2014-10-16T00:00:00"/>
    <s v="EJECUTADO"/>
    <n v="812.8"/>
    <m/>
    <m/>
    <n v="3255"/>
  </r>
  <r>
    <m/>
    <m/>
    <x v="0"/>
    <m/>
    <s v="VIA AMRILLOS BUENAVISTA (limita Parroquial), L=4.9 km. Chaguarpamba"/>
    <x v="2"/>
    <x v="11"/>
    <s v="BUENAVISTA"/>
    <s v="AD. DIRECTA"/>
    <s v="VIALSUR"/>
    <m/>
    <m/>
    <n v="0"/>
    <s v="Clasificación de material."/>
    <s v="m³."/>
    <n v="1.47"/>
    <n v="300"/>
    <d v="2014-10-15T00:00:00"/>
    <d v="2014-10-16T00:00:00"/>
    <s v="EJECUTADO"/>
    <n v="441"/>
    <m/>
    <m/>
    <m/>
  </r>
  <r>
    <m/>
    <m/>
    <x v="0"/>
    <m/>
    <s v="VIA AMRILLOS BUENAVISTA (limita Parroquial), L=4.9 km. Chaguarpamba"/>
    <x v="2"/>
    <x v="11"/>
    <s v="BUENAVISTA"/>
    <s v="AD. DIRECTA"/>
    <s v="VIALSUR"/>
    <m/>
    <n v="0.22"/>
    <n v="0"/>
    <s v="Mejoramiento de la subrasante con suelo seleccionado"/>
    <s v="m³."/>
    <n v="5.92"/>
    <n v="245"/>
    <d v="2014-10-15T00:00:00"/>
    <d v="2014-10-16T00:00:00"/>
    <s v="EJECUTADO"/>
    <n v="1450.4"/>
    <m/>
    <m/>
    <m/>
  </r>
  <r>
    <m/>
    <m/>
    <x v="0"/>
    <m/>
    <s v="VIA AMRILLOS BUENAVISTA (limita Parroquial), L=4.9 km. Chaguarpamba"/>
    <x v="2"/>
    <x v="11"/>
    <s v="BUENAVISTA"/>
    <s v="AD. DIRECTA"/>
    <s v="VIALSUR"/>
    <m/>
    <m/>
    <n v="0"/>
    <s v="Transporte de material para mejoramiento, inc. cargado"/>
    <s v="m³/km."/>
    <n v="0.3"/>
    <n v="1836"/>
    <d v="2014-10-15T00:00:00"/>
    <d v="2014-10-16T00:00:00"/>
    <s v="EJECUTADO"/>
    <n v="550.79999999999995"/>
    <m/>
    <m/>
    <m/>
  </r>
  <r>
    <m/>
    <m/>
    <x v="0"/>
    <s v="VIA,SAN JOSE-BUENAVISTA, L=7,3 km. (Chaguarpamba) INICIO 16 FEBRERO. FIN 21 DE FEBRERO"/>
    <s v="VIA,SAN JOSE-BUENAVISTA, L=7,3 km. (Chaguarpamba) INICIO 16 FEBRERO. FIN 21 DE FEBRERO"/>
    <x v="2"/>
    <x v="11"/>
    <s v="BUENAVISTA"/>
    <s v="AD. DIRECTA"/>
    <s v="VIALSUR"/>
    <n v="7.3"/>
    <m/>
    <n v="483"/>
    <s v="Explotación de material (incluye cargado)."/>
    <s v="m³."/>
    <n v="2.54"/>
    <n v="4430"/>
    <d v="2014-01-21T00:00:00"/>
    <d v="2014-02-15T00:00:00"/>
    <s v="EJECUTADO"/>
    <n v="11252.2"/>
    <m/>
    <m/>
    <n v="43848.180000000008"/>
  </r>
  <r>
    <m/>
    <m/>
    <x v="0"/>
    <m/>
    <s v="VIA,SAN JOSE-BUENAVISTA, L=7,3 km. (Chaguarpamba) INICIO 16 FEBRERO. FIN 21 DE FEBRERO"/>
    <x v="2"/>
    <x v="11"/>
    <s v="BUENAVISTA"/>
    <s v="AD. DIRECTA"/>
    <s v="VIALSUR"/>
    <m/>
    <m/>
    <n v="0"/>
    <s v="Clasificación de material."/>
    <s v="m³."/>
    <n v="1.47"/>
    <n v="1350"/>
    <d v="2014-01-21T00:00:00"/>
    <d v="2014-02-15T00:00:00"/>
    <s v="EJECUTADO"/>
    <n v="1984.5"/>
    <m/>
    <m/>
    <m/>
  </r>
  <r>
    <m/>
    <m/>
    <x v="1"/>
    <m/>
    <s v="VIA,SAN JOSE-BUENAVISTA, L=7,3 km. (Chaguarpamba) INICIO 16 FEBRERO. FIN 21 DE FEBRERO"/>
    <x v="2"/>
    <x v="11"/>
    <s v="BUENAVISTA"/>
    <s v="AD. DIRECTA"/>
    <s v="VIALSUR"/>
    <m/>
    <m/>
    <n v="0"/>
    <s v="Limpieza de derrumbes a máquina"/>
    <s v="m³."/>
    <n v="1.46"/>
    <n v="1820"/>
    <d v="2014-01-21T00:00:00"/>
    <d v="2014-02-15T00:00:00"/>
    <s v="EJECUTADO"/>
    <n v="2657.2"/>
    <m/>
    <m/>
    <m/>
  </r>
  <r>
    <m/>
    <m/>
    <x v="1"/>
    <m/>
    <s v="VIA,SAN JOSE-BUENAVISTA, L=7,3 km. (Chaguarpamba) INICIO 16 FEBRERO. FIN 21 DE FEBRERO"/>
    <x v="2"/>
    <x v="11"/>
    <s v="BUENAVISTA"/>
    <s v="AD. DIRECTA"/>
    <s v="VIALSUR"/>
    <m/>
    <m/>
    <n v="0"/>
    <s v="Limpieza de cunetas y alcantarillas a máquina (inc. Plataforma de la vía)"/>
    <s v="m³."/>
    <n v="1.47"/>
    <n v="920"/>
    <d v="2014-12-01T00:00:00"/>
    <d v="2014-12-14T00:00:00"/>
    <s v="EN EJECUCION"/>
    <n v="1352.4"/>
    <m/>
    <m/>
    <m/>
  </r>
  <r>
    <m/>
    <m/>
    <x v="1"/>
    <m/>
    <s v="VIA,SAN JOSE-BUENAVISTA, L=7,3 km. (Chaguarpamba) INICIO 16 FEBRERO. FIN 21 DE FEBRERO"/>
    <x v="2"/>
    <x v="11"/>
    <s v="BUENAVISTA"/>
    <s v="AD. DIRECTA"/>
    <s v="VIALSUR"/>
    <m/>
    <n v="14.61"/>
    <n v="0"/>
    <s v="Rasanteo y conformacion de cunetas con motoniveladora"/>
    <s v="m²."/>
    <n v="0.08"/>
    <n v="80355"/>
    <d v="2014-12-01T00:00:00"/>
    <d v="2014-12-14T00:00:00"/>
    <s v="EN EJECUCION"/>
    <n v="6428.4"/>
    <m/>
    <m/>
    <m/>
  </r>
  <r>
    <m/>
    <m/>
    <x v="0"/>
    <m/>
    <s v="VIA,SAN JOSE-BUENAVISTA, L=7,3 km. (Chaguarpamba) INICIO 16 FEBRERO. FIN 21 DE FEBRERO"/>
    <x v="2"/>
    <x v="11"/>
    <s v="BUENAVISTA"/>
    <s v="AD. DIRECTA"/>
    <s v="VIALSUR"/>
    <m/>
    <n v="2.77"/>
    <n v="0"/>
    <s v="Mejoramiento de la subrasante con suelo seleccionado"/>
    <s v="m³."/>
    <n v="5.92"/>
    <n v="3044"/>
    <d v="2014-01-21T00:00:00"/>
    <d v="2014-02-15T00:00:00"/>
    <s v="EJECUTADO"/>
    <n v="18020.48"/>
    <m/>
    <m/>
    <m/>
  </r>
  <r>
    <m/>
    <m/>
    <x v="0"/>
    <m/>
    <s v="VIA,SAN JOSE-BUENAVISTA, L=7,3 km. (Chaguarpamba) INICIO 16 FEBRERO. FIN 21 DE FEBRERO"/>
    <x v="2"/>
    <x v="11"/>
    <s v="BUENAVISTA"/>
    <s v="AD. DIRECTA"/>
    <s v="VIALSUR"/>
    <m/>
    <m/>
    <n v="0"/>
    <s v="Transporte de material para mejoramiento, inc. cargado"/>
    <s v="m³/km."/>
    <n v="0.38"/>
    <n v="5665.78"/>
    <d v="2014-01-21T00:00:00"/>
    <d v="2014-02-15T00:00:00"/>
    <s v="EJECUTADO"/>
    <n v="2153"/>
    <m/>
    <m/>
    <m/>
  </r>
  <r>
    <m/>
    <m/>
    <x v="0"/>
    <m/>
    <s v="VIA,SAN JOSE-BUENAVISTA, L=7,3 km. (Chaguarpamba) INICIO 16 FEBRERO. FIN 21 DE FEBRERO"/>
    <x v="2"/>
    <x v="11"/>
    <s v="BUENAVISTA"/>
    <s v="AD. DIRECTA"/>
    <s v="VIALSUR"/>
    <m/>
    <m/>
    <n v="0"/>
    <s v="Transporte de material excavado (dasalojo), inc. Cargado (&lt; a 5 km.)"/>
    <s v="m³/km."/>
    <n v="0.38"/>
    <n v="475.2"/>
    <d v="2014-12-01T00:00:00"/>
    <d v="2014-12-14T00:00:00"/>
    <s v="EN EJECUCION"/>
    <n v="180.58"/>
    <m/>
    <m/>
    <m/>
  </r>
  <r>
    <m/>
    <m/>
    <x v="0"/>
    <s v="VIA, BUENAVISTA-AMARILLOS, L=9,9 km. (Chaguarpamba) Inicio: 16 de febrero Fin: 21 de febrero"/>
    <s v="VIA, BUENAVISTA-AMARILLOS, L=9,9 km. (Chaguarpamba) Inicio: 16 de febrero Fin: 21 de febrero"/>
    <x v="2"/>
    <x v="11"/>
    <s v="AMARILLOS"/>
    <s v="AD. DIRECTA"/>
    <s v="VIALSUR"/>
    <n v="9.9"/>
    <m/>
    <n v="350"/>
    <s v="Explotación de material (incluye cargado)."/>
    <s v="m³."/>
    <n v="2.54"/>
    <n v="1600"/>
    <d v="2014-02-16T00:00:00"/>
    <d v="2014-02-21T00:00:00"/>
    <s v="EJECUTADO"/>
    <n v="4064"/>
    <m/>
    <m/>
    <n v="15911.91"/>
  </r>
  <r>
    <m/>
    <m/>
    <x v="0"/>
    <m/>
    <s v="VIA, BUENAVISTA-AMARILLOS, L=9,9 km. (Chaguarpamba) Inicio: 16 de febrero Fin: 21 de febrero"/>
    <x v="2"/>
    <x v="11"/>
    <s v="AMARILLOS"/>
    <s v="AD. DIRECTA"/>
    <s v="VIALSUR"/>
    <m/>
    <m/>
    <n v="0"/>
    <s v="Clasificación de material."/>
    <s v="m³."/>
    <n v="1.47"/>
    <n v="300"/>
    <d v="2014-02-16T00:00:00"/>
    <d v="2014-02-21T00:00:00"/>
    <s v="EJECUTADO"/>
    <n v="441"/>
    <m/>
    <m/>
    <m/>
  </r>
  <r>
    <m/>
    <m/>
    <x v="1"/>
    <m/>
    <s v="VIA, BUENAVISTA-AMARILLOS, L=9,9 km. (Chaguarpamba) Inicio: 16 de febrero Fin: 21 de febrero"/>
    <x v="2"/>
    <x v="11"/>
    <s v="AMARILLOS"/>
    <s v="AD. DIRECTA"/>
    <s v="VIALSUR"/>
    <m/>
    <m/>
    <n v="0"/>
    <s v="Limpieza de derrumbes a máquina"/>
    <s v="m³."/>
    <n v="1.46"/>
    <n v="1650"/>
    <d v="2014-02-16T00:00:00"/>
    <d v="2014-02-21T00:00:00"/>
    <s v="EJECUTADO"/>
    <n v="2409"/>
    <m/>
    <m/>
    <m/>
  </r>
  <r>
    <m/>
    <m/>
    <x v="1"/>
    <m/>
    <s v="VIA, BUENAVISTA-AMARILLOS, L=9,9 km. (Chaguarpamba) Inicio: 16 de febrero Fin: 21 de febrero"/>
    <x v="2"/>
    <x v="11"/>
    <s v="AMARILLOS"/>
    <s v="AD. DIRECTA"/>
    <s v="VIALSUR"/>
    <m/>
    <n v="2.42"/>
    <n v="0"/>
    <s v="Rasanteo y conformacion de cunetas con motoniveladora"/>
    <s v="m²."/>
    <n v="0.08"/>
    <n v="13260"/>
    <d v="2014-02-16T00:00:00"/>
    <d v="2014-02-21T00:00:00"/>
    <s v="EJECUTADO"/>
    <n v="1060.8"/>
    <m/>
    <m/>
    <m/>
  </r>
  <r>
    <m/>
    <m/>
    <x v="0"/>
    <m/>
    <s v="VIA, BUENAVISTA-AMARILLOS, L=9,9 km. (Chaguarpamba) Inicio: 16 de febrero Fin: 21 de febrero"/>
    <x v="2"/>
    <x v="11"/>
    <s v="AMARILLOS"/>
    <s v="AD. DIRECTA"/>
    <s v="VIALSUR"/>
    <m/>
    <n v="0.98"/>
    <n v="0"/>
    <s v="Mejoramiento de la subrasante con suelo seleccionado"/>
    <s v="m³."/>
    <n v="5.92"/>
    <n v="1079"/>
    <d v="2014-02-16T00:00:00"/>
    <d v="2014-02-21T00:00:00"/>
    <s v="EJECUTADO"/>
    <n v="6387.68"/>
    <m/>
    <m/>
    <m/>
  </r>
  <r>
    <m/>
    <m/>
    <x v="0"/>
    <m/>
    <s v="VIA, BUENAVISTA-AMARILLOS, L=9,9 km. (Chaguarpamba) Inicio: 16 de febrero Fin: 21 de febrero"/>
    <x v="2"/>
    <x v="11"/>
    <s v="AMARILLOS"/>
    <s v="AD. DIRECTA"/>
    <s v="VIALSUR"/>
    <m/>
    <m/>
    <n v="0"/>
    <s v="Transporte de material para mejoramiento, inc. cargado"/>
    <s v="m³/km."/>
    <n v="0.38"/>
    <n v="4077.45"/>
    <d v="2014-02-16T00:00:00"/>
    <d v="2014-02-21T00:00:00"/>
    <s v="EJECUTADO"/>
    <n v="1549.43"/>
    <m/>
    <m/>
    <m/>
  </r>
  <r>
    <m/>
    <m/>
    <x v="1"/>
    <s v="VIAS DESDE BUENAVISTA A, VALLE HERMOSO, PALMAL Y PAN DE AZUCAR"/>
    <s v="VIAS DESDE BUENAVISTA A, VALLE HERMOSO, PALMAL Y PAN DE AZUCAR"/>
    <x v="2"/>
    <x v="11"/>
    <s v="BUENAVISTA"/>
    <s v="AD. DIRECTA"/>
    <s v="VIALSUR"/>
    <n v="13.6"/>
    <n v="4.2799999999999994"/>
    <n v="483"/>
    <s v="Rasanteo y conformacion de cunetas con motoniveladora"/>
    <s v="m²."/>
    <n v="0.08"/>
    <n v="23520"/>
    <d v="2014-02-25T00:00:00"/>
    <d v="2014-02-28T00:00:00"/>
    <s v="EJECUTADO"/>
    <n v="1881.6"/>
    <m/>
    <m/>
    <n v="3619"/>
  </r>
  <r>
    <m/>
    <m/>
    <x v="1"/>
    <m/>
    <s v="VIAS DESDE BUENAVISTA A, VALLE HERMOSO, PALMAL Y PAN DE AZUCAR"/>
    <x v="2"/>
    <x v="11"/>
    <s v="BUENAVISTA"/>
    <s v="AD. DIRECTA"/>
    <s v="VIALSUR"/>
    <m/>
    <m/>
    <n v="0"/>
    <s v="Limpieza de derrumbes a máquina"/>
    <s v="m³."/>
    <n v="1.46"/>
    <n v="1190"/>
    <d v="2014-02-25T00:00:00"/>
    <d v="2014-04-30T00:00:00"/>
    <s v="EJECUTADO"/>
    <n v="1737.4"/>
    <m/>
    <m/>
    <m/>
  </r>
  <r>
    <m/>
    <m/>
    <x v="0"/>
    <s v="VIA, LAS JUNTAS-&quot;Y&quot; del GUINEO, RIO PINDO L=5.6 km. "/>
    <s v="VIA, LAS JUNTAS-&quot;Y&quot; del GUINEO, RIO PINDO L=5.6 km. "/>
    <x v="2"/>
    <x v="11"/>
    <s v="SANTA RUFINA"/>
    <s v="AD. DIRECTA"/>
    <s v="VIALSUR"/>
    <n v="4.2"/>
    <m/>
    <n v="698"/>
    <s v="Clasificación de material."/>
    <s v="m³."/>
    <n v="1.47"/>
    <n v="870"/>
    <d v="2014-01-07T00:00:00"/>
    <d v="2014-01-31T00:00:00"/>
    <s v="EJECUTADO"/>
    <n v="1278.9000000000001"/>
    <m/>
    <m/>
    <n v="4967.33"/>
  </r>
  <r>
    <m/>
    <m/>
    <x v="1"/>
    <m/>
    <s v="VIA, LAS JUNTAS-&quot;Y&quot; del GUINEO, RIO PINDO L=5.6 km. "/>
    <x v="2"/>
    <x v="11"/>
    <s v="SANTA RUFINA"/>
    <s v="AD. DIRECTA"/>
    <s v="VIALSUR"/>
    <m/>
    <n v="1.1100000000000001"/>
    <n v="0"/>
    <s v="Rasanteo y conformacion de cunetas con motoniveladora"/>
    <s v="m²."/>
    <n v="0.08"/>
    <n v="6080"/>
    <d v="2014-01-07T00:00:00"/>
    <d v="2014-01-31T00:00:00"/>
    <s v="EJECUTADO"/>
    <n v="486.4"/>
    <m/>
    <m/>
    <m/>
  </r>
  <r>
    <m/>
    <m/>
    <x v="0"/>
    <m/>
    <s v="VIA, LAS JUNTAS-&quot;Y&quot; del GUINEO, RIO PINDO L=5.6 km. "/>
    <x v="2"/>
    <x v="11"/>
    <s v="SANTA RUFINA"/>
    <s v="AD. DIRECTA"/>
    <s v="VIALSUR"/>
    <m/>
    <n v="0.41"/>
    <n v="0"/>
    <s v="Mejoramiento de la subrasante con suelo seleccionado"/>
    <s v="m³."/>
    <n v="5.92"/>
    <n v="456"/>
    <d v="2014-01-07T00:00:00"/>
    <d v="2014-01-31T00:00:00"/>
    <s v="EJECUTADO"/>
    <n v="2699.52"/>
    <m/>
    <m/>
    <m/>
  </r>
  <r>
    <m/>
    <m/>
    <x v="0"/>
    <m/>
    <s v="VIA, LAS JUNTAS-&quot;Y&quot; del GUINEO, RIO PINDO L=5.6 km. "/>
    <x v="2"/>
    <x v="11"/>
    <s v="SANTA RUFINA"/>
    <s v="AD. DIRECTA"/>
    <s v="VIALSUR"/>
    <m/>
    <m/>
    <n v="0"/>
    <s v="Transporte de material para mejoramiento, inc. cargado"/>
    <s v="m³/km."/>
    <n v="0.38"/>
    <n v="1322.4"/>
    <d v="2014-01-07T00:00:00"/>
    <d v="2014-01-31T00:00:00"/>
    <s v="EJECUTADO"/>
    <n v="502.51"/>
    <m/>
    <m/>
    <m/>
  </r>
  <r>
    <s v="14"/>
    <s v="EJECUTADO"/>
    <x v="1"/>
    <s v="PLATAFORMA DEL CANAL,&quot;Y&quot; del GUINEO, L=4,2 km. (Chaguarpamba)"/>
    <s v="PLATAFORMA DEL CANAL,&quot;Y&quot; del GUINEO, L=4,2 km. (Chaguarpamba)"/>
    <x v="2"/>
    <x v="11"/>
    <s v="SANTA RUFINA"/>
    <s v="AD. DIRECTA"/>
    <s v="VIALSUR"/>
    <n v="11"/>
    <m/>
    <n v="698"/>
    <s v="Limpieza y desalojo de derrumbes a máquina"/>
    <s v="m³."/>
    <n v="1.46"/>
    <n v="1800"/>
    <d v="2014-07-26T00:00:00"/>
    <d v="2014-07-31T00:00:00"/>
    <s v="EJECUTADO"/>
    <n v="2628"/>
    <m/>
    <m/>
    <n v="2628"/>
  </r>
  <r>
    <m/>
    <m/>
    <x v="0"/>
    <s v="VIA YEE DEL GUINEO SANTA RUFINA 7.5 KM"/>
    <s v="VIA YEE DEL GUINEO SANTA RUFINA 7.5 KM"/>
    <x v="2"/>
    <x v="11"/>
    <s v="SANTA RUFINA"/>
    <s v="AD. DIRECTA"/>
    <s v="VIALSUR"/>
    <n v="5.7"/>
    <n v="5.7"/>
    <n v="267"/>
    <s v="Excavación sin clasificar a máquina (ampliación de la vía en áreas críticas)"/>
    <s v="m³."/>
    <n v="1.62"/>
    <m/>
    <d v="2014-06-01T00:00:00"/>
    <d v="2014-06-30T00:00:00"/>
    <s v="EJECUTADO"/>
    <n v="0"/>
    <n v="141961.84"/>
    <m/>
    <n v="26873.06"/>
  </r>
  <r>
    <m/>
    <m/>
    <x v="0"/>
    <m/>
    <s v="VIA YEE DEL GUINEO SANTA RUFINA 7.5 KM"/>
    <x v="2"/>
    <x v="11"/>
    <s v="SANTA RUFINA"/>
    <s v="AD. DIRECTA"/>
    <s v="VIALSUR"/>
    <m/>
    <m/>
    <n v="0"/>
    <s v="Explotación  de material (incluye cargado)"/>
    <s v="m³."/>
    <n v="2.54"/>
    <n v="1200"/>
    <d v="2014-01-05T00:00:00"/>
    <d v="2014-05-31T00:00:00"/>
    <s v="EJECUTADO"/>
    <n v="3048"/>
    <m/>
    <m/>
    <m/>
  </r>
  <r>
    <m/>
    <m/>
    <x v="0"/>
    <m/>
    <s v="VIA YEE DEL GUINEO SANTA RUFINA 7.5 KM"/>
    <x v="2"/>
    <x v="11"/>
    <s v="SANTA RUFINA"/>
    <s v="AD. DIRECTA"/>
    <s v="VIALSUR"/>
    <m/>
    <m/>
    <n v="0"/>
    <s v="Clasificación de material."/>
    <s v="m³."/>
    <n v="1.47"/>
    <n v="1100"/>
    <d v="2014-06-12T00:00:00"/>
    <d v="2014-06-30T00:00:00"/>
    <s v="EJECUTADO"/>
    <n v="1617"/>
    <m/>
    <m/>
    <m/>
  </r>
  <r>
    <m/>
    <m/>
    <x v="1"/>
    <m/>
    <s v="VIA YEE DEL GUINEO SANTA RUFINA 7.5 KM"/>
    <x v="2"/>
    <x v="11"/>
    <s v="SANTA RUFINA"/>
    <s v="AD. DIRECTA"/>
    <s v="VIALSUR"/>
    <m/>
    <m/>
    <n v="0"/>
    <s v="Limpieza de derrumbes a maquina"/>
    <s v="m³."/>
    <n v="1.46"/>
    <n v="1200"/>
    <d v="2014-01-01T00:00:00"/>
    <d v="2014-06-30T00:00:00"/>
    <s v="EJECUTADO"/>
    <n v="1752"/>
    <m/>
    <m/>
    <m/>
  </r>
  <r>
    <m/>
    <m/>
    <x v="1"/>
    <m/>
    <s v="VIA YEE DEL GUINEO SANTA RUFINA 7.5 KM"/>
    <x v="2"/>
    <x v="11"/>
    <s v="SANTA RUFINA"/>
    <s v="AD. DIRECTA"/>
    <s v="VIALSUR"/>
    <m/>
    <m/>
    <n v="0"/>
    <s v="Limpieza de cunetas y alcantarillas a maquina"/>
    <s v="m³."/>
    <n v="1.47"/>
    <m/>
    <d v="2014-01-05T00:00:00"/>
    <d v="2014-07-31T00:00:00"/>
    <s v="EN EJECUCION"/>
    <n v="0"/>
    <m/>
    <m/>
    <m/>
  </r>
  <r>
    <m/>
    <m/>
    <x v="0"/>
    <m/>
    <s v="VIA YEE DEL GUINEO SANTA RUFINA 7.5 KM"/>
    <x v="2"/>
    <x v="11"/>
    <s v="SANTA RUFINA"/>
    <s v="AD. DIRECTA"/>
    <s v="VIALSUR"/>
    <m/>
    <n v="0.92"/>
    <n v="144"/>
    <s v="Mejoramiento de la subrasante con suelo seleccionado"/>
    <s v="m³."/>
    <n v="5.92"/>
    <n v="1010"/>
    <d v="2014-01-01T00:00:00"/>
    <d v="2014-04-30T00:00:00"/>
    <s v="EJECUTADO"/>
    <n v="5979.2"/>
    <m/>
    <m/>
    <m/>
  </r>
  <r>
    <m/>
    <m/>
    <x v="1"/>
    <m/>
    <s v="VIA YEE DEL GUINEO SANTA RUFINA 7.5 KM"/>
    <x v="2"/>
    <x v="11"/>
    <s v="SANTA RUFINA"/>
    <s v="AD. DIRECTA"/>
    <s v="VIALSUR"/>
    <m/>
    <n v="6.2299999999999995"/>
    <n v="0"/>
    <s v="Reconformación de la Subrazante"/>
    <s v="m²."/>
    <n v="0.35"/>
    <n v="34230"/>
    <d v="2014-01-01T00:00:00"/>
    <d v="2014-06-30T00:00:00"/>
    <s v="EJECUTADO"/>
    <n v="11980.5"/>
    <m/>
    <m/>
    <m/>
  </r>
  <r>
    <m/>
    <m/>
    <x v="0"/>
    <m/>
    <s v="VIA YEE DEL GUINEO SANTA RUFINA 7.5 KM"/>
    <x v="2"/>
    <x v="11"/>
    <s v="SANTA RUFINA"/>
    <s v="AD. DIRECTA"/>
    <s v="VIALSUR"/>
    <m/>
    <m/>
    <n v="0"/>
    <s v="Transporte de material de mejoramiento"/>
    <s v="m3/km."/>
    <n v="0.3"/>
    <n v="6831"/>
    <d v="2014-01-05T00:00:00"/>
    <d v="2014-06-30T00:00:00"/>
    <s v="EJECUTADO"/>
    <n v="2049.3000000000002"/>
    <m/>
    <m/>
    <m/>
  </r>
  <r>
    <m/>
    <m/>
    <x v="1"/>
    <m/>
    <s v="VIA YEE DEL GUINEO SANTA RUFINA 7.5 KM"/>
    <x v="2"/>
    <x v="11"/>
    <s v="SANTA RUFINA"/>
    <s v="AD. DIRECTA"/>
    <s v="VIALSUR"/>
    <m/>
    <m/>
    <n v="200"/>
    <s v="Transporte de material excavado, inc. cargado"/>
    <s v="m³/km."/>
    <n v="0.38"/>
    <n v="1176.48"/>
    <d v="2014-05-01T00:00:00"/>
    <d v="2014-05-31T00:00:00"/>
    <s v="EJECUTADO"/>
    <n v="447.06"/>
    <m/>
    <m/>
    <m/>
  </r>
  <r>
    <m/>
    <m/>
    <x v="1"/>
    <s v="VIA SANTARUFINA PUEBLO NUEVO 2.8 KM"/>
    <s v="VIA SANTARUFINA PUEBLO NUEVO 2.8 KM"/>
    <x v="2"/>
    <x v="11"/>
    <s v="SANTA RUFINA"/>
    <s v="AD. DIRECTA"/>
    <s v="VIALSUR"/>
    <n v="2.8"/>
    <m/>
    <n v="0"/>
    <s v="Limpieza de cunetas y alcantarillas a maquina"/>
    <s v="m³."/>
    <n v="1.47"/>
    <n v="600"/>
    <d v="2014-01-05T00:00:00"/>
    <d v="2014-07-31T00:00:00"/>
    <s v="EN EJECUCION"/>
    <n v="882"/>
    <m/>
    <m/>
    <n v="882"/>
  </r>
  <r>
    <m/>
    <m/>
    <x v="1"/>
    <s v="VIA AMANCAY SANTARUFINA PUEBLO NUEVO 1,7 KM"/>
    <s v="VIA AMANCAY SANTARUFINA PUEBLO NUEVO 1,7 KM"/>
    <x v="2"/>
    <x v="11"/>
    <s v="SANTA RUFINA"/>
    <s v="AD. DIRECTA"/>
    <s v="VIALSUR"/>
    <n v="1.7"/>
    <n v="3.06"/>
    <n v="0"/>
    <s v="Reconformación de la Subrazante"/>
    <s v="m²."/>
    <n v="0.35"/>
    <n v="16830"/>
    <d v="2014-01-01T00:00:00"/>
    <d v="2014-06-30T00:00:00"/>
    <s v="EJECUTADO"/>
    <n v="5890.5"/>
    <m/>
    <m/>
    <n v="5890.5"/>
  </r>
  <r>
    <m/>
    <m/>
    <x v="1"/>
    <m/>
    <s v="VIA AMANCAY SANTARUFINA PUEBLO NUEVO 1,7 KM"/>
    <x v="2"/>
    <x v="11"/>
    <s v="SANTA RUFINA"/>
    <s v="AD. DIRECTA"/>
    <s v="VIALSUR"/>
    <m/>
    <m/>
    <n v="0"/>
    <s v="Limpieza de cunetas y alcantarillas a maquina"/>
    <s v="m³."/>
    <n v="1.47"/>
    <m/>
    <d v="2014-01-05T00:00:00"/>
    <d v="2014-07-31T00:00:00"/>
    <s v="EN EJECUCION"/>
    <n v="0"/>
    <m/>
    <m/>
    <n v="14850.789999999999"/>
  </r>
  <r>
    <m/>
    <m/>
    <x v="1"/>
    <m/>
    <s v="VIA AMANCAY SANTARUFINA PUEBLO NUEVO 1,7 KM"/>
    <x v="2"/>
    <x v="11"/>
    <s v="SANTA RUFINA"/>
    <s v="AD. DIRECTA"/>
    <s v="VIALSUR"/>
    <m/>
    <n v="0"/>
    <n v="0"/>
    <s v="Reconformación de la Subrazante"/>
    <s v="m²."/>
    <n v="0.35"/>
    <m/>
    <d v="2014-01-01T00:00:00"/>
    <d v="2014-06-30T00:00:00"/>
    <s v="EJECUTADO"/>
    <n v="0"/>
    <m/>
    <m/>
    <m/>
  </r>
  <r>
    <m/>
    <m/>
    <x v="0"/>
    <m/>
    <s v="VIA AMANCAY SANTARUFINA PUEBLO NUEVO 1,7 KM"/>
    <x v="2"/>
    <x v="11"/>
    <s v="SANTA RUFINA"/>
    <s v="AD. DIRECTA"/>
    <s v="VIALSUR"/>
    <m/>
    <m/>
    <m/>
    <s v="Explotación  de material (incluye cargado)"/>
    <s v="m³."/>
    <n v="2.54"/>
    <n v="1100"/>
    <d v="2014-01-05T00:00:00"/>
    <d v="2014-05-31T00:00:00"/>
    <s v="EJECUTADO"/>
    <n v="2794"/>
    <m/>
    <m/>
    <m/>
  </r>
  <r>
    <m/>
    <m/>
    <x v="0"/>
    <m/>
    <s v="VIA AMANCAY SANTARUFINA PUEBLO NUEVO 1,7 KM"/>
    <x v="2"/>
    <x v="11"/>
    <s v="SANTA RUFINA"/>
    <s v="AD. DIRECTA"/>
    <s v="VIALSUR"/>
    <m/>
    <m/>
    <m/>
    <s v="Clasificación de material."/>
    <s v="m³."/>
    <n v="1.47"/>
    <n v="1100"/>
    <d v="2014-06-12T00:00:00"/>
    <d v="2014-06-30T00:00:00"/>
    <s v="EJECUTADO"/>
    <n v="1617"/>
    <m/>
    <m/>
    <m/>
  </r>
  <r>
    <m/>
    <m/>
    <x v="1"/>
    <m/>
    <s v="VIA AMANCAY SANTARUFINA PUEBLO NUEVO 1,7 KM"/>
    <x v="2"/>
    <x v="11"/>
    <s v="SANTA RUFINA"/>
    <s v="AD. DIRECTA"/>
    <s v="VIALSUR"/>
    <m/>
    <m/>
    <m/>
    <s v="Limpieza de derrumbes a maquina"/>
    <s v="m³."/>
    <n v="1.46"/>
    <n v="840"/>
    <d v="2014-01-01T00:00:00"/>
    <d v="2014-06-30T00:00:00"/>
    <s v="EJECUTADO"/>
    <n v="1226.4000000000001"/>
    <m/>
    <m/>
    <m/>
  </r>
  <r>
    <m/>
    <m/>
    <x v="0"/>
    <m/>
    <s v="VIA AMANCAY SANTARUFINA PUEBLO NUEVO 1,7 KM"/>
    <x v="2"/>
    <x v="11"/>
    <s v="SANTA RUFINA"/>
    <s v="AD. DIRECTA"/>
    <s v="VIALSUR"/>
    <m/>
    <n v="0.97"/>
    <m/>
    <s v="Mejoramiento de la subrasante con suelo seleccionado"/>
    <s v="m³."/>
    <n v="5.92"/>
    <n v="1070"/>
    <d v="2014-01-01T00:00:00"/>
    <d v="2014-04-30T00:00:00"/>
    <s v="EJECUTADO"/>
    <n v="6334.4"/>
    <m/>
    <m/>
    <m/>
  </r>
  <r>
    <m/>
    <m/>
    <x v="0"/>
    <m/>
    <s v="VIA AMANCAY SANTARUFINA PUEBLO NUEVO 1,7 KM"/>
    <x v="2"/>
    <x v="11"/>
    <s v="SANTA RUFINA"/>
    <s v="AD. DIRECTA"/>
    <s v="VIALSUR"/>
    <m/>
    <m/>
    <m/>
    <s v="Transporte de material de mejoramiento"/>
    <s v="m3/km."/>
    <n v="0.3"/>
    <n v="9596.6200000000008"/>
    <d v="2014-01-05T00:00:00"/>
    <d v="2014-06-30T00:00:00"/>
    <s v="EJECUTADO"/>
    <n v="2878.99"/>
    <m/>
    <m/>
    <m/>
  </r>
  <r>
    <m/>
    <m/>
    <x v="0"/>
    <s v="CALLES DE SANTA RUFINA  0,8 KM"/>
    <s v="CALLES DE SANTA RUFINA  0,8 KM"/>
    <x v="2"/>
    <x v="11"/>
    <s v="SANTA RUFINA"/>
    <s v="AD. DIRECTA"/>
    <s v="VIALSUR"/>
    <n v="0.8"/>
    <n v="0.8"/>
    <m/>
    <s v="Explotación  de material (incluye cargado)"/>
    <s v="m³."/>
    <n v="2.54"/>
    <n v="900"/>
    <d v="2014-01-05T00:00:00"/>
    <d v="2014-05-31T00:00:00"/>
    <s v="EJECUTADO"/>
    <n v="2286"/>
    <m/>
    <m/>
    <n v="8915.1"/>
  </r>
  <r>
    <m/>
    <m/>
    <x v="0"/>
    <m/>
    <s v="CALLES DE SANTA RUFINA  0,8 KM"/>
    <x v="2"/>
    <x v="11"/>
    <s v="SANTA RUFINA"/>
    <s v="AD. DIRECTA"/>
    <s v="VIALSUR"/>
    <m/>
    <m/>
    <m/>
    <s v="Clasificación de material."/>
    <s v="m³."/>
    <n v="1.47"/>
    <n v="750"/>
    <d v="2014-06-12T00:00:00"/>
    <d v="2014-06-30T00:00:00"/>
    <s v="EJECUTADO"/>
    <n v="1102.5"/>
    <m/>
    <m/>
    <m/>
  </r>
  <r>
    <m/>
    <m/>
    <x v="1"/>
    <m/>
    <s v="CALLES DE SANTA RUFINA  0,8 KM"/>
    <x v="2"/>
    <x v="11"/>
    <s v="SANTA RUFINA"/>
    <s v="AD. DIRECTA"/>
    <s v="VIALSUR"/>
    <m/>
    <m/>
    <m/>
    <s v="Limpieza de derrumbes a maquina"/>
    <s v="m³."/>
    <n v="1.46"/>
    <n v="480"/>
    <d v="2014-01-01T00:00:00"/>
    <d v="2014-06-30T00:00:00"/>
    <s v="EJECUTADO"/>
    <n v="700.8"/>
    <m/>
    <m/>
    <m/>
  </r>
  <r>
    <m/>
    <m/>
    <x v="0"/>
    <m/>
    <s v="CALLES DE SANTA RUFINA  0,8 KM"/>
    <x v="2"/>
    <x v="11"/>
    <s v="SANTA RUFINA"/>
    <s v="AD. DIRECTA"/>
    <s v="VIALSUR"/>
    <m/>
    <n v="0.49"/>
    <m/>
    <s v="Mejoramiento de la subrasante con suelo seleccionado"/>
    <s v="m³."/>
    <n v="5.92"/>
    <n v="540"/>
    <d v="2014-01-01T00:00:00"/>
    <d v="2014-04-30T00:00:00"/>
    <s v="EJECUTADO"/>
    <n v="3196.8"/>
    <m/>
    <m/>
    <m/>
  </r>
  <r>
    <m/>
    <m/>
    <x v="0"/>
    <m/>
    <s v="CALLES DE SANTA RUFINA  0,8 KM"/>
    <x v="2"/>
    <x v="11"/>
    <s v="SANTA RUFINA"/>
    <s v="AD. DIRECTA"/>
    <s v="VIALSUR"/>
    <m/>
    <m/>
    <m/>
    <s v="Transporte de material de mejoramiento"/>
    <s v="m3/km."/>
    <n v="0.3"/>
    <n v="5430"/>
    <d v="2014-01-05T00:00:00"/>
    <d v="2014-06-30T00:00:00"/>
    <s v="EJECUTADO"/>
    <n v="1629"/>
    <m/>
    <m/>
    <m/>
  </r>
  <r>
    <m/>
    <m/>
    <x v="1"/>
    <s v="VIA PANAMERICANA- LOZUMBE - CUCUMATE, L=7.7 KM (Chaguarpamba) Inicio 1 de Octubre . Fin  2 de Octubre"/>
    <s v="VIA PANAMERICANA- LOZUMBE - CUCUMATE, L=7.7 KM (Chaguarpamba) Inicio 1 de Octubre . Fin  2 de Octubre"/>
    <x v="2"/>
    <x v="11"/>
    <s v="SANTA RUFINA"/>
    <s v="AD. DIRECTA"/>
    <s v="VIALSUR"/>
    <n v="7.7"/>
    <m/>
    <m/>
    <s v="Limpieza de derrumbes a maquina"/>
    <s v="m³."/>
    <n v="1.46"/>
    <n v="400"/>
    <d v="2014-10-01T00:00:00"/>
    <d v="2014-10-02T00:00:00"/>
    <s v="EJECUTADO"/>
    <n v="584"/>
    <m/>
    <m/>
    <n v="6439.6"/>
  </r>
  <r>
    <m/>
    <m/>
    <x v="1"/>
    <m/>
    <s v="VIA PANAMERICANA- LOZUMBE - CUCUMATE, L=7.7 KM (Chaguarpamba) Inicio 1 de Octubre . Fin  2 de Octubre"/>
    <x v="2"/>
    <x v="11"/>
    <s v="SANTA RUFINA"/>
    <s v="AD. DIRECTA"/>
    <s v="VIALSUR"/>
    <m/>
    <n v="3.6399999999999997"/>
    <m/>
    <s v="Rasanteo y conformacion de cunetas con motoniveladora"/>
    <s v="m²."/>
    <n v="0.08"/>
    <n v="19995"/>
    <d v="2014-10-01T00:00:00"/>
    <d v="2014-10-02T00:00:00"/>
    <s v="EJECUTADO"/>
    <n v="1599.6"/>
    <m/>
    <m/>
    <m/>
  </r>
  <r>
    <m/>
    <m/>
    <x v="1"/>
    <m/>
    <s v="VIA PANAMERICANA- LOZUMBE - CUCUMATE, L=7.7 KM (Chaguarpamba) Inicio 1 de Octubre . Fin  2 de Octubre"/>
    <x v="2"/>
    <x v="11"/>
    <s v="SANTA RUFINA"/>
    <s v="AD. DIRECTA"/>
    <s v="VIALSUR"/>
    <m/>
    <n v="2.2199999999999998"/>
    <m/>
    <s v="Reconformación de la Subrazante"/>
    <s v="m²."/>
    <n v="0.35"/>
    <n v="12160"/>
    <d v="2014-10-01T00:00:00"/>
    <d v="2014-10-02T00:00:00"/>
    <s v="EJECUTADO"/>
    <n v="4256"/>
    <m/>
    <m/>
    <m/>
  </r>
  <r>
    <m/>
    <m/>
    <x v="0"/>
    <s v="VIA, ORIANGA-LA VICTORIA-SHOA, L=11,0 km. (Paltas)"/>
    <s v="VIA, ORIANGA-LA VICTORIA-SHOA, L=11,0 km. (Paltas)"/>
    <x v="2"/>
    <x v="12"/>
    <s v="ORIANGA"/>
    <s v="AD. DIRECTA"/>
    <s v="VIALSUR"/>
    <n v="11"/>
    <m/>
    <n v="1083"/>
    <s v="Explotación de material (incluye cargado)."/>
    <s v="m³."/>
    <n v="2.54"/>
    <n v="960"/>
    <d v="2014-01-02T00:00:00"/>
    <d v="2014-01-31T00:00:00"/>
    <s v="EJECUTADO"/>
    <n v="2438.4"/>
    <m/>
    <m/>
    <n v="22139.7"/>
  </r>
  <r>
    <m/>
    <m/>
    <x v="1"/>
    <m/>
    <s v="VIA, ORIANGA-LA VICTORIA-SHOA, L=11,0 km. (Paltas)"/>
    <x v="2"/>
    <x v="12"/>
    <s v="ORIANGA"/>
    <s v="AD. DIRECTA"/>
    <s v="VIALSUR"/>
    <m/>
    <m/>
    <n v="0"/>
    <s v="Limpieza de derrumbes a máquina"/>
    <s v="m³."/>
    <n v="1.46"/>
    <n v="1320"/>
    <d v="2014-06-01T00:00:00"/>
    <d v="2014-06-30T00:00:00"/>
    <s v="EJECUTADO"/>
    <n v="1927.2"/>
    <m/>
    <m/>
    <m/>
  </r>
  <r>
    <m/>
    <m/>
    <x v="0"/>
    <m/>
    <s v="VIA, ORIANGA-LA VICTORIA-SHOA, L=11,0 km. (Paltas)"/>
    <x v="2"/>
    <x v="12"/>
    <s v="ORIANGA"/>
    <s v="AD. DIRECTA"/>
    <s v="VIALSUR"/>
    <m/>
    <m/>
    <n v="0"/>
    <s v="Clasificación de material."/>
    <s v="m³."/>
    <n v="1.47"/>
    <n v="1700"/>
    <d v="2014-01-02T00:00:00"/>
    <d v="2014-01-31T00:00:00"/>
    <s v="EJECUTADO"/>
    <n v="2499"/>
    <m/>
    <m/>
    <m/>
  </r>
  <r>
    <m/>
    <m/>
    <x v="1"/>
    <m/>
    <s v="VIA, ORIANGA-LA VICTORIA-SHOA, L=11,0 km. (Paltas)"/>
    <x v="2"/>
    <x v="12"/>
    <s v="ORIANGA"/>
    <s v="AD. DIRECTA"/>
    <s v="VIALSUR"/>
    <m/>
    <n v="4.84"/>
    <n v="0"/>
    <s v="Rasanteo y conformacion de cunetas con motoniveladora"/>
    <s v="m²."/>
    <n v="0.08"/>
    <n v="26600"/>
    <d v="2014-01-02T00:00:00"/>
    <d v="2014-01-31T00:00:00"/>
    <s v="EJECUTADO"/>
    <n v="2128"/>
    <m/>
    <m/>
    <m/>
  </r>
  <r>
    <m/>
    <m/>
    <x v="0"/>
    <m/>
    <s v="VIA, ORIANGA-LA VICTORIA-SHOA, L=11,0 km. (Paltas)"/>
    <x v="2"/>
    <x v="12"/>
    <s v="ORIANGA"/>
    <s v="AD. DIRECTA"/>
    <s v="VIALSUR"/>
    <m/>
    <n v="1.3"/>
    <n v="0"/>
    <s v="Mejoramiento de la subrasante con suelo seleccionado"/>
    <s v="m³."/>
    <n v="5.92"/>
    <n v="1430"/>
    <d v="2014-01-02T00:00:00"/>
    <d v="2014-01-31T00:00:00"/>
    <s v="EJECUTADO"/>
    <n v="8465.6"/>
    <m/>
    <m/>
    <m/>
  </r>
  <r>
    <m/>
    <m/>
    <x v="0"/>
    <m/>
    <s v="VIA, ORIANGA-LA VICTORIA-SHOA, L=11,0 km. (Paltas)"/>
    <x v="2"/>
    <x v="12"/>
    <s v="ORIANGA"/>
    <s v="AD. DIRECTA"/>
    <s v="VIALSUR"/>
    <m/>
    <m/>
    <n v="0"/>
    <s v="Transporte de material para mejoramiento, inc. cargado"/>
    <s v="m³/km."/>
    <n v="0.3"/>
    <n v="15605"/>
    <d v="2014-01-02T00:00:00"/>
    <d v="2014-06-30T00:00:00"/>
    <s v="EJECUTADO"/>
    <n v="4681.5"/>
    <m/>
    <m/>
    <m/>
  </r>
  <r>
    <s v="15"/>
    <s v="EJECUTADO"/>
    <x v="1"/>
    <s v="VIA RIO PINDO  LAS JUNTAS ORIANGA L=17,8 KM (PALTAS)"/>
    <s v="VIA RIO PINDO  LAS JUNTAS ORIANGA L=17,8 KM (PALTAS)"/>
    <x v="2"/>
    <x v="12"/>
    <s v="ORIANGA"/>
    <s v="AD. DIRECTA"/>
    <s v="VIALSUR"/>
    <n v="17.8"/>
    <m/>
    <n v="1083"/>
    <s v="Limpieza de derrumbes a máquina"/>
    <s v="m³."/>
    <n v="1.46"/>
    <n v="17120"/>
    <d v="2014-01-19T00:00:00"/>
    <d v="2014-06-30T00:00:00"/>
    <s v="EJECUTADO"/>
    <n v="24995.200000000001"/>
    <m/>
    <m/>
    <n v="85847.71"/>
  </r>
  <r>
    <m/>
    <m/>
    <x v="0"/>
    <m/>
    <s v="VIA RIO PINDO  LAS JUNTAS ORIANGA L=17,8 KM (PALTAS)"/>
    <x v="2"/>
    <x v="12"/>
    <s v="ORIANGA"/>
    <s v="AD. DIRECTA"/>
    <s v="VIALSUR"/>
    <m/>
    <m/>
    <n v="0"/>
    <s v="Excavación sin clasificar a maquina (estabilización de talud)"/>
    <s v="m³."/>
    <n v="1.62"/>
    <n v="36270"/>
    <d v="2014-07-19T00:00:00"/>
    <d v="2014-07-31T00:00:00"/>
    <s v="EJECUTADO"/>
    <n v="58757.4"/>
    <m/>
    <m/>
    <m/>
  </r>
  <r>
    <m/>
    <m/>
    <x v="1"/>
    <m/>
    <s v="VIA RIO PINDO  LAS JUNTAS ORIANGA L=17,8 KM (PALTAS)"/>
    <x v="2"/>
    <x v="12"/>
    <s v="ORIANGA"/>
    <s v="AD. DIRECTA"/>
    <s v="VIALSUR"/>
    <m/>
    <m/>
    <n v="0"/>
    <s v="Transporte de material excavado, inc. cargado"/>
    <s v="m³/km."/>
    <n v="0.38"/>
    <n v="5513.44"/>
    <d v="2014-07-19T00:00:00"/>
    <d v="2014-07-31T00:00:00"/>
    <s v="EJECUTADO"/>
    <n v="2095.11"/>
    <m/>
    <m/>
    <m/>
  </r>
  <r>
    <s v="16"/>
    <s v="EJECUTADO"/>
    <x v="0"/>
    <s v="VIA RIO PINDO  LAS JUNTAS ORIANGA L=23.2 KM (PALTAS)"/>
    <s v="VIA RIO PINDO  LAS JUNTAS ORIANGA L=23.2 KM (PALTAS)"/>
    <x v="2"/>
    <x v="12"/>
    <s v="ORIANGA"/>
    <s v="AD. DIRECTA"/>
    <s v="VIALSUR"/>
    <n v="23.2"/>
    <m/>
    <n v="1083"/>
    <s v="Excavación sin clasificar a maquina"/>
    <s v="m³."/>
    <n v="1.62"/>
    <n v="5580"/>
    <d v="2014-06-01T00:00:00"/>
    <d v="2014-07-31T00:00:00"/>
    <s v="EJECUTADO"/>
    <n v="9039.6"/>
    <m/>
    <m/>
    <n v="116319.3"/>
  </r>
  <r>
    <m/>
    <m/>
    <x v="1"/>
    <m/>
    <s v="VIA RIO PINDO  LAS JUNTAS ORIANGA L=23.2 KM (PALTAS)"/>
    <x v="2"/>
    <x v="12"/>
    <s v="ORIANGA"/>
    <s v="AD. DIRECTA"/>
    <s v="VIALSUR"/>
    <m/>
    <m/>
    <n v="0"/>
    <s v="Limpieza de derrumbes a máquina"/>
    <s v="m³."/>
    <n v="1.46"/>
    <n v="7045"/>
    <d v="2014-06-01T00:00:00"/>
    <d v="2014-07-31T00:00:00"/>
    <s v="EJECUTADO"/>
    <n v="10285.700000000001"/>
    <m/>
    <m/>
    <m/>
  </r>
  <r>
    <m/>
    <m/>
    <x v="1"/>
    <m/>
    <s v="VIA RIO PINDO  LAS JUNTAS ORIANGA L=23.2 KM (PALTAS)"/>
    <x v="2"/>
    <x v="12"/>
    <s v="ORIANGA"/>
    <s v="AD. DIRECTA"/>
    <s v="VIALSUR"/>
    <m/>
    <n v="25.01"/>
    <n v="0"/>
    <s v="Reconformación de la Subrazante"/>
    <s v="m³."/>
    <n v="0.35"/>
    <n v="137520"/>
    <d v="2014-06-01T00:00:00"/>
    <d v="2014-06-30T00:00:00"/>
    <s v="EJECUTADO"/>
    <n v="48132"/>
    <m/>
    <m/>
    <m/>
  </r>
  <r>
    <m/>
    <m/>
    <x v="0"/>
    <m/>
    <s v="VIA RIO PINDO  LAS JUNTAS ORIANGA L=23.2 KM (PALTAS)"/>
    <x v="2"/>
    <x v="12"/>
    <s v="ORIANGA"/>
    <s v="AD. DIRECTA"/>
    <s v="VIALSUR"/>
    <m/>
    <n v="1.18"/>
    <n v="0"/>
    <s v="Mejoramiento de la subrasante con suelo seleccionado"/>
    <s v="m³."/>
    <n v="5.92"/>
    <n v="1297"/>
    <d v="2014-01-02T00:00:00"/>
    <d v="2014-01-31T00:00:00"/>
    <s v="EJECUTADO"/>
    <n v="7678.24"/>
    <m/>
    <m/>
    <m/>
  </r>
  <r>
    <m/>
    <m/>
    <x v="0"/>
    <m/>
    <s v="VIA RIO PINDO  LAS JUNTAS ORIANGA L=23.2 KM (PALTAS)"/>
    <x v="2"/>
    <x v="12"/>
    <s v="ORIANGA"/>
    <s v="AD. DIRECTA"/>
    <s v="VIALSUR"/>
    <m/>
    <n v="0.18000000000000002"/>
    <n v="0"/>
    <s v="Excavación y Relleno compactado, con material mejorado"/>
    <s v="m³."/>
    <n v="7.6"/>
    <n v="955"/>
    <d v="2014-07-01T00:00:00"/>
    <d v="2014-07-31T00:00:00"/>
    <s v="EJECUTADO"/>
    <n v="7258"/>
    <m/>
    <m/>
    <m/>
  </r>
  <r>
    <m/>
    <m/>
    <x v="0"/>
    <m/>
    <s v="VIA RIO PINDO  LAS JUNTAS ORIANGA L=23.2 KM (PALTAS)"/>
    <x v="2"/>
    <x v="12"/>
    <s v="ORIANGA"/>
    <s v="AD. DIRECTA"/>
    <s v="VIALSUR"/>
    <m/>
    <n v="3.8499999999999996"/>
    <n v="0"/>
    <s v="Clasificación de material."/>
    <s v="m³."/>
    <n v="1.47"/>
    <n v="21150"/>
    <d v="2014-07-01T00:00:00"/>
    <d v="2014-07-31T00:00:00"/>
    <s v="EJECUTADO"/>
    <n v="31090.5"/>
    <m/>
    <m/>
    <m/>
  </r>
  <r>
    <m/>
    <m/>
    <x v="0"/>
    <m/>
    <s v="VIA RIO PINDO  LAS JUNTAS ORIANGA L=23.2 KM (PALTAS)"/>
    <x v="2"/>
    <x v="12"/>
    <s v="ORIANGA"/>
    <s v="AD. DIRECTA"/>
    <s v="VIALSUR"/>
    <m/>
    <n v="1.36"/>
    <n v="0"/>
    <s v="Transporte de material para mejoramiento, inc. cargado"/>
    <s v="m³/km."/>
    <n v="0.38"/>
    <n v="7461.2"/>
    <d v="2014-07-01T00:00:00"/>
    <d v="2014-07-31T00:00:00"/>
    <s v="EJECUTADO"/>
    <n v="2835.26"/>
    <m/>
    <m/>
    <m/>
  </r>
  <r>
    <s v="17"/>
    <s v="EJECUTADO"/>
    <x v="0"/>
    <s v="CALLES DE ORIANGA, L=1,0 km.  (Paltas)"/>
    <s v="CALLES DE ORIANGA, L=1,0 km.  (Paltas)"/>
    <x v="2"/>
    <x v="12"/>
    <s v="ORIANGA"/>
    <s v="AD. DIRECTA"/>
    <s v="VIALSUR"/>
    <n v="1"/>
    <m/>
    <n v="1083"/>
    <s v="Clasificación de material."/>
    <s v="m³."/>
    <n v="1.47"/>
    <n v="300"/>
    <d v="2014-07-16T00:00:00"/>
    <d v="2014-07-31T00:00:00"/>
    <s v="EJECUTADO"/>
    <n v="441"/>
    <m/>
    <m/>
    <n v="793.22"/>
  </r>
  <r>
    <m/>
    <m/>
    <x v="0"/>
    <s v="CALLES DE ORIANGA, L=1,0 km.  (Paltas)"/>
    <s v="CALLES DE ORIANGA, L=1,0 km.  (Paltas)"/>
    <x v="2"/>
    <x v="12"/>
    <s v="ORIANGA"/>
    <s v="AD. DIRECTA"/>
    <s v="VIALSUR"/>
    <m/>
    <m/>
    <n v="0"/>
    <s v="Transporte de material para mejoramiento, inc. cargado"/>
    <s v="m³/km."/>
    <n v="0.38"/>
    <n v="926.9"/>
    <d v="2014-07-16T00:00:00"/>
    <d v="2014-07-31T00:00:00"/>
    <s v="EJECUTADO"/>
    <n v="352.22"/>
    <m/>
    <m/>
    <m/>
  </r>
  <r>
    <m/>
    <m/>
    <x v="1"/>
    <s v="VIA, ORIANGA-EL TRIUNFO- NARANJILLO- NARANJITO- TUNIMA, L=38.9 km. (Paltas)"/>
    <s v="VIA, ORIANGA-EL TRIUNFO- NARANJILLO- NARANJITO- TUNIMA, L=38.9 km. (Paltas)"/>
    <x v="2"/>
    <x v="12"/>
    <s v="ORIANGA"/>
    <s v="AD. DIRECTA"/>
    <s v="VIALSUR"/>
    <n v="38.9"/>
    <m/>
    <n v="1083"/>
    <s v="Limpieza de derrumbes a máquina"/>
    <s v="m³."/>
    <n v="1.46"/>
    <n v="15990"/>
    <d v="2014-09-06T00:00:00"/>
    <d v="2014-10-24T00:00:00"/>
    <s v="EJECUTADO"/>
    <n v="23345.4"/>
    <m/>
    <m/>
    <n v="23345.4"/>
  </r>
  <r>
    <m/>
    <m/>
    <x v="1"/>
    <s v="VIA, ORIANGA- L. GUERRERO (LIM PARROQUIAL), L=5.8 km. (Paltas) Inicio 23 nov. Fin 29 de nov"/>
    <s v="VIA, ORIANGA- L. GUERRERO (LIM PARROQUIAL), L=5.8 km. (Paltas) Inicio 23 nov. Fin 29 de nov"/>
    <x v="2"/>
    <x v="12"/>
    <s v="ORIANGA"/>
    <s v="AD. DIRECTA"/>
    <s v="VIALSUR"/>
    <n v="5.8"/>
    <m/>
    <n v="1083"/>
    <s v="Limpieza de derrumbes a máquina"/>
    <s v="m³."/>
    <n v="1.46"/>
    <n v="3870"/>
    <d v="2014-11-23T00:00:00"/>
    <d v="2014-11-29T00:00:00"/>
    <s v="EJECUTADO"/>
    <n v="5650.2"/>
    <m/>
    <m/>
    <n v="5650.2"/>
  </r>
  <r>
    <m/>
    <m/>
    <x v="1"/>
    <s v="VIAS DESDE ORIANGA A, GUAYACAN Y LA VEGA. (Paltas)"/>
    <s v="VIAS DESDE ORIANGA A, GUAYACAN Y LA VEGA. (Paltas)"/>
    <x v="2"/>
    <x v="12"/>
    <s v="ORIANGA"/>
    <s v="AD. DIRECTA"/>
    <s v="VIALSUR"/>
    <n v="4.5"/>
    <m/>
    <n v="1083"/>
    <s v="Limpieza de derrumbes a máquina"/>
    <s v="m³."/>
    <n v="1.46"/>
    <n v="2880"/>
    <d v="2014-02-17T00:00:00"/>
    <d v="2014-04-30T00:00:00"/>
    <s v="EJECUTADO"/>
    <n v="4204.8"/>
    <m/>
    <m/>
    <n v="4204.8"/>
  </r>
  <r>
    <m/>
    <m/>
    <x v="0"/>
    <s v="VIA, LA PALMA-EL PLACER, L=11,1 km. (Paltas)( RETROEXCAVADORA DE LA JUNTA PARROQUIAL)"/>
    <s v="VIA, LA PALMA-EL PLACER, L=11,1 km. (Paltas)( RETROEXCAVADORA DE LA JUNTA PARROQUIAL)"/>
    <x v="2"/>
    <x v="12"/>
    <s v="LAUROGUERRERO"/>
    <s v="AD. DIRECTA"/>
    <s v="VIALSUR"/>
    <n v="11.1"/>
    <m/>
    <n v="1092"/>
    <s v="Explotación de material (incluye cargado)."/>
    <s v="m³."/>
    <n v="2.54"/>
    <n v="640"/>
    <d v="2014-02-03T00:00:00"/>
    <d v="2014-02-07T00:00:00"/>
    <s v="EJECUTADO"/>
    <n v="1625.6"/>
    <m/>
    <m/>
    <n v="1821.11"/>
  </r>
  <r>
    <m/>
    <m/>
    <x v="0"/>
    <m/>
    <s v="VIA, LA PALMA-EL PLACER, L=11,1 km. (Paltas)( RETROEXCAVADORA DE LA JUNTA PARROQUIAL)"/>
    <x v="2"/>
    <x v="12"/>
    <s v="LAUROGUERRERO"/>
    <s v="AD. DIRECTA"/>
    <s v="VIALSUR"/>
    <m/>
    <m/>
    <n v="0"/>
    <s v="Transporte de material para mejoramiento, inc. cargado"/>
    <s v="m³/km."/>
    <n v="0.38"/>
    <n v="514.5"/>
    <d v="2014-02-03T00:00:00"/>
    <d v="2014-02-07T00:00:00"/>
    <s v="EJECUTADO"/>
    <n v="195.51"/>
    <m/>
    <m/>
    <m/>
  </r>
  <r>
    <m/>
    <m/>
    <x v="1"/>
    <s v="VIAS DE LA PARROQUIA YAMANA, L=6,90 km. (Paltas)"/>
    <s v="VIAS DE LA PARROQUIA YAMANA, L=6,90 km. (Paltas)"/>
    <x v="2"/>
    <x v="12"/>
    <s v="YAMANA"/>
    <s v="AD. DIRECTA"/>
    <s v="VIALSUR"/>
    <n v="6.9"/>
    <n v="4.97"/>
    <n v="797"/>
    <s v="Rasanteo y conformacion de cunetas con motoniveladora"/>
    <s v="m²."/>
    <n v="0.08"/>
    <n v="27300"/>
    <d v="2014-01-02T00:00:00"/>
    <d v="2014-01-05T00:00:00"/>
    <s v="EJECUTADO"/>
    <n v="2184"/>
    <m/>
    <m/>
    <n v="2184"/>
  </r>
  <r>
    <m/>
    <m/>
    <x v="0"/>
    <s v="VIA, PLAYAS-YAMANA, L=3,8 km. (Paltas)"/>
    <s v="VIA, PLAYAS-YAMANA, L=3,8 km. (Paltas)"/>
    <x v="2"/>
    <x v="12"/>
    <s v="YAMANA"/>
    <s v="AD. DIRECTA"/>
    <s v="VIALSUR"/>
    <n v="3.8"/>
    <m/>
    <n v="797"/>
    <s v="Clasificación de material."/>
    <s v="m³."/>
    <n v="1.47"/>
    <n v="1325"/>
    <d v="2014-01-02T00:00:00"/>
    <d v="2014-01-11T00:00:00"/>
    <s v="EJECUTADO"/>
    <n v="1947.75"/>
    <m/>
    <m/>
    <n v="9294.8599999999988"/>
  </r>
  <r>
    <m/>
    <m/>
    <x v="0"/>
    <m/>
    <s v="VIA, PLAYAS-YAMANA, L=3,8 km. (Paltas)"/>
    <x v="2"/>
    <x v="12"/>
    <s v="YAMANA"/>
    <s v="AD. DIRECTA"/>
    <s v="VIALSUR"/>
    <m/>
    <n v="1.08"/>
    <n v="0"/>
    <s v="Mejoramiento de la subrasante con suelo seleccionado"/>
    <s v="m³."/>
    <n v="5.92"/>
    <n v="1192"/>
    <d v="2014-01-02T00:00:00"/>
    <d v="2014-01-11T00:00:00"/>
    <s v="EJECUTADO"/>
    <n v="7056.64"/>
    <m/>
    <m/>
    <m/>
  </r>
  <r>
    <m/>
    <m/>
    <x v="0"/>
    <m/>
    <s v="VIA, PLAYAS-YAMANA, L=3,8 km. (Paltas)"/>
    <x v="2"/>
    <x v="12"/>
    <s v="YAMANA"/>
    <s v="AD. DIRECTA"/>
    <s v="VIALSUR"/>
    <m/>
    <m/>
    <n v="0"/>
    <s v="Transporte de material para mejoramiento, inc. cargado"/>
    <s v="m³/km."/>
    <n v="0.38"/>
    <n v="764.4"/>
    <d v="2014-01-02T00:00:00"/>
    <d v="2014-01-11T00:00:00"/>
    <s v="EJECUTADO"/>
    <n v="290.47000000000003"/>
    <m/>
    <m/>
    <m/>
  </r>
  <r>
    <m/>
    <m/>
    <x v="0"/>
    <s v="VIA, SAN ANTONIO-EL SAUCE, L=9,7 km. (Paltas)"/>
    <s v="VIA, SAN ANTONIO-EL SAUCE, L=9,7 km. (Paltas)"/>
    <x v="2"/>
    <x v="12"/>
    <s v="SANANTONIO"/>
    <s v="AD. DIRECTA"/>
    <s v="VIALSUR"/>
    <n v="9.6999999999999993"/>
    <m/>
    <n v="639"/>
    <s v="Explotación de material (incluye cargado)."/>
    <s v="m³."/>
    <n v="2.54"/>
    <n v="10895"/>
    <d v="2014-01-16T00:00:00"/>
    <d v="2014-03-31T00:00:00"/>
    <s v="EJECUTADO"/>
    <n v="27673.3"/>
    <m/>
    <m/>
    <n v="105800.52"/>
  </r>
  <r>
    <m/>
    <m/>
    <x v="0"/>
    <m/>
    <s v="VIA, SAN ANTONIO-EL SAUCE, L=9,7 km. (Paltas)"/>
    <x v="2"/>
    <x v="12"/>
    <s v="SANANTONIO"/>
    <s v="AD. DIRECTA"/>
    <s v="VIALSUR"/>
    <m/>
    <m/>
    <m/>
    <s v="Clasificación de material."/>
    <s v="m³."/>
    <n v="1.47"/>
    <n v="8985"/>
    <d v="2014-01-16T00:00:00"/>
    <d v="2014-03-31T00:00:00"/>
    <s v="EJECUTADO"/>
    <n v="13207.95"/>
    <m/>
    <m/>
    <m/>
  </r>
  <r>
    <m/>
    <m/>
    <x v="1"/>
    <m/>
    <s v="VIA, SAN ANTONIO-EL SAUCE, L=9,7 km. (Paltas)"/>
    <x v="2"/>
    <x v="12"/>
    <s v="SANANTONIO"/>
    <s v="AD. DIRECTA"/>
    <s v="VIALSUR"/>
    <m/>
    <n v="4.0699999999999994"/>
    <m/>
    <s v="Rasanteo y conformacion de cunetas con motoniveladora"/>
    <s v="m²."/>
    <n v="0.08"/>
    <n v="22344"/>
    <d v="2014-01-16T00:00:00"/>
    <d v="2014-03-31T00:00:00"/>
    <s v="EJECUTADO"/>
    <n v="1787.52"/>
    <m/>
    <m/>
    <m/>
  </r>
  <r>
    <m/>
    <m/>
    <x v="0"/>
    <m/>
    <s v="VIA, SAN ANTONIO-EL SAUCE, L=9,7 km. (Paltas)"/>
    <x v="2"/>
    <x v="12"/>
    <s v="SANANTONIO"/>
    <s v="AD. DIRECTA"/>
    <s v="VIALSUR"/>
    <m/>
    <n v="8.19"/>
    <m/>
    <s v="Mejoramiento de la subrasante con suelo seleccionado"/>
    <s v="m³."/>
    <n v="5.92"/>
    <n v="9011"/>
    <d v="2014-01-16T00:00:00"/>
    <d v="2014-03-31T00:00:00"/>
    <s v="EJECUTADO"/>
    <n v="53345.120000000003"/>
    <m/>
    <m/>
    <m/>
  </r>
  <r>
    <m/>
    <m/>
    <x v="0"/>
    <m/>
    <s v="VIA, SAN ANTONIO-EL SAUCE, L=9,7 km. (Paltas)"/>
    <x v="2"/>
    <x v="12"/>
    <s v="SANANTONIO"/>
    <s v="AD. DIRECTA"/>
    <s v="VIALSUR"/>
    <m/>
    <m/>
    <m/>
    <s v="Transporte de material para mejoramiento, inc. cargado"/>
    <s v="m³/km."/>
    <n v="0.35"/>
    <n v="27961.8"/>
    <d v="2014-01-16T00:00:00"/>
    <d v="2014-03-31T00:00:00"/>
    <s v="EJECUTADO"/>
    <n v="9786.6299999999992"/>
    <m/>
    <m/>
    <m/>
  </r>
  <r>
    <m/>
    <m/>
    <x v="0"/>
    <s v="VIA, SAN ANTONIO-YAMANA, L=2.8 km. (Paltas) Inicio: 22 de marzo"/>
    <s v="VIA, SAN ANTONIO-YAMANA, L=2.8 km. (Paltas) Inicio: 22 de marzo"/>
    <x v="2"/>
    <x v="12"/>
    <s v="SANANTONIO"/>
    <s v="AD. DIRECTA"/>
    <s v="VIALSUR"/>
    <n v="5.7"/>
    <m/>
    <m/>
    <s v="Explotación de material (incluye cargado)."/>
    <s v="m³."/>
    <n v="2.54"/>
    <n v="880"/>
    <d v="2014-03-21T00:00:00"/>
    <d v="2014-03-31T00:00:00"/>
    <s v="EJECUTADO"/>
    <n v="2235.1999999999998"/>
    <m/>
    <m/>
    <n v="19205.28"/>
  </r>
  <r>
    <m/>
    <m/>
    <x v="0"/>
    <m/>
    <s v="VIA, SAN ANTONIO-YAMANA, L=2.8 km. (Paltas) Inicio: 22 de marzo"/>
    <x v="2"/>
    <x v="12"/>
    <s v="SANANTONIO"/>
    <s v="AD. DIRECTA"/>
    <s v="VIALSUR"/>
    <m/>
    <m/>
    <m/>
    <s v="Excavación sin clasificar a maquina (Ampliación de la vía)"/>
    <s v="m³."/>
    <n v="1.62"/>
    <n v="4070"/>
    <d v="2014-03-21T00:00:00"/>
    <d v="2014-03-31T00:00:00"/>
    <s v="EJECUTADO"/>
    <n v="6593.4"/>
    <m/>
    <m/>
    <m/>
  </r>
  <r>
    <m/>
    <m/>
    <x v="0"/>
    <m/>
    <s v="VIA, SAN ANTONIO-YAMANA, L=2.8 km. (Paltas) Inicio: 22 de marzo"/>
    <x v="2"/>
    <x v="12"/>
    <s v="SANANTONIO"/>
    <s v="AD. DIRECTA"/>
    <s v="VIALSUR"/>
    <m/>
    <m/>
    <m/>
    <s v="Clasificación de material."/>
    <s v="m³."/>
    <n v="1.47"/>
    <n v="2400"/>
    <d v="2014-03-21T00:00:00"/>
    <d v="2014-03-31T00:00:00"/>
    <s v="EJECUTADO"/>
    <n v="3528"/>
    <m/>
    <m/>
    <m/>
  </r>
  <r>
    <m/>
    <m/>
    <x v="1"/>
    <m/>
    <s v="VIA, SAN ANTONIO-YAMANA, L=2.8 km. (Paltas) Inicio: 22 de marzo"/>
    <x v="2"/>
    <x v="12"/>
    <s v="SANANTONIO"/>
    <s v="AD. DIRECTA"/>
    <s v="VIALSUR"/>
    <m/>
    <n v="3.6399999999999997"/>
    <m/>
    <s v="Rasanteo y conformacion de cunetas con motoniveladora"/>
    <s v="m²."/>
    <n v="0.08"/>
    <n v="20000"/>
    <d v="2014-03-21T00:00:00"/>
    <d v="2014-03-31T00:00:00"/>
    <s v="EJECUTADO"/>
    <n v="1600"/>
    <m/>
    <m/>
    <m/>
  </r>
  <r>
    <m/>
    <m/>
    <x v="0"/>
    <m/>
    <s v="VIA, SAN ANTONIO-YAMANA, L=2.8 km. (Paltas) Inicio: 22 de marzo"/>
    <x v="2"/>
    <x v="12"/>
    <s v="SANANTONIO"/>
    <s v="AD. DIRECTA"/>
    <s v="VIALSUR"/>
    <m/>
    <n v="0.76"/>
    <m/>
    <s v="Mejoramiento de la subrasante con suelo seleccionado"/>
    <s v="m³."/>
    <n v="5.92"/>
    <n v="840"/>
    <d v="2014-03-21T00:00:00"/>
    <d v="2014-03-31T00:00:00"/>
    <s v="EJECUTADO"/>
    <n v="4972.8"/>
    <m/>
    <m/>
    <m/>
  </r>
  <r>
    <m/>
    <m/>
    <x v="0"/>
    <m/>
    <s v="VIA, SAN ANTONIO-YAMANA, L=2.8 km. (Paltas) Inicio: 22 de marzo"/>
    <x v="2"/>
    <x v="12"/>
    <s v="SANANTONIO"/>
    <s v="AD. DIRECTA"/>
    <s v="VIALSUR"/>
    <m/>
    <m/>
    <m/>
    <s v="Transporte de material para mejoramiento, inc. cargado"/>
    <s v="m³/km."/>
    <n v="0.38"/>
    <n v="726"/>
    <d v="2014-03-21T00:00:00"/>
    <d v="2014-03-31T00:00:00"/>
    <s v="EJECUTADO"/>
    <n v="275.88"/>
    <m/>
    <m/>
    <m/>
  </r>
  <r>
    <m/>
    <m/>
    <x v="1"/>
    <s v="VIAS DE ACCESO A LOS BARRIOS, STO. DOMINGO, L=3.8 km. CHORRERA L=0.8 km. (Paltas)"/>
    <s v="VIAS DE ACCESO A LOS BARRIOS, STO. DOMINGO, L=3.8 km. CHORRERA L=0.8 km. (Paltas)"/>
    <x v="2"/>
    <x v="12"/>
    <s v="SANANTONIO"/>
    <s v="AD. DIRECTA"/>
    <s v="VIALSUR"/>
    <n v="0.8"/>
    <n v="2.96"/>
    <n v="639"/>
    <s v="Rasanteo y conformacion de cunetas con motoniveladora"/>
    <s v="m²."/>
    <n v="0.08"/>
    <n v="16280"/>
    <d v="2014-04-01T00:00:00"/>
    <d v="2014-04-30T00:00:00"/>
    <s v="EJECUTADO"/>
    <n v="1302.4000000000001"/>
    <m/>
    <m/>
    <n v="1302.4000000000001"/>
  </r>
  <r>
    <m/>
    <m/>
    <x v="1"/>
    <s v="VIAS DE ACCESO A LOS BARRIOS, SACAPIANGA Y SAN ANTONIO BAJO"/>
    <s v="VIAS DE ACCESO A LOS BARRIOS, SACAPIANGA Y SAN ANTONIO BAJO"/>
    <x v="2"/>
    <x v="12"/>
    <s v="SANANTONIO"/>
    <s v="AD. DIRECTA"/>
    <s v="VIALSUR"/>
    <n v="4.2"/>
    <n v="3.44"/>
    <n v="639"/>
    <s v="Rasanteo y conformacion de cunetas con motoniveladora"/>
    <s v="m²."/>
    <n v="0.08"/>
    <n v="18900"/>
    <d v="2014-02-01T00:00:00"/>
    <d v="2014-02-03T00:00:00"/>
    <s v="EJECUTADO"/>
    <n v="1512"/>
    <m/>
    <m/>
    <n v="1512"/>
  </r>
  <r>
    <m/>
    <m/>
    <x v="1"/>
    <s v="VIA EL LIMON GUACHANAMA LAURO GUERRERO"/>
    <s v="VIA EL LIMON GUACHANAMA LAURO GUERRERO"/>
    <x v="2"/>
    <x v="12"/>
    <s v="SANANTONIO"/>
    <s v="AD. DIRECTA"/>
    <s v="VIALSUR"/>
    <m/>
    <m/>
    <m/>
    <s v="Limpieza de derrumbes a máquina"/>
    <s v="m³."/>
    <n v="1.46"/>
    <n v="1440"/>
    <d v="2014-03-21T00:00:00"/>
    <d v="2014-05-31T00:00:00"/>
    <s v="EJECUTADO"/>
    <n v="2102.4"/>
    <n v="1226.4000000000001"/>
    <m/>
    <n v="2102.4"/>
  </r>
  <r>
    <m/>
    <m/>
    <x v="1"/>
    <s v="VIA GUACHANAMA CELICA 9,6 KM"/>
    <s v="VIA GUACHANAMA CELICA 9,6 KM"/>
    <x v="2"/>
    <x v="12"/>
    <s v="GUACHANAMA"/>
    <s v="AD. DIRECTA"/>
    <s v="VIALSUR"/>
    <n v="9.6"/>
    <m/>
    <m/>
    <s v="Limpieza de derrumbes a máquina"/>
    <s v="m³."/>
    <n v="1.46"/>
    <n v="2240"/>
    <d v="2014-08-13T00:00:00"/>
    <d v="2014-08-27T00:00:00"/>
    <s v="EJECUTADO"/>
    <n v="3270.4"/>
    <m/>
    <m/>
    <n v="27504.850000000002"/>
  </r>
  <r>
    <m/>
    <m/>
    <x v="1"/>
    <m/>
    <s v="VIA GUACHANAMA CELICA 9,6 KM"/>
    <x v="2"/>
    <x v="12"/>
    <s v="GUACHANAMA"/>
    <s v="AD. DIRECTA"/>
    <s v="VIALSUR"/>
    <m/>
    <n v="8.73"/>
    <m/>
    <s v="Reconformación de la Subrazante"/>
    <s v="m²."/>
    <n v="0.35"/>
    <n v="48000"/>
    <d v="2014-01-01T00:00:00"/>
    <d v="2014-06-30T00:00:00"/>
    <s v="EJECUTADO"/>
    <n v="16800"/>
    <m/>
    <m/>
    <m/>
  </r>
  <r>
    <m/>
    <m/>
    <x v="0"/>
    <m/>
    <s v="VIA GUACHANAMA CELICA 9,6 KM"/>
    <x v="2"/>
    <x v="12"/>
    <s v="GUACHANAMA"/>
    <s v="AD. DIRECTA"/>
    <s v="VIALSUR"/>
    <m/>
    <n v="0.64"/>
    <m/>
    <s v="Mejoramiento de la subrasante con suelo seleccionado"/>
    <s v="m³."/>
    <n v="5.92"/>
    <n v="700"/>
    <d v="2014-01-01T00:00:00"/>
    <d v="2014-04-30T00:00:00"/>
    <s v="EJECUTADO"/>
    <n v="4144"/>
    <m/>
    <m/>
    <m/>
  </r>
  <r>
    <m/>
    <m/>
    <x v="0"/>
    <m/>
    <s v="VIA GUACHANAMA CELICA 9,6 KM"/>
    <x v="2"/>
    <x v="12"/>
    <s v="GUACHANAMA"/>
    <s v="AD. DIRECTA"/>
    <s v="VIALSUR"/>
    <m/>
    <m/>
    <m/>
    <s v="Transporte de material de mejoramiento"/>
    <s v="m3/km."/>
    <n v="0.3"/>
    <n v="6852.16"/>
    <d v="2014-01-05T00:00:00"/>
    <d v="2014-06-30T00:00:00"/>
    <s v="EJECUTADO"/>
    <n v="2055.65"/>
    <m/>
    <m/>
    <m/>
  </r>
  <r>
    <m/>
    <m/>
    <x v="0"/>
    <m/>
    <s v="VIA GUACHANAMA CELICA 9,6 KM"/>
    <x v="2"/>
    <x v="12"/>
    <s v="GUACHANAMA"/>
    <s v="AD. DIRECTA"/>
    <s v="VIALSUR"/>
    <m/>
    <m/>
    <m/>
    <s v="Clasificación de material."/>
    <s v="m³."/>
    <n v="1.47"/>
    <n v="840"/>
    <d v="2014-06-12T00:00:00"/>
    <d v="2014-06-30T00:00:00"/>
    <s v="EJECUTADO"/>
    <n v="1234.8"/>
    <m/>
    <m/>
    <m/>
  </r>
  <r>
    <m/>
    <m/>
    <x v="0"/>
    <s v="VIA GUACHANAMA LA SALERA 17,1 KM"/>
    <s v="VIA GUACHANAMA LA SALERA 17,1 KM"/>
    <x v="2"/>
    <x v="12"/>
    <s v="GUACHANAMA"/>
    <s v="AD. DIRECTA"/>
    <s v="VIALSUR"/>
    <n v="17.100000000000001"/>
    <m/>
    <m/>
    <s v="Explotación  de material (incluye cargado)"/>
    <s v="m³."/>
    <n v="2.54"/>
    <n v="950"/>
    <d v="2014-01-01T00:00:00"/>
    <d v="2014-06-30T00:00:00"/>
    <s v="EJECUTADO"/>
    <n v="2413"/>
    <m/>
    <m/>
    <n v="57659.130000000005"/>
  </r>
  <r>
    <m/>
    <m/>
    <x v="1"/>
    <m/>
    <s v="VIA GUACHANAMA LA SALERA 17,1 KM"/>
    <x v="2"/>
    <x v="12"/>
    <s v="GUACHANAMA"/>
    <s v="AD. DIRECTA"/>
    <s v="VIALSUR"/>
    <m/>
    <m/>
    <m/>
    <s v="Limpieza de derrumbes a maquina"/>
    <s v="m³."/>
    <n v="1.46"/>
    <n v="2265"/>
    <d v="2014-01-01T00:00:00"/>
    <d v="2014-06-30T00:00:00"/>
    <s v="EJECUTADO"/>
    <n v="3306.9"/>
    <m/>
    <m/>
    <m/>
  </r>
  <r>
    <m/>
    <m/>
    <x v="1"/>
    <m/>
    <s v="VIA GUACHANAMA LA SALERA 17,1 KM"/>
    <x v="2"/>
    <x v="12"/>
    <s v="GUACHANAMA"/>
    <s v="AD. DIRECTA"/>
    <s v="VIALSUR"/>
    <m/>
    <n v="1.64"/>
    <m/>
    <s v="Razanteo y reconformación de cunetas con motoniveladora"/>
    <s v="m²."/>
    <n v="0.08"/>
    <n v="9000"/>
    <d v="2014-01-01T00:00:00"/>
    <d v="2014-06-30T00:00:00"/>
    <s v="EJECUTADO"/>
    <n v="720"/>
    <m/>
    <m/>
    <m/>
  </r>
  <r>
    <m/>
    <m/>
    <x v="1"/>
    <m/>
    <s v="VIA GUACHANAMA LA SALERA 17,1 KM"/>
    <x v="2"/>
    <x v="12"/>
    <s v="GUACHANAMA"/>
    <s v="AD. DIRECTA"/>
    <s v="VIALSUR"/>
    <m/>
    <n v="12.549999999999999"/>
    <m/>
    <s v="Reconformación de la Subrazante"/>
    <s v="m²."/>
    <n v="0.35"/>
    <n v="68980"/>
    <d v="2014-01-01T00:00:00"/>
    <d v="2014-06-30T00:00:00"/>
    <s v="EJECUTADO"/>
    <n v="24143"/>
    <m/>
    <m/>
    <m/>
  </r>
  <r>
    <m/>
    <m/>
    <x v="0"/>
    <m/>
    <s v="VIA GUACHANAMA LA SALERA 17,1 KM"/>
    <x v="2"/>
    <x v="12"/>
    <s v="GUACHANAMA"/>
    <s v="AD. DIRECTA"/>
    <s v="VIALSUR"/>
    <m/>
    <n v="2.63"/>
    <m/>
    <s v="Mejoramiento de la subrasante con suelo seleccionado"/>
    <s v="m³."/>
    <n v="5.92"/>
    <n v="2896"/>
    <d v="2014-01-01T00:00:00"/>
    <d v="2014-04-30T00:00:00"/>
    <s v="EJECUTADO"/>
    <n v="17144.32"/>
    <m/>
    <m/>
    <m/>
  </r>
  <r>
    <m/>
    <m/>
    <x v="0"/>
    <m/>
    <s v="VIA GUACHANAMA LA SALERA 17,1 KM"/>
    <x v="2"/>
    <x v="12"/>
    <s v="GUACHANAMA"/>
    <s v="AD. DIRECTA"/>
    <s v="VIALSUR"/>
    <m/>
    <m/>
    <m/>
    <s v="Transporte de material de mejoramiento"/>
    <s v="m3/km."/>
    <n v="0.3"/>
    <n v="17573.36"/>
    <d v="2014-01-05T00:00:00"/>
    <d v="2014-06-30T00:00:00"/>
    <s v="EJECUTADO"/>
    <n v="5272.01"/>
    <m/>
    <m/>
    <m/>
  </r>
  <r>
    <m/>
    <m/>
    <x v="0"/>
    <m/>
    <s v="VIA GUACHANAMA LA SALERA 17,1 KM"/>
    <x v="2"/>
    <x v="12"/>
    <s v="GUACHANAMA"/>
    <s v="AD. DIRECTA"/>
    <s v="VIALSUR"/>
    <m/>
    <m/>
    <m/>
    <s v="Clasificación de material."/>
    <s v="m³."/>
    <n v="1.47"/>
    <n v="3170"/>
    <d v="2014-06-12T00:00:00"/>
    <d v="2014-06-30T00:00:00"/>
    <s v="EJECUTADO"/>
    <n v="4659.8999999999996"/>
    <m/>
    <m/>
    <m/>
  </r>
  <r>
    <m/>
    <m/>
    <x v="0"/>
    <s v="VIA LAURO GUERRERO SANTA GERTRUDIZ 12.1 KM"/>
    <s v="VIA LAURO GUERRERO SANTA GERTRUDIZ 12.1 KM"/>
    <x v="2"/>
    <x v="12"/>
    <s v="LAUROGUERRERO"/>
    <s v="AD. DIRECTA"/>
    <s v="VIALSUR"/>
    <n v="12.1"/>
    <m/>
    <m/>
    <s v="Explotación  de material (incluye cargado)"/>
    <s v="m³."/>
    <n v="2.54"/>
    <n v="2490"/>
    <d v="2014-01-01T00:00:00"/>
    <d v="2014-06-30T00:00:00"/>
    <s v="EJECUTADO"/>
    <n v="6324.6"/>
    <m/>
    <m/>
    <n v="43704.159999999996"/>
  </r>
  <r>
    <m/>
    <m/>
    <x v="1"/>
    <m/>
    <s v="VIA LAURO GUERRERO SANTA GERTRUDIZ 12.1 KM"/>
    <x v="2"/>
    <x v="12"/>
    <s v="LAUROGUERRERO"/>
    <s v="AD. DIRECTA"/>
    <s v="VIALSUR"/>
    <m/>
    <m/>
    <m/>
    <s v="Limpieza de derrumbes a maquina"/>
    <s v="m³."/>
    <n v="1.46"/>
    <n v="1450"/>
    <d v="2014-01-01T00:00:00"/>
    <d v="2014-06-30T00:00:00"/>
    <s v="EJECUTADO"/>
    <n v="2117"/>
    <m/>
    <m/>
    <m/>
  </r>
  <r>
    <m/>
    <m/>
    <x v="1"/>
    <m/>
    <s v="VIA LAURO GUERRERO SANTA GERTRUDIZ 12.1 KM"/>
    <x v="2"/>
    <x v="12"/>
    <s v="LAUROGUERRERO"/>
    <s v="AD. DIRECTA"/>
    <s v="VIALSUR"/>
    <m/>
    <n v="5.08"/>
    <m/>
    <s v="Razanteo y reconformación de cunetas con motoniveladora"/>
    <s v="m2."/>
    <n v="0.08"/>
    <n v="27930"/>
    <d v="2014-01-01T00:00:00"/>
    <d v="2014-06-30T00:00:00"/>
    <s v="EJECUTADO"/>
    <n v="2234.4"/>
    <m/>
    <m/>
    <m/>
  </r>
  <r>
    <m/>
    <m/>
    <x v="1"/>
    <m/>
    <s v="VIA LAURO GUERRERO SANTA GERTRUDIZ 12.1 KM"/>
    <x v="2"/>
    <x v="12"/>
    <s v="LAUROGUERRERO"/>
    <s v="AD. DIRECTA"/>
    <s v="VIALSUR"/>
    <m/>
    <n v="5.9"/>
    <m/>
    <s v="Reconformación de la Subrazante"/>
    <s v="m²."/>
    <n v="0.35"/>
    <n v="32450"/>
    <d v="2014-01-01T00:00:00"/>
    <d v="2014-06-30T00:00:00"/>
    <s v="EJECUTADO"/>
    <n v="11357.5"/>
    <m/>
    <m/>
    <m/>
  </r>
  <r>
    <m/>
    <m/>
    <x v="0"/>
    <m/>
    <s v="VIA LAURO GUERRERO SANTA GERTRUDIZ 12.1 KM"/>
    <x v="2"/>
    <x v="12"/>
    <s v="LAUROGUERRERO"/>
    <s v="AD. DIRECTA"/>
    <s v="VIALSUR"/>
    <m/>
    <n v="1.84"/>
    <m/>
    <s v="Mejoramiento de la subrasante con suelo seleccionado"/>
    <s v="m³."/>
    <n v="5.92"/>
    <n v="2020"/>
    <d v="2014-01-01T00:00:00"/>
    <d v="2014-04-30T00:00:00"/>
    <s v="EJECUTADO"/>
    <n v="11958.4"/>
    <m/>
    <m/>
    <m/>
  </r>
  <r>
    <m/>
    <m/>
    <x v="0"/>
    <m/>
    <s v="VIA LAURO GUERRERO SANTA GERTRUDIZ 12.1 KM"/>
    <x v="2"/>
    <x v="12"/>
    <s v="LAUROGUERRERO"/>
    <s v="AD. DIRECTA"/>
    <s v="VIALSUR"/>
    <m/>
    <m/>
    <m/>
    <s v="Transporte de material de mejoramiento"/>
    <s v="m3/km."/>
    <n v="0.3"/>
    <n v="21692.2"/>
    <d v="2014-01-05T00:00:00"/>
    <d v="2014-06-30T00:00:00"/>
    <s v="EJECUTADO"/>
    <n v="6507.66"/>
    <m/>
    <m/>
    <m/>
  </r>
  <r>
    <m/>
    <m/>
    <x v="0"/>
    <m/>
    <s v="VIA LAURO GUERRERO SANTA GERTRUDIZ 12.1 KM"/>
    <x v="2"/>
    <x v="12"/>
    <s v="LAUROGUERRERO"/>
    <s v="AD. DIRECTA"/>
    <s v="VIALSUR"/>
    <m/>
    <m/>
    <m/>
    <s v="Explotación de material (incluye cargado)."/>
    <s v="m³."/>
    <n v="1.47"/>
    <n v="2180"/>
    <d v="2014-01-02T00:00:00"/>
    <d v="2014-01-31T00:00:00"/>
    <s v="EJECUTADO"/>
    <n v="3204.6"/>
    <m/>
    <m/>
    <m/>
  </r>
  <r>
    <m/>
    <m/>
    <x v="1"/>
    <s v="VIA STA. GERTRUDIS - ORIANGA (lim Parroquial). L=9.6 km (Paltas) Inicio 9 Nov. Fin 22 de Nov"/>
    <s v="VIA STA. GERTRUDIS - ORIANGA (lim Parroquial). L=9.6 km (Paltas) Inicio 9 Nov. Fin 22 de Nov"/>
    <x v="2"/>
    <x v="12"/>
    <s v="ORIANGA"/>
    <s v="AD. DIRECTA"/>
    <s v="VIALSUR"/>
    <n v="9.6"/>
    <m/>
    <m/>
    <s v="Limpieza de derrumbes a maquina y razanteo con Tractor"/>
    <s v="m³."/>
    <n v="1.46"/>
    <n v="4680"/>
    <d v="2014-11-09T00:00:00"/>
    <d v="2014-11-22T00:00:00"/>
    <s v="EJECUTADO"/>
    <n v="6832.8"/>
    <m/>
    <m/>
    <n v="6832.8"/>
  </r>
  <r>
    <m/>
    <m/>
    <x v="0"/>
    <s v="VIA LAURO GUERRERO - CANGONAMA (limite parroquial) L= 4.6 Km. Paltas Inicio 7 y 8 de oct. Fin 8 de Nov"/>
    <s v="VIA LAURO GUERRERO - CANGONAMA (limite parroquial) L= 4.6 Km. Paltas Inicio 7 y 8 de oct. Fin 8 de Nov"/>
    <x v="2"/>
    <x v="12"/>
    <s v="cangonamá"/>
    <s v="AD. DIRECTA"/>
    <s v="VIALSUR"/>
    <n v="4.5999999999999996"/>
    <m/>
    <n v="775"/>
    <s v="Explotación de material (incluye cargado)."/>
    <s v="m³."/>
    <n v="1.62"/>
    <n v="5310"/>
    <d v="2014-01-02T00:00:00"/>
    <d v="2014-01-31T00:00:00"/>
    <s v="EJECUTADO"/>
    <n v="8602.2000000000007"/>
    <m/>
    <m/>
    <n v="12978.08"/>
  </r>
  <r>
    <m/>
    <m/>
    <x v="0"/>
    <m/>
    <s v="VIA LAURO GUERRERO - CANGONAMA (limite parroquial) L= 4.6 Km. Paltas Inicio 7 y 8 de oct. Fin 8 de Nov"/>
    <x v="2"/>
    <x v="12"/>
    <s v="cangonamá"/>
    <s v="AD. DIRECTA"/>
    <s v="VIALSUR"/>
    <m/>
    <m/>
    <n v="0"/>
    <s v="Explotación de Material incluye cargado"/>
    <s v="m³."/>
    <n v="2.54"/>
    <n v="270"/>
    <d v="2014-06-01T00:00:00"/>
    <d v="2014-06-30T00:00:00"/>
    <s v="EJECUTADO"/>
    <n v="685.8"/>
    <m/>
    <m/>
    <m/>
  </r>
  <r>
    <m/>
    <m/>
    <x v="1"/>
    <m/>
    <s v="VIA LAURO GUERRERO - CANGONAMA (limite parroquial) L= 4.6 Km. Paltas Inicio 7 y 8 de oct. Fin 8 de Nov"/>
    <x v="2"/>
    <x v="12"/>
    <s v="cangonamá"/>
    <s v="AD. DIRECTA"/>
    <s v="VIALSUR"/>
    <m/>
    <m/>
    <n v="0"/>
    <s v="Limpieza de derrumbes a maquina (incluye limpieza de plataforma de la vía)"/>
    <s v="m³."/>
    <n v="1.46"/>
    <n v="350"/>
    <d v="2014-01-02T00:00:00"/>
    <d v="2014-01-31T00:00:00"/>
    <s v="EJECUTADO"/>
    <n v="511"/>
    <m/>
    <m/>
    <m/>
  </r>
  <r>
    <m/>
    <m/>
    <x v="1"/>
    <m/>
    <s v="VIA LAURO GUERRERO - CANGONAMA (limite parroquial) L= 4.6 Km. Paltas Inicio 7 y 8 de oct. Fin 8 de Nov"/>
    <x v="2"/>
    <x v="12"/>
    <s v="cangonamá"/>
    <s v="AD. DIRECTA"/>
    <s v="VIALSUR"/>
    <m/>
    <n v="0.97"/>
    <n v="0"/>
    <s v="Rasanteo y conformacion de cunetas con motoniveladora"/>
    <s v="m²."/>
    <n v="0.08"/>
    <n v="5320"/>
    <d v="2014-01-02T00:00:00"/>
    <d v="2014-01-31T00:00:00"/>
    <s v="EJECUTADO"/>
    <n v="425.6"/>
    <m/>
    <m/>
    <m/>
  </r>
  <r>
    <m/>
    <m/>
    <x v="0"/>
    <m/>
    <s v="VIA LAURO GUERRERO - CANGONAMA (limite parroquial) L= 4.6 Km. Paltas Inicio 7 y 8 de oct. Fin 8 de Nov"/>
    <x v="2"/>
    <x v="12"/>
    <s v="cangonamá"/>
    <s v="AD. DIRECTA"/>
    <s v="VIALSUR"/>
    <m/>
    <n v="0.24"/>
    <n v="0"/>
    <s v="Mejoramiento de la subrasante con suelo seleccionado"/>
    <s v="m³."/>
    <n v="5.92"/>
    <n v="268"/>
    <d v="2014-01-02T00:00:00"/>
    <d v="2014-01-31T00:00:00"/>
    <s v="EJECUTADO"/>
    <n v="1586.56"/>
    <m/>
    <m/>
    <m/>
  </r>
  <r>
    <m/>
    <m/>
    <x v="1"/>
    <m/>
    <s v="VIA LAURO GUERRERO - CANGONAMA (limite parroquial) L= 4.6 Km. Paltas Inicio 7 y 8 de oct. Fin 8 de Nov"/>
    <x v="2"/>
    <x v="12"/>
    <s v="cangonamá"/>
    <s v="AD. DIRECTA"/>
    <s v="VIALSUR"/>
    <m/>
    <m/>
    <n v="0"/>
    <s v="Transporte de material excavado inc cargado &lt; 5km"/>
    <s v="m3/km."/>
    <n v="0.38"/>
    <n v="794"/>
    <d v="2014-10-07T00:00:00"/>
    <d v="2014-10-08T00:00:00"/>
    <s v="EJECUTADO"/>
    <n v="301.72000000000003"/>
    <m/>
    <m/>
    <m/>
  </r>
  <r>
    <m/>
    <m/>
    <x v="0"/>
    <m/>
    <s v="VIA LAURO GUERRERO - CANGONAMA (limite parroquial) L= 4.6 Km. Paltas Inicio 7 y 8 de oct. Fin 8 de Nov"/>
    <x v="2"/>
    <x v="12"/>
    <s v="cangonamá"/>
    <s v="AD. DIRECTA"/>
    <s v="VIALSUR"/>
    <m/>
    <m/>
    <n v="0"/>
    <s v="Transporte de material de mejoramiento"/>
    <s v="m3/km."/>
    <n v="0.3"/>
    <n v="1610"/>
    <d v="2014-10-07T00:00:00"/>
    <d v="2014-10-08T00:00:00"/>
    <s v="EJECUTADO"/>
    <n v="483"/>
    <m/>
    <m/>
    <m/>
  </r>
  <r>
    <m/>
    <m/>
    <x v="0"/>
    <m/>
    <s v="VIA LAURO GUERRERO - CANGONAMA (limite parroquial) L= 4.6 Km. Paltas Inicio 7 y 8 de oct. Fin 8 de Nov"/>
    <x v="2"/>
    <x v="12"/>
    <s v="cangonamá"/>
    <s v="AD. DIRECTA"/>
    <s v="VIALSUR"/>
    <m/>
    <m/>
    <n v="0"/>
    <s v="Clasificación de material."/>
    <s v="m³."/>
    <n v="1.47"/>
    <n v="260"/>
    <d v="2014-01-02T00:00:00"/>
    <d v="2014-06-30T00:00:00"/>
    <s v="EJECUTADO"/>
    <n v="382.2"/>
    <m/>
    <m/>
    <m/>
  </r>
  <r>
    <m/>
    <m/>
    <x v="0"/>
    <s v="VIA LAURO GUERRERO - SAN FRANCISCO (limite parroquial) L=7.6 km. Paltas Inicio 9 de oct Fin 15-18 oct"/>
    <s v="VIA LAURO GUERRERO - SAN FRANCISCO (limite parroquial) L=7.6 km. Paltas Inicio 9 de oct Fin 15-18 oct"/>
    <x v="2"/>
    <x v="12"/>
    <s v="LAUROGUERRERO"/>
    <s v="AD. DIRECTA"/>
    <s v="VIALSUR"/>
    <n v="7.6"/>
    <m/>
    <n v="1092"/>
    <s v="Explotación de Material incluye cargado"/>
    <s v="m³."/>
    <n v="2.54"/>
    <n v="810"/>
    <d v="2014-10-07T00:00:00"/>
    <d v="2014-11-08T00:00:00"/>
    <s v="EJECUTADO"/>
    <n v="2057.4"/>
    <m/>
    <m/>
    <n v="11514.480000000001"/>
  </r>
  <r>
    <m/>
    <m/>
    <x v="1"/>
    <m/>
    <s v="VIA LAURO GUERRERO - SAN FRANCISCO (limite parroquial) L=7.6 km. Paltas Inicio 9 de oct Fin 15-18 oct"/>
    <x v="2"/>
    <x v="12"/>
    <s v="LAUROGUERRERO"/>
    <s v="AD. DIRECTA"/>
    <s v="VIALSUR"/>
    <m/>
    <m/>
    <n v="0"/>
    <s v="Limpieza de derrumbes a maquina (incluye limpieza de plataforma de la vía)"/>
    <s v="m³."/>
    <n v="1.46"/>
    <n v="450"/>
    <d v="2014-10-07T00:00:00"/>
    <d v="2014-11-08T00:00:00"/>
    <s v="EJECUTADO"/>
    <n v="657"/>
    <m/>
    <m/>
    <m/>
  </r>
  <r>
    <m/>
    <m/>
    <x v="1"/>
    <m/>
    <s v="VIA LAURO GUERRERO - SAN FRANCISCO (limite parroquial) L=7.6 km. Paltas Inicio 9 de oct Fin 15-18 oct"/>
    <x v="2"/>
    <x v="12"/>
    <s v="LAUROGUERRERO"/>
    <s v="AD. DIRECTA"/>
    <s v="VIALSUR"/>
    <m/>
    <n v="5.5699999999999994"/>
    <n v="0"/>
    <s v="Rasanteo y conformacion de cunetas con motoniveladora"/>
    <s v="m²."/>
    <n v="0.08"/>
    <n v="30590"/>
    <d v="2014-10-07T00:00:00"/>
    <d v="2014-11-08T00:00:00"/>
    <s v="EJECUTADO"/>
    <n v="2447.1999999999998"/>
    <m/>
    <m/>
    <m/>
  </r>
  <r>
    <m/>
    <m/>
    <x v="0"/>
    <m/>
    <s v="VIA LAURO GUERRERO - SAN FRANCISCO (limite parroquial) L=7.6 km. Paltas Inicio 9 de oct Fin 15-18 oct"/>
    <x v="2"/>
    <x v="12"/>
    <s v="LAUROGUERRERO"/>
    <s v="AD. DIRECTA"/>
    <s v="VIALSUR"/>
    <m/>
    <n v="0.65"/>
    <n v="0"/>
    <s v="Mejoramiento de la subrasante con suelo seleccionado"/>
    <s v="m³."/>
    <n v="5.92"/>
    <n v="713"/>
    <d v="2014-10-07T00:00:00"/>
    <d v="2014-11-08T00:00:00"/>
    <s v="EJECUTADO"/>
    <n v="4220.96"/>
    <m/>
    <m/>
    <m/>
  </r>
  <r>
    <m/>
    <m/>
    <x v="1"/>
    <m/>
    <s v="VIA LAURO GUERRERO - SAN FRANCISCO (limite parroquial) L=7.6 km. Paltas Inicio 9 de oct Fin 15-18 oct"/>
    <x v="2"/>
    <x v="12"/>
    <s v="LAUROGUERRERO"/>
    <s v="AD. DIRECTA"/>
    <s v="VIALSUR"/>
    <m/>
    <m/>
    <n v="0"/>
    <s v="Transporte de material excavado inc cargado &lt; 5km"/>
    <s v="m3/km."/>
    <n v="0.38"/>
    <n v="2709"/>
    <d v="2014-10-07T00:00:00"/>
    <d v="2014-11-08T00:00:00"/>
    <s v="EJECUTADO"/>
    <n v="1029.42"/>
    <m/>
    <m/>
    <m/>
  </r>
  <r>
    <m/>
    <m/>
    <x v="0"/>
    <m/>
    <s v="VIA LAURO GUERRERO - SAN FRANCISCO (limite parroquial) L=7.6 km. Paltas Inicio 9 de oct Fin 15-18 oct"/>
    <x v="2"/>
    <x v="12"/>
    <s v="LAUROGUERRERO"/>
    <s v="AD. DIRECTA"/>
    <s v="VIALSUR"/>
    <m/>
    <m/>
    <n v="0"/>
    <s v="Clasificación de material."/>
    <s v="m³."/>
    <n v="1.47"/>
    <n v="750"/>
    <d v="2014-10-07T00:00:00"/>
    <d v="2014-11-08T00:00:00"/>
    <s v="EJECUTADO"/>
    <n v="1102.5"/>
    <m/>
    <m/>
    <m/>
  </r>
  <r>
    <m/>
    <m/>
    <x v="0"/>
    <s v="VIA CASANGA SAN FRANCISCO (Limite parroquial) L=4.5 km. Paltas Inicio 29 de Octubre Fin 5 de nov "/>
    <s v="VIA CASANGA SAN FRANCISCO (Limite parroquial) L=4.5 km. Paltas Inicio 29 de Octubre Fin 5 de nov "/>
    <x v="2"/>
    <x v="12"/>
    <s v="CASANGA"/>
    <s v="AD. DIRECTA"/>
    <s v="VIALSUR"/>
    <n v="4.5"/>
    <m/>
    <n v="1168"/>
    <s v="Explotación de Material incluye cargado"/>
    <s v="m³."/>
    <n v="2.54"/>
    <n v="533"/>
    <d v="2014-10-29T00:00:00"/>
    <d v="2014-11-05T00:00:00"/>
    <s v="EJECUTADO"/>
    <n v="1353.82"/>
    <m/>
    <m/>
    <n v="15222.72"/>
  </r>
  <r>
    <m/>
    <m/>
    <x v="1"/>
    <m/>
    <s v="VIA CASANGA SAN FRANCISCO (Limite parroquial) L=4.5 km. Paltas Inicio 29 de Octubre Fin 5 de nov "/>
    <x v="2"/>
    <x v="12"/>
    <s v="CASANGA"/>
    <s v="AD. DIRECTA"/>
    <s v="VIALSUR"/>
    <m/>
    <m/>
    <n v="0"/>
    <s v="Limpieza de derrumbes a maquina (incluye limpieza de plataforma de la vía)"/>
    <s v="m³."/>
    <n v="1.46"/>
    <n v="600"/>
    <d v="2014-10-29T00:00:00"/>
    <d v="2014-11-05T00:00:00"/>
    <s v="EJECUTADO"/>
    <n v="876"/>
    <m/>
    <m/>
    <m/>
  </r>
  <r>
    <m/>
    <m/>
    <x v="1"/>
    <m/>
    <s v="VIA CASANGA SAN FRANCISCO (Limite parroquial) L=4.5 km. Paltas Inicio 29 de Octubre Fin 5 de nov "/>
    <x v="2"/>
    <x v="12"/>
    <s v="CASANGA"/>
    <s v="AD. DIRECTA"/>
    <s v="VIALSUR"/>
    <m/>
    <n v="4.08"/>
    <n v="0"/>
    <s v="Rasanteo y conformacion de cunetas con motoniveladora"/>
    <s v="m²."/>
    <n v="0.08"/>
    <n v="22410"/>
    <d v="2014-10-29T00:00:00"/>
    <d v="2014-11-05T00:00:00"/>
    <s v="EJECUTADO"/>
    <n v="1792.8"/>
    <m/>
    <m/>
    <m/>
  </r>
  <r>
    <m/>
    <m/>
    <x v="1"/>
    <m/>
    <s v="VIA CASANGA SAN FRANCISCO (Limite parroquial) L=4.5 km. Paltas Inicio 29 de Octubre Fin 5 de nov "/>
    <x v="2"/>
    <x v="12"/>
    <s v="CASANGA"/>
    <s v="AD. DIRECTA"/>
    <s v="VIALSUR"/>
    <m/>
    <n v="3.55"/>
    <n v="0"/>
    <s v="Reconformacion de la razante existente"/>
    <s v="m²."/>
    <n v="0.35"/>
    <n v="19500"/>
    <d v="2014-10-29T00:00:00"/>
    <d v="2014-11-05T00:00:00"/>
    <s v="EJECUTADO"/>
    <n v="6825"/>
    <m/>
    <m/>
    <m/>
  </r>
  <r>
    <m/>
    <m/>
    <x v="0"/>
    <m/>
    <s v="VIA CASANGA SAN FRANCISCO (Limite parroquial) L=4.5 km. Paltas Inicio 29 de Octubre Fin 5 de nov "/>
    <x v="2"/>
    <x v="12"/>
    <s v="CASANGA"/>
    <s v="AD. DIRECTA"/>
    <s v="VIALSUR"/>
    <m/>
    <n v="0.44"/>
    <n v="0"/>
    <s v="Mejoramiento de la subrasante con suelo seleccionado"/>
    <s v="m³."/>
    <n v="5.92"/>
    <n v="485"/>
    <d v="2014-10-29T00:00:00"/>
    <d v="2014-11-05T00:00:00"/>
    <s v="EJECUTADO"/>
    <n v="2871.2"/>
    <m/>
    <m/>
    <m/>
  </r>
  <r>
    <m/>
    <m/>
    <x v="1"/>
    <m/>
    <s v="VIA CASANGA SAN FRANCISCO (Limite parroquial) L=4.5 km. Paltas Inicio 29 de Octubre Fin 5 de nov "/>
    <x v="2"/>
    <x v="12"/>
    <s v="CASANGA"/>
    <s v="AD. DIRECTA"/>
    <s v="VIALSUR"/>
    <m/>
    <m/>
    <n v="0"/>
    <s v="Transporte de material excavado inc cargado &lt; 5km"/>
    <s v="m3/km."/>
    <n v="0.3"/>
    <n v="2612"/>
    <d v="2014-10-29T00:00:00"/>
    <d v="2014-11-05T00:00:00"/>
    <s v="EJECUTADO"/>
    <n v="783.6"/>
    <m/>
    <m/>
    <m/>
  </r>
  <r>
    <m/>
    <m/>
    <x v="0"/>
    <m/>
    <s v="VIA CASANGA SAN FRANCISCO (Limite parroquial) L=4.5 km. Paltas Inicio 29 de Octubre Fin 5 de nov "/>
    <x v="2"/>
    <x v="12"/>
    <s v="CASANGA"/>
    <s v="AD. DIRECTA"/>
    <s v="VIALSUR"/>
    <m/>
    <m/>
    <n v="0"/>
    <s v="Clasificación de material."/>
    <s v="m³."/>
    <n v="1.47"/>
    <n v="490"/>
    <d v="2014-10-29T00:00:00"/>
    <d v="2014-11-05T00:00:00"/>
    <s v="EJECUTADO"/>
    <n v="720.3"/>
    <m/>
    <m/>
    <m/>
  </r>
  <r>
    <m/>
    <m/>
    <x v="0"/>
    <s v="VIA EL DESCANSO - MACANDAMINE- PALO BLANCO L=5.2 KM. Paltas. Inicio 5 de nov Fin 8 de nov"/>
    <s v="VIA EL DESCANSO - MACANDAMINE- PALO BLANCO L=5.2 KM. Paltas. Inicio 5 de nov Fin 8 de nov"/>
    <x v="2"/>
    <x v="12"/>
    <s v="CASANGA"/>
    <s v="AD. DIRECTA"/>
    <s v="VIALSUR"/>
    <n v="5.2"/>
    <m/>
    <n v="1168"/>
    <s v="Explotación de Material incluye cargado"/>
    <s v="m³."/>
    <n v="2.54"/>
    <n v="460"/>
    <d v="2014-11-05T00:00:00"/>
    <d v="2014-11-08T00:00:00"/>
    <s v="EJECUTADO"/>
    <n v="1168.4000000000001"/>
    <m/>
    <m/>
    <n v="14497.4"/>
  </r>
  <r>
    <m/>
    <m/>
    <x v="1"/>
    <m/>
    <s v="VIA EL DESCANSO - MACANDAMINE- PALO BLANCO L=5.2 KM. Paltas. Inicio 5 de nov Fin 8 de nov"/>
    <x v="2"/>
    <x v="12"/>
    <s v="CASANGA"/>
    <s v="AD. DIRECTA"/>
    <s v="VIALSUR"/>
    <m/>
    <n v="4.26"/>
    <n v="0"/>
    <s v="Rasanteo y conformacion de cunetas con motoniveladora"/>
    <s v="m²."/>
    <n v="0.08"/>
    <n v="23400"/>
    <d v="2014-11-05T00:00:00"/>
    <d v="2014-11-08T00:00:00"/>
    <s v="EJECUTADO"/>
    <n v="1872"/>
    <m/>
    <m/>
    <m/>
  </r>
  <r>
    <m/>
    <m/>
    <x v="1"/>
    <m/>
    <s v="VIA EL DESCANSO - MACANDAMINE- PALO BLANCO L=5.2 KM. Paltas. Inicio 5 de nov Fin 8 de nov"/>
    <x v="2"/>
    <x v="12"/>
    <s v="CASANGA"/>
    <s v="AD. DIRECTA"/>
    <s v="VIALSUR"/>
    <m/>
    <n v="3.9099999999999997"/>
    <n v="0"/>
    <s v="Reconformacion de la razante existente"/>
    <s v="m²."/>
    <n v="0.35"/>
    <n v="21500"/>
    <d v="2014-11-05T00:00:00"/>
    <d v="2014-11-08T00:00:00"/>
    <s v="EJECUTADO"/>
    <n v="7525"/>
    <m/>
    <m/>
    <m/>
  </r>
  <r>
    <m/>
    <m/>
    <x v="0"/>
    <m/>
    <s v="VIA EL DESCANSO - MACANDAMINE- PALO BLANCO L=5.2 KM. Paltas. Inicio 5 de nov Fin 8 de nov"/>
    <x v="2"/>
    <x v="12"/>
    <s v="CASANGA"/>
    <s v="AD. DIRECTA"/>
    <s v="VIALSUR"/>
    <m/>
    <n v="0.43"/>
    <n v="0"/>
    <s v="Mejoramiento de la subrasante con suelo seleccionado"/>
    <s v="m³."/>
    <n v="5.92"/>
    <n v="470"/>
    <d v="2014-11-05T00:00:00"/>
    <d v="2014-11-08T00:00:00"/>
    <s v="EJECUTADO"/>
    <n v="2782.4"/>
    <m/>
    <m/>
    <m/>
  </r>
  <r>
    <m/>
    <m/>
    <x v="1"/>
    <m/>
    <s v="VIA EL DESCANSO - MACANDAMINE- PALO BLANCO L=5.2 KM. Paltas. Inicio 5 de nov Fin 8 de nov"/>
    <x v="2"/>
    <x v="12"/>
    <s v="CASANGA"/>
    <s v="AD. DIRECTA"/>
    <s v="VIALSUR"/>
    <m/>
    <m/>
    <n v="0"/>
    <s v="Transporte de material excavado inc cargado &lt; 5km"/>
    <s v="m3/km."/>
    <n v="0.3"/>
    <n v="1725"/>
    <d v="2014-11-05T00:00:00"/>
    <d v="2014-11-08T00:00:00"/>
    <s v="EJECUTADO"/>
    <n v="517.5"/>
    <m/>
    <m/>
    <m/>
  </r>
  <r>
    <m/>
    <m/>
    <x v="0"/>
    <m/>
    <s v="VIA EL DESCANSO - MACANDAMINE- PALO BLANCO L=5.2 KM. Paltas. Inicio 5 de nov Fin 8 de nov"/>
    <x v="2"/>
    <x v="12"/>
    <s v="CASANGA"/>
    <s v="AD. DIRECTA"/>
    <s v="VIALSUR"/>
    <m/>
    <m/>
    <n v="0"/>
    <s v="Clasificación de material."/>
    <s v="m³."/>
    <n v="1.47"/>
    <n v="430"/>
    <d v="2014-11-05T00:00:00"/>
    <d v="2014-11-08T00:00:00"/>
    <s v="EJECUTADO"/>
    <n v="632.1"/>
    <m/>
    <m/>
    <m/>
  </r>
  <r>
    <m/>
    <m/>
    <x v="0"/>
    <s v="VIA CASANGA - EL NARANJO L=3.9 KM  Paltas Inicio 11 de Nov Fin 13 Nov"/>
    <s v="VIA CASANGA - EL NARANJO L=3.9 KM  Paltas Inicio 11 de Nov Fin 13 Nov"/>
    <x v="2"/>
    <x v="12"/>
    <s v="CASANGA"/>
    <s v="AD. DIRECTA"/>
    <s v="VIALSUR"/>
    <n v="3.9"/>
    <m/>
    <n v="1168"/>
    <s v="Explotación de Material incluye cargado"/>
    <s v="m³."/>
    <n v="2.54"/>
    <n v="140"/>
    <d v="2014-12-11T00:00:00"/>
    <d v="2014-11-13T00:00:00"/>
    <s v="EJECUTADO"/>
    <n v="355.6"/>
    <m/>
    <m/>
    <n v="7566.0899999999992"/>
  </r>
  <r>
    <m/>
    <m/>
    <x v="0"/>
    <m/>
    <s v="VIA CASANGA - EL NARANJO L=3.9 KM  Paltas Inicio 11 de Nov Fin 13 Nov"/>
    <x v="2"/>
    <x v="12"/>
    <s v="CASANGA"/>
    <s v="AD. DIRECTA"/>
    <s v="VIALSUR"/>
    <m/>
    <m/>
    <n v="0"/>
    <s v="Clasificación de material."/>
    <s v="m³."/>
    <n v="1.47"/>
    <n v="130"/>
    <d v="2014-12-11T00:00:00"/>
    <d v="2014-11-13T00:00:00"/>
    <s v="EJECUTADO"/>
    <n v="191.1"/>
    <m/>
    <m/>
    <m/>
  </r>
  <r>
    <m/>
    <m/>
    <x v="1"/>
    <m/>
    <s v="VIA CASANGA - EL NARANJO L=3.9 KM  Paltas Inicio 11 de Nov Fin 13 Nov"/>
    <x v="2"/>
    <x v="12"/>
    <s v="CASANGA"/>
    <s v="AD. DIRECTA"/>
    <s v="VIALSUR"/>
    <m/>
    <n v="3.1999999999999997"/>
    <n v="0"/>
    <s v="Rasanteo y conformacion de cunetas con motoniveladora"/>
    <s v="m²."/>
    <n v="0.08"/>
    <n v="17550"/>
    <d v="2014-12-11T00:00:00"/>
    <d v="2014-11-13T00:00:00"/>
    <s v="EJECUTADO"/>
    <n v="1404"/>
    <m/>
    <m/>
    <m/>
  </r>
  <r>
    <m/>
    <m/>
    <x v="1"/>
    <m/>
    <s v="VIA CASANGA - EL NARANJO L=3.9 KM  Paltas Inicio 11 de Nov Fin 13 Nov"/>
    <x v="2"/>
    <x v="12"/>
    <s v="CASANGA"/>
    <s v="AD. DIRECTA"/>
    <s v="VIALSUR"/>
    <m/>
    <n v="2.38"/>
    <n v="0"/>
    <s v="Reconformacion de la razante existente"/>
    <s v="m²."/>
    <n v="0.35"/>
    <n v="13050"/>
    <d v="2014-12-11T00:00:00"/>
    <d v="2014-11-13T00:00:00"/>
    <s v="EJECUTADO"/>
    <n v="4567.5"/>
    <m/>
    <m/>
    <m/>
  </r>
  <r>
    <m/>
    <m/>
    <x v="0"/>
    <m/>
    <s v="VIA CASANGA - EL NARANJO L=3.9 KM  Paltas Inicio 11 de Nov Fin 13 Nov"/>
    <x v="2"/>
    <x v="12"/>
    <s v="CASANGA"/>
    <s v="AD. DIRECTA"/>
    <s v="VIALSUR"/>
    <m/>
    <n v="0.13"/>
    <n v="0"/>
    <s v="Mejoramiento de la subrasante con suelo seleccionado"/>
    <s v="m³."/>
    <n v="5.92"/>
    <n v="145"/>
    <d v="2014-12-11T00:00:00"/>
    <d v="2014-11-13T00:00:00"/>
    <s v="EJECUTADO"/>
    <n v="858.4"/>
    <m/>
    <m/>
    <m/>
  </r>
  <r>
    <m/>
    <m/>
    <x v="1"/>
    <m/>
    <s v="VIA CASANGA - EL NARANJO L=3.9 KM  Paltas Inicio 11 de Nov Fin 13 Nov"/>
    <x v="2"/>
    <x v="12"/>
    <s v="CASANGA"/>
    <s v="AD. DIRECTA"/>
    <s v="VIALSUR"/>
    <m/>
    <m/>
    <n v="0"/>
    <s v="Transporte de material excavado inc cargado &lt; 5km"/>
    <s v="m3/km."/>
    <n v="0.3"/>
    <n v="631.62"/>
    <d v="2014-12-11T00:00:00"/>
    <d v="2014-11-13T00:00:00"/>
    <s v="EJECUTADO"/>
    <n v="189.49"/>
    <m/>
    <m/>
    <m/>
  </r>
  <r>
    <m/>
    <m/>
    <x v="1"/>
    <s v="VIA, ACCESO AL BARRIO, GUAYPIRA.  L=3,1 km. Paltas."/>
    <s v="VIA, ACCESO AL BARRIO, GUAYPIRA.  L=3,1 km. Paltas."/>
    <x v="2"/>
    <x v="12"/>
    <s v="CASANGA"/>
    <s v="AD. DIRECTA"/>
    <s v="VIALSUR"/>
    <n v="3.1"/>
    <m/>
    <n v="1168"/>
    <s v="Explotación de material."/>
    <s v="m³."/>
    <n v="2.54"/>
    <n v="250"/>
    <d v="2014-11-13T00:00:00"/>
    <d v="2014-11-14T00:00:00"/>
    <s v="EJECUTADO"/>
    <n v="635"/>
    <m/>
    <m/>
    <m/>
  </r>
  <r>
    <m/>
    <m/>
    <x v="1"/>
    <m/>
    <s v="VIA, ACCESO AL BARRIO, GUAYPIRA.  L=3,1 km. Paltas."/>
    <x v="2"/>
    <x v="12"/>
    <s v="CASANGA"/>
    <s v="AD. DIRECTA"/>
    <s v="VIALSUR"/>
    <m/>
    <m/>
    <n v="0"/>
    <s v="Clasificacion de material."/>
    <s v="m³."/>
    <n v="1.47"/>
    <n v="230"/>
    <d v="2014-11-13T00:00:00"/>
    <d v="2014-11-14T00:00:00"/>
    <s v="EJECUTADO"/>
    <n v="338.1"/>
    <m/>
    <m/>
    <m/>
  </r>
  <r>
    <m/>
    <m/>
    <x v="1"/>
    <m/>
    <s v="VIA, ACCESO AL BARRIO, GUAYPIRA.  L=3,1 km. Paltas."/>
    <x v="2"/>
    <x v="12"/>
    <s v="CASANGA"/>
    <s v="AD. DIRECTA"/>
    <s v="VIALSUR"/>
    <m/>
    <m/>
    <n v="0"/>
    <s v="Rasanteo y conformacion de cunetas con motoniveladora"/>
    <s v="m²."/>
    <n v="0.08"/>
    <n v="17030"/>
    <d v="2014-11-13T00:00:00"/>
    <d v="2014-11-14T00:00:00"/>
    <s v="EJECUTADO"/>
    <n v="1362.4"/>
    <m/>
    <m/>
    <m/>
  </r>
  <r>
    <m/>
    <m/>
    <x v="1"/>
    <m/>
    <s v="VIA, ACCESO AL BARRIO, GUAYPIRA.  L=3,1 km. Paltas."/>
    <x v="2"/>
    <x v="12"/>
    <s v="CASANGA"/>
    <s v="AD. DIRECTA"/>
    <s v="VIALSUR"/>
    <m/>
    <m/>
    <n v="0"/>
    <s v="Reconformación de la rasante, existente."/>
    <s v="m²."/>
    <n v="0.35"/>
    <n v="15400"/>
    <d v="2014-11-13T00:00:00"/>
    <d v="2014-11-14T00:00:00"/>
    <s v="EJECUTADO"/>
    <n v="5390"/>
    <m/>
    <m/>
    <m/>
  </r>
  <r>
    <m/>
    <m/>
    <x v="1"/>
    <m/>
    <s v="VIA, ACCESO AL BARRIO, GUAYPIRA.  L=3,1 km. Paltas."/>
    <x v="2"/>
    <x v="12"/>
    <s v="CASANGA"/>
    <s v="AD. DIRECTA"/>
    <s v="VIALSUR"/>
    <m/>
    <m/>
    <n v="0"/>
    <s v="Mejoramiento de la subrasante con suelo seleccionado"/>
    <s v="m³."/>
    <n v="5.92"/>
    <n v="245"/>
    <d v="2014-11-13T00:00:00"/>
    <d v="2014-11-14T00:00:00"/>
    <s v="EJECUTADO"/>
    <n v="1450.4"/>
    <m/>
    <m/>
    <m/>
  </r>
  <r>
    <m/>
    <m/>
    <x v="1"/>
    <m/>
    <s v="VIA, ACCESO AL BARRIO, GUAYPIRA.  L=3,1 km. Paltas."/>
    <x v="2"/>
    <x v="12"/>
    <s v="CASANGA"/>
    <s v="AD. DIRECTA"/>
    <s v="VIALSUR"/>
    <m/>
    <m/>
    <n v="0"/>
    <s v="Transporte de material para mejoramiento, inc. Cargado (&lt; a 5 km.)"/>
    <s v="m³/km."/>
    <n v="0.38"/>
    <n v="375.1"/>
    <d v="2014-11-13T00:00:00"/>
    <d v="2014-11-14T00:00:00"/>
    <s v="EJECUTADO"/>
    <n v="142.54"/>
    <m/>
    <m/>
    <m/>
  </r>
  <r>
    <m/>
    <m/>
    <x v="0"/>
    <s v="VIA, &quot;Y&quot; DE GUAYPIRA-LA SOTA-CASANGA.  L=4,4 km. Paltas."/>
    <s v="VIA, &quot;Y&quot; DE GUAYPIRA-LA SOTA-CASANGA.  L=4,4 km. Paltas."/>
    <x v="2"/>
    <x v="12"/>
    <s v="CASANGA"/>
    <s v="AD. DIRECTA"/>
    <s v="VIALSUR"/>
    <n v="4.4000000000000004"/>
    <m/>
    <n v="1168"/>
    <s v="Explotación de Material incluye cargado"/>
    <s v="m³."/>
    <n v="2.54"/>
    <n v="340"/>
    <d v="2014-11-15T00:00:00"/>
    <d v="2014-11-18T00:00:00"/>
    <s v="EJECUTADO"/>
    <n v="863.6"/>
    <m/>
    <m/>
    <n v="10086.07"/>
  </r>
  <r>
    <m/>
    <m/>
    <x v="0"/>
    <m/>
    <s v="VIA, &quot;Y&quot; DE GUAYPIRA-LA SOTA-CASANGA.  L=4,4 km. Paltas."/>
    <x v="2"/>
    <x v="12"/>
    <s v="CASANGA"/>
    <s v="AD. DIRECTA"/>
    <s v="VIALSUR"/>
    <m/>
    <m/>
    <n v="0"/>
    <s v="Clasificación de material."/>
    <s v="m³."/>
    <n v="1.47"/>
    <n v="300"/>
    <d v="2014-11-15T00:00:00"/>
    <d v="2014-11-18T00:00:00"/>
    <s v="EJECUTADO"/>
    <n v="441"/>
    <m/>
    <m/>
    <m/>
  </r>
  <r>
    <m/>
    <m/>
    <x v="1"/>
    <m/>
    <s v="VIA, &quot;Y&quot; DE GUAYPIRA-LA SOTA-CASANGA.  L=4,4 km. Paltas."/>
    <x v="2"/>
    <x v="12"/>
    <s v="CASANGA"/>
    <s v="AD. DIRECTA"/>
    <s v="VIALSUR"/>
    <m/>
    <n v="4.0199999999999996"/>
    <n v="0"/>
    <s v="Rasanteo y conformacion de cunetas con motoniveladora"/>
    <s v="m²."/>
    <n v="0.08"/>
    <n v="22100"/>
    <d v="2014-11-15T00:00:00"/>
    <d v="2014-11-18T00:00:00"/>
    <s v="EJECUTADO"/>
    <n v="1768"/>
    <m/>
    <m/>
    <m/>
  </r>
  <r>
    <m/>
    <m/>
    <x v="1"/>
    <m/>
    <s v="VIA, &quot;Y&quot; DE GUAYPIRA-LA SOTA-CASANGA.  L=4,4 km. Paltas."/>
    <x v="2"/>
    <x v="12"/>
    <s v="CASANGA"/>
    <s v="AD. DIRECTA"/>
    <s v="VIALSUR"/>
    <m/>
    <n v="2.6199999999999997"/>
    <n v="0"/>
    <s v="Reconformacion de la razante existente"/>
    <s v="m²."/>
    <n v="0.35"/>
    <n v="14400"/>
    <d v="2014-11-15T00:00:00"/>
    <d v="2014-11-18T00:00:00"/>
    <s v="EJECUTADO"/>
    <n v="5040"/>
    <m/>
    <m/>
    <m/>
  </r>
  <r>
    <m/>
    <m/>
    <x v="0"/>
    <m/>
    <s v="VIA, &quot;Y&quot; DE GUAYPIRA-LA SOTA-CASANGA.  L=4,4 km. Paltas."/>
    <x v="2"/>
    <x v="12"/>
    <s v="CASANGA"/>
    <s v="AD. DIRECTA"/>
    <s v="VIALSUR"/>
    <m/>
    <n v="0.27"/>
    <n v="0"/>
    <s v="Mejoramiento de la subrasante con suelo seleccionado"/>
    <s v="m³."/>
    <n v="5.92"/>
    <n v="300"/>
    <d v="2014-11-15T00:00:00"/>
    <d v="2014-11-18T00:00:00"/>
    <s v="EJECUTADO"/>
    <n v="1776"/>
    <m/>
    <m/>
    <m/>
  </r>
  <r>
    <m/>
    <m/>
    <x v="1"/>
    <m/>
    <s v="VIA, &quot;Y&quot; DE GUAYPIRA-LA SOTA-CASANGA.  L=4,4 km. Paltas."/>
    <x v="2"/>
    <x v="12"/>
    <s v="CASANGA"/>
    <s v="AD. DIRECTA"/>
    <s v="VIALSUR"/>
    <m/>
    <m/>
    <n v="0"/>
    <s v="Transporte de material excavado inc cargado &lt; 5km"/>
    <s v="m3/km."/>
    <n v="0.3"/>
    <n v="658.24"/>
    <d v="2014-11-15T00:00:00"/>
    <d v="2014-11-18T00:00:00"/>
    <s v="EJECUTADO"/>
    <n v="197.47"/>
    <m/>
    <m/>
    <m/>
  </r>
  <r>
    <m/>
    <m/>
    <x v="1"/>
    <s v="ACCESO AL BARRIO CASANGA L=1.0 KM. Paltas Inicio 20 nov. Fin 20 nov"/>
    <s v="ACCESO AL BARRIO CASANGA L=1.0 KM. Paltas Inicio 20 nov. Fin 20 nov"/>
    <x v="2"/>
    <x v="12"/>
    <s v="CASANGA"/>
    <s v="AD. DIRECTA"/>
    <s v="VIALSUR"/>
    <n v="1"/>
    <n v="0.91"/>
    <n v="1168"/>
    <s v="Rasanteo y conformacion de cunetas con motoniveladora"/>
    <s v="m²."/>
    <n v="0.08"/>
    <n v="5005"/>
    <d v="2014-11-20T00:00:00"/>
    <d v="2014-11-20T00:00:00"/>
    <s v="EJECUTADO"/>
    <n v="400.4"/>
    <m/>
    <m/>
    <n v="400.4"/>
  </r>
  <r>
    <m/>
    <m/>
    <x v="1"/>
    <s v="PLATAFORMA DEL CANAL DE RIEGO LAS COCHAS SAN VICENTE L=7.8 KM. Paltas Inicio 29 oct Fin 27 Nov"/>
    <s v="PLATAFORMA DEL CANAL DE RIEGO LAS COCHAS SAN VICENTE L=7.8 KM. Paltas Inicio 29 oct Fin 27 Nov"/>
    <x v="2"/>
    <x v="12"/>
    <s v="CATACOCHA"/>
    <s v="AD. DIRECTA"/>
    <s v="VIALSUR"/>
    <n v="7.8"/>
    <m/>
    <m/>
    <s v="Limpieza y desalojo de derrumbes a máquina"/>
    <s v="m3 "/>
    <n v="1.46"/>
    <n v="6800"/>
    <d v="2014-10-29T00:00:00"/>
    <d v="2014-11-27T00:00:00"/>
    <s v="EJECUTADO"/>
    <n v="9928"/>
    <m/>
    <m/>
    <n v="12091.84"/>
  </r>
  <r>
    <m/>
    <m/>
    <x v="1"/>
    <m/>
    <s v="PLATAFORMA DEL CANAL DE RIEGO LAS COCHAS SAN VICENTE L=7.8 KM. Paltas Inicio 29 oct Fin 27 Nov"/>
    <x v="2"/>
    <x v="12"/>
    <s v="CATACOCHA"/>
    <s v="AD. DIRECTA"/>
    <s v="VIALSUR"/>
    <m/>
    <m/>
    <m/>
    <s v="Transporte de material excavado inc cargado &lt; 5km"/>
    <s v="m3/km."/>
    <n v="0.38"/>
    <n v="5694.32"/>
    <d v="2014-10-29T00:00:00"/>
    <d v="2014-11-27T00:00:00"/>
    <s v="EJECUTADO"/>
    <n v="2163.84"/>
    <m/>
    <m/>
    <m/>
  </r>
  <r>
    <m/>
    <m/>
    <x v="1"/>
    <m/>
    <s v="PLATAFORMA DEL CANAL DE RIEGO LAS COCHAS SAN VICENTE L=7.8 KM. Paltas Inicio 29 oct Fin 27 Nov"/>
    <x v="2"/>
    <x v="12"/>
    <s v="CATACOCHA"/>
    <s v="AD. DIRECTA"/>
    <s v="VIALSUR"/>
    <m/>
    <m/>
    <m/>
    <s v="Reconformación de la rasante, existente."/>
    <s v="m²."/>
    <n v="0.35"/>
    <n v="60480"/>
    <d v="2014-10-29T00:00:00"/>
    <d v="2014-11-27T00:00:00"/>
    <s v="EJECUTADO"/>
    <n v="21168"/>
    <m/>
    <m/>
    <m/>
  </r>
  <r>
    <m/>
    <m/>
    <x v="1"/>
    <s v="VIA, TAMBARA-COLA.   L=6,3 km.   Olmedo."/>
    <s v="VIA, TAMBARA-COLA.   L=6,3 km.   Olmedo."/>
    <x v="2"/>
    <x v="13"/>
    <s v="olmedo"/>
    <s v="AD. DIRECTA"/>
    <s v="VIALSUR"/>
    <m/>
    <m/>
    <m/>
    <s v="Rasanteo y conformacion de cunetas con motoniveladora"/>
    <s v="m²."/>
    <n v="0.08"/>
    <n v="25440"/>
    <d v="2014-12-07T00:00:00"/>
    <d v="2014-12-10T00:00:00"/>
    <s v="EN EJECUCION"/>
    <n v="2035.2"/>
    <m/>
    <m/>
    <m/>
  </r>
  <r>
    <m/>
    <m/>
    <x v="0"/>
    <s v="VIA CHIVATOS - LA TINGUE L=4.7 KM. Olmedo Inicio 10 nov Fin Continua"/>
    <s v="VIA CHIVATOS - LA TINGUE L=4.7 KM. Olmedo Inicio 10 nov Fin Continua"/>
    <x v="2"/>
    <x v="13"/>
    <s v="LA TINGUE"/>
    <s v="AD. DIRECTA"/>
    <s v="VIALSUR"/>
    <n v="4.7"/>
    <m/>
    <n v="512"/>
    <s v="Explotación de Material incluye cargado"/>
    <s v="m³."/>
    <n v="2.54"/>
    <n v="490"/>
    <d v="2014-11-10T00:00:00"/>
    <d v="2014-12-07T00:00:00"/>
    <s v="EN EJECUCION"/>
    <n v="1244.5999999999999"/>
    <m/>
    <m/>
    <n v="27998.15"/>
  </r>
  <r>
    <m/>
    <m/>
    <x v="0"/>
    <m/>
    <s v="VIA CHIVATOS - LA TINGUE L=4.7 KM. Olmedo Inicio 10 nov Fin Continua"/>
    <x v="2"/>
    <x v="13"/>
    <s v="LA TINGUE"/>
    <s v="AD. DIRECTA"/>
    <s v="VIALSUR"/>
    <m/>
    <m/>
    <n v="0"/>
    <s v="Clasificación de material."/>
    <s v="m³."/>
    <n v="1.47"/>
    <n v="1290"/>
    <d v="2014-11-10T00:00:00"/>
    <d v="2014-12-07T00:00:00"/>
    <s v="EN EJECUCION"/>
    <n v="1896.3"/>
    <m/>
    <m/>
    <m/>
  </r>
  <r>
    <m/>
    <m/>
    <x v="1"/>
    <m/>
    <s v="PLATAFORMA DEL CANAL DE RIEGO LAS COCHAS SAN VICENTE L=7.8 KM. Paltas Inicio 29 oct Fin 27 Nov"/>
    <x v="2"/>
    <x v="13"/>
    <s v="LA TINGUE"/>
    <s v="AD. DIRECTA"/>
    <s v="VIALSUR"/>
    <m/>
    <m/>
    <n v="0"/>
    <s v="Limpieza y desalojo de derrumbes a máquina"/>
    <s v="m3 "/>
    <n v="1.46"/>
    <n v="810"/>
    <d v="2014-11-10T00:00:00"/>
    <d v="2014-12-07T00:00:00"/>
    <s v="EN EJECUCION"/>
    <n v="1182.5999999999999"/>
    <m/>
    <m/>
    <m/>
  </r>
  <r>
    <m/>
    <m/>
    <x v="1"/>
    <m/>
    <s v="VIA CHIVATOS - LA TINGUE L=4.7 KM. Olmedo Inicio 10 nov Fin Continua"/>
    <x v="2"/>
    <x v="13"/>
    <s v="LA TINGUE"/>
    <s v="AD. DIRECTA"/>
    <s v="VIALSUR"/>
    <m/>
    <n v="4.72"/>
    <n v="0"/>
    <s v="Rasanteo y conformacion de cunetas con motoniveladora"/>
    <s v="m²."/>
    <n v="0.08"/>
    <n v="25920"/>
    <d v="2014-11-10T00:00:00"/>
    <d v="2014-12-07T00:00:00"/>
    <s v="EN EJECUCION"/>
    <n v="2073.6"/>
    <m/>
    <m/>
    <m/>
  </r>
  <r>
    <m/>
    <m/>
    <x v="1"/>
    <m/>
    <s v="VIA CHIVATOS - LA TINGUE L=4.7 KM. Olmedo Inicio 10 nov Fin Continua"/>
    <x v="2"/>
    <x v="13"/>
    <s v="LA TINGUE"/>
    <s v="AD. DIRECTA"/>
    <s v="VIALSUR"/>
    <m/>
    <n v="6.34"/>
    <n v="0"/>
    <s v="Reconformacion de la razante existente"/>
    <s v="m²."/>
    <n v="0.35"/>
    <n v="34820"/>
    <d v="2014-11-10T00:00:00"/>
    <d v="2014-12-07T00:00:00"/>
    <s v="EN EJECUCION"/>
    <n v="12187"/>
    <m/>
    <m/>
    <m/>
  </r>
  <r>
    <m/>
    <m/>
    <x v="0"/>
    <m/>
    <s v="VIA CHIVATOS - LA TINGUE L=4.7 KM. Olmedo Inicio 10 nov Fin Continua"/>
    <x v="2"/>
    <x v="13"/>
    <s v="LA TINGUE"/>
    <s v="AD. DIRECTA"/>
    <s v="VIALSUR"/>
    <m/>
    <n v="1.24"/>
    <n v="0"/>
    <s v="Mejoramiento de la subrasante con suelo seleccionado"/>
    <s v="m³."/>
    <n v="5.92"/>
    <n v="1360"/>
    <d v="2014-11-10T00:00:00"/>
    <d v="2014-12-07T00:00:00"/>
    <s v="EN EJECUCION"/>
    <n v="8051.2"/>
    <m/>
    <m/>
    <m/>
  </r>
  <r>
    <m/>
    <m/>
    <x v="1"/>
    <m/>
    <s v="VIA CHIVATOS - LA TINGUE L=4.7 KM. Olmedo Inicio 10 nov Fin Continua"/>
    <x v="2"/>
    <x v="13"/>
    <s v="LA TINGUE"/>
    <s v="AD. DIRECTA"/>
    <s v="VIALSUR"/>
    <m/>
    <m/>
    <n v="0"/>
    <s v="Transporte de material excavado inc cargado &lt; 5km"/>
    <s v="m3/km."/>
    <n v="0.38"/>
    <n v="145.19999999999999"/>
    <d v="2014-11-10T00:00:00"/>
    <d v="2014-12-07T00:00:00"/>
    <s v="EN EJECUCION"/>
    <n v="55.18"/>
    <m/>
    <m/>
    <m/>
  </r>
  <r>
    <m/>
    <m/>
    <x v="0"/>
    <m/>
    <s v="VIA CHIVATOS - LA TINGUE L=4.7 KM. Olmedo Inicio 10 nov Fin Continua"/>
    <x v="2"/>
    <x v="13"/>
    <s v="LA TINGUE"/>
    <s v="AD. DIRECTA"/>
    <s v="VIALSUR"/>
    <m/>
    <m/>
    <n v="0"/>
    <s v="Transporte de material mejoramiento inc. Cargado &lt; a 5km"/>
    <s v="m3/km."/>
    <n v="0.38"/>
    <n v="3441.24"/>
    <d v="2014-11-10T00:00:00"/>
    <d v="2014-12-07T00:00:00"/>
    <s v="EN EJECUCION"/>
    <n v="1307.67"/>
    <m/>
    <m/>
    <m/>
  </r>
  <r>
    <m/>
    <m/>
    <x v="1"/>
    <s v="VIA ACCESO AL BARRIO LOBONGO L=2.9 km. Olmedo Inicia 18 de nov Fin 19 Nov"/>
    <s v="VIA ACCESO AL BARRIO LOBONGO L=2.9 km. Olmedo Inicia 18 de nov Fin 19 Nov"/>
    <x v="2"/>
    <x v="13"/>
    <s v="OLMEDO"/>
    <s v="AD. DIRECTA"/>
    <s v="VIALSUR"/>
    <n v="2.9"/>
    <n v="2.65"/>
    <n v="2775"/>
    <s v="Rasanteo y conformacion de cunetas con motoniveladora"/>
    <s v="m²."/>
    <n v="0.08"/>
    <n v="14535"/>
    <d v="2014-11-18T00:00:00"/>
    <d v="2014-11-19T00:00:00"/>
    <s v="EJECUTADO"/>
    <n v="1162.8"/>
    <m/>
    <m/>
    <n v="1162.8"/>
  </r>
  <r>
    <m/>
    <m/>
    <x v="1"/>
    <s v="VIA ACCESO AL BARRIO LOBONGO L=2.9 km. Olmedo Inicia 18 de nov Fin 19 Nov"/>
    <s v="VIA ACCESO AL BARRIO LOBONGO L=2.9 km. Olmedo Inicia 18 de nov Fin 19 Nov"/>
    <x v="2"/>
    <x v="13"/>
    <s v="OLMEDO"/>
    <s v="AD. DIRECTA"/>
    <s v="VIALSUR"/>
    <m/>
    <n v="0.04"/>
    <n v="0"/>
    <s v="Limpieza de cunetas y alcantarillas a máquina"/>
    <s v="m³."/>
    <n v="1.47"/>
    <n v="200"/>
    <d v="2014-12-17T00:00:00"/>
    <d v="2014-12-19T00:00:00"/>
    <s v="EN EJECUCION"/>
    <n v="294"/>
    <m/>
    <m/>
    <n v="294"/>
  </r>
  <r>
    <m/>
    <m/>
    <x v="1"/>
    <s v="VIA ACCESO AL BARRIO LOBONGO L=2.9 km. Olmedo Inicia 18 de nov Fin 19 Nov"/>
    <s v="VIA ACCESO AL BARRIO LOBONGO L=2.9 km. Olmedo Inicia 18 de nov Fin 19 Nov"/>
    <x v="2"/>
    <x v="13"/>
    <s v="OLMEDO"/>
    <s v="AD. DIRECTA"/>
    <s v="VIALSUR"/>
    <m/>
    <n v="0.02"/>
    <n v="0"/>
    <s v="Transporte de material excavado, inc. Cargado (&lt; a 5 km.)"/>
    <s v="m³/km."/>
    <n v="0.38"/>
    <n v="96"/>
    <d v="2014-12-17T00:00:00"/>
    <d v="2014-12-19T00:00:00"/>
    <s v="EN EJECUCION"/>
    <n v="36.479999999999997"/>
    <m/>
    <m/>
    <n v="36.479999999999997"/>
  </r>
  <r>
    <m/>
    <m/>
    <x v="1"/>
    <s v="VIA, LA TINGUE-ZAPALLAL.  L=4,8 km."/>
    <s v="VIA, LA TINGUE-ZAPALLAL.  L=4,8 km."/>
    <x v="2"/>
    <x v="13"/>
    <s v="LA TINGUE"/>
    <s v="AD. DIRECTA"/>
    <s v="VIALSUR"/>
    <n v="4.8"/>
    <m/>
    <n v="512"/>
    <s v="Limpieza de derrumbes a máquina"/>
    <s v="m³."/>
    <n v="1.46"/>
    <n v="840"/>
    <d v="2014-03-21T00:00:00"/>
    <d v="2014-05-31T00:00:00"/>
    <s v="EJECUTADO"/>
    <n v="1226.4000000000001"/>
    <m/>
    <m/>
    <n v="2952.8"/>
  </r>
  <r>
    <m/>
    <m/>
    <x v="1"/>
    <s v="VIA, LA TINGUE-ZAPALLAL.  L=4,8 km."/>
    <s v="VIA, LA TINGUE-ZAPALLAL.  L=4,8 km."/>
    <x v="2"/>
    <x v="13"/>
    <s v="LA TINGUE"/>
    <s v="AD. DIRECTA"/>
    <s v="VIALSUR"/>
    <m/>
    <n v="3.9299999999999997"/>
    <n v="0"/>
    <s v="Rasanteo y conformacion de cunetas con motoniveladora"/>
    <s v="m²."/>
    <n v="0.08"/>
    <n v="21580"/>
    <d v="2014-11-19T00:00:00"/>
    <d v="2014-11-20T00:00:00"/>
    <s v="EJECUTADO"/>
    <n v="1726.4"/>
    <m/>
    <m/>
    <m/>
  </r>
  <r>
    <m/>
    <m/>
    <x v="1"/>
    <s v="VIA ACCESO AL BARRIO SURAPO L= 3.0 KM Olmedo Inicio 20 nov Fin 21 Nov"/>
    <s v="VIA ACCESO AL BARRIO SURAPO L= 3.0 KM Olmedo Inicio 20 nov Fin 21 Nov"/>
    <x v="2"/>
    <x v="13"/>
    <s v="LA TINGUE"/>
    <s v="AD. DIRECTA"/>
    <s v="VIALSUR"/>
    <n v="3"/>
    <n v="2.7199999999999998"/>
    <m/>
    <s v="Rasanteo y conformacion de cunetas con motoniveladora"/>
    <s v="m²."/>
    <n v="0.08"/>
    <n v="14940"/>
    <d v="2014-11-20T00:00:00"/>
    <d v="2014-11-21T00:00:00"/>
    <s v="EJECUTADO"/>
    <n v="1195.2"/>
    <m/>
    <m/>
    <n v="1195.2"/>
  </r>
  <r>
    <m/>
    <m/>
    <x v="1"/>
    <s v="MANTENIMIENTO RUTINARIO DE LA VIA EL TAMBO INDIUCHO"/>
    <s v="MANTENIMIENTO RUTINARIO DE LA VIA EL TAMBO INDIUCHO"/>
    <x v="2"/>
    <x v="10"/>
    <s v="EL TAMBO"/>
    <s v="CONTRATO"/>
    <s v="VIALSUR"/>
    <n v="12.1"/>
    <m/>
    <m/>
    <s v="MANTENIMIENTO RUTINARIO CON EL EMPLEO DE MICROEMPRESAS"/>
    <s v="GBL"/>
    <n v="1"/>
    <n v="20810.7"/>
    <d v="2014-01-01T00:00:00"/>
    <d v="2014-05-01T00:00:00"/>
    <s v="EJECUTADO"/>
    <n v="20810.7"/>
    <m/>
    <m/>
    <n v="20810.7"/>
  </r>
  <r>
    <m/>
    <m/>
    <x v="7"/>
    <s v="Fiscalización Vía Carmelo - Cangonamá - Yee De Chalanga"/>
    <s v="Fiscalización Vía Carmelo - Cangonamá - Yee De Chalanga"/>
    <x v="2"/>
    <x v="12"/>
    <s v="CANGONAMÁ"/>
    <s v="AD. DIRECTA"/>
    <s v="VIALSUR"/>
    <n v="3"/>
    <m/>
    <m/>
    <s v="FISCALIZACIÓN DE LA CONSTRUCCION"/>
    <s v="GBL"/>
    <n v="1"/>
    <n v="29829.45"/>
    <d v="2014-01-01T00:00:00"/>
    <d v="2014-05-01T00:00:00"/>
    <s v="EJECUTADO"/>
    <n v="29829.45"/>
    <m/>
    <m/>
    <n v="29829.45"/>
  </r>
  <r>
    <m/>
    <m/>
    <x v="1"/>
    <s v="VIA ACCESO AL BARIO CARRIZAL L= 3.2 KM Olmedo Inicio 21 nov Fin 22 de Nov"/>
    <s v="VIA ACCESO AL BARIO CARRIZAL L= 3.2 KM Olmedo Inicio 21 nov Fin 22 de Nov"/>
    <x v="2"/>
    <x v="13"/>
    <s v="LA TINGUE"/>
    <s v="AD. DIRECTA"/>
    <s v="VIALSUR"/>
    <m/>
    <n v="2.62"/>
    <n v="0"/>
    <s v="Rasanteo y conformacion de cunetas con motoniveladora"/>
    <s v="m²."/>
    <n v="0.08"/>
    <n v="14410"/>
    <d v="2014-11-21T00:00:00"/>
    <d v="2014-11-22T00:00:00"/>
    <s v="EJECUTADO"/>
    <n v="1152.8"/>
    <m/>
    <m/>
    <n v="1853.6"/>
  </r>
  <r>
    <m/>
    <m/>
    <x v="1"/>
    <m/>
    <n v="0"/>
    <x v="2"/>
    <x v="13"/>
    <s v="LA TINGUE"/>
    <s v="AD. DIRECTA"/>
    <s v="VIALSUR"/>
    <m/>
    <m/>
    <n v="0"/>
    <s v="Limpieza de derrumbes a máquina"/>
    <s v="m³."/>
    <n v="1.46"/>
    <n v="480"/>
    <d v="2014-11-19T00:00:00"/>
    <d v="2014-11-20T00:00:00"/>
    <s v="EJECUTADO"/>
    <n v="700.8"/>
    <m/>
    <m/>
    <m/>
  </r>
  <r>
    <m/>
    <m/>
    <x v="1"/>
    <s v="MANTENIMIENTO DE LAS VIAS TABLON-MINA, TABLON-SAN JOSE, YEE DE SAN JOSE-QUISHQUIL, CEMENTERIO-LA LAGUNA-COCHALOMA, PANAMERICANA-POTRERILLOS-TACHIN. LONGITUD 18 KM"/>
    <s v="MANTENIMIENTO DE LAS VIAS TABLON-MINA, TABLON-SAN JOSE, YEE DE SAN JOSE-QUISHQUIL, CEMENTERIO-LA LAGUNA-COCHALOMA, PANAMERICANA-POTRERILLOS-TACHIN. LONGITUD 18 KM"/>
    <x v="3"/>
    <x v="14"/>
    <s v="EL TABLÓN"/>
    <s v="AD. DIRECTA"/>
    <s v="VIALSUR"/>
    <n v="18"/>
    <n v="12.73"/>
    <n v="716"/>
    <s v="Rasanteo y conformacion de cunetas con motoniveladora"/>
    <s v="m2"/>
    <n v="0.08"/>
    <n v="70000"/>
    <d v="2014-01-01T00:00:00"/>
    <d v="2014-02-28T00:00:00"/>
    <s v="EJECUTADO"/>
    <n v="5600"/>
    <m/>
    <m/>
    <n v="43610"/>
  </r>
  <r>
    <m/>
    <m/>
    <x v="0"/>
    <m/>
    <s v="MANTENIMIENTO DE LAS VIAS TABLON-MINA, TABLON-SAN JOSE, YEE DE SAN JOSE-QUISHQUIL, CEMENTERIO-LA LAGUNA-COCHALOMA, PANAMERICANA-POTRERILLOS-TACHIN. LONGITUD 18 KM"/>
    <x v="3"/>
    <x v="14"/>
    <s v="EL TABLÓN"/>
    <s v="AD. DIRECTA"/>
    <s v="VIALSUR"/>
    <m/>
    <n v="3.18"/>
    <n v="0"/>
    <s v="Mejoramiento de la subrasante con suelo seleccionado"/>
    <s v="m3"/>
    <n v="5.92"/>
    <n v="3500"/>
    <d v="2014-01-01T00:00:00"/>
    <d v="2014-02-28T00:00:00"/>
    <s v="EJECUTADO"/>
    <n v="20720"/>
    <m/>
    <m/>
    <m/>
  </r>
  <r>
    <m/>
    <m/>
    <x v="0"/>
    <m/>
    <s v="MANTENIMIENTO DE LAS VIAS TABLON-MINA, TABLON-SAN JOSE, YEE DE SAN JOSE-QUISHQUIL, CEMENTERIO-LA LAGUNA-COCHALOMA, PANAMERICANA-POTRERILLOS-TACHIN. LONGITUD 18 KM"/>
    <x v="3"/>
    <x v="14"/>
    <s v="EL TABLÓN"/>
    <s v="AD. DIRECTA"/>
    <s v="VIALSUR"/>
    <m/>
    <m/>
    <n v="0"/>
    <s v="Transporte de material de mejoramiento, base , sub-base "/>
    <s v="M3-KM"/>
    <n v="0.3"/>
    <n v="28000"/>
    <d v="2014-01-01T00:00:00"/>
    <d v="2014-02-28T00:00:00"/>
    <s v="EJECUTADO"/>
    <n v="8400"/>
    <m/>
    <m/>
    <m/>
  </r>
  <r>
    <m/>
    <m/>
    <x v="0"/>
    <m/>
    <s v="MANTENIMIENTO DE LAS VIAS TABLON-MINA, TABLON-SAN JOSE, YEE DE SAN JOSE-QUISHQUIL, CEMENTERIO-LA LAGUNA-COCHALOMA, PANAMERICANA-POTRERILLOS-TACHIN. LONGITUD 18 KM"/>
    <x v="3"/>
    <x v="14"/>
    <s v="EL TABLÓN"/>
    <s v="AD. DIRECTA"/>
    <s v="VIALSUR"/>
    <m/>
    <m/>
    <n v="0"/>
    <s v="Explotación de material de mejoramiento"/>
    <s v="m3"/>
    <n v="2.54"/>
    <n v="3500"/>
    <d v="2014-01-01T00:00:00"/>
    <d v="2014-02-28T00:00:00"/>
    <s v="EJECUTADO"/>
    <n v="8890"/>
    <m/>
    <m/>
    <m/>
  </r>
  <r>
    <m/>
    <m/>
    <x v="1"/>
    <s v="MANTENIMIENTO DE LAS VIAS DE LA PARROQUIA CELEN, LONGITUD 12,00 KM"/>
    <s v="MANTENIMIENTO DE LAS VIAS DE LA PARROQUIA CELEN, LONGITUD 12,00 KM"/>
    <x v="3"/>
    <x v="14"/>
    <s v="CELEN"/>
    <s v="AD. DIRECTA"/>
    <s v="VIALSUR"/>
    <n v="12"/>
    <n v="13.1"/>
    <n v="2132"/>
    <s v="Rasanteo y conformacion de cunetas con motoniveladora"/>
    <s v="m2"/>
    <n v="0.08"/>
    <n v="72000"/>
    <d v="2014-01-01T00:00:00"/>
    <d v="2014-01-31T00:00:00"/>
    <s v="EJECUTADO"/>
    <n v="5760"/>
    <m/>
    <m/>
    <n v="5863.68"/>
  </r>
  <r>
    <m/>
    <m/>
    <x v="0"/>
    <m/>
    <s v="MANTENIMIENTO DE LAS VIAS DE LA PARROQUIA CELEN, LONGITUD 12,00 KM"/>
    <x v="3"/>
    <x v="14"/>
    <s v="CELEN"/>
    <s v="AD. DIRECTA"/>
    <s v="VIALSUR"/>
    <m/>
    <m/>
    <n v="0"/>
    <s v="Excavación sin clasificar a máquina"/>
    <s v="m3"/>
    <n v="1.62"/>
    <n v="64"/>
    <d v="2014-01-01T00:00:00"/>
    <d v="2014-01-31T00:00:00"/>
    <s v="EJECUTADO"/>
    <n v="103.68"/>
    <m/>
    <m/>
    <m/>
  </r>
  <r>
    <m/>
    <m/>
    <x v="1"/>
    <s v="MANTENIMIENTO DE LA VIA MALACATOS-SAN JOSE DE LAS PEÑAS, LONGITUD 3,00 KM"/>
    <s v="MANTENIMIENTO DE LA VIA MALACATOS-SAN JOSE DE LAS PEÑAS, LONGITUD 3,00 KM"/>
    <x v="3"/>
    <x v="15"/>
    <s v="MALACATOS"/>
    <s v="AD. DIRECTA"/>
    <s v="VIALSUR"/>
    <n v="3"/>
    <n v="1.9"/>
    <n v="2611"/>
    <s v="Reconformación de la rasante"/>
    <s v="m2"/>
    <n v="0.35"/>
    <n v="10450"/>
    <d v="2014-01-01T00:00:00"/>
    <d v="2014-01-31T00:00:00"/>
    <s v="EJECUTADO"/>
    <n v="3657.5"/>
    <m/>
    <m/>
    <n v="4780.8599999999997"/>
  </r>
  <r>
    <m/>
    <m/>
    <x v="0"/>
    <m/>
    <s v="MANTENIMIENTO DE LA VIA MALACATOS-SAN JOSE DE LAS PEÑAS, LONGITUD 3,00 KM"/>
    <x v="3"/>
    <x v="15"/>
    <s v="MALACATOS"/>
    <s v="AD. DIRECTA"/>
    <s v="VIALSUR"/>
    <m/>
    <n v="0.11"/>
    <n v="0"/>
    <s v="Mejoramiento de la subrasante con suelo seleccionado"/>
    <s v="m3"/>
    <n v="5.92"/>
    <n v="118"/>
    <d v="2014-01-01T00:00:00"/>
    <d v="2014-01-31T00:00:00"/>
    <s v="EJECUTADO"/>
    <n v="698.56"/>
    <m/>
    <m/>
    <m/>
  </r>
  <r>
    <m/>
    <m/>
    <x v="0"/>
    <m/>
    <s v="MANTENIMIENTO DE LA VIA MALACATOS-SAN JOSE DE LAS PEÑAS, LONGITUD 3,00 KM"/>
    <x v="3"/>
    <x v="15"/>
    <s v="MALACATOS"/>
    <s v="AD. DIRECTA"/>
    <s v="VIALSUR"/>
    <m/>
    <m/>
    <n v="0"/>
    <s v="Transporte de material de mejoramiento, base , sub-base "/>
    <s v="M3-KM"/>
    <n v="0.3"/>
    <n v="1416"/>
    <d v="2014-01-01T00:00:00"/>
    <d v="2014-01-31T00:00:00"/>
    <s v="EJECUTADO"/>
    <n v="424.8"/>
    <m/>
    <m/>
    <m/>
  </r>
  <r>
    <m/>
    <m/>
    <x v="1"/>
    <s v="MANTENIMIENTO DE LA VIA TANQUE DE COLA - PUENTE SANTO DOMINGO, LONGITUD 3,00 KM"/>
    <s v="MANTENIMIENTO DE LA VIA TANQUE DE COLA - PUENTE SANTO DOMINGO, LONGITUD 3,00 KM"/>
    <x v="3"/>
    <x v="15"/>
    <s v="MALACATOS"/>
    <s v="AD. DIRECTA"/>
    <s v="VIALSUR"/>
    <n v="3"/>
    <n v="3.28"/>
    <n v="2611"/>
    <s v="Reconformación de la rasante"/>
    <s v="m2"/>
    <n v="0.35"/>
    <n v="18000"/>
    <d v="2014-01-01T00:00:00"/>
    <d v="2014-01-31T00:00:00"/>
    <s v="EJECUTADO"/>
    <n v="6300"/>
    <m/>
    <m/>
    <n v="20880"/>
  </r>
  <r>
    <m/>
    <m/>
    <x v="0"/>
    <m/>
    <s v="MANTENIMIENTO DE LA VIA TANQUE DE COLA - PUENTE SANTO DOMINGO, LONGITUD 3,00 KM"/>
    <x v="3"/>
    <x v="15"/>
    <s v="MALACATOS"/>
    <s v="AD. DIRECTA"/>
    <s v="VIALSUR"/>
    <m/>
    <m/>
    <n v="0"/>
    <s v="Excavación sin clasificar a máquina"/>
    <s v="m3"/>
    <n v="1.62"/>
    <n v="9000"/>
    <d v="2014-01-01T00:00:00"/>
    <d v="2014-01-31T00:00:00"/>
    <s v="EJECUTADO"/>
    <n v="14580"/>
    <m/>
    <m/>
    <m/>
  </r>
  <r>
    <m/>
    <m/>
    <x v="1"/>
    <s v="MANTENIMIENTO DE LAS VIAS DE LA PARROQUIA YANGANA, TRAMO YANGANA-PUENTE MASANAMACA, LONGITUD 26,00 KM"/>
    <s v="MANTENIMIENTO DE LAS VIAS DE LA PARROQUIA YANGANA, TRAMO YANGANA-PUENTE MASANAMACA, LONGITUD 26,00 KM"/>
    <x v="3"/>
    <x v="15"/>
    <s v="YANGANA"/>
    <s v="AD. DIRECTA"/>
    <s v="VIALSUR"/>
    <n v="26"/>
    <n v="29.1"/>
    <n v="449"/>
    <s v="Reconformación de la rasante"/>
    <s v="m2"/>
    <n v="0.35"/>
    <n v="160002"/>
    <d v="2014-01-01T00:00:00"/>
    <d v="2014-02-28T00:00:00"/>
    <s v="EJECUTADO"/>
    <n v="56000.7"/>
    <m/>
    <m/>
    <n v="104885.34000000001"/>
  </r>
  <r>
    <m/>
    <m/>
    <x v="0"/>
    <m/>
    <s v="MANTENIMIENTO DE LAS VIAS DE LA PARROQUIA YANGANA, TRAMO YANGANA-PUENTE MASANAMACA, LONGITUD 26,00 KM"/>
    <x v="3"/>
    <x v="15"/>
    <s v="YANGANA"/>
    <s v="AD. DIRECTA"/>
    <s v="VIALSUR"/>
    <m/>
    <n v="4.47"/>
    <n v="0"/>
    <s v="Mejoramiento de la subrasante con suelo seleccionado"/>
    <s v="m3"/>
    <n v="5.92"/>
    <n v="4920"/>
    <d v="2014-01-01T00:00:00"/>
    <d v="2014-02-28T00:00:00"/>
    <s v="EJECUTADO"/>
    <n v="29126.400000000001"/>
    <m/>
    <m/>
    <m/>
  </r>
  <r>
    <m/>
    <m/>
    <x v="0"/>
    <m/>
    <s v="MANTENIMIENTO DE LAS VIAS DE LA PARROQUIA YANGANA, TRAMO YANGANA-PUENTE MASANAMACA, LONGITUD 26,00 KM"/>
    <x v="3"/>
    <x v="15"/>
    <s v="YANGANA"/>
    <s v="AD. DIRECTA"/>
    <s v="VIALSUR"/>
    <m/>
    <m/>
    <n v="0"/>
    <s v="Transporte de material de mejoramiento, base , sub-base "/>
    <s v="M3-KM"/>
    <n v="0.3"/>
    <n v="40200"/>
    <d v="2014-01-01T00:00:00"/>
    <d v="2014-02-28T00:00:00"/>
    <s v="EJECUTADO"/>
    <n v="12060"/>
    <m/>
    <m/>
    <m/>
  </r>
  <r>
    <m/>
    <m/>
    <x v="0"/>
    <m/>
    <s v="MANTENIMIENTO DE LAS VIAS DE LA PARROQUIA YANGANA, TRAMO YANGANA-PUENTE MASANAMACA, LONGITUD 26,00 KM"/>
    <x v="3"/>
    <x v="15"/>
    <s v="YANGANA"/>
    <s v="AD. DIRECTA"/>
    <s v="VIALSUR"/>
    <m/>
    <m/>
    <n v="0"/>
    <s v="Excavación sin clasificar a máquina"/>
    <s v="m3"/>
    <n v="1.62"/>
    <n v="4752"/>
    <d v="2014-02-03T00:00:00"/>
    <d v="2014-04-15T00:00:00"/>
    <s v="EJECUTADO"/>
    <n v="7698.24"/>
    <m/>
    <m/>
    <m/>
  </r>
  <r>
    <m/>
    <m/>
    <x v="1"/>
    <s v="MEJORAMIENTO  DE LAS CALLES Y VIAS DE LOS BARRIOS PERIFERICOS DE LA CIUDAD DE LOJA, LONGITUD 180 KM CONVENIO NRO. 131-DPS-2013 APORTES GPL - GADMLOJA - VIALSUR.EP, Contrato original sie nro 582 $ 161 921.96  del 15 de agosto al 18 de enero del 2014, concluido 100 % y pagado."/>
    <s v="MEJORAMIENTO  DE LAS CALLES Y VIAS DE LOS BARRIOS PERIFERICOS DE LA CIUDAD DE LOJA, LONGITUD 180 KM CONVENIO NRO. 131-DPS-2013 APORTES GPL - GADMLOJA - VIALSUR.EP, Contrato original sie nro 582 $ 161 921.96  del 15 de agosto al 18 de enero del 2014, concluido 100 % y pagado."/>
    <x v="3"/>
    <x v="15"/>
    <s v="LOJA"/>
    <s v="CONVENIO"/>
    <s v="VIALSUR"/>
    <n v="180"/>
    <m/>
    <n v="20662"/>
    <s v="Cargada de material inadecuado a máquina"/>
    <s v="m3"/>
    <n v="0.6"/>
    <m/>
    <d v="2014-01-01T00:00:00"/>
    <d v="2014-01-31T00:00:00"/>
    <s v="EJECUTADO"/>
    <n v="0"/>
    <n v="454123.94"/>
    <n v="45935.25"/>
    <n v="241.06"/>
  </r>
  <r>
    <m/>
    <m/>
    <x v="0"/>
    <m/>
    <s v="MEJORAMIENTO  DE LAS CALLES Y VIAS DE LOS BARRIOS PERIFERICOS DE LA CIUDAD DE LOJA, LONGITUD 180 KM CONVENIO NRO. 131-DPS-2013 APORTES GPL - GADMLOJA - VIALSUR.EP, Contrato original sie nro 582 $ 161 921.96  del 15 de agosto al 18 de enero del 2014, concluido 100 % y pagado."/>
    <x v="3"/>
    <x v="15"/>
    <s v="LOJA"/>
    <s v="CONVENIO"/>
    <s v="VIALSUR"/>
    <m/>
    <m/>
    <n v="0"/>
    <s v="Transporte de material de mejoramiento, distancia 0 a 5,00 Km"/>
    <s v="m3"/>
    <n v="0.81"/>
    <n v="297.60000000000002"/>
    <d v="2014-01-01T00:00:00"/>
    <d v="2014-02-28T00:00:00"/>
    <s v="EJECUTADO"/>
    <n v="241.06"/>
    <m/>
    <m/>
    <m/>
  </r>
  <r>
    <m/>
    <m/>
    <x v="1"/>
    <m/>
    <s v="MEJORAMIENTO  DE LAS CALLES Y VIAS DE LOS BARRIOS PERIFERICOS DE LA CIUDAD DE LOJA, LONGITUD 180 KM CONVENIO NRO. 131-DPS-2013 APORTES GPL - GADMLOJA - VIALSUR.EP, Contrato original sie nro 582 $ 161 921.96  del 15 de agosto al 18 de enero del 2014, concluido 100 % y pagado."/>
    <x v="3"/>
    <x v="15"/>
    <s v="LOJA"/>
    <s v="CONVENIO"/>
    <s v="VIALSUR"/>
    <m/>
    <m/>
    <n v="0"/>
    <s v="Alquiler de excavadora"/>
    <s v="Horas"/>
    <n v="45"/>
    <m/>
    <d v="2014-01-01T00:00:00"/>
    <d v="2014-01-31T00:00:00"/>
    <s v="EJECUTADO"/>
    <n v="0"/>
    <m/>
    <m/>
    <n v="0"/>
  </r>
  <r>
    <m/>
    <m/>
    <x v="1"/>
    <m/>
    <s v="MEJORAMIENTO  DE LAS CALLES Y VIAS DE LOS BARRIOS PERIFERICOS DE LA CIUDAD DE LOJA, LONGITUD 180 KM CONVENIO NRO. 131-DPS-2013 APORTES GPL - GADMLOJA - VIALSUR.EP, Contrato original sie nro 582 $ 161 921.96  del 15 de agosto al 18 de enero del 2014, concluido 100 % y pagado."/>
    <x v="3"/>
    <x v="15"/>
    <s v="LOJA"/>
    <s v="CONVENIO"/>
    <s v="VIALSUR"/>
    <m/>
    <n v="0"/>
    <n v="0"/>
    <s v="Acabado de Obra Básica existente"/>
    <s v="Horas"/>
    <n v="50.6"/>
    <m/>
    <d v="2014-01-01T00:00:00"/>
    <d v="2014-02-28T00:00:00"/>
    <s v="EJECUTADO"/>
    <n v="0"/>
    <m/>
    <m/>
    <n v="0"/>
  </r>
  <r>
    <m/>
    <m/>
    <x v="1"/>
    <m/>
    <s v="MEJORAMIENTO  DE LAS CALLES Y VIAS DE LOS BARRIOS PERIFERICOS DE LA CIUDAD DE LOJA, LONGITUD 180 KM CONVENIO NRO. 131-DPS-2013 APORTES GPL - GADMLOJA - VIALSUR.EP, Contrato original sie nro 582 $ 161 921.96  del 15 de agosto al 18 de enero del 2014, concluido 100 % y pagado."/>
    <x v="3"/>
    <x v="15"/>
    <s v="LOJA"/>
    <s v="CONVENIO"/>
    <s v="VIALSUR"/>
    <m/>
    <m/>
    <n v="0"/>
    <s v="Letrero de identificación"/>
    <s v="UNIDAD"/>
    <n v="704.58"/>
    <m/>
    <d v="2014-01-01T00:00:00"/>
    <d v="2014-01-31T00:00:00"/>
    <s v="EJECUTADO"/>
    <n v="0"/>
    <m/>
    <m/>
    <n v="0"/>
  </r>
  <r>
    <m/>
    <m/>
    <x v="0"/>
    <s v="MANTENTENIMIENTO DE CALLES Y VIAS DE LOS BARRIOS PERIFERICOS DE LA CIUDAD DE LOJA (CONTRATO CIA. JARAMILLO CONSTRUCTORA)"/>
    <s v="MANTENTENIMIENTO DE CALLES Y VIAS DE LOS BARRIOS PERIFERICOS DE LA CIUDAD DE LOJA (CONTRATO CIA. JARAMILLO CONSTRUCTORA)"/>
    <x v="3"/>
    <x v="15"/>
    <s v="LOJA"/>
    <s v="CONTRATO"/>
    <s v="CIA. JARAMILLO"/>
    <m/>
    <m/>
    <n v="0"/>
    <s v="Transporte de material de mejoramiento, distancia mayor a 5,00 Km"/>
    <s v="M3-KM"/>
    <n v="0.24"/>
    <n v="86140.05"/>
    <d v="2014-01-01T00:00:00"/>
    <d v="2014-05-31T00:00:00"/>
    <s v="EJECUTADO"/>
    <n v="20673.61"/>
    <m/>
    <m/>
    <n v="20673.61"/>
  </r>
  <r>
    <s v="18"/>
    <s v="EJECUTADO"/>
    <x v="8"/>
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<x v="3"/>
    <x v="15"/>
    <s v="MALACATOS"/>
    <s v="CONTRATO"/>
    <s v="VIALSUR"/>
    <n v="4"/>
    <m/>
    <n v="2611"/>
    <s v="Asfalto para riego de imprimación"/>
    <s v="Lit."/>
    <n v="0.6"/>
    <n v="54000"/>
    <d v="2014-01-01T00:00:00"/>
    <d v="2014-04-30T00:00:00"/>
    <s v="EJECUTADO"/>
    <n v="32400"/>
    <m/>
    <m/>
    <n v="505662.16"/>
  </r>
  <r>
    <m/>
    <m/>
    <x v="8"/>
    <m/>
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<x v="3"/>
    <x v="15"/>
    <s v="MALACATOS"/>
    <s v="CONTRATO"/>
    <s v="VIALSUR"/>
    <m/>
    <m/>
    <n v="0"/>
    <s v="Hormigón estructural Clase C f´c=180 kg/cm2 , cunetas y canales"/>
    <s v="m3"/>
    <n v="130.65"/>
    <n v="900.52"/>
    <d v="2014-03-01T00:00:00"/>
    <d v="2014-04-30T00:00:00"/>
    <s v="EJECUTADO"/>
    <n v="117652.94"/>
    <m/>
    <m/>
    <m/>
  </r>
  <r>
    <m/>
    <m/>
    <x v="8"/>
    <m/>
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<x v="3"/>
    <x v="15"/>
    <s v="MALACATOS"/>
    <s v="CONTRATO"/>
    <s v="VIALSUR"/>
    <m/>
    <m/>
    <n v="0"/>
    <s v="Señalización Horizontal"/>
    <s v="ml"/>
    <n v="0.49"/>
    <n v="11751"/>
    <d v="2014-06-01T00:00:00"/>
    <d v="2014-07-31T00:00:00"/>
    <s v="EJECUTADO"/>
    <n v="5757.99"/>
    <m/>
    <m/>
    <m/>
  </r>
  <r>
    <m/>
    <m/>
    <x v="8"/>
    <m/>
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<x v="3"/>
    <x v="15"/>
    <s v="MALACATOS"/>
    <s v="CONTRATO"/>
    <s v="VIALSUR"/>
    <m/>
    <m/>
    <n v="0"/>
    <s v="Tachas Reflectivas"/>
    <s v="UNIDAD"/>
    <n v="8.33"/>
    <n v="450"/>
    <d v="2014-06-01T00:00:00"/>
    <d v="2014-07-31T00:00:00"/>
    <s v="EJECUTADO"/>
    <n v="3748.5"/>
    <m/>
    <m/>
    <m/>
  </r>
  <r>
    <m/>
    <m/>
    <x v="8"/>
    <m/>
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<x v="3"/>
    <x v="15"/>
    <s v="MALACATOS"/>
    <s v="CONTRATO"/>
    <s v="VIALSUR"/>
    <m/>
    <m/>
    <n v="0"/>
    <s v="Barandas Reflectivas"/>
    <s v="UNIDAD"/>
    <n v="10"/>
    <n v="471"/>
    <d v="2014-06-01T00:00:00"/>
    <d v="2014-07-31T00:00:00"/>
    <s v="EJECUTADO"/>
    <n v="4710"/>
    <m/>
    <m/>
    <m/>
  </r>
  <r>
    <m/>
    <m/>
    <x v="8"/>
    <m/>
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<x v="3"/>
    <x v="15"/>
    <s v="MALACATOS"/>
    <s v="CONTRATO"/>
    <s v="VIALSUR"/>
    <m/>
    <m/>
    <m/>
    <s v="DIFERENCIA PARA COMPLEMENTAR LA INVERSIÓN Y CANCELADA HASTA MAYO 2014"/>
    <s v="GBL"/>
    <n v="1"/>
    <n v="254902.72999999998"/>
    <d v="2014-06-01T00:00:00"/>
    <d v="2014-07-31T00:00:00"/>
    <s v="EJECUTADO"/>
    <n v="254902.72999999998"/>
    <m/>
    <m/>
    <m/>
  </r>
  <r>
    <m/>
    <m/>
    <x v="8"/>
    <m/>
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<x v="3"/>
    <x v="15"/>
    <s v="MALACATOS"/>
    <s v="CONTRATO"/>
    <s v="VIALSUR"/>
    <m/>
    <n v="4.3099999999999996"/>
    <n v="0"/>
    <s v="Doble tratamiento superficial bituminoso"/>
    <s v="m2"/>
    <n v="2.79"/>
    <n v="31000"/>
    <d v="2014-01-01T00:00:00"/>
    <d v="2014-04-30T00:00:00"/>
    <s v="EJECUTADO"/>
    <n v="86490"/>
    <m/>
    <m/>
    <m/>
  </r>
  <r>
    <m/>
    <m/>
    <x v="1"/>
    <s v="MANTENIMIEMTO RUTINARIO VAL EN LOS CANTONES LOJA Y SARAGURO (CONTRATO SIE N° 822 SUSCRITO CON EL ING. MANUEL PICOITA), LONGITUD 200 KM; Resanteo de vía con motoniveladora en las vías de las parroquias Celén, Selva Alegre, Lluzhapa, Yuluc y Sumaipamba, cantón Saraguro"/>
    <s v="MANTENIMIEMTO RUTINARIO VAL EN LOS CANTONES LOJA Y SARAGURO (CONTRATO SIE N° 822 SUSCRITO CON EL ING. MANUEL PICOITA), LONGITUD 200 KM; Resanteo de vía con motoniveladora en las vías de las parroquias Celén, Selva Alegre, Lluzhapa, Yuluc y Sumaipamba, cantón Saraguro"/>
    <x v="3"/>
    <x v="14"/>
    <s v="LLUZHAPA"/>
    <s v="CONTRATO"/>
    <s v="ING. MANUEL PICOITA"/>
    <n v="100"/>
    <n v="49.98"/>
    <n v="1258"/>
    <s v="Rasanteo y conformacion de cunetas con motoniveladora"/>
    <s v="m2"/>
    <n v="6.8093799999999996E-2"/>
    <n v="274850"/>
    <d v="2014-01-01T00:00:00"/>
    <d v="2014-03-31T00:00:00"/>
    <s v="EJECUTADO"/>
    <n v="18715.580000000002"/>
    <m/>
    <m/>
    <n v="18715.580000000002"/>
  </r>
  <r>
    <s v="19"/>
    <s v="EJECUTADO"/>
    <x v="2"/>
    <s v="TERMINACION PROYECTO VIAL VILCABAMBA-LINDEROS-MOYOCOCHA (OBRAS DE ARTE Y SEÑALIZACION, CONTRATISTA ING. MAXIMO CASTRO), fecha de suscripción contrato 5 de febrero del 2014, entrega el anticipo 7 de marzo del 2014 40 % del monto del contrato."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x v="15"/>
    <s v="VILCABAMBA "/>
    <s v="CONTRATO"/>
    <s v="ING. MAXIMO CASTRO"/>
    <m/>
    <m/>
    <n v="0"/>
    <s v="Hormigon coclopeo F´c 180 Kg / cm 2( 60%)H. Simple"/>
    <s v="m3"/>
    <n v="135.74"/>
    <n v="2094.2800000000002"/>
    <d v="2014-03-01T00:00:00"/>
    <d v="2014-07-31T00:00:00"/>
    <s v="EJECUTADO"/>
    <n v="284277.57"/>
    <m/>
    <m/>
    <n v="809288.37999999989"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x v="15"/>
    <s v="VILCABAMBA "/>
    <s v="CONTRATO"/>
    <s v="ING. MAXIMO CASTRO"/>
    <m/>
    <m/>
    <n v="0"/>
    <s v="Hormigon simple F´c 180 Kg / cm 2"/>
    <s v="m3"/>
    <n v="174.39"/>
    <n v="1916.28"/>
    <d v="2014-03-01T00:00:00"/>
    <d v="2014-07-31T00:00:00"/>
    <s v="EJECUTADO"/>
    <n v="334180.07"/>
    <m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x v="15"/>
    <s v="VILCABAMBA "/>
    <s v="CONTRATO"/>
    <s v="ING. MAXIMO CASTRO"/>
    <m/>
    <m/>
    <n v="0"/>
    <s v="EXCAVACIÓN PARA CUNETAS Y ENCAUZAMIENTOS, A MÁQUINA D/L=200M"/>
    <s v="m3"/>
    <n v="9.5"/>
    <n v="7489.95"/>
    <d v="2014-03-01T00:00:00"/>
    <d v="2014-07-31T00:00:00"/>
    <s v="EJECUTADO"/>
    <n v="71154.53"/>
    <m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x v="15"/>
    <s v="VILCABAMBA "/>
    <s v="CONTRATO"/>
    <s v="ING. MAXIMO CASTRO"/>
    <m/>
    <m/>
    <n v="0"/>
    <s v="Excavación de suelo a mano cimientos de Piedra"/>
    <s v="m3"/>
    <n v="9.5"/>
    <n v="220.3"/>
    <d v="2014-03-01T00:00:00"/>
    <d v="2014-07-31T00:00:00"/>
    <s v="EJECUTADO"/>
    <n v="2092.85"/>
    <m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x v="15"/>
    <s v="VILCABAMBA "/>
    <s v="CONTRATO"/>
    <s v="ING. MAXIMO CASTRO"/>
    <m/>
    <m/>
    <n v="0"/>
    <s v="Relleno compactado"/>
    <s v="m3"/>
    <n v="6.44"/>
    <n v="1549.04"/>
    <d v="2014-04-01T00:00:00"/>
    <d v="2014-05-31T00:00:00"/>
    <s v="EJECUTADO"/>
    <n v="9975.82"/>
    <m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x v="15"/>
    <s v="VILCABAMBA "/>
    <s v="CONTRATO"/>
    <s v="ING. MAXIMO CASTRO"/>
    <m/>
    <m/>
    <n v="0"/>
    <s v="Transporte de material mayor a 5 km"/>
    <s v="M3-KM"/>
    <n v="0.3"/>
    <n v="40912.31"/>
    <d v="2014-07-01T00:00:00"/>
    <d v="2014-07-31T00:00:00"/>
    <s v="EJECUTADO"/>
    <n v="12273.69"/>
    <m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x v="15"/>
    <s v="VILCABAMBA "/>
    <s v="CONTRATO"/>
    <s v="ING. MAXIMO CASTRO"/>
    <m/>
    <m/>
    <n v="0"/>
    <s v="Letrero de Señalización de 2,4 x 4,80 m"/>
    <s v="UNIDAD"/>
    <n v="913.74"/>
    <n v="2"/>
    <d v="2014-09-01T00:00:00"/>
    <d v="2014-09-30T00:00:00"/>
    <s v="EJECUTADO"/>
    <n v="1827.48"/>
    <m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x v="15"/>
    <s v="VILCABAMBA "/>
    <s v="CONTRATO"/>
    <s v="ING. MAXIMO CASTRO"/>
    <m/>
    <m/>
    <n v="0"/>
    <s v="Pintura de Pavimento ancho 10 cm"/>
    <s v="m2"/>
    <n v="0.53"/>
    <n v="37814.230000000003"/>
    <d v="2014-09-01T00:00:00"/>
    <s v="31/09/2014"/>
    <s v="EN EJECUCION"/>
    <n v="20041.54"/>
    <m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x v="15"/>
    <s v="VILCABAMBA "/>
    <s v="CONTRATO"/>
    <s v="ING. MAXIMO CASTRO"/>
    <m/>
    <m/>
    <n v="0"/>
    <s v="Letrero de señalización de 0.75 X 0.75"/>
    <s v="UNIDAD"/>
    <n v="176.44"/>
    <n v="204"/>
    <d v="2014-04-01T00:00:00"/>
    <d v="2014-04-30T00:00:00"/>
    <s v="EJECUTADO"/>
    <n v="35993.760000000002"/>
    <m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x v="15"/>
    <s v="VILCABAMBA "/>
    <s v="CONTRATO"/>
    <s v="ING. MAXIMO CASTRO"/>
    <m/>
    <m/>
    <n v="0"/>
    <s v="Acero refuerzo fy= 4200 kg/cm2 ( Suminostro y colocación )"/>
    <s v="kg"/>
    <n v="2.19"/>
    <n v="1002.5"/>
    <d v="2014-07-01T00:00:00"/>
    <d v="2014-07-31T00:00:00"/>
    <s v="EJECUTADO"/>
    <n v="2195.48"/>
    <m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x v="15"/>
    <s v="VILCABAMBA "/>
    <s v="CONTRATO"/>
    <s v="ING. MAXIMO CASTRO"/>
    <m/>
    <m/>
    <n v="0"/>
    <s v="Hormigón estructural"/>
    <s v="m3"/>
    <n v="194.99"/>
    <n v="24.47"/>
    <d v="2014-07-01T00:00:00"/>
    <d v="2014-07-31T00:00:00"/>
    <s v="EJECUTADO"/>
    <n v="4771.41"/>
    <m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x v="15"/>
    <s v="VILCABAMBA "/>
    <s v="CONTRATO"/>
    <s v="ING. MAXIMO CASTRO"/>
    <m/>
    <m/>
    <n v="0"/>
    <s v="Replanteo y Nivelación con aparatos ( Edificaciones) O.T. #2"/>
    <s v="m2"/>
    <n v="0.83"/>
    <n v="1122.57"/>
    <d v="2014-07-01T00:00:00"/>
    <d v="2014-07-31T00:00:00"/>
    <s v="EJECUTADO"/>
    <n v="931.73"/>
    <m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x v="15"/>
    <s v="VILCABAMBA "/>
    <s v="CONTRATO"/>
    <s v="ING. MAXIMO CASTRO"/>
    <m/>
    <m/>
    <n v="0"/>
    <s v="Replanteo y Nivelación con aparatos ( Edificaciones) O.T. #1"/>
    <s v="m2"/>
    <n v="548.87"/>
    <n v="9.64"/>
    <d v="2014-07-01T00:00:00"/>
    <d v="2014-07-31T00:00:00"/>
    <s v="EJECUTADO"/>
    <n v="5291.11"/>
    <m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x v="15"/>
    <s v="VILCABAMBA "/>
    <s v="CONTRATO"/>
    <s v="ING. MAXIMO CASTRO"/>
    <m/>
    <m/>
    <n v="0"/>
    <s v="Rosa a Mano"/>
    <s v="Ha"/>
    <n v="903"/>
    <n v="4.8600000000000003"/>
    <d v="2014-07-01T00:00:00"/>
    <d v="2014-07-31T00:00:00"/>
    <s v="EJECUTADO"/>
    <n v="4388.58"/>
    <m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x v="15"/>
    <s v="VILCABAMBA "/>
    <s v="CONTRATO"/>
    <s v="ING. MAXIMO CASTRO"/>
    <m/>
    <m/>
    <n v="0"/>
    <s v="Acero refuerzo fy= 4200 kg/cm2 ( Suminostro y colocación )"/>
    <s v="kg"/>
    <n v="2.23"/>
    <n v="3630.82"/>
    <d v="2014-07-01T00:00:00"/>
    <d v="2014-07-31T00:00:00"/>
    <s v="EJECUTADO"/>
    <n v="8096.73"/>
    <m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x v="15"/>
    <s v="VILCABAMBA "/>
    <s v="CONTRATO"/>
    <s v="ING. MAXIMO CASTRO"/>
    <m/>
    <m/>
    <n v="0"/>
    <s v="Excavación sin clasificar no incluye desalojo"/>
    <s v="m3"/>
    <n v="1.62"/>
    <n v="133.94999999999999"/>
    <d v="2014-03-01T00:00:00"/>
    <d v="2014-07-31T00:00:00"/>
    <s v="EJECUTADO"/>
    <n v="217"/>
    <m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x v="15"/>
    <s v="VILCABAMBA "/>
    <s v="CONTRATO"/>
    <s v="ING. MAXIMO CASTRO"/>
    <m/>
    <m/>
    <n v="0"/>
    <s v="Relleno compactado con material de sitio"/>
    <s v="m3"/>
    <n v="8.11"/>
    <n v="44"/>
    <d v="2014-03-01T00:00:00"/>
    <d v="2014-07-31T00:00:00"/>
    <s v="EJECUTADO"/>
    <n v="356.84"/>
    <m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x v="15"/>
    <s v="VILCABAMBA "/>
    <s v="CONTRATO"/>
    <s v="ING. MAXIMO CASTRO"/>
    <m/>
    <m/>
    <n v="0"/>
    <s v="Relleno compactado con material granular"/>
    <s v="m3"/>
    <n v="9.9600000000000009"/>
    <n v="238.61"/>
    <d v="2014-03-01T00:00:00"/>
    <d v="2014-07-31T00:00:00"/>
    <s v="EJECUTADO"/>
    <n v="2376.56"/>
    <m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x v="15"/>
    <s v="VILCABAMBA "/>
    <s v="CONTRATO"/>
    <s v="ING. MAXIMO CASTRO"/>
    <m/>
    <m/>
    <n v="0"/>
    <s v="Hormigón Estructural f´c=210 kg/cm2 I/E"/>
    <s v="m3"/>
    <n v="198.68"/>
    <n v="43.41"/>
    <d v="2014-03-01T00:00:00"/>
    <d v="2014-07-31T00:00:00"/>
    <s v="EJECUTADO"/>
    <n v="8624.7000000000007"/>
    <m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x v="15"/>
    <s v="VILCABAMBA "/>
    <s v="CONTRATO"/>
    <s v="ING. MAXIMO CASTRO"/>
    <m/>
    <m/>
    <n v="0"/>
    <s v="Tubería PVC para machinales D=10 cm"/>
    <s v="ml"/>
    <n v="6.07"/>
    <n v="6"/>
    <d v="2014-09-01T00:00:00"/>
    <s v="31/09/2014"/>
    <s v="EN EJECUCION"/>
    <n v="36.42"/>
    <m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x v="15"/>
    <s v="VILCABAMBA "/>
    <s v="CONTRATO"/>
    <s v="ING. MAXIMO CASTRO"/>
    <m/>
    <m/>
    <n v="0"/>
    <s v="Transporte de cemento en camión"/>
    <s v="ton/km"/>
    <n v="0.23"/>
    <n v="656.36"/>
    <d v="2014-09-01T00:00:00"/>
    <s v="31/09/2014"/>
    <s v="EN EJECUCION"/>
    <n v="150.96"/>
    <m/>
    <m/>
    <m/>
  </r>
  <r>
    <m/>
    <m/>
    <x v="2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x v="15"/>
    <s v="VILCABAMBA "/>
    <s v="CONTRATO"/>
    <s v="ING. MAXIMO CASTRO"/>
    <m/>
    <m/>
    <n v="0"/>
    <s v="Transporte de hierro en camión"/>
    <s v="ton/km"/>
    <n v="0.22"/>
    <n v="152.49"/>
    <d v="2014-09-01T00:00:00"/>
    <s v="31/09/2014"/>
    <s v="EN EJECUCION"/>
    <n v="33.549999999999997"/>
    <m/>
    <m/>
    <m/>
  </r>
  <r>
    <m/>
    <m/>
    <x v="1"/>
    <s v="MANTENIMIENTO DE LA VIA SELVA ALEGRE-LLUZHAPA-SUMAIPAMBA L= 40 km."/>
    <s v="MANTENIMIENTO DE LA VIA SELVA ALEGRE-LLUZHAPA-SUMAIPAMBA L= 40 km."/>
    <x v="3"/>
    <x v="14"/>
    <s v="SARAGURO"/>
    <s v="AD. DIRECTA"/>
    <s v="VIALSUR"/>
    <m/>
    <m/>
    <n v="0"/>
    <s v="Limpieza de derrumbes"/>
    <s v="m3"/>
    <n v="1.46"/>
    <n v="9960"/>
    <d v="2014-03-01T00:00:00"/>
    <d v="2014-04-30T00:00:00"/>
    <s v="EJECUTADO"/>
    <n v="14541.6"/>
    <m/>
    <m/>
    <n v="22509.599999999999"/>
  </r>
  <r>
    <m/>
    <m/>
    <x v="0"/>
    <m/>
    <s v="MANTENIMIENTO DE LA VIA SELVA ALEGRE-LLUZHAPA-SUMAIPAMBA L= 40 km."/>
    <x v="3"/>
    <x v="14"/>
    <s v="SARAGURO"/>
    <s v="AD. DIRECTA"/>
    <s v="VIALSUR"/>
    <m/>
    <m/>
    <n v="0"/>
    <s v="Relleno con material granular"/>
    <s v="m3"/>
    <n v="9.9600000000000009"/>
    <n v="800"/>
    <d v="2014-03-01T00:00:00"/>
    <d v="2014-04-30T00:00:00"/>
    <s v="EJECUTADO"/>
    <n v="7968"/>
    <m/>
    <m/>
    <m/>
  </r>
  <r>
    <m/>
    <m/>
    <x v="1"/>
    <s v="MANTENIMIENTO DE LA VIA EL CISNE - GUALEL - CHUQUIRIBAMBA  L=22 km."/>
    <s v="MANTENIMIENTO DE LA VIA EL CISNE - GUALEL - CHUQUIRIBAMBA  L=22 km."/>
    <x v="3"/>
    <x v="15"/>
    <s v="LOJA"/>
    <s v="AD. DIRECTA"/>
    <s v="VIALSUR"/>
    <m/>
    <m/>
    <n v="0"/>
    <s v="Limpieza de derrumbes"/>
    <s v="m3"/>
    <n v="1.46"/>
    <n v="14400"/>
    <d v="2014-03-01T00:00:00"/>
    <d v="2014-03-31T00:00:00"/>
    <s v="EJECUTADO"/>
    <n v="21024"/>
    <m/>
    <m/>
    <n v="21024"/>
  </r>
  <r>
    <m/>
    <m/>
    <x v="1"/>
    <s v="MANTENIMIENTO DE LA VIA EL CISNE - GUALEL - CHUQUIRIBAMBA  L=22 km."/>
    <s v="MANTENIMIENTO DE LA VIA EL CISNE - GUALEL - CHUQUIRIBAMBA  L=22 km."/>
    <x v="3"/>
    <x v="15"/>
    <s v="LOJA"/>
    <s v="AD. DIRECTA"/>
    <s v="VIALSUR"/>
    <m/>
    <m/>
    <n v="0"/>
    <s v="Reconformación de la rasante con motoniveladora"/>
    <s v="m2"/>
    <n v="0.08"/>
    <n v="85000"/>
    <d v="2014-12-01T00:00:00"/>
    <d v="2014-12-24T00:00:00"/>
    <s v="EN EJECUCION"/>
    <n v="6800"/>
    <m/>
    <m/>
    <n v="6800"/>
  </r>
  <r>
    <m/>
    <m/>
    <x v="1"/>
    <s v="MANTENIMIENTO DE LA VÍA EL CISNE - AMBOCAS L=24 km."/>
    <s v="MANTENIMIENTO DE LA VÍA EL CISNE - AMBOCAS L=24 km."/>
    <x v="3"/>
    <x v="15"/>
    <s v="LOJA"/>
    <s v="AD. DIRECTA"/>
    <s v="VIALSUR"/>
    <m/>
    <m/>
    <n v="0"/>
    <s v="Limpieza de derrumbes"/>
    <s v="m3"/>
    <n v="1.46"/>
    <n v="5000"/>
    <d v="2014-03-01T00:00:00"/>
    <d v="2014-04-30T00:00:00"/>
    <s v="EJECUTADO"/>
    <n v="7300"/>
    <m/>
    <m/>
    <n v="11679.4"/>
  </r>
  <r>
    <m/>
    <m/>
    <x v="0"/>
    <m/>
    <s v="MANTENIMIENTO DE LA VÍA EL CISNE - AMBOCAS L=24 km."/>
    <x v="3"/>
    <x v="15"/>
    <s v="LOJA"/>
    <s v="AD. DIRECTA"/>
    <s v="VIALSUR"/>
    <m/>
    <m/>
    <n v="0"/>
    <s v="Relleno  Compactado"/>
    <s v="m3"/>
    <n v="8.11"/>
    <n v="540"/>
    <d v="2014-04-01T00:00:00"/>
    <d v="2014-04-30T00:00:00"/>
    <s v="EJECUTADO"/>
    <n v="4379.3999999999996"/>
    <m/>
    <m/>
    <m/>
  </r>
  <r>
    <m/>
    <m/>
    <x v="1"/>
    <s v="MANTENIMIENTPO DE LA VIA SAN PEDRO DE VILCABAMBA - SACAPO L=3,00 KM"/>
    <s v="MANTENIMIENTPO DE LA VIA SAN PEDRO DE VILCABAMBA - SACAPO L=3,00 KM"/>
    <x v="3"/>
    <x v="15"/>
    <s v="LOJA"/>
    <s v="AD. DIRECTA"/>
    <s v="VIALSUR"/>
    <n v="3"/>
    <m/>
    <n v="20662"/>
    <s v="Limpieza de derrumbes"/>
    <s v="m3"/>
    <n v="1.03"/>
    <n v="864"/>
    <d v="2014-12-01T00:00:00"/>
    <d v="2014-12-24T00:00:00"/>
    <s v="EN EJECUCION"/>
    <n v="889.92"/>
    <m/>
    <m/>
    <n v="889.92"/>
  </r>
  <r>
    <m/>
    <m/>
    <x v="1"/>
    <s v="MANTENIMIENTO DE VIAS DE PARROQUIA MALACATOS SAN FRANCISCO BAJO - SAN FRANCISCOALTO-BELEN "/>
    <s v="MANTENIMIENTO DE VIAS DE PARROQUIA MALACATOS SAN FRANCISCO BAJO - SAN FRANCISCOALTO-BELEN "/>
    <x v="3"/>
    <x v="15"/>
    <s v="LOJA"/>
    <s v="AD. DIRECTA"/>
    <s v="VIALSUR"/>
    <n v="5.8"/>
    <n v="9.6"/>
    <n v="20662"/>
    <s v="Reconformación de la rasante"/>
    <s v="m2"/>
    <n v="0.35"/>
    <n v="52800"/>
    <d v="2014-03-01T00:00:00"/>
    <d v="2014-04-30T00:00:00"/>
    <s v="EJECUTADO"/>
    <n v="18480"/>
    <m/>
    <m/>
    <n v="49678.079999999994"/>
  </r>
  <r>
    <m/>
    <m/>
    <x v="0"/>
    <m/>
    <s v="MANTENIMIENTO DE VIAS DE PARROQUIA MALACATOS SAN FRANCISCO BAJO - SAN FRANCISCOALTO-BELEN "/>
    <x v="3"/>
    <x v="15"/>
    <s v="LOJA"/>
    <s v="AD. DIRECTA"/>
    <s v="VIALSUR"/>
    <m/>
    <n v="3.27"/>
    <n v="0"/>
    <s v="Mejoramiento de la subrasante con suelo seleccionado"/>
    <s v="m3"/>
    <n v="5.92"/>
    <n v="3600"/>
    <d v="2014-03-01T00:00:00"/>
    <d v="2014-04-30T00:00:00"/>
    <s v="EJECUTADO"/>
    <n v="21312"/>
    <m/>
    <m/>
    <m/>
  </r>
  <r>
    <m/>
    <m/>
    <x v="0"/>
    <m/>
    <s v="MANTENIMIENTO DE VIAS DE PARROQUIA MALACATOS SAN FRANCISCO BAJO - SAN FRANCISCOALTO-BELEN "/>
    <x v="3"/>
    <x v="15"/>
    <s v="LOJA"/>
    <s v="AD. DIRECTA"/>
    <s v="VIALSUR"/>
    <m/>
    <m/>
    <n v="0"/>
    <s v="Relleno con material granular"/>
    <s v="m3"/>
    <n v="9.9600000000000009"/>
    <n v="588"/>
    <d v="2014-03-01T00:00:00"/>
    <d v="2014-03-31T00:00:00"/>
    <s v="EJECUTADO"/>
    <n v="5856.48"/>
    <m/>
    <m/>
    <m/>
  </r>
  <r>
    <m/>
    <m/>
    <x v="0"/>
    <m/>
    <s v="MANTENIMIENTO DE VIAS DE PARROQUIA MALACATOS SAN FRANCISCO BAJO - SAN FRANCISCOALTO-BELEN "/>
    <x v="3"/>
    <x v="15"/>
    <s v="LOJA"/>
    <s v="AD. DIRECTA"/>
    <s v="VIALSUR"/>
    <m/>
    <m/>
    <n v="0"/>
    <s v="Transporte de material de mejoramiento, distancia mayor a 5,00 Km"/>
    <s v="M3-KM"/>
    <n v="0.3"/>
    <n v="13432"/>
    <d v="2014-03-01T00:00:00"/>
    <d v="2014-04-30T00:00:00"/>
    <s v="EJECUTADO"/>
    <n v="4029.6"/>
    <m/>
    <m/>
    <m/>
  </r>
  <r>
    <m/>
    <m/>
    <x v="1"/>
    <s v="MANTENIMIENTO DE LA VIA VILLONACO-TAQUIL-CHANTACO-CHUQUIRIBAMBA  L=40 KM."/>
    <s v="MANTENIMIENTO DE LA VIA VILLONACO-TAQUIL-CHANTACO-CHUQUIRIBAMBA  L=40 KM."/>
    <x v="3"/>
    <x v="15"/>
    <s v="TAQUIL"/>
    <s v="AD. DIRECTA"/>
    <s v="VIALSUR"/>
    <n v="10.63"/>
    <n v="47.6"/>
    <n v="2613"/>
    <s v="Reconformación de la rasante"/>
    <s v="m2"/>
    <n v="0.35"/>
    <n v="261800"/>
    <d v="2014-03-01T00:00:00"/>
    <d v="2014-06-30T00:00:00"/>
    <s v="EJECUTADO"/>
    <n v="91630"/>
    <m/>
    <m/>
    <n v="218197.27000000002"/>
  </r>
  <r>
    <m/>
    <m/>
    <x v="0"/>
    <m/>
    <s v="MANTENIMIENTO DE LA VIA VILLONACO-TAQUIL-CHANTACO-CHUQUIRIBAMBA  L=40 KM."/>
    <x v="3"/>
    <x v="15"/>
    <s v="CHANTACO"/>
    <s v="AD. DIRECTA"/>
    <s v="VIALSUR"/>
    <n v="10.63"/>
    <n v="14.87"/>
    <n v="696"/>
    <s v="Mejoramiento de la subrasante con suelo seleccionado S/T h= 20 cm. Incluye explotada"/>
    <s v="m3"/>
    <n v="5.92"/>
    <n v="16356"/>
    <d v="2014-03-01T00:00:00"/>
    <d v="2014-06-30T00:00:00"/>
    <s v="EJECUTADO"/>
    <n v="96827.520000000004"/>
    <m/>
    <m/>
    <m/>
  </r>
  <r>
    <m/>
    <m/>
    <x v="0"/>
    <m/>
    <s v="MANTENIMIENTO DE LA VIA VILLONACO-TAQUIL-CHANTACO-CHUQUIRIBAMBA  L=40 KM."/>
    <x v="3"/>
    <x v="15"/>
    <s v="CHUQUIRIBAMBA"/>
    <s v="AD. DIRECTA"/>
    <s v="VIALSUR"/>
    <n v="10.63"/>
    <m/>
    <n v="1446"/>
    <s v="Transporte de material de mejoramiento, distancia mayor a 5,00 Km"/>
    <s v="M3-KM"/>
    <n v="0.3"/>
    <n v="57760"/>
    <d v="2014-03-01T00:00:00"/>
    <d v="2014-06-30T00:00:00"/>
    <s v="EJECUTADO"/>
    <n v="17328"/>
    <m/>
    <m/>
    <m/>
  </r>
  <r>
    <m/>
    <m/>
    <x v="0"/>
    <m/>
    <s v="MANTENIMIENTO DE LA VIA VILLONACO-TAQUIL-CHANTACO-CHUQUIRIBAMBA  L=40 KM."/>
    <x v="3"/>
    <x v="15"/>
    <s v="CHUQUIRIBAMBA"/>
    <s v="AD. DIRECTA"/>
    <s v="VIALSUR"/>
    <m/>
    <m/>
    <m/>
    <s v="Relleno con material granular"/>
    <s v="m3"/>
    <n v="9.9600000000000009"/>
    <n v="400"/>
    <d v="2014-04-01T00:00:00"/>
    <d v="2014-04-30T00:00:00"/>
    <s v="EJECUTADO"/>
    <n v="3984"/>
    <m/>
    <m/>
    <m/>
  </r>
  <r>
    <m/>
    <m/>
    <x v="3"/>
    <m/>
    <s v="MANTENIMIENTO DE LA VIA VILLONACO-TAQUIL-CHANTACO-CHUQUIRIBAMBA  L=40 KM."/>
    <x v="3"/>
    <x v="15"/>
    <s v="CHUQUIRIBAMBA"/>
    <s v="AD. DIRECTA"/>
    <s v="VIALSUR"/>
    <m/>
    <m/>
    <m/>
    <s v="Alcantarilla de armico D=1.80, e= 2.5 mm"/>
    <s v="ml"/>
    <n v="561.85"/>
    <n v="15"/>
    <d v="2014-04-01T00:00:00"/>
    <d v="2014-04-30T00:00:00"/>
    <s v="EJECUTADO"/>
    <n v="8427.75"/>
    <m/>
    <m/>
    <m/>
  </r>
  <r>
    <m/>
    <m/>
    <x v="0"/>
    <s v="REHABILITACION DE LA VIA LOS MANGOS - CHAQUIRCUÑA L = 7.5 KM"/>
    <s v="REHABILITACION DE LA VIA LOS MANGOS - CHAQUIRCUÑA L = 7.5 KM"/>
    <x v="3"/>
    <x v="15"/>
    <s v="EL CISNE"/>
    <s v="AD. DIRECTA"/>
    <s v="VIALSUR"/>
    <n v="7.5"/>
    <m/>
    <n v="589"/>
    <s v="Enrocado de piedra diámetro mayor a 70 cm."/>
    <s v="m3"/>
    <n v="36.880000000000003"/>
    <n v="700"/>
    <d v="2014-04-01T00:00:00"/>
    <d v="2014-04-30T00:00:00"/>
    <s v="EJECUTADO"/>
    <n v="25816"/>
    <m/>
    <m/>
    <n v="68928"/>
  </r>
  <r>
    <m/>
    <m/>
    <x v="0"/>
    <m/>
    <s v="REHABILITACION DE LA VIA LOS MANGOS - CHAQUIRCUÑA L = 7.5 KM"/>
    <x v="3"/>
    <x v="15"/>
    <s v="EL CISNE"/>
    <s v="AD. DIRECTA"/>
    <s v="VIALSUR"/>
    <m/>
    <m/>
    <n v="0"/>
    <s v="Relleno con material granular"/>
    <s v="m3"/>
    <n v="9.9600000000000009"/>
    <n v="3200"/>
    <d v="2014-04-01T00:00:00"/>
    <d v="2014-04-30T00:00:00"/>
    <s v="EJECUTADO"/>
    <n v="31872"/>
    <m/>
    <m/>
    <m/>
  </r>
  <r>
    <m/>
    <m/>
    <x v="1"/>
    <m/>
    <s v="REHABILITACION DE LA VIA LOS MANGOS - CHAQUIRCUÑA L = 7.5 KM"/>
    <x v="3"/>
    <x v="15"/>
    <s v="EL CISNE"/>
    <s v="AD. DIRECTA"/>
    <s v="VIALSUR"/>
    <m/>
    <m/>
    <n v="0"/>
    <s v="Encauzamiento de río"/>
    <s v="m3"/>
    <n v="2.81"/>
    <n v="4000"/>
    <d v="2014-04-01T00:00:00"/>
    <d v="2014-04-30T00:00:00"/>
    <s v="EJECUTADO"/>
    <n v="11240"/>
    <m/>
    <m/>
    <m/>
  </r>
  <r>
    <m/>
    <m/>
    <x v="1"/>
    <s v="MANTENIMIENTO DE LA VIA SOLAMAR - JIMBILLA L= 17.00 KM."/>
    <s v="MANTENIMIENTO DE LA VIA SOLAMAR - JIMBILLA L= 17.00 KM."/>
    <x v="3"/>
    <x v="15"/>
    <s v="JIMBILLA"/>
    <s v="AD. DIRECTA"/>
    <s v="VIALSUR"/>
    <n v="17"/>
    <n v="3.6399999999999997"/>
    <n v="539"/>
    <s v="Reconformación de la rasante"/>
    <s v="m2"/>
    <n v="0.35"/>
    <n v="20000"/>
    <d v="2014-01-05T00:00:00"/>
    <d v="2014-05-31T00:00:00"/>
    <s v="EJECUTADO"/>
    <n v="7000"/>
    <m/>
    <m/>
    <n v="7000"/>
  </r>
  <r>
    <m/>
    <m/>
    <x v="1"/>
    <m/>
    <s v="MANTENIMIENTO DE LA VIA SOLAMAR - JIMBILLA L= 17.00 KM."/>
    <x v="3"/>
    <x v="15"/>
    <s v="JIMBILLA"/>
    <s v="AD. DIRECTA"/>
    <s v="VIALSUR"/>
    <m/>
    <n v="6.9999999999999993E-2"/>
    <n v="0"/>
    <s v="reconformación de la razante"/>
    <s v="m2"/>
    <n v="0.35"/>
    <n v="336"/>
    <d v="2014-04-01T00:00:00"/>
    <d v="2014-04-30T00:00:00"/>
    <s v="EJECUTADO"/>
    <n v="117.6"/>
    <m/>
    <m/>
    <n v="117.6"/>
  </r>
  <r>
    <m/>
    <m/>
    <x v="1"/>
    <s v="MANTENIMIENTO DEL CADE"/>
    <s v="MANTENIMIENTO DEL CADE"/>
    <x v="3"/>
    <x v="15"/>
    <s v="LOJA"/>
    <s v="AD. DIRECTA"/>
    <s v="VIALSUR"/>
    <m/>
    <m/>
    <n v="0"/>
    <s v="Encauzamiento de río"/>
    <s v="m3"/>
    <n v="1.46"/>
    <n v="246"/>
    <d v="2014-04-01T00:00:00"/>
    <d v="2014-04-30T00:00:00"/>
    <s v="EJECUTADO"/>
    <n v="359.16"/>
    <m/>
    <m/>
    <n v="359.16"/>
  </r>
  <r>
    <m/>
    <m/>
    <x v="1"/>
    <s v="MANTENIMIENTO DE LA VIA SAUCES NORTE SOLAMAR - SAN LUCAS"/>
    <s v="MANTENIMIENTO DE LA VIA SAUCES NORTE SOLAMAR - SAN LUCAS"/>
    <x v="3"/>
    <x v="15"/>
    <s v="SAN LUCAS"/>
    <s v="AD. DIRECTA"/>
    <s v="VIALSUR"/>
    <n v="32"/>
    <n v="7.42"/>
    <n v="288"/>
    <s v="reconformación de la razante"/>
    <s v="m2"/>
    <n v="0.35"/>
    <n v="40800"/>
    <d v="2014-06-01T00:00:00"/>
    <d v="2014-06-30T00:00:00"/>
    <s v="EJECUTADO"/>
    <n v="14280"/>
    <m/>
    <m/>
    <n v="21885"/>
  </r>
  <r>
    <m/>
    <m/>
    <x v="1"/>
    <m/>
    <s v="MANTENIMIENTO DE LA VIA SAUCES NORTE SOLAMAR - SAN LUCAS"/>
    <x v="3"/>
    <x v="15"/>
    <s v="SAN LUCAS"/>
    <s v="AD. DIRECTA"/>
    <s v="VIALSUR"/>
    <m/>
    <m/>
    <n v="0"/>
    <s v="Desalojo de Material de escombros"/>
    <s v="m3"/>
    <n v="0.6"/>
    <n v="720"/>
    <d v="2014-06-01T00:00:00"/>
    <d v="2014-06-30T00:00:00"/>
    <s v="EJECUTADO"/>
    <n v="432"/>
    <m/>
    <m/>
    <m/>
  </r>
  <r>
    <m/>
    <m/>
    <x v="0"/>
    <m/>
    <s v="MANTENIMIENTO DE LA VIA SAUCES NORTE SOLAMAR - SAN LUCAS"/>
    <x v="3"/>
    <x v="15"/>
    <s v="SAN LUCAS"/>
    <s v="AD. DIRECTA"/>
    <s v="VIALSUR"/>
    <m/>
    <m/>
    <n v="0"/>
    <s v="Excavación en plataforma suelo rocoso a máquina desalojo hasta 50 m(Variante)"/>
    <s v="m3"/>
    <n v="7.97"/>
    <n v="900"/>
    <d v="2014-06-01T00:00:00"/>
    <d v="2014-06-30T00:00:00"/>
    <s v="EJECUTADO"/>
    <n v="7173"/>
    <m/>
    <m/>
    <m/>
  </r>
  <r>
    <m/>
    <m/>
    <x v="1"/>
    <s v="ENCAUSAMIENTO DE QUEBRADA PICUMINE (BARRIO TUMIANUMA)"/>
    <s v="ENCAUSAMIENTO DE QUEBRADA PICUMINE (BARRIO TUMIANUMA)"/>
    <x v="3"/>
    <x v="15"/>
    <s v="LOJA"/>
    <s v="AD. DIRECTA"/>
    <s v="VIALSUR"/>
    <m/>
    <m/>
    <n v="0"/>
    <s v="Encauzamiento de río"/>
    <s v="m3"/>
    <n v="2.81"/>
    <n v="7200"/>
    <d v="2014-06-01T00:00:00"/>
    <d v="2014-06-30T00:00:00"/>
    <s v="EJECUTADO"/>
    <n v="20232"/>
    <m/>
    <m/>
    <n v="20232"/>
  </r>
  <r>
    <s v="20"/>
    <s v="EJECUTADO"/>
    <x v="1"/>
    <s v="MANTENIMIENTO DE LA VIA SELVA ALEGRE - TENTA"/>
    <s v="MANTENIMIENTO DE LA VIA SELVA ALEGRE - TENTA"/>
    <x v="3"/>
    <x v="14"/>
    <s v="SANPABLODETENTA"/>
    <s v="AD. DIRECTA"/>
    <s v="VIALSUR"/>
    <m/>
    <n v="8.73"/>
    <n v="0"/>
    <s v="reconformación de la razante"/>
    <s v="m2"/>
    <n v="0.35"/>
    <n v="48000"/>
    <d v="2014-07-01T00:00:00"/>
    <d v="2014-07-31T00:00:00"/>
    <s v="EJECUTADO"/>
    <n v="16800"/>
    <m/>
    <m/>
    <n v="16800"/>
  </r>
  <r>
    <m/>
    <m/>
    <x v="1"/>
    <m/>
    <s v="MANTENIMIENTO DE LA VIA SELVA ALEGRE - TENTA"/>
    <x v="3"/>
    <x v="14"/>
    <s v="SANPABLODETENTA"/>
    <s v="AD. DIRECTA"/>
    <s v="VIALSUR"/>
    <m/>
    <m/>
    <n v="0"/>
    <s v="Desalojo de Material de escombros"/>
    <s v="m3"/>
    <n v="0.6"/>
    <n v="2000"/>
    <d v="2014-07-01T00:00:00"/>
    <d v="2014-07-31T00:00:00"/>
    <s v="EJECUTADO"/>
    <n v="1200"/>
    <m/>
    <m/>
    <n v="1200"/>
  </r>
  <r>
    <m/>
    <m/>
    <x v="0"/>
    <m/>
    <s v="MANTENIMIENTO DE LA VIA SELVA ALEGRE - TENTA"/>
    <x v="3"/>
    <x v="14"/>
    <s v="SANPABLODETENTA"/>
    <s v="AD. DIRECTA"/>
    <s v="VIALSUR"/>
    <m/>
    <n v="1.73"/>
    <n v="0"/>
    <s v="Mejoramiento de la subrasante con suelo seleccionado s/t h=20 cm incluye explotada"/>
    <s v="m3"/>
    <n v="5.92"/>
    <n v="1899"/>
    <d v="2014-07-01T00:00:00"/>
    <d v="2014-07-31T00:00:00"/>
    <s v="EJECUTADO"/>
    <n v="11242.08"/>
    <m/>
    <m/>
    <n v="11242.08"/>
  </r>
  <r>
    <m/>
    <m/>
    <x v="1"/>
    <m/>
    <s v="MANTENIMIENTO DE LA VIA SELVA ALEGRE - TENTA"/>
    <x v="3"/>
    <x v="14"/>
    <s v="SANPABLODETENTA"/>
    <s v="AD. DIRECTA"/>
    <s v="VIALSUR"/>
    <m/>
    <m/>
    <n v="0"/>
    <s v="Transporte de mateial mayor a 5 km"/>
    <s v="M3-KM"/>
    <n v="0.3"/>
    <n v="27535"/>
    <d v="2014-07-01T00:00:00"/>
    <d v="2014-07-31T00:00:00"/>
    <s v="EJECUTADO"/>
    <n v="8260.5"/>
    <m/>
    <m/>
    <n v="8260.5"/>
  </r>
  <r>
    <s v="20"/>
    <s v="EJECUTADO"/>
    <x v="1"/>
    <s v="MANTENIMIENTO DE LA VIA TENTA - SELVA ALEGRE"/>
    <s v="MANTENIMIENTO DE LA VIA TENTA - SELVA ALEGRE"/>
    <x v="3"/>
    <x v="14"/>
    <s v="SELVAALEGRE"/>
    <s v="AD. DIRECTA"/>
    <s v="VIALSUR"/>
    <m/>
    <n v="20.73"/>
    <n v="0"/>
    <s v="reconformación de la razante"/>
    <s v="m2"/>
    <n v="0.35"/>
    <n v="114000"/>
    <d v="2014-09-01T00:00:00"/>
    <d v="2014-09-30T00:00:00"/>
    <s v="EJECUTADO"/>
    <n v="39900"/>
    <m/>
    <m/>
    <n v="63553.2"/>
  </r>
  <r>
    <m/>
    <m/>
    <x v="1"/>
    <m/>
    <s v="MANTENIMIENTO DE LA VIA TENTA - SELVA ALEGRE"/>
    <x v="3"/>
    <x v="14"/>
    <s v="SELVAALEGRE"/>
    <s v="AD. DIRECTA"/>
    <s v="VIALSUR"/>
    <m/>
    <m/>
    <n v="0"/>
    <s v="Desalojo de Material de escombros"/>
    <s v="m3"/>
    <n v="0.6"/>
    <n v="1902"/>
    <d v="2014-09-01T00:00:00"/>
    <d v="2014-09-30T00:00:00"/>
    <s v="EJECUTADO"/>
    <n v="1141.2"/>
    <m/>
    <m/>
    <m/>
  </r>
  <r>
    <m/>
    <m/>
    <x v="0"/>
    <m/>
    <s v="MANTENIMIENTO DE LA VIA TENTA - SELVA ALEGRE"/>
    <x v="3"/>
    <x v="14"/>
    <s v="SELVAALEGRE"/>
    <s v="AD. DIRECTA"/>
    <s v="VIALSUR"/>
    <m/>
    <n v="1.91"/>
    <n v="0"/>
    <s v="Mejoramiento de la subrasante con suelo seleccionado s/t h=20 cm incluye explotada"/>
    <s v="m3"/>
    <n v="5.92"/>
    <n v="2100"/>
    <d v="2014-09-01T00:00:00"/>
    <d v="2014-09-30T00:00:00"/>
    <s v="EJECUTADO"/>
    <n v="12432"/>
    <m/>
    <m/>
    <m/>
  </r>
  <r>
    <m/>
    <m/>
    <x v="1"/>
    <m/>
    <s v="MANTENIMIENTO DE LA VIA TENTA - SELVA ALEGRE"/>
    <x v="3"/>
    <x v="14"/>
    <s v="SELVAALEGRE"/>
    <s v="AD. DIRECTA"/>
    <s v="VIALSUR"/>
    <m/>
    <m/>
    <n v="0"/>
    <s v="Transporte de mateial mayor a 5 km"/>
    <s v="M3-KM"/>
    <n v="0.3"/>
    <n v="33600"/>
    <d v="2014-09-01T00:00:00"/>
    <d v="2014-09-30T00:00:00"/>
    <s v="EJECUTADO"/>
    <n v="10080"/>
    <m/>
    <m/>
    <m/>
  </r>
  <r>
    <m/>
    <m/>
    <x v="1"/>
    <s v="MANTENIMIENTO DE LA VÍA EL CISNE - AMBOCAS L=24 km."/>
    <s v="MANTENIMIENTO DE LA VÍA EL CISNE - AMBOCAS L=24 km."/>
    <x v="3"/>
    <x v="15"/>
    <s v="EL CISNE"/>
    <s v="AD. DIRECTA"/>
    <s v="VIALSUR"/>
    <m/>
    <n v="7.64"/>
    <n v="0"/>
    <s v="Rasanteo de la via"/>
    <s v="m2"/>
    <n v="6.8093799999999996E-2"/>
    <n v="42000"/>
    <d v="2014-09-01T00:00:00"/>
    <d v="2014-09-30T00:00:00"/>
    <s v="EJECUTADO"/>
    <n v="2859.94"/>
    <m/>
    <m/>
    <n v="3579.94"/>
  </r>
  <r>
    <m/>
    <m/>
    <x v="1"/>
    <m/>
    <s v="MANTENIMIENTO DE LA VÍA EL CISNE - AMBOCAS L=24 km."/>
    <x v="3"/>
    <x v="15"/>
    <s v="EL CISNE"/>
    <s v="AD. DIRECTA"/>
    <s v="VIALSUR"/>
    <m/>
    <n v="1.1000000000000001"/>
    <n v="0"/>
    <s v="Reconformación de la vía con tractor, corrección de pendiente y rasanteo de la calzada"/>
    <s v="m2"/>
    <n v="0.12"/>
    <n v="6000"/>
    <d v="2014-09-01T00:00:00"/>
    <d v="2014-09-30T00:00:00"/>
    <s v="EJECUTADO"/>
    <n v="720"/>
    <m/>
    <m/>
    <m/>
  </r>
  <r>
    <m/>
    <m/>
    <x v="1"/>
    <s v="RESANTEO DE LA VIA TUMIANUMA QUINARA"/>
    <s v="RESANTEO DE LA VIA TUMIANUMA QUINARA"/>
    <x v="3"/>
    <x v="15"/>
    <s v="QUINARA"/>
    <s v="AD. DIRECTA"/>
    <s v="VIALSUR"/>
    <m/>
    <n v="9.1"/>
    <n v="0"/>
    <s v="Rasanteo de la via"/>
    <s v="m2"/>
    <n v="6.8093799999999996E-2"/>
    <n v="50000"/>
    <d v="2014-09-01T00:00:00"/>
    <d v="2014-09-30T00:00:00"/>
    <s v="EJECUTADO"/>
    <n v="3404.69"/>
    <m/>
    <m/>
    <n v="3404.69"/>
  </r>
  <r>
    <s v="21"/>
    <s v="EJECUTADO"/>
    <x v="1"/>
    <s v="ADECUACION DEL COLEGIO LA SALLE"/>
    <s v="ADECUACION DEL COLEGIO LA SALLE"/>
    <x v="3"/>
    <x v="15"/>
    <s v="LOJA"/>
    <s v="AD. DIRECTA"/>
    <s v="VIALSUR"/>
    <m/>
    <n v="1.46"/>
    <n v="0"/>
    <s v="Rasanteo de la via"/>
    <s v="m2"/>
    <n v="6.8093799999999996E-2"/>
    <n v="8000"/>
    <d v="2014-09-01T00:00:00"/>
    <d v="2014-09-30T00:00:00"/>
    <s v="EJECUTADO"/>
    <n v="544.75"/>
    <m/>
    <m/>
    <n v="2344.75"/>
  </r>
  <r>
    <m/>
    <m/>
    <x v="1"/>
    <m/>
    <s v="ADECUACION DEL COLEGIO LA SALLE"/>
    <x v="3"/>
    <x v="15"/>
    <s v="LOJA"/>
    <s v="AD. DIRECTA"/>
    <s v="VIALSUR"/>
    <m/>
    <m/>
    <n v="0"/>
    <s v="Desalojo de Material de escombros"/>
    <s v="m3"/>
    <n v="0.6"/>
    <n v="600"/>
    <d v="2014-09-01T00:00:00"/>
    <d v="2014-09-30T00:00:00"/>
    <s v="EJECUTADO"/>
    <n v="360"/>
    <m/>
    <m/>
    <m/>
  </r>
  <r>
    <m/>
    <m/>
    <x v="1"/>
    <m/>
    <s v="ADECUACION DEL COLEGIO LA SALLE"/>
    <x v="3"/>
    <x v="15"/>
    <s v="LOJA"/>
    <s v="AD. DIRECTA"/>
    <s v="VIALSUR"/>
    <m/>
    <m/>
    <n v="0"/>
    <s v="Transporte de mateial mayor a 5 km"/>
    <s v="M3-KM"/>
    <n v="0.3"/>
    <n v="4800"/>
    <d v="2014-09-01T00:00:00"/>
    <d v="2014-09-30T00:00:00"/>
    <s v="EJECUTADO"/>
    <n v="1440"/>
    <m/>
    <m/>
    <m/>
  </r>
  <r>
    <m/>
    <m/>
    <x v="1"/>
    <s v="VIA JIMBILLA LA CHONTA"/>
    <s v="VIA JIMBILLA LA CHONTA"/>
    <x v="3"/>
    <x v="15"/>
    <s v="JIMBILLA"/>
    <s v="AD. DIRECTA"/>
    <s v="VIALSUR"/>
    <m/>
    <n v="7.64"/>
    <n v="0"/>
    <s v="Rasanteo de la via CON TRACTOR"/>
    <s v="m2"/>
    <n v="0.12"/>
    <n v="42000"/>
    <d v="2014-07-01T00:00:00"/>
    <d v="2014-07-31T00:00:00"/>
    <s v="EJECUTADO"/>
    <n v="5040"/>
    <m/>
    <m/>
    <n v="9420"/>
  </r>
  <r>
    <m/>
    <m/>
    <x v="1"/>
    <m/>
    <s v="VIA JIMBILLA LA CHONTA"/>
    <x v="3"/>
    <x v="15"/>
    <s v="JIMBILLA"/>
    <s v="AD. DIRECTA"/>
    <s v="VIALSUR"/>
    <m/>
    <m/>
    <n v="0"/>
    <s v="Limpieza de derrumbes"/>
    <s v="m3"/>
    <n v="1.46"/>
    <n v="3000"/>
    <d v="2014-07-01T00:00:00"/>
    <d v="2014-07-31T00:00:00"/>
    <s v="EJECUTADO"/>
    <n v="4380"/>
    <m/>
    <m/>
    <m/>
  </r>
  <r>
    <m/>
    <m/>
    <x v="1"/>
    <s v="MANTENIMIENTO DE LAS VIAS DE VILCABAMBA (CONTRATO)"/>
    <s v="MANTENIMIENTO DE LAS VIAS DE VILCABAMBA (CONTRATO)"/>
    <x v="3"/>
    <x v="15"/>
    <s v="VILCABAMBA "/>
    <s v="AD. DIRECTA"/>
    <s v="VIALSUR"/>
    <m/>
    <n v="24"/>
    <n v="0"/>
    <s v="Reconformacion de la razante existente"/>
    <s v="m2"/>
    <n v="0.08"/>
    <n v="132000"/>
    <d v="2014-11-01T00:00:00"/>
    <d v="2014-11-30T00:00:00"/>
    <s v="EN EJECUCION"/>
    <n v="10560"/>
    <m/>
    <m/>
    <n v="10560"/>
  </r>
  <r>
    <m/>
    <m/>
    <x v="1"/>
    <s v="MANTENIMIENTO DE LAS VIAS DE MALACATOS  (CONTRATO)"/>
    <s v="MANTENIMIENTO DE LAS VIAS DE MALACATOS  (CONTRATO)"/>
    <x v="3"/>
    <x v="15"/>
    <s v="MALACATOS"/>
    <s v="AD. DIRECTA"/>
    <s v="VIALSUR"/>
    <m/>
    <n v="15.459999999999999"/>
    <n v="0"/>
    <s v="Reconformacion de la razante existente"/>
    <s v="m2"/>
    <n v="0.08"/>
    <n v="85000"/>
    <d v="2014-11-01T00:00:00"/>
    <d v="2014-11-30T00:00:00"/>
    <s v="EN EJECUCION"/>
    <n v="6800"/>
    <m/>
    <m/>
    <n v="6800"/>
  </r>
  <r>
    <m/>
    <m/>
    <x v="1"/>
    <s v="MANTENIMIENTO DE LAS VIA PUNZARA LA ARGENTINA  (CONTRATO)"/>
    <s v="MANTENIMIENTO DE LAS VIA PUNZARA LA ARGENTINA  (CONTRATO)"/>
    <x v="3"/>
    <x v="15"/>
    <s v="MALACATOS"/>
    <s v="AD. DIRECTA"/>
    <s v="VIALSUR"/>
    <m/>
    <n v="9.1"/>
    <n v="0"/>
    <s v="Reconformacion de la razante existente"/>
    <s v="m2"/>
    <n v="0.12"/>
    <n v="50000"/>
    <d v="2014-11-01T00:00:00"/>
    <d v="2014-11-30T00:00:00"/>
    <s v="EN EJECUCION"/>
    <n v="6000"/>
    <m/>
    <m/>
    <n v="6000"/>
  </r>
  <r>
    <s v="20"/>
    <s v="EN EJECUCION"/>
    <x v="1"/>
    <s v="MANTENIMIENTO DE LA VIA SELVA ALEGRE - SAN LUIS"/>
    <s v="MANTENIMIENTO DE LA VIA SELVA ALEGRE - SAN LUIS"/>
    <x v="3"/>
    <x v="14"/>
    <s v="SELVAALEGRE"/>
    <s v="AD. DIRECTA"/>
    <s v="VIALSUR"/>
    <m/>
    <n v="21.1"/>
    <n v="0"/>
    <s v="reconformación de la razante"/>
    <s v="m2"/>
    <n v="0.25"/>
    <n v="116000"/>
    <d v="2014-11-01T00:00:00"/>
    <d v="2014-12-20T00:00:00"/>
    <s v="EN EJECUCION"/>
    <n v="29000"/>
    <m/>
    <m/>
    <n v="63084"/>
  </r>
  <r>
    <m/>
    <m/>
    <x v="1"/>
    <m/>
    <s v="MANTENIMIENTO DE LA VIA SELVA ALEGRE - SAN LUIS"/>
    <x v="3"/>
    <x v="14"/>
    <s v="SELVAALEGRE"/>
    <s v="AD. DIRECTA"/>
    <s v="VIALSUR"/>
    <m/>
    <m/>
    <n v="0"/>
    <s v="Desalojo de Material de escombros"/>
    <s v="m3"/>
    <n v="0.6"/>
    <n v="1500"/>
    <d v="2014-11-01T00:00:00"/>
    <d v="2014-12-20T00:00:00"/>
    <s v="EN EJECUCION"/>
    <n v="900"/>
    <m/>
    <m/>
    <m/>
  </r>
  <r>
    <m/>
    <m/>
    <x v="0"/>
    <m/>
    <s v="MANTENIMIENTO DE LA VIA SELVA ALEGRE - SAN LUIS"/>
    <x v="3"/>
    <x v="14"/>
    <s v="SELVAALEGRE"/>
    <s v="AD. DIRECTA"/>
    <s v="VIALSUR"/>
    <m/>
    <n v="2.76"/>
    <n v="0"/>
    <s v="Mejoramiento de la subrasante con suelo seleccionado s/t h=20 cm incluye explotada"/>
    <s v="m3"/>
    <n v="5.2"/>
    <n v="3040"/>
    <d v="2014-11-01T00:00:00"/>
    <d v="2014-12-20T00:00:00"/>
    <s v="EN EJECUCION"/>
    <n v="15808"/>
    <m/>
    <m/>
    <m/>
  </r>
  <r>
    <m/>
    <m/>
    <x v="1"/>
    <m/>
    <s v="MANTENIMIENTO DE LA VIA SELVA ALEGRE - SAN LUIS"/>
    <x v="3"/>
    <x v="14"/>
    <s v="SELVAALEGRE"/>
    <s v="AD. DIRECTA"/>
    <s v="VIALSUR"/>
    <m/>
    <m/>
    <n v="0"/>
    <s v="Transporte de mateial mayor a 5 km"/>
    <s v="M3-KM"/>
    <n v="0.3"/>
    <n v="57920"/>
    <d v="2014-11-01T00:00:00"/>
    <d v="2014-12-20T00:00:00"/>
    <s v="EN EJECUCION"/>
    <n v="17376"/>
    <m/>
    <m/>
    <m/>
  </r>
  <r>
    <m/>
    <m/>
    <x v="1"/>
    <s v="MANTENIMIENTO DE LA VIA EL CISNE - GUALEL"/>
    <s v="MANTENIMIENTO DE LA VIA EL CISNE - GUALEL"/>
    <x v="3"/>
    <x v="15"/>
    <s v="EL CISNE"/>
    <s v="AD. DIRECTA"/>
    <s v="VIALSUR"/>
    <m/>
    <m/>
    <n v="0"/>
    <s v="Reconformacion de la razante existente"/>
    <s v="m2"/>
    <n v="0.08"/>
    <n v="85000"/>
    <d v="2014-12-01T00:00:00"/>
    <d v="2014-12-20T00:00:00"/>
    <s v="EN EJECUCION"/>
    <n v="6800"/>
    <m/>
    <m/>
    <n v="6800"/>
  </r>
  <r>
    <m/>
    <m/>
    <x v="1"/>
    <s v="MANTENIMIENTO DE LA VIA CHUQUIRIBAMBA-YEE DE PORDEL-GONZABAL"/>
    <s v="MANTENIMIENTO DE LA VIA CHUQUIRIBAMBA-YEE DE PORDEL-GONZABAL"/>
    <x v="3"/>
    <x v="15"/>
    <s v="EL CISNE"/>
    <s v="AD. DIRECTA"/>
    <s v="VIALSUR"/>
    <m/>
    <m/>
    <n v="0"/>
    <s v="Acabado de la obra básica existente"/>
    <s v="m2"/>
    <n v="0.3"/>
    <n v="35750"/>
    <d v="2014-12-01T00:00:00"/>
    <d v="2014-12-20T00:00:00"/>
    <s v="EN EJECUCION"/>
    <n v="10725"/>
    <m/>
    <m/>
    <n v="10725"/>
  </r>
  <r>
    <m/>
    <m/>
    <x v="1"/>
    <s v="MANTENIMIENTO DE LA VIA CHUQUIRIBAMBA-YEE DE PORDEL-GONZABAL"/>
    <s v="MANTENIMIENTO DE LA VIA CHUQUIRIBAMBA-YEE DE PORDEL-GONZABAL"/>
    <x v="3"/>
    <x v="15"/>
    <s v="EL CISNE"/>
    <s v="AD. DIRECTA"/>
    <s v="VIALSUR"/>
    <m/>
    <m/>
    <n v="0"/>
    <s v="Limpieza de derrumbes"/>
    <s v="m3"/>
    <n v="1.18"/>
    <n v="300"/>
    <d v="2014-12-01T00:00:00"/>
    <d v="2014-12-20T00:00:00"/>
    <s v="EN EJECUCION"/>
    <n v="354"/>
    <m/>
    <m/>
    <n v="354"/>
  </r>
  <r>
    <m/>
    <m/>
    <x v="1"/>
    <s v="MANTENIMIENTO DE LA VIA CHUQUIRIBAMBA-YEE DE PORDEL-GONZABAL"/>
    <s v="MANTENIMIENTO DE LA VIA CHUQUIRIBAMBA-YEE DE PORDEL-GONZABAL"/>
    <x v="3"/>
    <x v="15"/>
    <s v="EL CISNE"/>
    <s v="AD. DIRECTA"/>
    <s v="VIALSUR"/>
    <m/>
    <m/>
    <n v="0"/>
    <s v="Transporte de material mayor a 5 Km"/>
    <s v="m3"/>
    <n v="0.27"/>
    <n v="10500"/>
    <d v="2014-12-01T00:00:00"/>
    <d v="2014-12-20T00:00:00"/>
    <s v="EN EJECUCION"/>
    <n v="2835"/>
    <m/>
    <m/>
    <n v="2835"/>
  </r>
  <r>
    <m/>
    <m/>
    <x v="1"/>
    <s v="MANTENIMIENTO DE LA VIA CHUQUIRIBAMBA-YEE DE PORDEL-GONZABAL"/>
    <s v="MANTENIMIENTO DE LA VIA CHUQUIRIBAMBA-YEE DE PORDEL-GONZABAL"/>
    <x v="3"/>
    <x v="15"/>
    <s v="EL CISNE"/>
    <s v="AD. DIRECTA"/>
    <s v="VIALSUR"/>
    <m/>
    <m/>
    <n v="0"/>
    <s v="Mejoramiento de la subrasante con suelo eleccionado, s/t h= 20 cm incluye explotada, cargada, tendida, hidratada, y compactada, no incluye transporte"/>
    <s v="M3-KM"/>
    <n v="4.43"/>
    <n v="2100"/>
    <d v="2014-12-01T00:00:00"/>
    <d v="2014-12-20T00:00:00"/>
    <s v="EN EJECUCION"/>
    <n v="9303"/>
    <m/>
    <m/>
    <n v="9303"/>
  </r>
  <r>
    <m/>
    <m/>
    <x v="7"/>
    <s v="ESTUDIOS DE IMPACTO AMBIENTAL EN LA PROVINCIA"/>
    <s v="ESTUDIOS DE IMPACTO AMBIENTAL EN LA PROVINCIA"/>
    <x v="3"/>
    <x v="15"/>
    <s v="LOJA"/>
    <s v="AD. DIRECTA"/>
    <s v="VIALSUR"/>
    <m/>
    <m/>
    <n v="0"/>
    <s v="Estudios De Impacto Ambiental De Minas Y Canteras De Materiales"/>
    <s v="GBL"/>
    <n v="1"/>
    <n v="35214.21"/>
    <d v="2014-01-01T00:00:00"/>
    <d v="2014-05-01T00:00:00"/>
    <s v="EJECUTADO"/>
    <n v="35214.21"/>
    <m/>
    <m/>
    <n v="35214.21"/>
  </r>
  <r>
    <m/>
    <m/>
    <x v="7"/>
    <s v="ESTUDIO DE LA VIA CHAQUIRCUÑA 75 % DE AVANCE"/>
    <s v="ESTUDIO DE LA VIA CHAQUIRCUÑA 75 % DE AVANCE"/>
    <x v="2"/>
    <x v="10"/>
    <s v="SAN PEDRO DE LA BENDITA"/>
    <s v="AD. DIRECTA"/>
    <s v="VIALSUR"/>
    <m/>
    <n v="6.7"/>
    <n v="0"/>
    <s v="DISEÑO VIAL"/>
    <s v="GBL"/>
    <n v="7000"/>
    <n v="6.7"/>
    <d v="2014-01-01T00:00:00"/>
    <d v="2014-05-01T00:00:00"/>
    <s v="EJECUTADO"/>
    <n v="46900"/>
    <m/>
    <m/>
    <n v="46900"/>
  </r>
  <r>
    <m/>
    <m/>
    <x v="7"/>
    <s v="ESTUDIO DE LA VIA SOLAMAR JIMBILLA 90 % DE AVANCE"/>
    <s v="ESTUDIO DE LA VIA SOLAMAR JIMBILLA 90 % DE AVANCE"/>
    <x v="3"/>
    <x v="15"/>
    <s v="JIMBILLA"/>
    <s v="AD. DIRECTA"/>
    <s v="VIALSUR"/>
    <m/>
    <n v="6.6"/>
    <n v="0"/>
    <s v="DISEÑO VIAL, ESTUDIO HIDROLOGICO ESTUDIO GEOLOGICO, IMPACTO AMBIENTAL, ESTUDIO GEOTECNICO"/>
    <s v="GBL"/>
    <n v="9500"/>
    <n v="6.6"/>
    <d v="2014-01-01T00:00:00"/>
    <d v="2014-05-01T00:00:00"/>
    <s v="EJECUTADO"/>
    <n v="62700"/>
    <m/>
    <m/>
    <n v="62700"/>
  </r>
  <r>
    <m/>
    <m/>
    <x v="7"/>
    <s v="ESTUDIO DE LA VIA EL TAMBO SANTODOMINGO 95 % DE AVANCE"/>
    <s v="ESTUDIO DE LA VIA EL TAMBO SANTODOMINGO 95 % DE AVANCE"/>
    <x v="2"/>
    <x v="10"/>
    <s v="EL TAMBO"/>
    <s v="AD. DIRECTA"/>
    <s v="VIALSUR"/>
    <m/>
    <n v="17.329999999999998"/>
    <n v="0"/>
    <s v="DISEÑO VIAL, ESTUDIO HIDROLOGICO ESTUDIO GEOLOGICO, IMPACTO AMBIENTAL, ESTUDIO GEOTECNICO"/>
    <s v="GBL"/>
    <n v="11000"/>
    <n v="17.329999999999998"/>
    <d v="2014-01-01T00:00:00"/>
    <d v="2014-05-01T00:00:00"/>
    <s v="EJECUTADO"/>
    <n v="190630"/>
    <m/>
    <m/>
    <n v="190630"/>
  </r>
  <r>
    <m/>
    <m/>
    <x v="7"/>
    <s v="DISEÑO DE ALCANTARILLA CON MULTIPLICA SOBRE LA Q. IGUILA EN LA VIA CRIAMANGA EL LUCERO"/>
    <s v="DISEÑO DE ALCANTARILLA CON MULTIPLICA SOBRE LA Q. IGUILA EN LA VIA CRIAMANGA EL LUCERO"/>
    <x v="0"/>
    <x v="3"/>
    <s v="EL LUCERO"/>
    <s v="AD. DIRECTA"/>
    <s v="VIALSUR"/>
    <m/>
    <m/>
    <n v="0"/>
    <s v="DISEÑO DE MUROS DE APOYO, ESTUDIO HIDROLOGICO "/>
    <s v="GBL"/>
    <n v="500"/>
    <n v="12.5"/>
    <d v="2014-01-01T00:00:00"/>
    <d v="2014-05-01T00:00:00"/>
    <s v="EJECUTADO"/>
    <n v="6250"/>
    <m/>
    <m/>
    <n v="6250"/>
  </r>
  <r>
    <m/>
    <m/>
    <x v="7"/>
    <s v="ESTUDIO DE PUENTE SANTIAGO"/>
    <s v="ESTUDIO DE PUENTE SANTIAGO"/>
    <x v="3"/>
    <x v="15"/>
    <s v="SANTIAGO"/>
    <s v="AD. DIRECTA"/>
    <s v="VIALSUR"/>
    <m/>
    <m/>
    <n v="0"/>
    <s v="DISEÑO DE MUROS DE APOYO, Y SUPERESTRUCTURA DEL PUENTE, ESTUDIO HIDROLOGICO "/>
    <s v="GBL"/>
    <n v="500"/>
    <n v="10"/>
    <d v="2014-04-01T00:00:00"/>
    <d v="2014-11-30T00:00:00"/>
    <s v="EN EJECUCION"/>
    <n v="5000"/>
    <m/>
    <m/>
    <n v="5000"/>
  </r>
  <r>
    <m/>
    <m/>
    <x v="7"/>
    <s v="ESTUDIO DE PUENTE BERDUN"/>
    <s v="ESTUDIO DE PUENTE BERDUN"/>
    <x v="2"/>
    <x v="10"/>
    <s v="EL TAMBO"/>
    <s v="AD. DIRECTA"/>
    <s v="VIALSUR"/>
    <m/>
    <m/>
    <n v="0"/>
    <s v="DISEÑO DE MUROS DE APOYO, Y SUPERESTRUCTURA DEL PUENTE, ESTUDIO HIDROLOGICO "/>
    <s v="GBL"/>
    <n v="800"/>
    <n v="12"/>
    <d v="2014-04-01T00:00:00"/>
    <d v="2014-11-30T00:00:00"/>
    <s v="EN EJECUCION"/>
    <n v="9600"/>
    <m/>
    <m/>
    <n v="9600"/>
  </r>
  <r>
    <m/>
    <m/>
    <x v="7"/>
    <s v="ESTUDIO DE PUENTE QUEBRADA LINUMA"/>
    <s v="ESTUDIO DE PUENTE QUEBRADA LINUMA"/>
    <x v="2"/>
    <x v="12"/>
    <s v="GUACHANAMA"/>
    <s v="AD. DIRECTA"/>
    <s v="VIALSUR"/>
    <m/>
    <m/>
    <n v="0"/>
    <s v="DISEÑO DE MUROS DE APOYO, Y SUPERESTRUCTURA DEL PUENTE, ESTUDIO HIDROLOGICO "/>
    <s v="GBL"/>
    <n v="800"/>
    <n v="14"/>
    <d v="2014-04-01T00:00:00"/>
    <d v="2014-11-30T00:00:00"/>
    <s v="EN EJECUCION"/>
    <n v="11200"/>
    <m/>
    <m/>
    <n v="11200"/>
  </r>
  <r>
    <m/>
    <m/>
    <x v="7"/>
    <s v="ESTUDIO DE OBRAS DE ARTE DE LA VIA LA HOYADA EL LIMO"/>
    <s v="ESTUDIO DE OBRAS DE ARTE DE LA VIA LA HOYADA EL LIMO"/>
    <x v="1"/>
    <x v="5"/>
    <s v="ELLIMO"/>
    <s v="AD. DIRECTA"/>
    <s v="VIALSUR"/>
    <m/>
    <m/>
    <n v="0"/>
    <s v="DISEÑO DE MUROS DE APOYO,  ESTUDIO HIDROLOGICO "/>
    <s v="GBL"/>
    <n v="400"/>
    <n v="16"/>
    <d v="2014-04-01T00:00:00"/>
    <d v="2014-11-30T00:00:00"/>
    <s v="EN EJECUCION"/>
    <n v="6400"/>
    <m/>
    <m/>
    <n v="6400"/>
  </r>
  <r>
    <m/>
    <m/>
    <x v="6"/>
    <s v="CONSTRUCCION DE PUENTES Y PASARELAS"/>
    <s v="CONSTRUCCION DE PUENTES Y PASARELAS"/>
    <x v="3"/>
    <x v="15"/>
    <s v="SAN LUCAS"/>
    <s v="CONTRATO"/>
    <s v="VIALSUR"/>
    <m/>
    <m/>
    <n v="0"/>
    <s v="CONSTRUCCION DE PUENTE SANTIAGO"/>
    <s v="GBL"/>
    <n v="1"/>
    <n v="16019"/>
    <d v="2014-04-01T00:00:00"/>
    <d v="2014-11-30T00:00:00"/>
    <s v="EN EJECUCION"/>
    <n v="16019"/>
    <m/>
    <m/>
    <n v="16019"/>
  </r>
  <r>
    <m/>
    <m/>
    <x v="1"/>
    <s v="MANTENIMIENTO RUTINARIO DE LA VIA LOJA SOLAMAR SAN LUCAS (MICROEMPRESA LOS ANDES)"/>
    <s v="MANTENIMIENTO RUTINARIO DE LA VIA LOJA SOLAMAR SAN LUCAS (MICROEMPRESA LOS ANDES)"/>
    <x v="3"/>
    <x v="15"/>
    <s v="SAN LUCAS"/>
    <s v="CONTRATO"/>
    <s v="VIALSUR"/>
    <n v="32"/>
    <n v="32"/>
    <n v="288"/>
    <s v="MANTENIMIENTO RUTINARIO"/>
    <s v="GBL"/>
    <n v="1"/>
    <n v="21405.81"/>
    <d v="2014-04-01T00:00:00"/>
    <d v="2014-11-30T00:00:00"/>
    <s v="EN EJECUCION"/>
    <n v="21405.81"/>
    <m/>
    <m/>
    <n v="21405.81"/>
  </r>
  <r>
    <s v="19"/>
    <s v="EN EJECUCION"/>
    <x v="8"/>
    <s v="MEJORAMIENTO A NIVEL DE DOBLE TRATAMIENTO SUPERFICIAL BITUMINOSO DE LA VIA SARAGURO TENTA L= 6.17 KM.ABSC (4+044.69 - 10+210.55) CONVENIO NRO.120 - DPS -2013 GPL - VIALSUR.EP"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n v="6.17"/>
    <m/>
    <n v="17667"/>
    <s v="REPLANTEO Y NIVELACION CON APARATOS (VIAS)"/>
    <s v="Km"/>
    <n v="705.7"/>
    <n v="6.17"/>
    <d v="2014-01-01T00:00:00"/>
    <d v="2014-11-20T00:00:00"/>
    <s v="EJECUTADO"/>
    <n v="4354.17"/>
    <m/>
    <m/>
    <n v="1205907.27"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ROZA A MANO"/>
    <s v="Ha"/>
    <n v="1744.8"/>
    <n v="2.66"/>
    <d v="2014-01-01T00:00:00"/>
    <d v="2014-11-20T00:00:00"/>
    <s v="EJECUTADO"/>
    <n v="4641.17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REMOCIÓN DE ALCANTARILLAS DE TUBO (INCLUYE DESALOJO)"/>
    <s v="M"/>
    <n v="6.86"/>
    <n v="25"/>
    <d v="2014-01-01T00:00:00"/>
    <d v="2014-11-20T00:00:00"/>
    <s v="EJECUTADO"/>
    <n v="171.5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REMOCION DE HORMIGON"/>
    <s v="m³"/>
    <n v="41.84"/>
    <n v="2.2200000000000002"/>
    <d v="2014-01-01T00:00:00"/>
    <d v="2014-11-20T00:00:00"/>
    <s v="EJECUTADO"/>
    <n v="92.88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EXCAVACION EN PLATAFORMA SUELO SIN CLASIFICAR, A MAQUINA"/>
    <s v="m³"/>
    <n v="1.58"/>
    <n v="42267.29"/>
    <d v="2014-01-01T00:00:00"/>
    <d v="2014-11-20T00:00:00"/>
    <s v="EJECUTADO"/>
    <n v="66782.320000000007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EXCAVACION EN ROCA"/>
    <s v="m³"/>
    <n v="6.78"/>
    <n v="3479.06"/>
    <d v="2014-01-01T00:00:00"/>
    <d v="2014-11-20T00:00:00"/>
    <s v="EJECUTADO"/>
    <n v="23588.03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Reconformación de la rasante"/>
    <s v="M²"/>
    <n v="0.35"/>
    <n v="34507.57"/>
    <d v="2014-01-01T00:00:00"/>
    <d v="2014-11-20T00:00:00"/>
    <s v="EJECUTADO"/>
    <n v="12077.65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LIMPIEZA DE DERRUMBES"/>
    <s v="M²"/>
    <n v="1.45"/>
    <n v="3416.92"/>
    <d v="2014-01-01T00:00:00"/>
    <d v="2014-11-20T00:00:00"/>
    <s v="EJECUTADO"/>
    <n v="4954.53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TRAN. MAT. PETREOS, BASE, SUB-BASE, MAT. TRITU, DE PRÉSTAMO Y OTROS D/L=0.5Km"/>
    <s v="M³-Km"/>
    <n v="0.3"/>
    <n v="233679.96"/>
    <d v="2014-01-01T00:00:00"/>
    <d v="2014-11-20T00:00:00"/>
    <s v="EJECUTADO"/>
    <n v="70103.990000000005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ESTABILIZACIÓN DE TALUDES MEDIANTE LA CONFORMACIÓN DE TERRAZAS"/>
    <s v="m³"/>
    <n v="1.1599999999999999"/>
    <n v="32375.75"/>
    <d v="2014-01-01T00:00:00"/>
    <d v="2014-11-20T00:00:00"/>
    <s v="EJECUTADO"/>
    <n v="37555.870000000003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Excavación en marginal"/>
    <s v="m3"/>
    <n v="1.99"/>
    <n v="2833.41"/>
    <d v="2014-01-01T00:00:00"/>
    <d v="2014-11-20T00:00:00"/>
    <s v="EJECUTADO"/>
    <n v="5638.49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TRAN. MAT. PETREOS, BASE, SUB-BASE, MAT. TRITU, DE PRÉSTAMO Y OTROS, D/L=0.5Km"/>
    <s v="M³-Km"/>
    <n v="0.3"/>
    <n v="400547.11"/>
    <d v="2014-01-01T00:00:00"/>
    <d v="2014-11-20T00:00:00"/>
    <s v="EJECUTADO"/>
    <n v="120164.13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Mejoramiento de la subrasante con suelo seleccionado"/>
    <s v="m³"/>
    <n v="5.88"/>
    <n v="13428.07"/>
    <d v="2014-01-01T00:00:00"/>
    <d v="2014-11-20T00:00:00"/>
    <s v="EJECUTADO"/>
    <n v="78957.05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SUBBASE CLASE 2"/>
    <s v="m³"/>
    <n v="9.32"/>
    <m/>
    <d v="2014-01-01T00:00:00"/>
    <d v="2014-11-20T00:00:00"/>
    <s v="EJECUTADO"/>
    <n v="0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BASE CLASE 2"/>
    <s v="m³"/>
    <n v="19.100000000000001"/>
    <n v="11697.06"/>
    <d v="2014-01-01T00:00:00"/>
    <d v="2014-11-20T00:00:00"/>
    <s v="EJECUTADO"/>
    <n v="223413.85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Doble tratamiento superficial bituminoso"/>
    <s v="m2"/>
    <n v="3.47"/>
    <n v="38990.230000000003"/>
    <d v="2014-01-01T00:00:00"/>
    <d v="2014-11-20T00:00:00"/>
    <s v="EJECUTADO"/>
    <n v="135296.1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n v="6.17"/>
    <n v="0"/>
    <s v="Asfalto para riego de imprimación"/>
    <s v="Lit."/>
    <n v="0.97"/>
    <n v="189540"/>
    <d v="2014-01-01T00:00:00"/>
    <d v="2014-11-20T00:00:00"/>
    <s v="EJECUTADO"/>
    <n v="183853.8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Letretro de señalizacion vial en aluminio de 0.75x0.75 m"/>
    <s v="U"/>
    <n v="175.16"/>
    <n v="10"/>
    <d v="2014-01-01T00:00:00"/>
    <d v="2014-11-20T00:00:00"/>
    <s v="EJECUTADO"/>
    <n v="1751.6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Hormigon simple F´c 180 Kg / cm 2"/>
    <s v="m3"/>
    <n v="178.13"/>
    <m/>
    <d v="2014-01-01T00:00:00"/>
    <d v="2014-11-20T00:00:00"/>
    <s v="EJECUTADO"/>
    <n v="0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Hormigón Ciclópeo 60% de H°S° de F'c=180 Kg/cm2 + 40% de piedra"/>
    <s v="m3"/>
    <n v="141.97999999999999"/>
    <n v="27.63"/>
    <d v="2014-01-01T00:00:00"/>
    <d v="2014-11-20T00:00:00"/>
    <s v="EJECUTADO"/>
    <n v="3922.91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LIMPIEZA DE ALCANTARILLA"/>
    <s v="m³"/>
    <n v="10.87"/>
    <n v="36.85"/>
    <d v="2014-01-01T00:00:00"/>
    <d v="2014-11-20T00:00:00"/>
    <s v="EJECUTADO"/>
    <n v="400.56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EXCAVACIÓN DE ZANJAS A MÁQUINA EN SUELO SIN CLASIFICAR"/>
    <s v="m³"/>
    <n v="1.57"/>
    <n v="1526.09"/>
    <d v="2014-01-01T00:00:00"/>
    <d v="2014-11-20T00:00:00"/>
    <s v="EJECUTADO"/>
    <n v="2395.96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EXCAVACIÓN PARA CUNETAS Y ENCAUZAMIENTOS, A MÁQUINA D/L=200M"/>
    <s v="m³"/>
    <n v="1.73"/>
    <n v="432"/>
    <d v="2014-01-01T00:00:00"/>
    <d v="2014-11-20T00:00:00"/>
    <s v="EJECUTADO"/>
    <n v="747.36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ALCANTARILLA METALICA GALVANZADA CORRUGADA PP-68 D=1.20 e= 2MM"/>
    <s v="ml"/>
    <n v="206.62"/>
    <n v="91.58"/>
    <d v="2014-01-01T00:00:00"/>
    <d v="2014-11-20T00:00:00"/>
    <s v="EJECUTADO"/>
    <n v="18922.259999999998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TUBERÍA CORRUGADA Y PERFORADA PARA SUBDRENES PVC D=200 MM"/>
    <s v="M"/>
    <n v="19.16"/>
    <n v="995.6"/>
    <d v="2014-01-01T00:00:00"/>
    <d v="2014-11-20T00:00:00"/>
    <s v="EJECUTADO"/>
    <n v="19075.7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MEMBRANA DE FIBRA SINTETICA NT-1600"/>
    <s v="M²"/>
    <n v="1.91"/>
    <n v="3982.4"/>
    <d v="2014-01-01T00:00:00"/>
    <d v="2014-11-20T00:00:00"/>
    <s v="EJECUTADO"/>
    <n v="7606.38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MATERIAL FILTRANTE PARA SUB-DREN S/T"/>
    <s v="m³"/>
    <n v="8.1999999999999993"/>
    <n v="157.87"/>
    <d v="2014-01-01T00:00:00"/>
    <d v="2014-11-20T00:00:00"/>
    <s v="EJECUTADO"/>
    <n v="1294.53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TRAN. MAT. PETREOS, BASE, SUB-BASE, MAT. TRITU, DE PRÉSTAMO Y OTROS, D/L=0.5Km"/>
    <s v="M³-Km"/>
    <n v="0.3"/>
    <n v="62275.6"/>
    <d v="2014-01-01T00:00:00"/>
    <d v="2014-11-20T00:00:00"/>
    <s v="EJECUTADO"/>
    <n v="18682.68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TRAMPA PARA GRASAS Y ACEITES"/>
    <s v="U"/>
    <n v="1040.57"/>
    <n v="1"/>
    <d v="2014-01-01T00:00:00"/>
    <d v="2014-11-20T00:00:00"/>
    <s v="EJECUTADO"/>
    <n v="1040.57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LETRINA SANITARIA SIN ARRASTRE DE AGUA"/>
    <s v="U"/>
    <n v="664.56"/>
    <n v="2"/>
    <d v="2014-01-01T00:00:00"/>
    <d v="2014-11-20T00:00:00"/>
    <s v="EJECUTADO"/>
    <n v="1329.12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ESCOMBRERAS"/>
    <s v="m³"/>
    <n v="0.42"/>
    <n v="178265.91"/>
    <d v="2014-01-01T00:00:00"/>
    <d v="2014-11-20T00:00:00"/>
    <s v="EJECUTADO"/>
    <n v="74871.679999999993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INSTALACION DE TRITURADORA"/>
    <s v="GBL"/>
    <n v="78920.429999999993"/>
    <n v="1"/>
    <d v="2014-01-01T00:00:00"/>
    <d v="2014-11-20T00:00:00"/>
    <s v="EJECUTADO"/>
    <n v="78920.429999999993"/>
    <m/>
    <m/>
    <m/>
  </r>
  <r>
    <m/>
    <m/>
    <x v="8"/>
    <m/>
    <s v="MEJORAMIENTO A NIVEL DE DOBLE TRATAMIENTO SUPERFICIAL BITUMINOSO DE LA VIA SARAGURO TENTA L= 6.17 KM.ABSC (4+044.69 - 10+210.55) CONVENIO NRO.120 - DPS -2013 GPL - VIALSUR.EP"/>
    <x v="4"/>
    <x v="14"/>
    <s v="SARAGURO"/>
    <s v="CONVENIO"/>
    <s v="UNIDAD DE NEGOCIOS"/>
    <m/>
    <m/>
    <n v="0"/>
    <s v="EQUIPO DE PROTECCIÓN PERSONAL"/>
    <s v="U"/>
    <n v="300"/>
    <n v="11"/>
    <d v="2014-01-01T00:00:00"/>
    <d v="2014-11-20T00:00:00"/>
    <s v="EJECUTADO"/>
    <n v="3300"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674">
  <r>
    <x v="0"/>
    <s v="TERMINACIÓN DE RECONFORMACIÓN DE LA VÍA PURUNUMA - CHINGUILAMACA  ( L TOTAL = 18,8Km, TRABAJO EJECUTADO, 1 KM DE RECONFORMACIÓN Y 3KM DE RESANTEO EN ESTA JORNADA FINAL)"/>
    <s v="TERMINACIÓN DE RECONFORMACIÓN DE LA VÍA PURUNUMA - CHINGUILAMACA  ( L TOTAL = 18,8Km, TRABAJO EJECUTADO, 1 KM DE RECONFORMACIÓN Y 3KM DE RESANTEO EN ESTA JORNADA FINAL)"/>
    <x v="0"/>
    <s v="GONZANAMA"/>
    <s v="PURUNUMA"/>
    <s v="AD. DIRECTA"/>
    <s v="VIALSUR"/>
    <n v="18.8"/>
    <m/>
    <n v="494"/>
    <s v="Excavacion sin clasificar a maquina (explotación de material)"/>
    <s v="m3"/>
    <n v="1.62"/>
    <n v="1200"/>
    <d v="2014-01-01T00:00:00"/>
    <d v="2014-01-31T00:00:00"/>
    <s v="EJECUTADO"/>
    <n v="1944"/>
    <m/>
    <m/>
    <n v="7584"/>
  </r>
  <r>
    <x v="0"/>
    <m/>
    <s v="TERMINACIÓN DE RECONFORMACIÓN DE LA VÍA PURUNUMA - CHINGUILAMACA  ( L TOTAL = 18,8Km, TRABAJO EJECUTADO, 1 KM DE RECONFORMACIÓN Y 3KM DE RESANTEO EN ESTA JORNADA FINAL)"/>
    <x v="0"/>
    <s v="GONZANAMA"/>
    <s v="PURUNUMA"/>
    <s v="AD. DIRECTA"/>
    <s v="VIALSUR"/>
    <m/>
    <m/>
    <n v="0"/>
    <s v="Transporte de material para mejoramiento, inc. cargado"/>
    <s v="m3/km"/>
    <n v="0.35"/>
    <n v="6000"/>
    <d v="2014-01-01T00:00:00"/>
    <d v="2014-01-31T00:00:00"/>
    <s v="EJECUTADO"/>
    <n v="2100"/>
    <m/>
    <m/>
    <m/>
  </r>
  <r>
    <x v="0"/>
    <m/>
    <s v="TERMINACIÓN DE RECONFORMACIÓN DE LA VÍA PURUNUMA - CHINGUILAMACA  ( L TOTAL = 18,8Km, TRABAJO EJECUTADO, 1 KM DE RECONFORMACIÓN Y 3KM DE RESANTEO EN ESTA JORNADA FINAL)"/>
    <x v="0"/>
    <s v="GONZANAMA"/>
    <s v="PURUNUMA"/>
    <s v="AD. DIRECTA"/>
    <s v="VIALSUR"/>
    <m/>
    <n v="1.1000000000000001"/>
    <n v="0"/>
    <s v="Acabado de Obra Básica existente"/>
    <s v="m2"/>
    <n v="0.35"/>
    <n v="6000"/>
    <d v="2014-01-01T00:00:00"/>
    <d v="2014-01-31T00:00:00"/>
    <s v="EJECUTADO"/>
    <n v="2100"/>
    <m/>
    <m/>
    <m/>
  </r>
  <r>
    <x v="0"/>
    <m/>
    <s v="TERMINACIÓN DE RECONFORMACIÓN DE LA VÍA PURUNUMA - CHINGUILAMACA  ( L TOTAL = 18,8Km, TRABAJO EJECUTADO, 1 KM DE RECONFORMACIÓN Y 3KM DE RESANTEO EN ESTA JORNADA FINAL)"/>
    <x v="0"/>
    <s v="GONZANAMA"/>
    <s v="PURUNUMA"/>
    <s v="AD. DIRECTA"/>
    <s v="VIALSUR"/>
    <m/>
    <n v="3.28"/>
    <n v="0"/>
    <s v="Rasanteo y conformacion de cunetas con motoniveladora"/>
    <s v="m2"/>
    <n v="0.08"/>
    <n v="18000"/>
    <d v="2014-01-01T00:00:00"/>
    <d v="2014-01-31T00:00:00"/>
    <s v="EJECUTADO"/>
    <n v="1440"/>
    <m/>
    <m/>
    <m/>
  </r>
  <r>
    <x v="0"/>
    <s v="RECONFORMACIÓN DE LA VÍA PURUNUMA GONZANAMÁ (L INTERVENCIÓN = 5KM A LA FECHA, SON EN TOTAL 7KM)"/>
    <s v="RECONFORMACIÓN DE LA VÍA PURUNUMA GONZANAMÁ (L INTERVENCIÓN = 5KM A LA FECHA, SON EN TOTAL 7KM)"/>
    <x v="0"/>
    <s v="GONZANAMA"/>
    <s v="PURUNUMA"/>
    <s v="AD. DIRECTA"/>
    <s v="VIALSUR"/>
    <n v="5"/>
    <m/>
    <n v="494"/>
    <s v="Excavacion sin clasificar a maquina (explotación de material)"/>
    <s v="m3"/>
    <n v="1.62"/>
    <n v="2080"/>
    <d v="2014-01-01T00:00:00"/>
    <d v="2014-03-31T00:00:00"/>
    <s v="EJECUTADO"/>
    <n v="3369.6"/>
    <m/>
    <m/>
    <n v="31590.799999999999"/>
  </r>
  <r>
    <x v="0"/>
    <m/>
    <s v="RECONFORMACIÓN DE LA VÍA PURUNUMA GONZANAMÁ (L INTERVENCIÓN = 5KM A LA FECHA, SON EN TOTAL 7KM)"/>
    <x v="0"/>
    <s v="GONZANAMA"/>
    <s v="PURUNUMA"/>
    <s v="AD. DIRECTA"/>
    <s v="VIALSUR"/>
    <m/>
    <m/>
    <n v="0"/>
    <s v="Transporte de material para mejoramiento, inc. cargado"/>
    <s v="m3/km"/>
    <n v="0.35"/>
    <n v="46632"/>
    <d v="2014-01-01T00:00:00"/>
    <d v="2014-03-31T00:00:00"/>
    <s v="EJECUTADO"/>
    <n v="16321.2"/>
    <m/>
    <m/>
    <m/>
  </r>
  <r>
    <x v="0"/>
    <m/>
    <s v="RECONFORMACIÓN DE LA VÍA PURUNUMA GONZANAMÁ (L INTERVENCIÓN = 5KM A LA FECHA, SON EN TOTAL 7KM)"/>
    <x v="0"/>
    <s v="GONZANAMA"/>
    <s v="PURUNUMA"/>
    <s v="AD. DIRECTA"/>
    <s v="VIALSUR"/>
    <m/>
    <n v="6.1899999999999995"/>
    <n v="0"/>
    <s v="Acabado de Obra Básica existente"/>
    <s v="m2"/>
    <n v="0.35"/>
    <n v="34000"/>
    <d v="2014-01-01T00:00:00"/>
    <d v="2014-03-31T00:00:00"/>
    <s v="EJECUTADO"/>
    <n v="11900"/>
    <m/>
    <m/>
    <m/>
  </r>
  <r>
    <x v="1"/>
    <s v="CONSTRUCCIÓN DE OBRAS DE ARTE EN LA VÍA CHIRIHUALA-CHANGAIMINA "/>
    <s v="CONSTRUCCIÓN DE OBRAS DE ARTE EN LA VÍA CHIRIHUALA-CHANGAIMINA "/>
    <x v="0"/>
    <s v="GONZANAMA"/>
    <s v="CHANGAIMINA"/>
    <s v="AD. DIRECTA"/>
    <s v="VIALSUR"/>
    <m/>
    <m/>
    <n v="0"/>
    <s v="Excavacion sin clasificar para cunetas"/>
    <s v="m3"/>
    <n v="10.55"/>
    <n v="42.16"/>
    <d v="2014-01-01T00:00:00"/>
    <d v="2014-03-31T00:00:00"/>
    <s v="EJECUTADO"/>
    <n v="444.79"/>
    <m/>
    <m/>
    <n v="17934.11"/>
  </r>
  <r>
    <x v="1"/>
    <m/>
    <s v="CONSTRUCCIÓN DE OBRAS DE ARTE EN LA VÍA CHIRIHUALA-CHANGAIMINA "/>
    <x v="0"/>
    <s v="GONZANAMA"/>
    <s v="CHANGAIMINA"/>
    <s v="AD. DIRECTA"/>
    <s v="VIALSUR"/>
    <m/>
    <m/>
    <n v="0"/>
    <s v="Hormigon simple F´c 180 Kg / cm 2"/>
    <s v="m3"/>
    <n v="178.13"/>
    <n v="96.34"/>
    <d v="2014-01-01T00:00:00"/>
    <d v="2014-03-31T00:00:00"/>
    <s v="EJECUTADO"/>
    <n v="17161.04"/>
    <m/>
    <m/>
    <m/>
  </r>
  <r>
    <x v="1"/>
    <m/>
    <s v="CONSTRUCCIÓN DE OBRAS DE ARTE EN LA VÍA CHIRIHUALA-CHANGAIMINA "/>
    <x v="0"/>
    <s v="GONZANAMA"/>
    <s v="CHANGAIMINA"/>
    <s v="AD. DIRECTA"/>
    <s v="VIALSUR"/>
    <m/>
    <m/>
    <n v="0"/>
    <s v="Bordillos de Hormigon F´c 180 Kg/cm2 incluye encofr."/>
    <s v="m "/>
    <n v="15.04"/>
    <m/>
    <d v="2014-01-01T00:00:00"/>
    <d v="2014-01-31T00:00:00"/>
    <s v="EJECUTADO"/>
    <n v="0"/>
    <m/>
    <m/>
    <m/>
  </r>
  <r>
    <x v="1"/>
    <m/>
    <s v="CONSTRUCCIÓN DE OBRAS DE ARTE EN LA VÍA CHIRIHUALA-CHANGAIMINA "/>
    <x v="0"/>
    <s v="GONZANAMA"/>
    <s v="CHANGAIMINA"/>
    <s v="AD. DIRECTA"/>
    <s v="VIALSUR"/>
    <m/>
    <m/>
    <n v="0"/>
    <s v="Hormigon coclopeo F´c 180 Kg / cm 2( 60%)H. Simple"/>
    <s v="m3"/>
    <n v="141.09"/>
    <m/>
    <d v="2014-01-01T00:00:00"/>
    <d v="2014-01-31T00:00:00"/>
    <s v="EJECUTADO"/>
    <n v="0"/>
    <m/>
    <m/>
    <m/>
  </r>
  <r>
    <x v="1"/>
    <m/>
    <s v="CONSTRUCCIÓN DE OBRAS DE ARTE EN LA VÍA CHIRIHUALA-CHANGAIMINA "/>
    <x v="0"/>
    <s v="GONZANAMA"/>
    <s v="CHANGAIMINA"/>
    <s v="AD. DIRECTA"/>
    <s v="VIALSUR"/>
    <m/>
    <m/>
    <n v="0"/>
    <s v="Señalizacion con Balizas Reflectivas"/>
    <s v="UNIDAD"/>
    <n v="11.32"/>
    <n v="29"/>
    <d v="2014-01-01T00:00:00"/>
    <d v="2014-02-28T00:00:00"/>
    <s v="EJECUTADO"/>
    <n v="328.28"/>
    <m/>
    <m/>
    <m/>
  </r>
  <r>
    <x v="0"/>
    <s v="LIMPIEZA DE DERRUMBES EN LA VIA GONZANAMÁ QUILANGA"/>
    <s v="LIMPIEZA DE DERRUMBES EN LA VIA GONZANAMÁ QUILANGA"/>
    <x v="0"/>
    <s v="QUILANGA"/>
    <s v="QUILANGA"/>
    <s v="AD. DIRECTA"/>
    <s v="VIALSUR"/>
    <m/>
    <m/>
    <n v="0"/>
    <s v="Limpieza de derrumbes a máquina"/>
    <s v="m3"/>
    <n v="1.46"/>
    <n v="120"/>
    <d v="2014-03-01T00:00:00"/>
    <d v="2014-03-31T00:00:00"/>
    <s v="EJECUTADO"/>
    <n v="175.2"/>
    <m/>
    <m/>
    <n v="175.2"/>
  </r>
  <r>
    <x v="0"/>
    <s v="LIMPIEZA DE DERRUMBES EN LA VIA LLANO GRANDE - LUJINUMA"/>
    <s v="LIMPIEZA DE DERRUMBES EN LA VIA LLANO GRANDE - LUJINUMA"/>
    <x v="0"/>
    <s v="QUILANGA"/>
    <s v="QUILANGA"/>
    <s v="AD. DIRECTA"/>
    <s v="VIALSUR"/>
    <m/>
    <m/>
    <n v="0"/>
    <s v="Limpieza de derrumbes a máquina"/>
    <s v="m3"/>
    <n v="1.46"/>
    <n v="50"/>
    <d v="2014-03-01T00:00:00"/>
    <d v="2014-03-31T00:00:00"/>
    <s v="EJECUTADO"/>
    <n v="73"/>
    <m/>
    <m/>
    <n v="73"/>
  </r>
  <r>
    <x v="0"/>
    <s v="LIMPIEZA DE DERRUMBES EN LA VIA COMBOLO - POTRERILLOS"/>
    <s v="LIMPIEZA DE DERRUMBES EN LA VIA COMBOLO - POTRERILLOS"/>
    <x v="0"/>
    <s v="QUILANGA"/>
    <s v="QUILANGA"/>
    <s v="AD. DIRECTA"/>
    <s v="VIALSUR"/>
    <m/>
    <m/>
    <n v="0"/>
    <s v="Limpieza de derrumbes a máquina"/>
    <s v="m3"/>
    <n v="1.46"/>
    <n v="1960"/>
    <d v="2014-03-01T00:00:00"/>
    <d v="2014-03-31T00:00:00"/>
    <s v="EJECUTADO"/>
    <n v="2861.6"/>
    <m/>
    <m/>
    <n v="2861.6"/>
  </r>
  <r>
    <x v="0"/>
    <s v="LIMPIEZA DE DERRUMBES EN LA VIA CHIRIHUALA - CHANGAIMINA"/>
    <s v="LIMPIEZA DE DERRUMBES EN LA VIA CHIRIHUALA - CHANGAIMINA"/>
    <x v="0"/>
    <s v="GONZANAMA"/>
    <s v="CHANGAIMINA"/>
    <s v="AD. DIRECTA"/>
    <s v="VIALSUR"/>
    <m/>
    <m/>
    <n v="0"/>
    <s v="Limpieza de derrumbes a máquina"/>
    <s v="m3"/>
    <n v="1.46"/>
    <n v="250"/>
    <d v="2014-03-01T00:00:00"/>
    <d v="2014-03-31T00:00:00"/>
    <s v="EJECUTADO"/>
    <n v="365"/>
    <m/>
    <m/>
    <n v="365"/>
  </r>
  <r>
    <x v="0"/>
    <s v="LIMPIEZA DE DERRUMBES EN LA VIA ACCESO PRINCIPAL A SACAPALCA"/>
    <s v="LIMPIEZA DE DERRUMBES EN LA VIA ACCESO PRINCIPAL A SACAPALCA"/>
    <x v="0"/>
    <s v="GONZANAMA"/>
    <s v="SACAPALCA"/>
    <s v="AD. DIRECTA"/>
    <s v="VIALSUR"/>
    <m/>
    <m/>
    <n v="0"/>
    <s v="Limpieza de derrumbes a máquina"/>
    <s v="m3"/>
    <n v="1.46"/>
    <n v="250"/>
    <d v="2014-03-01T00:00:00"/>
    <d v="2014-03-31T00:00:00"/>
    <s v="EJECUTADO"/>
    <n v="365"/>
    <m/>
    <m/>
    <n v="365"/>
  </r>
  <r>
    <x v="0"/>
    <s v="RESANTEO Y LIMPIEZA DE DERRUMBES EN LA VIA NAMBACOLA-GERINOMA-CUCULAS"/>
    <s v="RESANTEO Y LIMPIEZA DE DERRUMBES EN LA VIA NAMBACOLA-GERINOMA-CUCULAS"/>
    <x v="0"/>
    <s v="GONZANAMA"/>
    <s v="NAMBACOLA"/>
    <s v="AD. DIRECTA"/>
    <s v="VIALSUR"/>
    <m/>
    <n v="16.37"/>
    <n v="0"/>
    <s v="Rasanteo y conformacion de cunetas con motoniveladora"/>
    <s v="m2"/>
    <n v="0.08"/>
    <n v="90000"/>
    <d v="2014-03-01T00:00:00"/>
    <d v="2014-03-31T00:00:00"/>
    <s v="EJECUTADO"/>
    <n v="7200"/>
    <m/>
    <m/>
    <n v="7200"/>
  </r>
  <r>
    <x v="0"/>
    <s v="RESANTEO Y LIMPIEZA DE CUNETAS EN LA VIA NAMBACOLA- PEÑA NEGRA"/>
    <s v="RESANTEO Y LIMPIEZA DE CUNETAS EN LA VIA NAMBACOLA- PEÑA NEGRA"/>
    <x v="0"/>
    <s v="GONZANAMA"/>
    <s v="NAMBACOLA"/>
    <s v="AD. DIRECTA"/>
    <s v="VIALSUR"/>
    <m/>
    <n v="4.5"/>
    <n v="0"/>
    <s v="Rasanteo y conformacion de cunetas con motoniveladora"/>
    <s v="m2"/>
    <n v="0.08"/>
    <n v="24750"/>
    <d v="2014-01-04T00:00:00"/>
    <d v="2014-04-30T00:00:00"/>
    <s v="EJECUTADO"/>
    <n v="1980"/>
    <m/>
    <m/>
    <n v="1980"/>
  </r>
  <r>
    <x v="0"/>
    <s v="RESANTEO Y LIMPIEZA DE CUNETAS EN LA VIA LANZACA - GRANJA DEPROSUR"/>
    <s v="RESANTEO Y LIMPIEZA DE CUNETAS EN LA VIA LANZACA - GRANJA DEPROSUR"/>
    <x v="0"/>
    <s v="GONZANAMA"/>
    <s v="NAMBACOLA"/>
    <s v="AD. DIRECTA"/>
    <s v="VIALSUR"/>
    <m/>
    <n v="0.91"/>
    <n v="0"/>
    <s v="Rasanteo y conformacion de cunetas con motoniveladora"/>
    <s v="m2"/>
    <n v="0.08"/>
    <n v="5000"/>
    <d v="2014-01-04T00:00:00"/>
    <d v="2014-04-30T00:00:00"/>
    <s v="EJECUTADO"/>
    <n v="400"/>
    <m/>
    <m/>
    <n v="400"/>
  </r>
  <r>
    <x v="0"/>
    <s v="RESANTEO Y LIMPIEZA DE CUNETAS EN LA VIA NAMBACOLA - LA CALERA - LA CALERA ALTO "/>
    <s v="RESANTEO Y LIMPIEZA DE CUNETAS EN LA VIA NAMBACOLA - LA CALERA - LA CALERA ALTO "/>
    <x v="0"/>
    <s v="GONZANAMA"/>
    <s v="NAMBACOLA"/>
    <s v="AD. DIRECTA"/>
    <s v="VIALSUR"/>
    <m/>
    <n v="1.8"/>
    <n v="0"/>
    <s v="Rasanteo y conformacion de cunetas con motoniveladora"/>
    <s v="m2"/>
    <n v="0.08"/>
    <n v="9900"/>
    <d v="2014-01-04T00:00:00"/>
    <d v="2014-04-30T00:00:00"/>
    <s v="EJECUTADO"/>
    <n v="792"/>
    <m/>
    <m/>
    <n v="792"/>
  </r>
  <r>
    <x v="0"/>
    <s v="RESANTEO Y LIMPIEZA DE CUNETAS EN LA VIA GERINOMA ALTO ILLIACA"/>
    <s v="RESANTEO Y LIMPIEZA DE CUNETAS EN LA VIA GERINOMA ALTO ILLIACA"/>
    <x v="0"/>
    <s v="GONZANAMA"/>
    <s v="NAMBACOLA"/>
    <s v="AD. DIRECTA"/>
    <s v="VIALSUR"/>
    <m/>
    <n v="1"/>
    <n v="0"/>
    <s v="Rasanteo y conformacion de cunetas con motoniveladora"/>
    <s v="m2"/>
    <n v="0.08"/>
    <n v="5500"/>
    <d v="2014-01-04T00:00:00"/>
    <d v="2014-04-30T00:00:00"/>
    <s v="EJECUTADO"/>
    <n v="440"/>
    <m/>
    <m/>
    <n v="440"/>
  </r>
  <r>
    <x v="0"/>
    <s v="LIMPIEZA DE DERRUMBES EN LA VIA LA HUACA - SACAPALCA - Y BACHEO CON LASTRES"/>
    <s v="LIMPIEZA DE DERRUMBES EN LA VIA LA HUACA - SACAPALCA - Y BACHEO CON LASTRES"/>
    <x v="0"/>
    <s v="GONZANAMA"/>
    <s v="SACAPALCA"/>
    <s v="AD. DIRECTA"/>
    <s v="VIALSUR"/>
    <m/>
    <m/>
    <n v="0"/>
    <s v="Limpieza de derrumbes a máquina"/>
    <s v="m3"/>
    <n v="1.46"/>
    <n v="720"/>
    <d v="2014-01-04T00:00:00"/>
    <d v="2014-04-30T00:00:00"/>
    <s v="EJECUTADO"/>
    <n v="1051.2"/>
    <m/>
    <m/>
    <n v="1051.2"/>
  </r>
  <r>
    <x v="0"/>
    <m/>
    <s v="LIMPIEZA DE DERRUMBES EN LA VIA LA HUACA - SACAPALCA - Y BACHEO CON LASTRES"/>
    <x v="0"/>
    <s v="GONZANAMA"/>
    <s v="SACAPALCA"/>
    <s v="AD. DIRECTA"/>
    <s v="VIALSUR"/>
    <m/>
    <m/>
    <n v="0"/>
    <s v="Transporte de material para mejoramiento, inc. cargado"/>
    <s v="m3/km"/>
    <n v="0.35"/>
    <n v="720"/>
    <d v="2014-01-04T00:00:00"/>
    <d v="2014-04-30T00:00:00"/>
    <s v="EJECUTADO"/>
    <n v="252"/>
    <m/>
    <m/>
    <n v="252"/>
  </r>
  <r>
    <x v="0"/>
    <s v="LIMPIEZA DE DERRUMBES EN LA VIA AYASAPA - CHANGAIMINA Y BACHEO CON LASTRE"/>
    <s v="LIMPIEZA DE DERRUMBES EN LA VIA AYASAPA - CHANGAIMINA Y BACHEO CON LASTRE"/>
    <x v="0"/>
    <s v="GONZANAMA"/>
    <s v="CHANGAIMINA"/>
    <s v="AD. DIRECTA"/>
    <s v="VIALSUR"/>
    <m/>
    <m/>
    <n v="0"/>
    <s v="Limpieza de derrumbes a máquina"/>
    <s v="m3"/>
    <n v="1.46"/>
    <n v="280"/>
    <d v="2014-01-04T00:00:00"/>
    <d v="2014-04-30T00:00:00"/>
    <s v="EJECUTADO"/>
    <n v="408.8"/>
    <m/>
    <m/>
    <n v="408.8"/>
  </r>
  <r>
    <x v="0"/>
    <m/>
    <s v="LIMPIEZA DE DERRUMBES EN LA VIA AYASAPA - CHANGAIMINA Y BACHEO CON LASTRE"/>
    <x v="0"/>
    <s v="GONZANAMA"/>
    <s v="CHANGAIMINA"/>
    <s v="AD. DIRECTA"/>
    <s v="VIALSUR"/>
    <m/>
    <m/>
    <n v="0"/>
    <s v="Transporte de material para mejoramiento, inc. cargado"/>
    <s v="m3/km"/>
    <n v="0.35"/>
    <n v="2160"/>
    <d v="2014-01-04T00:00:00"/>
    <d v="2014-04-30T00:00:00"/>
    <s v="EJECUTADO"/>
    <n v="756"/>
    <m/>
    <m/>
    <n v="756"/>
  </r>
  <r>
    <x v="0"/>
    <s v="RECONFORMACIÓN Y LIMPIEZA DE CUNETAS EN LA VIA PRINCIPAL - YACURA"/>
    <s v="RECONFORMACIÓN Y LIMPIEZA DE CUNETAS EN LA VIA PRINCIPAL - YACURA"/>
    <x v="0"/>
    <s v="GONZANAMA"/>
    <s v="CHANGAIMINA"/>
    <s v="AD. DIRECTA"/>
    <s v="VIALSUR"/>
    <m/>
    <n v="1.64"/>
    <n v="0"/>
    <s v="Acabado de Obra Básica existente"/>
    <s v="m2"/>
    <n v="0.35"/>
    <n v="9000"/>
    <d v="2014-04-01T00:00:00"/>
    <d v="2014-04-30T00:00:00"/>
    <s v="EJECUTADO"/>
    <n v="3150"/>
    <m/>
    <m/>
    <n v="3150"/>
  </r>
  <r>
    <x v="0"/>
    <s v="RECONFORMACIÓN Y LIMPIEZA DE CUNETAS EN LA VIA EL LIMON - CARBONERA - PLATANAL"/>
    <s v="RECONFORMACIÓN Y LIMPIEZA DE CUNETAS EN LA VIA EL LIMON - CARBONERA - PLATANAL"/>
    <x v="0"/>
    <s v="GONZANAMA"/>
    <s v="NAMBACOLA"/>
    <s v="AD. DIRECTA"/>
    <s v="VIALSUR"/>
    <m/>
    <n v="3.6399999999999997"/>
    <n v="0"/>
    <s v="Acabado de Obra Básica existente"/>
    <s v="m2"/>
    <n v="0.35"/>
    <n v="20000"/>
    <d v="2014-04-01T00:00:00"/>
    <d v="2014-04-30T00:00:00"/>
    <s v="EJECUTADO"/>
    <n v="7000"/>
    <m/>
    <m/>
    <n v="7000"/>
  </r>
  <r>
    <x v="0"/>
    <s v="RECONFORMACIÓN Y LIMPIEZA DE CUNETAS EN LA VIA PRINCIPAL - PIEDRA GRANDE"/>
    <s v="RECONFORMACIÓN Y LIMPIEZA DE CUNETAS EN LA VIA PRINCIPAL - PIEDRA GRANDE"/>
    <x v="0"/>
    <s v="GONZANAMA"/>
    <s v="NAMBACOLA"/>
    <s v="AD. DIRECTA"/>
    <s v="VIALSUR"/>
    <m/>
    <n v="0.91"/>
    <n v="0"/>
    <s v="Acabado de Obra Básica existente"/>
    <s v="m2"/>
    <n v="0.35"/>
    <n v="5000"/>
    <d v="2014-04-01T00:00:00"/>
    <d v="2014-04-30T00:00:00"/>
    <s v="EJECUTADO"/>
    <n v="1750"/>
    <m/>
    <m/>
    <n v="1750"/>
  </r>
  <r>
    <x v="0"/>
    <s v="RECONFORMACIÓN Y LIMPIEZA DE CUNETAS EN LA VIA MOLLEPAMBA BAJO - MOLLEPAMBA ALTO"/>
    <s v="RECONFORMACIÓN Y LIMPIEZA DE CUNETAS EN LA VIA MOLLEPAMBA BAJO - MOLLEPAMBA ALTO"/>
    <x v="0"/>
    <s v="GONZANAMA"/>
    <s v="NAMBACOLA"/>
    <s v="AD. DIRECTA"/>
    <s v="VIALSUR"/>
    <m/>
    <n v="1.1000000000000001"/>
    <n v="0"/>
    <s v="Acabado de Obra Básica existente"/>
    <s v="m2"/>
    <n v="0.35"/>
    <n v="6000"/>
    <d v="2014-04-01T00:00:00"/>
    <d v="2014-04-30T00:00:00"/>
    <s v="EJECUTADO"/>
    <n v="2100"/>
    <m/>
    <m/>
    <n v="2100"/>
  </r>
  <r>
    <x v="0"/>
    <s v="RECONFORMACION, BACHEO Y LIMPIEZA DE CUNETAS EN LA VIA ACCESO PRINCIPAL A LA PARROQUIA NAMBACOLA"/>
    <s v="RECONFORMACION, BACHEO Y LIMPIEZA DE CUNETAS EN LA VIA ACCESO PRINCIPAL A LA PARROQUIA NAMBACOLA"/>
    <x v="0"/>
    <s v="GONZANAMA"/>
    <s v="NAMBACOLA"/>
    <s v="AD. DIRECTA"/>
    <s v="VIALSUR"/>
    <m/>
    <n v="4.1399999999999997"/>
    <n v="0"/>
    <s v="Acabado de Obra Básica existente"/>
    <s v="m2"/>
    <n v="0.35"/>
    <n v="22750"/>
    <d v="2014-01-05T00:00:00"/>
    <d v="2014-05-31T00:00:00"/>
    <s v="EJECUTADO"/>
    <n v="7962.5"/>
    <m/>
    <m/>
    <n v="7962.5"/>
  </r>
  <r>
    <x v="0"/>
    <m/>
    <s v="RECONFORMACION, BACHEO Y LIMPIEZA DE CUNETAS EN LA VIA ACCESO PRINCIPAL A LA PARROQUIA NAMBACOLA"/>
    <x v="0"/>
    <s v="GONZANAMA"/>
    <s v="NAMBACOLA"/>
    <s v="AD. DIRECTA"/>
    <s v="VIALSUR"/>
    <m/>
    <m/>
    <n v="0"/>
    <s v="Transporte de material para mejoramiento, inc cargado"/>
    <s v="m3"/>
    <n v="0.35"/>
    <n v="3774"/>
    <d v="2014-01-05T00:00:00"/>
    <d v="2014-05-31T00:00:00"/>
    <s v="EJECUTADO"/>
    <n v="1320.9"/>
    <m/>
    <m/>
    <n v="1320.9"/>
  </r>
  <r>
    <x v="0"/>
    <s v="RECONFORMACION, BACHEO Y LIMPIEZA DE CUNETAS EN LA VIA SACAPALCA CHANGAIMINA"/>
    <s v="RECONFORMACION, BACHEO Y LIMPIEZA DE CUNETAS EN LA VIA SACAPALCA CHANGAIMINA"/>
    <x v="0"/>
    <s v="GONZANAMA"/>
    <s v="SACAPALCA"/>
    <s v="AD. DIRECTA"/>
    <s v="VIALSUR"/>
    <m/>
    <n v="14"/>
    <n v="0"/>
    <s v="Acabado de Obra Básica existente"/>
    <s v="m2"/>
    <n v="0.35"/>
    <n v="117000"/>
    <d v="2014-06-01T00:00:00"/>
    <d v="2014-06-30T00:00:00"/>
    <s v="EJECUTADO"/>
    <n v="40950"/>
    <m/>
    <m/>
    <n v="40950"/>
  </r>
  <r>
    <x v="0"/>
    <m/>
    <s v="RECONFORMACION, BACHEO Y LIMPIEZA DE CUNETAS EN LA VIA SACAPALCA CHANGAIMINA"/>
    <x v="0"/>
    <s v="GONZANAMA"/>
    <s v="SACAPALCA"/>
    <s v="AD. DIRECTA"/>
    <s v="VIALSUR"/>
    <m/>
    <m/>
    <n v="0"/>
    <s v="Transporte de material para mejoramiento, inc cargado"/>
    <s v="m3"/>
    <n v="0.35"/>
    <n v="31590"/>
    <d v="2014-06-01T00:00:00"/>
    <d v="2014-06-30T00:00:00"/>
    <s v="EJECUTADO"/>
    <n v="11056.5"/>
    <m/>
    <m/>
    <n v="11056.5"/>
  </r>
  <r>
    <x v="0"/>
    <s v="RECONFORMACION, BACHEO Y LIMPIEZA DE CUNETAS EN LA VIA SUNAMANGA SACAPALCA"/>
    <s v="RECONFORMACION, BACHEO Y LIMPIEZA DE CUNETAS EN LA VIA SUNAMANGA SACAPALCA"/>
    <x v="0"/>
    <s v="GONZANAMA"/>
    <s v="SACAPALCA"/>
    <s v="AD. DIRECTA"/>
    <s v="VIALSUR"/>
    <m/>
    <n v="21.28"/>
    <n v="0"/>
    <s v="Acabado de Obra Básica existente"/>
    <s v="m2"/>
    <n v="0.35"/>
    <n v="84000"/>
    <d v="2014-09-01T00:00:00"/>
    <d v="2014-09-30T00:00:00"/>
    <s v="EJECUTADO"/>
    <n v="29400"/>
    <m/>
    <m/>
    <n v="29400"/>
  </r>
  <r>
    <x v="0"/>
    <m/>
    <s v="RECONFORMACION, BACHEO Y LIMPIEZA DE CUNETAS EN LA VIA SUNAMANGA SACAPALCA"/>
    <x v="0"/>
    <s v="GONZANAMA"/>
    <s v="SACAPALCA"/>
    <s v="AD. DIRECTA"/>
    <s v="VIALSUR"/>
    <m/>
    <m/>
    <n v="0"/>
    <s v="Transporte de material para mejoramiento, inc cargado"/>
    <s v="m3"/>
    <n v="0.35"/>
    <n v="22680"/>
    <d v="2014-09-01T00:00:00"/>
    <d v="2014-09-30T00:00:00"/>
    <s v="EJECUTADO"/>
    <n v="7938"/>
    <m/>
    <m/>
    <n v="7938"/>
  </r>
  <r>
    <x v="0"/>
    <s v="RECONFORMACION, BACHEO Y LIMPIEZA DE CUNETAS EN LA VIA SACAPALCA SAN VICENTE DEL RIO"/>
    <s v="RECONFORMACION, BACHEO Y LIMPIEZA DE CUNETAS EN LA VIA SACAPALCA SAN VICENTE DEL RIO"/>
    <x v="0"/>
    <s v="GONZANAMA"/>
    <s v="SACAPALCA"/>
    <s v="AD. DIRECTA"/>
    <s v="VIALSUR"/>
    <m/>
    <n v="10"/>
    <n v="0"/>
    <s v="Acabado de Obra Básica existente"/>
    <s v="m2"/>
    <n v="0.35"/>
    <n v="48000"/>
    <d v="2014-09-01T00:00:00"/>
    <d v="2014-09-30T00:00:00"/>
    <s v="EJECUTADO"/>
    <n v="16800"/>
    <m/>
    <m/>
    <n v="16800"/>
  </r>
  <r>
    <x v="0"/>
    <m/>
    <s v="RECONFORMACION, BACHEO Y LIMPIEZA DE CUNETAS EN LA VIA SACAPALCA SAN VICENTE DEL RIO"/>
    <x v="0"/>
    <s v="GONZANAMA"/>
    <s v="SACAPALCA"/>
    <s v="AD. DIRECTA"/>
    <s v="VIALSUR"/>
    <m/>
    <m/>
    <n v="0"/>
    <s v="Transporte de material para mejoramiento, inc cargado"/>
    <s v="m3"/>
    <n v="0.35"/>
    <n v="12960"/>
    <d v="2014-09-01T00:00:00"/>
    <d v="2014-09-30T00:00:00"/>
    <s v="EJECUTADO"/>
    <n v="4536"/>
    <m/>
    <m/>
    <n v="4536"/>
  </r>
  <r>
    <x v="0"/>
    <s v="RECONFORMACION, BACHEO Y LIMPIEZA DE CUNETAS EN LA VIA SACAPALCA  CHIRIMOYO"/>
    <s v="RECONFORMACION, BACHEO Y LIMPIEZA DE CUNETAS EN LA VIA SACAPALCA  CHIRIMOYO"/>
    <x v="0"/>
    <s v="GONZANAMA"/>
    <s v="SACAPALCA"/>
    <s v="AD. DIRECTA"/>
    <s v="VIALSUR"/>
    <m/>
    <n v="2"/>
    <n v="0"/>
    <s v="Acabado de Obra Básica existente"/>
    <s v="m2"/>
    <n v="0.35"/>
    <n v="12000"/>
    <d v="2014-09-01T00:00:00"/>
    <d v="2014-09-30T00:00:00"/>
    <s v="EJECUTADO"/>
    <n v="4200"/>
    <m/>
    <m/>
    <n v="4200"/>
  </r>
  <r>
    <x v="0"/>
    <m/>
    <s v="RECONFORMACION, BACHEO Y LIMPIEZA DE CUNETAS EN LA VIA SACAPALCA  CHIRIMOYO"/>
    <x v="0"/>
    <s v="GONZANAMA"/>
    <s v="SACAPALCA"/>
    <s v="AD. DIRECTA"/>
    <s v="VIALSUR"/>
    <m/>
    <m/>
    <n v="0"/>
    <s v="Transporte de material para mejoramiento, inc cargado"/>
    <s v="m3"/>
    <n v="0.35"/>
    <n v="3240"/>
    <d v="2014-09-01T00:00:00"/>
    <d v="2014-09-30T00:00:00"/>
    <s v="EJECUTADO"/>
    <n v="1134"/>
    <m/>
    <m/>
    <n v="1134"/>
  </r>
  <r>
    <x v="0"/>
    <s v="RECONFORMACION, BACHEO Y LIMPIEZA DE CUNETAS EN LA VIA CHIRIMOYO LIMON VEGA"/>
    <s v="RECONFORMACION, BACHEO Y LIMPIEZA DE CUNETAS EN LA VIA CHIRIMOYO LIMON VEGA"/>
    <x v="0"/>
    <s v="GONZANAMA"/>
    <s v="SACAPALCA"/>
    <s v="AD. DIRECTA"/>
    <s v="VIALSUR"/>
    <m/>
    <n v="8"/>
    <n v="0"/>
    <s v="Acabado de Obra Básica existente"/>
    <s v="m2"/>
    <n v="0.35"/>
    <n v="60000"/>
    <d v="2014-09-01T00:00:00"/>
    <d v="2014-09-30T00:00:00"/>
    <s v="EJECUTADO"/>
    <n v="21000"/>
    <m/>
    <m/>
    <n v="21000"/>
  </r>
  <r>
    <x v="0"/>
    <m/>
    <s v="RECONFORMACION, BACHEO Y LIMPIEZA DE CUNETAS EN LA VIA CHIRIMOYO LIMON VEGA"/>
    <x v="0"/>
    <s v="GONZANAMA"/>
    <s v="SACAPALCA"/>
    <s v="AD. DIRECTA"/>
    <s v="VIALSUR"/>
    <m/>
    <m/>
    <n v="0"/>
    <s v="Transporte de material para mejoramiento, inc cargado"/>
    <s v="m3"/>
    <n v="0.35"/>
    <n v="16200"/>
    <d v="2014-09-01T00:00:00"/>
    <d v="2014-09-30T00:00:00"/>
    <s v="EJECUTADO"/>
    <n v="5670"/>
    <m/>
    <m/>
    <n v="5670"/>
  </r>
  <r>
    <x v="0"/>
    <s v="TRABAJOS EMERGENTES PARA RAZANTEO Y LIMPIEZA DE CUNETAS BARRIO EL INGENIO"/>
    <s v="TRABAJOS EMERGENTES PARA RAZANTEO Y LIMPIEZA DE CUNETAS BARRIO EL INGENIO"/>
    <x v="0"/>
    <s v="ESPINDOLA"/>
    <s v="EL INGENIO"/>
    <s v="AD. DIRECTA"/>
    <s v="VIALSUR"/>
    <m/>
    <n v="6.55"/>
    <n v="0"/>
    <s v="Rasanteo y conformacion de cunetas con motoniveladora"/>
    <s v="m2"/>
    <n v="0.08"/>
    <n v="36000"/>
    <d v="2014-09-01T00:00:00"/>
    <d v="2014-09-30T00:00:00"/>
    <s v="EJECUTADO"/>
    <n v="2880"/>
    <m/>
    <m/>
    <n v="2880"/>
  </r>
  <r>
    <x v="0"/>
    <s v="AMPLIACIÓN DE CURVAS Y DE VIA EN EL BARRIO EL GUABO"/>
    <s v="AMPLIACIÓN DE CURVAS Y DE VIA EN EL BARRIO EL GUABO"/>
    <x v="0"/>
    <s v="ESPINDOLA"/>
    <s v="EL INGENIO"/>
    <s v="AD. DIRECTA"/>
    <s v="VIALSUR"/>
    <m/>
    <m/>
    <n v="0"/>
    <s v="Excavación sin clasificar a máquina"/>
    <s v="m3"/>
    <n v="1.62"/>
    <n v="8000"/>
    <d v="2014-09-01T00:00:00"/>
    <d v="2014-09-30T00:00:00"/>
    <s v="EJECUTADO"/>
    <n v="12960"/>
    <m/>
    <m/>
    <n v="12960"/>
  </r>
  <r>
    <x v="0"/>
    <s v="MEJORAMIENTO DE LA VIA BARRIO EL GUABO - COLOCACION DE MATERIAL DE MEJORAMIENTO EN TRAMOS CRITICOS"/>
    <s v="MEJORAMIENTO DE LA VIA BARRIO EL GUABO - COLOCACION DE MATERIAL DE MEJORAMIENTO EN TRAMOS CRITICOS"/>
    <x v="0"/>
    <s v="ESPINDOLA"/>
    <s v="AMALUZA"/>
    <s v="AD. DIRECTA"/>
    <s v="VIALSUR"/>
    <m/>
    <m/>
    <n v="0"/>
    <s v="Excavacion sin clasificar a maquina (explotación de material)"/>
    <s v="m3"/>
    <n v="1.62"/>
    <n v="3000"/>
    <d v="2014-09-01T00:00:00"/>
    <d v="2014-09-30T00:00:00"/>
    <s v="EJECUTADO"/>
    <n v="4860"/>
    <m/>
    <m/>
    <n v="23670"/>
  </r>
  <r>
    <x v="0"/>
    <m/>
    <s v="MEJORAMIENTO DE LA VIA BARRIO EL GUABO - COLOCACION DE MATERIAL DE MEJORAMIENTO EN TRAMOS CRITICOS"/>
    <x v="0"/>
    <s v="ESPINDOLA"/>
    <s v="AMALUZA"/>
    <s v="AD. DIRECTA"/>
    <s v="VIALSUR"/>
    <m/>
    <m/>
    <n v="0"/>
    <s v="Transporte de material para mejoramiento, inc. cargado"/>
    <s v="m3/km"/>
    <n v="0.35"/>
    <n v="3000"/>
    <d v="2014-09-01T00:00:00"/>
    <d v="2014-09-30T00:00:00"/>
    <s v="EJECUTADO"/>
    <n v="1050"/>
    <m/>
    <m/>
    <m/>
  </r>
  <r>
    <x v="0"/>
    <m/>
    <s v="MEJORAMIENTO DE LA VIA BARRIO EL GUABO - COLOCACION DE MATERIAL DE MEJORAMIENTO EN TRAMOS CRITICOS"/>
    <x v="0"/>
    <s v="ESPINDOLA"/>
    <s v="AMALUZA"/>
    <s v="AD. DIRECTA"/>
    <s v="VIALSUR"/>
    <m/>
    <n v="2.73"/>
    <n v="0"/>
    <s v="Mejoramiento de la subrasante con suelo seleccionado"/>
    <s v="m3"/>
    <n v="5.92"/>
    <n v="3000"/>
    <d v="2014-09-01T00:00:00"/>
    <d v="2014-09-30T00:00:00"/>
    <s v="EJECUTADO"/>
    <n v="17760"/>
    <m/>
    <m/>
    <m/>
  </r>
  <r>
    <x v="0"/>
    <s v="MEJORAMIENTO DE LA VIA BARRIO CONSAGUANA"/>
    <s v="MEJORAMIENTO DE LA VIA BARRIO CONSAGUANA"/>
    <x v="0"/>
    <s v="ESPINDOLA"/>
    <s v="AMALUZA"/>
    <s v="AD. DIRECTA"/>
    <s v="VIALSUR"/>
    <m/>
    <m/>
    <n v="0"/>
    <s v="Excavacion sin clasificar a maquina (explotación de material)"/>
    <s v="m3"/>
    <n v="1.62"/>
    <n v="2598"/>
    <d v="2014-09-01T00:00:00"/>
    <d v="2014-09-30T00:00:00"/>
    <s v="EJECUTADO"/>
    <n v="4208.76"/>
    <m/>
    <m/>
    <n v="19845.2"/>
  </r>
  <r>
    <x v="0"/>
    <m/>
    <s v="MEJORAMIENTO DE LA VIA BARRIO CONSAGUANA"/>
    <x v="0"/>
    <s v="ESPINDOLA"/>
    <s v="AMALUZA"/>
    <s v="AD. DIRECTA"/>
    <s v="VIALSUR"/>
    <m/>
    <m/>
    <n v="0"/>
    <s v="Transporte de material para mejoramiento, inc. cargado"/>
    <s v="m3/km"/>
    <n v="0.35"/>
    <n v="4724"/>
    <d v="2014-09-01T00:00:00"/>
    <d v="2014-09-30T00:00:00"/>
    <s v="EJECUTADO"/>
    <n v="1653.4"/>
    <m/>
    <m/>
    <m/>
  </r>
  <r>
    <x v="0"/>
    <m/>
    <s v="MEJORAMIENTO DE LA VIA BARRIO CONSAGUANA"/>
    <x v="0"/>
    <s v="ESPINDOLA"/>
    <s v="AMALUZA"/>
    <s v="AD. DIRECTA"/>
    <s v="VIALSUR"/>
    <m/>
    <n v="2.15"/>
    <n v="0"/>
    <s v="Mejoramiento de la subrasante con suelo seleccionado"/>
    <s v="m3"/>
    <n v="5.92"/>
    <n v="2362"/>
    <d v="2014-09-01T00:00:00"/>
    <d v="2014-09-30T00:00:00"/>
    <s v="EJECUTADO"/>
    <n v="13983.04"/>
    <m/>
    <m/>
    <m/>
  </r>
  <r>
    <x v="0"/>
    <s v="TRABAJOS EMERGENTES DE LIMPIEZA DE DERRUMBES PARROQUIA EL AIRO; PARROQUIA SANTA TERESITA_x000a_"/>
    <s v="TRABAJOS EMERGENTES DE LIMPIEZA DE DERRUMBES PARROQUIA EL AIRO; PARROQUIA SANTA TERESITA_x000a_"/>
    <x v="0"/>
    <s v="ESPINDOLA"/>
    <s v="SANTA TERESITA"/>
    <s v="AD. DIRECTA"/>
    <s v="VIALSUR"/>
    <m/>
    <m/>
    <n v="0"/>
    <s v="Limpieza de derrumbes a máquina"/>
    <s v="m3"/>
    <n v="1.46"/>
    <n v="2500"/>
    <d v="2014-09-01T00:00:00"/>
    <d v="2014-09-30T00:00:00"/>
    <s v="EJECUTADO"/>
    <n v="3650"/>
    <m/>
    <m/>
    <n v="3650"/>
  </r>
  <r>
    <x v="0"/>
    <s v="MANTENIMIENTO DE VIAS DE LA PARROQUIA BELLAVISTA"/>
    <s v="MANTENIMIENTO DE VIAS DE LA PARROQUIA BELLAVISTA"/>
    <x v="0"/>
    <s v="ESPINDOLA"/>
    <s v="BELLAVISTA"/>
    <s v="AD. DIRECTA"/>
    <s v="VIALSUR"/>
    <m/>
    <m/>
    <n v="0"/>
    <s v="Limpieza de derrumbes a máquina"/>
    <s v="m3"/>
    <n v="1.46"/>
    <n v="4000"/>
    <d v="2014-09-01T00:00:00"/>
    <d v="2014-09-30T00:00:00"/>
    <s v="EJECUTADO"/>
    <n v="5840"/>
    <m/>
    <m/>
    <n v="5840"/>
  </r>
  <r>
    <x v="0"/>
    <s v="MANTENIMIENTO DE VIAS DE LA PARROQUIA JIMBURA"/>
    <s v="MANTENIMIENTO DE VIAS DE LA PARROQUIA JIMBURA"/>
    <x v="0"/>
    <s v="ESPINDOLA"/>
    <s v="JIMBURA"/>
    <s v="AD. DIRECTA"/>
    <s v="VIALSUR"/>
    <m/>
    <m/>
    <n v="0"/>
    <s v="Limpieza de derrumbes a máquina"/>
    <s v="m3"/>
    <n v="1.46"/>
    <n v="3000"/>
    <d v="2014-09-01T00:00:00"/>
    <d v="2014-09-30T00:00:00"/>
    <s v="EJECUTADO"/>
    <n v="4380"/>
    <m/>
    <m/>
    <n v="4380"/>
  </r>
  <r>
    <x v="0"/>
    <s v="MEJORAMIENTO DE LA VIA LA NARANJA BATALLADEROS"/>
    <s v="MEJORAMIENTO DE LA VIA LA NARANJA BATALLADEROS"/>
    <x v="0"/>
    <s v="ESPINDOLA"/>
    <s v="27 DE ABRIL"/>
    <s v="AD. DIRECTA"/>
    <s v="VIALSUR"/>
    <m/>
    <n v="8"/>
    <n v="0"/>
    <s v="Excavacion sin clasificar a maquina (explotación de material)"/>
    <s v="m3"/>
    <n v="1.62"/>
    <n v="1000"/>
    <d v="2014-09-01T00:00:00"/>
    <d v="2014-09-30T00:00:00"/>
    <s v="EJECUTADO"/>
    <n v="1620"/>
    <m/>
    <m/>
    <n v="9007.2000000000007"/>
  </r>
  <r>
    <x v="0"/>
    <m/>
    <s v="MEJORAMIENTO DE LA VIA LA NARANJA BATALLADEROS"/>
    <x v="0"/>
    <s v="ESPINDOLA"/>
    <s v="27 DE ABRIL"/>
    <s v="AD. DIRECTA"/>
    <s v="VIALSUR"/>
    <m/>
    <m/>
    <n v="0"/>
    <s v="Transporte de material para mejoramiento, inc. cargado"/>
    <s v="m3/km"/>
    <n v="0.35"/>
    <n v="2880"/>
    <d v="2014-09-01T00:00:00"/>
    <d v="2014-09-30T00:00:00"/>
    <s v="EJECUTADO"/>
    <n v="1008"/>
    <m/>
    <m/>
    <m/>
  </r>
  <r>
    <x v="0"/>
    <m/>
    <s v="MEJORAMIENTO DE LA VIA LA NARANJA BATALLADEROS"/>
    <x v="0"/>
    <s v="ESPINDOLA"/>
    <s v="27 DE ABRIL"/>
    <s v="AD. DIRECTA"/>
    <s v="VIALSUR"/>
    <m/>
    <n v="1.31"/>
    <n v="0"/>
    <s v="Mejoramiento de la subrasante con suelo seleccionado"/>
    <s v="m2"/>
    <n v="4.43"/>
    <n v="1440"/>
    <d v="2014-09-01T00:00:00"/>
    <d v="2014-09-30T00:00:00"/>
    <s v="EJECUTADO"/>
    <n v="6379.2"/>
    <m/>
    <m/>
    <m/>
  </r>
  <r>
    <x v="0"/>
    <s v="MEJORAMIENTO DE LA VIA LA NARANJA EL SAUCO"/>
    <s v="MEJORAMIENTO DE LA VIA LA NARANJA EL SAUCO"/>
    <x v="0"/>
    <s v="ESPINDOLA"/>
    <s v="27 DE ABRIL"/>
    <s v="AD. DIRECTA"/>
    <s v="VIALSUR"/>
    <m/>
    <m/>
    <n v="0"/>
    <s v="Excavacion sin clasificar a maquina (explotación de material)"/>
    <s v="m3"/>
    <n v="1.62"/>
    <n v="12000"/>
    <d v="2014-09-01T00:00:00"/>
    <d v="2014-09-30T00:00:00"/>
    <s v="EJECUTADO"/>
    <n v="19440"/>
    <m/>
    <m/>
    <n v="28044"/>
  </r>
  <r>
    <x v="0"/>
    <m/>
    <s v="MEJORAMIENTO DE LA VIA LA NARANJA EL SAUCO"/>
    <x v="0"/>
    <s v="ESPINDOLA"/>
    <s v="27 DE ABRIL"/>
    <s v="AD. DIRECTA"/>
    <s v="VIALSUR"/>
    <m/>
    <m/>
    <n v="0"/>
    <s v="Transporte de material para mejoramiento, inc. cargado"/>
    <s v="m3/km"/>
    <n v="0.35"/>
    <n v="1800"/>
    <d v="2014-09-01T00:00:00"/>
    <d v="2014-09-30T00:00:00"/>
    <s v="EJECUTADO"/>
    <n v="630"/>
    <m/>
    <m/>
    <m/>
  </r>
  <r>
    <x v="0"/>
    <m/>
    <s v="MEJORAMIENTO DE LA VIA LA NARANJA EL SAUCO"/>
    <x v="0"/>
    <s v="ESPINDOLA"/>
    <s v="27 DE ABRIL"/>
    <s v="AD. DIRECTA"/>
    <s v="VIALSUR"/>
    <m/>
    <n v="1.64"/>
    <n v="0"/>
    <s v="Mejoramiento de la subrasante con suelo seleccionado"/>
    <s v="m2"/>
    <n v="4.43"/>
    <n v="1800"/>
    <d v="2014-09-01T00:00:00"/>
    <d v="2014-09-30T00:00:00"/>
    <s v="EJECUTADO"/>
    <n v="7974"/>
    <m/>
    <m/>
    <m/>
  </r>
  <r>
    <x v="0"/>
    <s v="MEJORAMIENTO DE LA VIA LA NARANJA LA VEGA"/>
    <s v="MEJORAMIENTO DE LA VIA LA NARANJA LA VEGA"/>
    <x v="0"/>
    <s v="ESPINDOLA"/>
    <s v="27 DE ABRIL"/>
    <s v="AD. DIRECTA"/>
    <s v="VIALSUR"/>
    <m/>
    <m/>
    <n v="0"/>
    <s v="Excavacion sin clasificar a maquina (explotación de material)"/>
    <s v="m3"/>
    <n v="1.62"/>
    <n v="0"/>
    <d v="2014-09-01T00:00:00"/>
    <d v="2014-09-30T00:00:00"/>
    <s v="EJECUTADO"/>
    <n v="0"/>
    <m/>
    <m/>
    <n v="13378.5"/>
  </r>
  <r>
    <x v="0"/>
    <m/>
    <s v="MEJORAMIENTO DE LA VIA LA NARANJA LA VEGA"/>
    <x v="0"/>
    <s v="ESPINDOLA"/>
    <s v="27 DE ABRIL"/>
    <s v="AD. DIRECTA"/>
    <s v="VIALSUR"/>
    <m/>
    <m/>
    <n v="0"/>
    <s v="Transporte de material para mejoramiento, inc. cargado"/>
    <s v="m3/km"/>
    <n v="0.35"/>
    <n v="4050"/>
    <d v="2014-09-01T00:00:00"/>
    <d v="2014-09-30T00:00:00"/>
    <s v="EJECUTADO"/>
    <n v="1417.5"/>
    <m/>
    <m/>
    <m/>
  </r>
  <r>
    <x v="0"/>
    <m/>
    <s v="MEJORAMIENTO DE LA VIA LA NARANJA LA VEGA"/>
    <x v="0"/>
    <s v="ESPINDOLA"/>
    <s v="27 DE ABRIL"/>
    <s v="AD. DIRECTA"/>
    <s v="VIALSUR"/>
    <m/>
    <n v="2.4500000000000002"/>
    <n v="0"/>
    <s v="Mejoramiento de la subrasante con suelo seleccionado"/>
    <s v="m2"/>
    <n v="4.43"/>
    <n v="2700"/>
    <d v="2014-09-01T00:00:00"/>
    <d v="2014-09-30T00:00:00"/>
    <s v="EJECUTADO"/>
    <n v="11961"/>
    <m/>
    <m/>
    <m/>
  </r>
  <r>
    <x v="0"/>
    <s v="MEJORAMIENTO DE LA VIA LA NARANJA PINDO BAJO"/>
    <s v="MEJORAMIENTO DE LA VIA LA NARANJA PINDO BAJO"/>
    <x v="0"/>
    <s v="ESPINDOLA"/>
    <s v="27 DE ABRIL"/>
    <s v="AD. DIRECTA"/>
    <s v="VIALSUR"/>
    <m/>
    <m/>
    <n v="0"/>
    <s v="Excavacion sin clasificar a maquina (explotación de material)"/>
    <s v="m3"/>
    <n v="1.62"/>
    <n v="3000"/>
    <d v="2014-09-01T00:00:00"/>
    <d v="2014-09-30T00:00:00"/>
    <s v="EJECUTADO"/>
    <n v="4860"/>
    <m/>
    <m/>
    <n v="16008.75"/>
  </r>
  <r>
    <x v="0"/>
    <m/>
    <s v="MEJORAMIENTO DE LA VIA LA NARANJA PINDO BAJO"/>
    <x v="0"/>
    <s v="ESPINDOLA"/>
    <s v="27 DE ABRIL"/>
    <s v="AD. DIRECTA"/>
    <s v="VIALSUR"/>
    <m/>
    <m/>
    <n v="0"/>
    <s v="Transporte de material para mejoramiento, inc. cargado"/>
    <s v="m3/km"/>
    <n v="0.35"/>
    <n v="3375"/>
    <d v="2014-09-01T00:00:00"/>
    <d v="2014-09-30T00:00:00"/>
    <s v="EJECUTADO"/>
    <n v="1181.25"/>
    <m/>
    <m/>
    <m/>
  </r>
  <r>
    <x v="0"/>
    <m/>
    <s v="MEJORAMIENTO DE LA VIA LA NARANJA PINDO BAJO"/>
    <x v="0"/>
    <s v="ESPINDOLA"/>
    <s v="27 DE ABRIL"/>
    <s v="AD. DIRECTA"/>
    <s v="VIALSUR"/>
    <m/>
    <n v="2.0499999999999998"/>
    <n v="0"/>
    <s v="Mejoramiento de la subrasante con suelo seleccionado"/>
    <s v="m2"/>
    <n v="4.43"/>
    <n v="2250"/>
    <d v="2014-09-01T00:00:00"/>
    <d v="2014-09-30T00:00:00"/>
    <s v="EJECUTADO"/>
    <n v="9967.5"/>
    <m/>
    <m/>
    <m/>
  </r>
  <r>
    <x v="0"/>
    <s v="RECONFORMACIÓN DE LA VIA SAN ANTONIO DE LAS ARADAS - QUEBRADA QUIROZ (L TOTAL = 5,4KM, TRABAJO EJECUTADO)"/>
    <s v="RECONFORMACIÓN DE LA VIA SAN ANTONIO DE LAS ARADAS - QUEBRADA QUIROZ (L TOTAL = 5,4KM, TRABAJO EJECUTADO)"/>
    <x v="0"/>
    <s v="QUILANGA"/>
    <s v="SANANTONIODELASARADAS"/>
    <s v="AD. DIRECTA"/>
    <s v="VIALSUR"/>
    <n v="5.4"/>
    <m/>
    <n v="709"/>
    <s v="Excavacion sin clasificar a maquina (explotación de material)"/>
    <s v="m3"/>
    <n v="1.62"/>
    <n v="3456"/>
    <d v="2014-01-01T00:00:00"/>
    <d v="2014-01-31T00:00:00"/>
    <s v="EJECUTADO"/>
    <n v="5598.72"/>
    <m/>
    <m/>
    <n v="27693.52"/>
  </r>
  <r>
    <x v="0"/>
    <m/>
    <s v="RECONFORMACIÓN DE LA VIA SAN ANTONIO DE LAS ARADAS - QUEBRADA QUIROZ (L TOTAL = 5,4KM, TRABAJO EJECUTADO)"/>
    <x v="0"/>
    <s v="QUILANGA"/>
    <s v="SANANTONIODELASARADAS"/>
    <s v="AD. DIRECTA"/>
    <s v="VIALSUR"/>
    <m/>
    <m/>
    <n v="0"/>
    <s v="Transporte de material para mejoramiento, inc. cargado"/>
    <s v="m3/km"/>
    <n v="0.35"/>
    <n v="44928"/>
    <d v="2014-01-01T00:00:00"/>
    <d v="2014-01-31T00:00:00"/>
    <s v="EJECUTADO"/>
    <n v="15724.8"/>
    <m/>
    <m/>
    <m/>
  </r>
  <r>
    <x v="0"/>
    <m/>
    <s v="RECONFORMACIÓN DE LA VIA SAN ANTONIO DE LAS ARADAS - QUEBRADA QUIROZ (L TOTAL = 5,4KM, TRABAJO EJECUTADO)"/>
    <x v="0"/>
    <s v="QUILANGA"/>
    <s v="SANANTONIODELASARADAS"/>
    <s v="AD. DIRECTA"/>
    <s v="VIALSUR"/>
    <m/>
    <n v="3.3099999999999996"/>
    <n v="0"/>
    <s v="Acabado de Obra Básica existente"/>
    <s v="m2"/>
    <n v="0.35"/>
    <n v="18200"/>
    <d v="2014-01-01T00:00:00"/>
    <d v="2014-01-31T00:00:00"/>
    <s v="EJECUTADO"/>
    <n v="6370"/>
    <m/>
    <m/>
    <m/>
  </r>
  <r>
    <x v="0"/>
    <s v="MANTENIMIENTO DE LA VIA &quot; COLAISACA-PULPERIA&quot;, PARROQUIA COLAISACA, CANTON CALVAS"/>
    <s v="MANTENIMIENTO DE LA VIA &quot; COLAISACA-PULPERIA&quot;, PARROQUIA COLAISACA, CANTON CALVAS"/>
    <x v="0"/>
    <s v="CALVAS"/>
    <s v="COLAISACA"/>
    <s v="AD. DIRECTA"/>
    <s v="VIALSUR"/>
    <n v="2"/>
    <m/>
    <n v="1712"/>
    <s v="Excavacion sin clasificar a maquina (explotación de material)"/>
    <s v="m3"/>
    <n v="1.62"/>
    <n v="4974"/>
    <d v="2014-01-01T00:00:00"/>
    <d v="2014-01-31T00:00:00"/>
    <s v="EJECUTADO"/>
    <n v="8057.88"/>
    <m/>
    <m/>
    <n v="45489.42"/>
  </r>
  <r>
    <x v="0"/>
    <m/>
    <s v="MANTENIMIENTO DE LA VIA &quot; COLAISACA-PULPERIA&quot;, PARROQUIA COLAISACA, CANTON CALVAS"/>
    <x v="0"/>
    <s v="CALVAS"/>
    <s v="COLAISACA"/>
    <s v="AD. DIRECTA"/>
    <s v="VIALSUR"/>
    <m/>
    <m/>
    <n v="0"/>
    <s v="Transporte de material para mejoramiento, inc. cargado"/>
    <s v="m3/km"/>
    <n v="0.35"/>
    <n v="24626"/>
    <d v="2014-01-01T00:00:00"/>
    <d v="2014-03-31T00:00:00"/>
    <s v="EJECUTADO"/>
    <n v="8619.1"/>
    <m/>
    <m/>
    <m/>
  </r>
  <r>
    <x v="0"/>
    <m/>
    <s v="MANTENIMIENTO DE LA VIA &quot; COLAISACA-PULPERIA&quot;, PARROQUIA COLAISACA, CANTON CALVAS"/>
    <x v="0"/>
    <s v="CALVAS"/>
    <s v="COLAISACA"/>
    <s v="AD. DIRECTA"/>
    <s v="VIALSUR"/>
    <m/>
    <n v="5.1899999999999995"/>
    <n v="0"/>
    <s v="Acabado de Obra Básica existente"/>
    <s v="m2"/>
    <n v="0.35"/>
    <n v="28500"/>
    <d v="2014-01-01T00:00:00"/>
    <d v="2014-03-31T00:00:00"/>
    <s v="EJECUTADO"/>
    <n v="9975"/>
    <m/>
    <m/>
    <m/>
  </r>
  <r>
    <x v="0"/>
    <m/>
    <s v="MANTENIMIENTO DE LA VIA &quot; COLAISACA-PULPERIA&quot;, PARROQUIA COLAISACA, CANTON CALVAS"/>
    <x v="0"/>
    <s v="CALVAS"/>
    <s v="COLAISACA"/>
    <s v="AD. DIRECTA"/>
    <s v="VIALSUR"/>
    <m/>
    <n v="2.89"/>
    <n v="0"/>
    <s v="Mejoramiento de la subrasante con suelo seleccionado"/>
    <s v="m3"/>
    <n v="5.92"/>
    <n v="3182"/>
    <d v="2014-01-01T00:00:00"/>
    <d v="2014-03-31T00:00:00"/>
    <s v="EJECUTADO"/>
    <n v="18837.439999999999"/>
    <m/>
    <m/>
    <m/>
  </r>
  <r>
    <x v="0"/>
    <s v="APERTURA DE VIA SECTOR DE QUIZANGA Y AMPLIACION EN OTRAS PARTES DEL TRAMO SANGUILLIN - LUCERO (Longitud 100m)"/>
    <s v="APERTURA DE VIA SECTOR DE QUIZANGA Y AMPLIACION EN OTRAS PARTES DEL TRAMO SANGUILLIN - LUCERO (Longitud 100m)"/>
    <x v="0"/>
    <s v="CALVAS"/>
    <s v="SANGUILLÍN"/>
    <s v="AD. DIRECTA"/>
    <s v="VIALSUR"/>
    <n v="0.1"/>
    <m/>
    <n v="1506"/>
    <s v="Excavacion sin clasificar a maquina (explotación de material)"/>
    <s v="m3"/>
    <n v="1.62"/>
    <n v="6712"/>
    <d v="2014-01-01T00:00:00"/>
    <d v="2014-04-30T00:00:00"/>
    <s v="EJECUTADO"/>
    <n v="10873.44"/>
    <m/>
    <m/>
    <n v="12175.44"/>
  </r>
  <r>
    <x v="0"/>
    <m/>
    <s v="APERTURA DE VIA SECTOR DE QUIZANGA Y AMPLIACION EN OTRAS PARTES DEL TRAMO SANGUILLIN - LUCERO (Longitud 100m)"/>
    <x v="0"/>
    <s v="CALVAS"/>
    <s v="SANGUILLÍN"/>
    <s v="AD. DIRECTA"/>
    <s v="VIALSUR"/>
    <m/>
    <m/>
    <n v="0"/>
    <s v="Transporte de material"/>
    <s v="m3/km"/>
    <n v="0.35"/>
    <n v="3720"/>
    <d v="2014-01-01T00:00:00"/>
    <d v="2014-04-30T00:00:00"/>
    <s v="EJECUTADO"/>
    <n v="1302"/>
    <m/>
    <m/>
    <m/>
  </r>
  <r>
    <x v="0"/>
    <s v="MANTENIMIENTO DE EMERGENCIA A VIAS DE LA PARROQUIA TACAMOROS INICIA 7 MARZO 2014"/>
    <s v="MANTENIMIENTO DE EMERGENCIA A VIAS DE LA PARROQUIA TACAMOROS INICIA 7 MARZO 2014"/>
    <x v="0"/>
    <s v="SOZORANGA"/>
    <s v="TACAMOROS"/>
    <s v="AD. DIRECTA"/>
    <s v="VIALSUR"/>
    <m/>
    <m/>
    <n v="0"/>
    <s v="Limpieza de derrumbes a máquina"/>
    <s v="m3"/>
    <n v="1.46"/>
    <n v="1344"/>
    <d v="2014-01-01T00:00:00"/>
    <d v="2014-03-31T00:00:00"/>
    <s v="EJECUTADO"/>
    <n v="1962.24"/>
    <m/>
    <m/>
    <n v="7553.33"/>
  </r>
  <r>
    <x v="0"/>
    <m/>
    <s v="MANTENIMIENTO DE EMERGENCIA A VIAS DE LA PARROQUIA TACAMOROS INICIA 7 MARZO 2014"/>
    <x v="0"/>
    <s v="SOZORANGA"/>
    <s v="TACAMOROS"/>
    <s v="AD. DIRECTA"/>
    <s v="VIALSUR"/>
    <m/>
    <m/>
    <n v="0"/>
    <s v="Limpieza de alcantarillas y desalojo hasta 6m"/>
    <s v="m3"/>
    <n v="16.128"/>
    <n v="346.67"/>
    <d v="2014-01-01T00:00:00"/>
    <d v="2014-03-31T00:00:00"/>
    <s v="EJECUTADO"/>
    <n v="5591.09"/>
    <m/>
    <m/>
    <m/>
  </r>
  <r>
    <x v="0"/>
    <s v="ENCAUSAMIENTO DE QUEBRADA TUNGANI"/>
    <s v="ENCAUSAMIENTO DE QUEBRADA TUNGANI"/>
    <x v="0"/>
    <s v="GONZANAMA"/>
    <s v="GONZANAMÁ"/>
    <s v="AD. DIRECTA"/>
    <s v="VIALSUR"/>
    <m/>
    <m/>
    <n v="0"/>
    <s v="Excavacion sin clasificar a maquina (explotación de material)"/>
    <s v="m3"/>
    <n v="1.62"/>
    <n v="500"/>
    <d v="2014-01-01T00:00:00"/>
    <d v="2014-03-31T00:00:00"/>
    <s v="EJECUTADO"/>
    <n v="810"/>
    <m/>
    <m/>
    <n v="810"/>
  </r>
  <r>
    <x v="0"/>
    <s v="MANTENIMIENTO DE LA VIA &quot; CARIAMANGA - SAN GUILLIN  DE LA PARROQUIA SAN GUILLIN, CANTON CALVAS&quot;"/>
    <s v="MANTENIMIENTO DE LA VIA &quot; CARIAMANGA - SAN GUILLIN  DE LA PARROQUIA SAN GUILLIN, CANTON CALVAS&quot;"/>
    <x v="0"/>
    <s v="CALVAS"/>
    <s v="SANGUILLÍN"/>
    <s v="AD. DIRECTA"/>
    <s v="VIALSUR"/>
    <m/>
    <m/>
    <n v="0"/>
    <s v="Excavación sin clasificar a maquina (explotación de material) "/>
    <s v="m3"/>
    <n v="1.62"/>
    <n v="7744"/>
    <d v="2014-04-01T00:00:00"/>
    <d v="2014-05-31T00:00:00"/>
    <s v="EJECUTADO"/>
    <n v="12545.28"/>
    <m/>
    <m/>
    <n v="137131.85"/>
  </r>
  <r>
    <x v="0"/>
    <m/>
    <s v="MANTENIMIENTO DE LA VIA &quot; CARIAMANGA - SAN GUILLIN  DE LA PARROQUIA SAN GUILLIN, CANTON CALVAS&quot;"/>
    <x v="0"/>
    <s v="CALVAS"/>
    <s v="SANGUILLÍN"/>
    <s v="AD. DIRECTA"/>
    <s v="VIALSUR"/>
    <m/>
    <m/>
    <n v="0"/>
    <s v="Transporte de material para mejoramiento, inc cargado"/>
    <s v="m3/km"/>
    <n v="0.35"/>
    <n v="103483"/>
    <d v="2014-04-01T00:00:00"/>
    <d v="2014-05-31T00:00:00"/>
    <s v="EJECUTADO"/>
    <n v="36219.050000000003"/>
    <m/>
    <m/>
    <m/>
  </r>
  <r>
    <x v="0"/>
    <m/>
    <s v="MANTENIMIENTO DE LA VIA &quot; CARIAMANGA - SAN GUILLIN  DE LA PARROQUIA SAN GUILLIN, CANTON CALVAS&quot;"/>
    <x v="0"/>
    <s v="CALVAS"/>
    <s v="SANGUILLÍN"/>
    <s v="AD. DIRECTA"/>
    <s v="VIALSUR"/>
    <m/>
    <n v="4.3"/>
    <n v="0"/>
    <s v="Acabado de Obra Básica existente"/>
    <s v="m2"/>
    <n v="0.35"/>
    <n v="23600"/>
    <d v="2014-04-01T00:00:00"/>
    <d v="2014-05-31T00:00:00"/>
    <s v="EJECUTADO"/>
    <n v="8260"/>
    <m/>
    <m/>
    <m/>
  </r>
  <r>
    <x v="0"/>
    <m/>
    <s v="MANTENIMIENTO DE LA VIA &quot; CARIAMANGA - SAN GUILLIN  DE LA PARROQUIA SAN GUILLIN, CANTON CALVAS&quot;"/>
    <x v="0"/>
    <s v="CALVAS"/>
    <s v="SANGUILLÍN"/>
    <s v="AD. DIRECTA"/>
    <s v="VIALSUR"/>
    <m/>
    <n v="7.04"/>
    <n v="0"/>
    <s v="Mejoramiento de la subrasante con suelo seleccionado"/>
    <s v="m3"/>
    <n v="5.92"/>
    <n v="7744"/>
    <d v="2014-04-01T00:00:00"/>
    <d v="2014-05-31T00:00:00"/>
    <s v="EJECUTADO"/>
    <n v="45844.480000000003"/>
    <m/>
    <m/>
    <m/>
  </r>
  <r>
    <x v="0"/>
    <m/>
    <s v="MANTENIMIENTO DE LA VIA &quot; CARIAMANGA - SAN GUILLIN  DE LA PARROQUIA SAN GUILLIN, CANTON CALVAS&quot;"/>
    <x v="0"/>
    <s v="CALVAS"/>
    <s v="SANGUILLÍN"/>
    <s v="AD. DIRECTA"/>
    <s v="VIALSUR"/>
    <m/>
    <m/>
    <n v="0"/>
    <s v="Limpieza de derrumbes a máquina"/>
    <s v="m3"/>
    <n v="1.46"/>
    <n v="600"/>
    <d v="2014-04-01T00:00:00"/>
    <d v="2014-05-31T00:00:00"/>
    <s v="EJECUTADO"/>
    <n v="876"/>
    <m/>
    <m/>
    <m/>
  </r>
  <r>
    <x v="0"/>
    <m/>
    <s v="MANTENIMIENTO DE LA VIA &quot; CARIAMANGA - SAN GUILLIN  DE LA PARROQUIA SAN GUILLIN, CANTON CALVAS&quot;"/>
    <x v="0"/>
    <s v="CALVAS"/>
    <s v="SANGUILLÍN"/>
    <s v="AD. DIRECTA"/>
    <s v="VIALSUR"/>
    <m/>
    <m/>
    <n v="0"/>
    <s v="Limpieza de alcantarillas y desalojo hasta 6m"/>
    <s v="m3"/>
    <n v="16.13"/>
    <n v="1240"/>
    <d v="2014-04-01T00:00:00"/>
    <d v="2014-05-31T00:00:00"/>
    <s v="EJECUTADO"/>
    <n v="20001.2"/>
    <m/>
    <m/>
    <m/>
  </r>
  <r>
    <x v="0"/>
    <m/>
    <s v="MANTENIMIENTO DE LA VIA &quot; CARIAMANGA - SAN GUILLIN  DE LA PARROQUIA SAN GUILLIN, CANTON CALVAS&quot;"/>
    <x v="0"/>
    <s v="CALVAS"/>
    <s v="SANGUILLÍN"/>
    <s v="AD. DIRECTA"/>
    <s v="VIALSUR"/>
    <m/>
    <n v="30.430000000000003"/>
    <n v="0"/>
    <s v="Rasanteo y conformacion de cunetas con motoniveladora"/>
    <s v="m2"/>
    <n v="0.08"/>
    <n v="167323"/>
    <d v="2014-01-05T00:00:00"/>
    <d v="2014-05-31T00:00:00"/>
    <s v="EJECUTADO"/>
    <n v="13385.84"/>
    <m/>
    <m/>
    <m/>
  </r>
  <r>
    <x v="0"/>
    <s v="Mejoramiento de la Vía  SAN GUILLIN-QUIZANGA DE LA PARROQUIA SAN GUILLIN, CANTON CALVAS"/>
    <s v="Mejoramiento de la Vía  SAN GUILLIN-QUIZANGA DE LA PARROQUIA SAN GUILLIN, CANTON CALVAS"/>
    <x v="0"/>
    <s v="CALVAS"/>
    <s v="SANGUILLÍN"/>
    <s v="AD. DIRECTA"/>
    <s v="VIALSUR"/>
    <n v="4"/>
    <m/>
    <n v="1506"/>
    <s v="Excavacion sin clasificar a maquina (explotación de material)"/>
    <s v="m3"/>
    <n v="1.62"/>
    <n v="1848"/>
    <d v="2014-07-01T00:00:00"/>
    <d v="2014-07-31T00:00:00"/>
    <s v="EJECUTADO"/>
    <n v="2993.76"/>
    <m/>
    <m/>
    <n v="21527.52"/>
  </r>
  <r>
    <x v="0"/>
    <m/>
    <s v="Mejoramiento de la Vía  SAN GUILLIN-QUIZANGA DE LA PARROQUIA SAN GUILLIN, CANTON CALVAS"/>
    <x v="0"/>
    <s v="CALVAS"/>
    <s v="SANGUILLÍN"/>
    <s v="AD. DIRECTA"/>
    <s v="VIALSUR"/>
    <m/>
    <m/>
    <n v="0"/>
    <s v="Transporte de material para mejoramiento, inc. cargado"/>
    <s v="m3/km"/>
    <n v="0.35"/>
    <n v="3696"/>
    <d v="2014-07-01T00:00:00"/>
    <d v="2014-07-31T00:00:00"/>
    <s v="EJECUTADO"/>
    <n v="1293.5999999999999"/>
    <m/>
    <m/>
    <m/>
  </r>
  <r>
    <x v="0"/>
    <m/>
    <s v="Mejoramiento de la Vía  SAN GUILLIN-QUIZANGA DE LA PARROQUIA SAN GUILLIN, CANTON CALVAS"/>
    <x v="0"/>
    <s v="CALVAS"/>
    <s v="SANGUILLÍN"/>
    <s v="AD. DIRECTA"/>
    <s v="VIALSUR"/>
    <m/>
    <n v="3.28"/>
    <n v="0"/>
    <s v="Acabado de la obra básica existente"/>
    <s v="m2"/>
    <n v="0.35"/>
    <n v="18000"/>
    <d v="2014-07-01T00:00:00"/>
    <d v="2014-07-31T00:00:00"/>
    <s v="EJECUTADO"/>
    <n v="6300"/>
    <m/>
    <m/>
    <m/>
  </r>
  <r>
    <x v="0"/>
    <m/>
    <s v="Mejoramiento de la Vía  SAN GUILLIN-QUIZANGA DE LA PARROQUIA SAN GUILLIN, CANTON CALVAS"/>
    <x v="0"/>
    <s v="CALVAS"/>
    <s v="SANGUILLÍN"/>
    <s v="AD. DIRECTA"/>
    <s v="VIALSUR"/>
    <m/>
    <n v="1.68"/>
    <n v="0"/>
    <s v="Mejoramiento de la subrasante con suelo seleccionado"/>
    <s v="m3"/>
    <n v="5.92"/>
    <n v="1848"/>
    <d v="2014-07-01T00:00:00"/>
    <d v="2014-07-31T00:00:00"/>
    <s v="EJECUTADO"/>
    <n v="10940.16"/>
    <m/>
    <m/>
    <m/>
  </r>
  <r>
    <x v="0"/>
    <s v="MANTENIMIENTO DE EMERGENCIA A VIAS DE LA PARROQUIA COLAISACA"/>
    <s v="MANTENIMIENTO DE EMERGENCIA A VIAS DE LA PARROQUIA COLAISACA"/>
    <x v="0"/>
    <s v="CALVAS"/>
    <s v="COLAISACA"/>
    <s v="AD. DIRECTA"/>
    <s v="VIALSUR"/>
    <m/>
    <m/>
    <n v="0"/>
    <s v="Limpieza de derrumbes a máquina"/>
    <s v="m3"/>
    <n v="1.46"/>
    <n v="8516"/>
    <d v="2014-07-01T00:00:00"/>
    <d v="2014-07-31T00:00:00"/>
    <s v="EJECUTADO"/>
    <n v="12433.36"/>
    <m/>
    <m/>
    <n v="12433.36"/>
  </r>
  <r>
    <x v="0"/>
    <s v="Mejoramiento de la Vía  SAN GUILLIN-USAIMA DE LA PARROQUIA SAN GUILLIN, CANTON CALVAS"/>
    <s v="Mejoramiento de la Vía  SAN GUILLIN-USAIMA DE LA PARROQUIA SAN GUILLIN, CANTON CALVAS"/>
    <x v="0"/>
    <s v="CALVAS"/>
    <s v="SANGUILLÍN"/>
    <s v="AD. DIRECTA"/>
    <s v="VIALSUR"/>
    <n v="2"/>
    <m/>
    <n v="1506"/>
    <s v="Excavacion sin clasificar a maquina (explotación de material)"/>
    <s v="m3"/>
    <n v="1.62"/>
    <n v="672"/>
    <d v="2014-07-01T00:00:00"/>
    <d v="2014-07-31T00:00:00"/>
    <s v="EJECUTADO"/>
    <n v="1088.6400000000001"/>
    <m/>
    <m/>
    <n v="6937.2"/>
  </r>
  <r>
    <x v="0"/>
    <m/>
    <s v="Mejoramiento de la Vía  SAN GUILLIN-USAIMA DE LA PARROQUIA SAN GUILLIN, CANTON CALVAS"/>
    <x v="0"/>
    <s v="CALVAS"/>
    <s v="SANGUILLÍN"/>
    <s v="AD. DIRECTA"/>
    <s v="VIALSUR"/>
    <m/>
    <m/>
    <n v="0"/>
    <s v="Transporte de material para mejoramiento, inc. cargado"/>
    <s v="m3/km"/>
    <n v="0.35"/>
    <n v="5376"/>
    <d v="2014-07-01T00:00:00"/>
    <d v="2014-07-31T00:00:00"/>
    <s v="EJECUTADO"/>
    <n v="1881.6"/>
    <m/>
    <m/>
    <m/>
  </r>
  <r>
    <x v="0"/>
    <m/>
    <s v="Mejoramiento de la Vía  SAN GUILLIN-USAIMA DE LA PARROQUIA SAN GUILLIN, CANTON CALVAS"/>
    <x v="0"/>
    <s v="CALVAS"/>
    <s v="SANGUILLÍN"/>
    <s v="AD. DIRECTA"/>
    <s v="VIALSUR"/>
    <m/>
    <n v="1.49"/>
    <n v="0"/>
    <s v="Razanteo con Motoniveladora"/>
    <s v="m2"/>
    <n v="0.08"/>
    <n v="8147"/>
    <d v="2014-07-01T00:00:00"/>
    <d v="2014-07-31T00:00:00"/>
    <s v="EJECUTADO"/>
    <n v="651.76"/>
    <m/>
    <m/>
    <m/>
  </r>
  <r>
    <x v="0"/>
    <m/>
    <s v="Mejoramiento de la Vía  SAN GUILLIN-USAIMA DE LA PARROQUIA SAN GUILLIN, CANTON CALVAS"/>
    <x v="0"/>
    <s v="CALVAS"/>
    <s v="SANGUILLÍN"/>
    <s v="AD. DIRECTA"/>
    <s v="VIALSUR"/>
    <m/>
    <n v="0.51"/>
    <n v="0"/>
    <s v="Mejoramiento de la subrasante con suelo seleccionado"/>
    <s v="m3"/>
    <n v="5.92"/>
    <n v="560"/>
    <d v="2014-07-01T00:00:00"/>
    <d v="2014-07-31T00:00:00"/>
    <s v="EJECUTADO"/>
    <n v="3315.2"/>
    <m/>
    <m/>
    <m/>
  </r>
  <r>
    <x v="0"/>
    <s v="Mejoramiento VIAL P. San Guillin :Camayos, San Joaquin,Chullafaique,Pasallal, CANTON CALVAS"/>
    <s v="Mejoramiento VIAL P. San Guillin :Camayos, San Joaquin,Chullafaique,Pasallal, CANTON CALVAS"/>
    <x v="0"/>
    <s v="CALVAS"/>
    <s v="SANGUILLÍN"/>
    <s v="AD. DIRECTA"/>
    <s v="VIALSUR"/>
    <n v="2"/>
    <m/>
    <n v="1506"/>
    <s v="Excavacion sin clasificar a maquina (explotación de material)"/>
    <s v="m3"/>
    <n v="1.62"/>
    <n v="1534"/>
    <d v="2014-07-01T00:00:00"/>
    <d v="2014-07-31T00:00:00"/>
    <s v="EJECUTADO"/>
    <n v="2485.08"/>
    <m/>
    <m/>
    <n v="30337.059999999998"/>
  </r>
  <r>
    <x v="0"/>
    <m/>
    <s v="Mejoramiento VIAL P. San Guillin :Camayos, San Joaquin,Chullafaique,Pasallal, CANTON CALVAS"/>
    <x v="0"/>
    <s v="CALVAS"/>
    <s v="SANGUILLÍN"/>
    <s v="AD. DIRECTA"/>
    <s v="VIALSUR"/>
    <m/>
    <m/>
    <n v="0"/>
    <s v="Transporte de material para mejoramiento, inc. cargado"/>
    <s v="m3/km"/>
    <n v="0.35"/>
    <n v="4602"/>
    <d v="2014-07-01T00:00:00"/>
    <d v="2014-07-31T00:00:00"/>
    <s v="EJECUTADO"/>
    <n v="1610.7"/>
    <m/>
    <m/>
    <m/>
  </r>
  <r>
    <x v="0"/>
    <m/>
    <s v="Mejoramiento VIAL P. San Guillin :Camayos, San Joaquin,Chullafaique,Pasallal, CANTON CALVAS"/>
    <x v="0"/>
    <s v="CALVAS"/>
    <s v="SANGUILLÍN"/>
    <s v="AD. DIRECTA"/>
    <s v="VIALSUR"/>
    <m/>
    <n v="39"/>
    <n v="0"/>
    <s v="Razanteo con Motoniveladora"/>
    <s v="m2"/>
    <n v="0.08"/>
    <n v="214500"/>
    <d v="2014-07-01T00:00:00"/>
    <d v="2014-07-31T00:00:00"/>
    <s v="EJECUTADO"/>
    <n v="17160"/>
    <m/>
    <m/>
    <m/>
  </r>
  <r>
    <x v="0"/>
    <m/>
    <s v="Mejoramiento VIAL P. San Guillin :Camayos, San Joaquin,Chullafaique,Pasallal, CANTON CALVAS"/>
    <x v="0"/>
    <s v="CALVAS"/>
    <s v="SANGUILLÍN"/>
    <s v="AD. DIRECTA"/>
    <s v="VIALSUR"/>
    <m/>
    <n v="1.39"/>
    <n v="0"/>
    <s v="Mejoramiento de la subrasante con suelo seleccionado"/>
    <s v="m3"/>
    <n v="5.92"/>
    <n v="1534"/>
    <d v="2014-07-01T00:00:00"/>
    <d v="2014-07-31T00:00:00"/>
    <s v="EJECUTADO"/>
    <n v="9081.2800000000007"/>
    <m/>
    <m/>
    <m/>
  </r>
  <r>
    <x v="0"/>
    <s v="MANTENIMIENTO VIAL P. QUIZANGA - LUCERO"/>
    <s v="MANTENIMIENTO VIAL P. QUIZANGA - LUCERO"/>
    <x v="0"/>
    <s v="CALVAS"/>
    <s v="SANGUILLÍN"/>
    <s v="AD. DIRECTA"/>
    <s v="VIALSUR"/>
    <m/>
    <m/>
    <n v="0"/>
    <s v="Excavación sin clasificar a maquina (explotación de material) "/>
    <s v="m3"/>
    <n v="1.62"/>
    <m/>
    <d v="2014-06-01T00:00:00"/>
    <d v="2014-06-30T00:00:00"/>
    <s v="EJECUTADO"/>
    <n v="0"/>
    <m/>
    <m/>
    <n v="21024.9"/>
  </r>
  <r>
    <x v="0"/>
    <m/>
    <s v="MANTENIMIENTO VIAL P. QUIZANGA - LUCERO"/>
    <x v="0"/>
    <s v="CALVAS"/>
    <s v="SANGUILLÍN"/>
    <s v="AD. DIRECTA"/>
    <s v="VIALSUR"/>
    <m/>
    <m/>
    <n v="0"/>
    <s v="Transporte de material para mejoramiento, inc cargado"/>
    <s v="m3/km"/>
    <n v="0.35"/>
    <n v="5670"/>
    <d v="2014-06-01T00:00:00"/>
    <d v="2014-06-30T00:00:00"/>
    <s v="EJECUTADO"/>
    <n v="1984.5"/>
    <m/>
    <m/>
    <m/>
  </r>
  <r>
    <x v="0"/>
    <m/>
    <s v="MANTENIMIENTO VIAL P. QUIZANGA - LUCERO"/>
    <x v="0"/>
    <s v="CALVAS"/>
    <s v="SANGUILLÍN"/>
    <s v="AD. DIRECTA"/>
    <s v="VIALSUR"/>
    <m/>
    <n v="4.91"/>
    <n v="0"/>
    <s v="Acabado de Obra Básica existente"/>
    <s v="m2"/>
    <n v="0.35"/>
    <n v="27000"/>
    <d v="2014-06-01T00:00:00"/>
    <d v="2014-06-30T00:00:00"/>
    <s v="EJECUTADO"/>
    <n v="9450"/>
    <m/>
    <m/>
    <m/>
  </r>
  <r>
    <x v="0"/>
    <m/>
    <s v="MANTENIMIENTO VIAL P. QUIZANGA - LUCERO"/>
    <x v="0"/>
    <s v="CALVAS"/>
    <s v="SANGUILLÍN"/>
    <s v="AD. DIRECTA"/>
    <s v="VIALSUR"/>
    <m/>
    <n v="1.47"/>
    <n v="0"/>
    <s v="Mejoramiento de la subrasante con suelo seleccionado"/>
    <s v="m3"/>
    <n v="5.92"/>
    <n v="1620"/>
    <d v="2014-06-01T00:00:00"/>
    <d v="2014-06-30T00:00:00"/>
    <s v="EJECUTADO"/>
    <n v="9590.4"/>
    <m/>
    <m/>
    <m/>
  </r>
  <r>
    <x v="0"/>
    <s v="CONVENIO DE MANTENIMIENTO DE LA VIA SOZORANGA - NUEVA FATIMA, CANTON SOZORANGA._x000a_Longtud 13,30KM"/>
    <s v="CONVENIO DE MANTENIMIENTO DE LA VIA SOZORANGA - NUEVA FATIMA, CANTON SOZORANGA._x000a_Longtud 13,30KM"/>
    <x v="0"/>
    <s v="SOZORANGA"/>
    <s v="NUEVAFÁTIMA"/>
    <s v="CONVENIO"/>
    <s v="VIALSUR"/>
    <n v="13.3"/>
    <m/>
    <n v="642"/>
    <s v="Excavación sin clasificar a maquina (explotación de material) "/>
    <s v="m3"/>
    <n v="1.62"/>
    <n v="13340"/>
    <d v="2014-01-01T00:00:00"/>
    <d v="2014-03-31T00:00:00"/>
    <s v="EJECUTADO"/>
    <n v="21610.799999999999"/>
    <m/>
    <m/>
    <n v="172988.94000000003"/>
  </r>
  <r>
    <x v="0"/>
    <m/>
    <s v="CONVENIO DE MANTENIMIENTO DE LA VIA SOZORANGA - NUEVA FATIMA, CANTON SOZORANGA._x000a_Longtud 13,30KM"/>
    <x v="0"/>
    <s v="SOZORANGA"/>
    <s v="NUEVAFÁTIMA"/>
    <s v="CONVENIO"/>
    <s v="VIALSUR"/>
    <m/>
    <m/>
    <n v="0"/>
    <s v="Limpieza de derrumbes a máquina"/>
    <s v="m3"/>
    <n v="1.46"/>
    <n v="6176"/>
    <d v="2014-01-01T00:00:00"/>
    <d v="2014-03-31T00:00:00"/>
    <s v="EJECUTADO"/>
    <n v="9016.9599999999991"/>
    <m/>
    <m/>
    <m/>
  </r>
  <r>
    <x v="0"/>
    <m/>
    <s v="CONVENIO DE MANTENIMIENTO DE LA VIA SOZORANGA - NUEVA FATIMA, CANTON SOZORANGA._x000a_Longtud 13,30KM"/>
    <x v="0"/>
    <s v="SOZORANGA"/>
    <s v="NUEVAFÁTIMA"/>
    <s v="CONVENIO"/>
    <s v="VIALSUR"/>
    <m/>
    <m/>
    <n v="0"/>
    <s v="Transporte de material de derrumbes (desalojo a escombrera)"/>
    <s v="m3/km"/>
    <n v="0.24"/>
    <n v="4328"/>
    <d v="2014-01-01T00:00:00"/>
    <d v="2014-03-31T00:00:00"/>
    <s v="EJECUTADO"/>
    <n v="1038.72"/>
    <m/>
    <m/>
    <m/>
  </r>
  <r>
    <x v="0"/>
    <m/>
    <s v="CONVENIO DE MANTENIMIENTO DE LA VIA SOZORANGA - NUEVA FATIMA, CANTON SOZORANGA._x000a_Longtud 13,30KM"/>
    <x v="0"/>
    <s v="SOZORANGA"/>
    <s v="NUEVAFÁTIMA"/>
    <s v="CONVENIO"/>
    <s v="VIALSUR"/>
    <m/>
    <m/>
    <n v="0"/>
    <s v="Transporte de material para mejoramiento, inc cargado"/>
    <s v="m3/km"/>
    <n v="0.35"/>
    <n v="95305.2"/>
    <d v="2014-01-01T00:00:00"/>
    <d v="2014-03-31T00:00:00"/>
    <s v="EJECUTADO"/>
    <n v="33356.82"/>
    <m/>
    <m/>
    <m/>
  </r>
  <r>
    <x v="0"/>
    <m/>
    <s v="CONVENIO DE MANTENIMIENTO DE LA VIA SOZORANGA - NUEVA FATIMA, CANTON SOZORANGA._x000a_Longtud 13,30KM"/>
    <x v="0"/>
    <s v="SOZORANGA"/>
    <s v="NUEVAFÁTIMA"/>
    <s v="CONVENIO"/>
    <s v="VIALSUR"/>
    <m/>
    <n v="9.74"/>
    <n v="0"/>
    <s v="Rasanteo y conformacion de cunetas con motoniveladora"/>
    <s v="m2"/>
    <n v="0.08"/>
    <n v="53520"/>
    <d v="2014-01-01T00:00:00"/>
    <d v="2014-03-31T00:00:00"/>
    <s v="EJECUTADO"/>
    <n v="4281.6000000000004"/>
    <m/>
    <m/>
    <m/>
  </r>
  <r>
    <x v="0"/>
    <m/>
    <s v="CONVENIO DE MANTENIMIENTO DE LA VIA SOZORANGA - NUEVA FATIMA, CANTON SOZORANGA._x000a_Longtud 13,30KM"/>
    <x v="0"/>
    <s v="SOZORANGA"/>
    <s v="NUEVAFÁTIMA"/>
    <s v="CONVENIO"/>
    <s v="VIALSUR"/>
    <m/>
    <n v="4.87"/>
    <n v="0"/>
    <s v="Acabado de Obra Básica existente"/>
    <s v="m2"/>
    <n v="0.35"/>
    <n v="26760"/>
    <d v="2014-01-01T00:00:00"/>
    <d v="2014-03-31T00:00:00"/>
    <s v="EJECUTADO"/>
    <n v="9366"/>
    <m/>
    <m/>
    <m/>
  </r>
  <r>
    <x v="0"/>
    <m/>
    <s v="CONVENIO DE MANTENIMIENTO DE LA VIA SOZORANGA - NUEVA FATIMA, CANTON SOZORANGA._x000a_Longtud 13,30KM"/>
    <x v="0"/>
    <s v="SOZORANGA"/>
    <s v="NUEVAFÁTIMA"/>
    <s v="CONVENIO"/>
    <s v="VIALSUR"/>
    <m/>
    <n v="10.79"/>
    <n v="0"/>
    <s v="Mejoramiento de la subrasante con suelo seleccionado"/>
    <s v="m3"/>
    <n v="5.92"/>
    <n v="11868"/>
    <d v="2014-01-01T00:00:00"/>
    <d v="2014-03-31T00:00:00"/>
    <s v="EJECUTADO"/>
    <n v="70258.559999999998"/>
    <m/>
    <m/>
    <m/>
  </r>
  <r>
    <x v="0"/>
    <m/>
    <s v="CONVENIO DE MANTENIMIENTO DE LA VIA SOZORANGA - NUEVA FATIMA, CANTON SOZORANGA._x000a_Longtud 13,30KM"/>
    <x v="0"/>
    <s v="SOZORANGA"/>
    <s v="NUEVAFÁTIMA"/>
    <s v="CONVENIO"/>
    <s v="VIALSUR"/>
    <m/>
    <m/>
    <n v="0"/>
    <s v="Limpieza de alcantarillas y desalojo hasta 6m"/>
    <s v="m3"/>
    <n v="16.128"/>
    <n v="410"/>
    <d v="2014-01-01T00:00:00"/>
    <d v="2014-03-31T00:00:00"/>
    <s v="EJECUTADO"/>
    <n v="6612.48"/>
    <m/>
    <m/>
    <m/>
  </r>
  <r>
    <x v="0"/>
    <m/>
    <s v="CONVENIO DE MANTENIMIENTO DE LA VIA SOZORANGA - NUEVA FATIMA, CANTON SOZORANGA._x000a_Longtud 13,30KM"/>
    <x v="0"/>
    <s v="SOZORANGA"/>
    <s v="NUEVAFÁTIMA"/>
    <s v="AD. DIRECTA"/>
    <s v="VIALSUR"/>
    <m/>
    <m/>
    <n v="0"/>
    <s v="Limpieza de derrumbes a máquina"/>
    <s v="m3"/>
    <n v="1.46"/>
    <n v="11950"/>
    <d v="2014-01-01T00:00:00"/>
    <d v="2014-05-31T00:00:00"/>
    <s v="EJECUTADO"/>
    <n v="17447"/>
    <m/>
    <m/>
    <m/>
  </r>
  <r>
    <x v="0"/>
    <s v="MANTENIMIENTO DE VIAS PARROQUIA TACAMOROS INICIO 16 DE SEPTIEMBRE 2014"/>
    <s v="MANTENIMIENTO DE VIAS PARROQUIA TACAMOROS INICIO 16 DE SEPTIEMBRE 2014"/>
    <x v="0"/>
    <s v="SOZORANGA"/>
    <s v="TACAMOROS"/>
    <s v="AD. DIRECTA"/>
    <s v="VIALSUR"/>
    <m/>
    <m/>
    <n v="0"/>
    <s v="Excavación sin clasificar a maquina (explotación de material) "/>
    <s v="m3"/>
    <n v="1.62"/>
    <n v="5120"/>
    <d v="2014-09-16T00:00:00"/>
    <d v="2014-11-30T00:00:00"/>
    <s v="EN EJECUCION"/>
    <n v="8294.4"/>
    <m/>
    <m/>
    <n v="61116.800000000003"/>
  </r>
  <r>
    <x v="0"/>
    <m/>
    <s v="MANTENIMIENTO DE VIAS PARROQUIA TACAMOROS INICIO 16 DE SEPTIEMBRE 2014"/>
    <x v="0"/>
    <s v="SOZORANGA"/>
    <s v="TACAMOROS"/>
    <s v="AD. DIRECTA"/>
    <s v="VIALSUR"/>
    <m/>
    <m/>
    <n v="0"/>
    <s v="Transporte de material para mejoramiento, inc cargado"/>
    <s v="m3/km"/>
    <n v="0.3"/>
    <n v="35840"/>
    <d v="2014-09-16T00:00:00"/>
    <d v="2014-11-30T00:00:00"/>
    <s v="EN EJECUCION"/>
    <n v="10752"/>
    <m/>
    <m/>
    <m/>
  </r>
  <r>
    <x v="0"/>
    <m/>
    <s v="MANTENIMIENTO DE VIAS PARROQUIA TACAMOROS INICIO 16 DE SEPTIEMBRE 2014"/>
    <x v="0"/>
    <s v="SOZORANGA"/>
    <s v="TACAMOROS"/>
    <s v="AD. DIRECTA"/>
    <s v="VIALSUR"/>
    <m/>
    <n v="4.6500000000000004"/>
    <n v="0"/>
    <s v="Mejoramiento de la subrasante con suelo seleccionado"/>
    <s v="m3"/>
    <n v="5.92"/>
    <n v="5120"/>
    <d v="2014-09-16T00:00:00"/>
    <d v="2014-11-30T00:00:00"/>
    <s v="EN EJECUCION"/>
    <n v="30310.400000000001"/>
    <m/>
    <m/>
    <m/>
  </r>
  <r>
    <x v="0"/>
    <m/>
    <s v="MANTENIMIENTO DE VIAS PARROQUIA TACAMOROS INICIO 16 DE SEPTIEMBRE 2014"/>
    <x v="0"/>
    <s v="SOZORANGA"/>
    <s v="TACAMOROS"/>
    <s v="AD. DIRECTA"/>
    <s v="VIALSUR"/>
    <m/>
    <n v="19.600000000000001"/>
    <n v="0"/>
    <s v="Resanteo a máquina ( incluye cunteas)"/>
    <s v="m3"/>
    <n v="0.1"/>
    <n v="117600"/>
    <d v="2014-09-16T00:00:00"/>
    <d v="2014-11-30T00:00:00"/>
    <s v="EN EJECUCION"/>
    <n v="11760"/>
    <m/>
    <m/>
    <m/>
  </r>
  <r>
    <x v="0"/>
    <s v="TERRACEO EN LA VIA SOZORANGA A NUEVA FATIMA"/>
    <s v="TERRACEO EN LA VIA SOZORANGA A NUEVA FATIMA"/>
    <x v="0"/>
    <s v="SOZORANGA"/>
    <s v="NUEVAFÁTIMA"/>
    <s v="AD. DIRECTA"/>
    <s v="VIALSUR"/>
    <m/>
    <m/>
    <m/>
    <s v="Excavación sin clasificar a maquina (explotación de material) "/>
    <s v="m3"/>
    <n v="1.62"/>
    <n v="6400"/>
    <d v="2014-11-01T00:00:00"/>
    <d v="2014-11-30T00:00:00"/>
    <s v="EN EJECUCION"/>
    <n v="10368"/>
    <m/>
    <m/>
    <n v="10368"/>
  </r>
  <r>
    <x v="0"/>
    <s v="APERTURA APROCHES AL PUENTE DE NAMBACOLA"/>
    <s v="APERTURA APROCHES AL PUENTE DE NAMBACOLA"/>
    <x v="0"/>
    <s v="GONZANAMA"/>
    <s v="NAMBACOLA"/>
    <s v="AD. DIRECTA"/>
    <s v="VIALSUR"/>
    <m/>
    <m/>
    <n v="0"/>
    <s v="Excavación sin clasificar a maquina (explotación de material) "/>
    <s v="m3"/>
    <n v="1.62"/>
    <n v="3240"/>
    <d v="2014-11-01T00:00:00"/>
    <d v="2014-11-30T00:00:00"/>
    <s v="EN EJECUCION"/>
    <n v="5248.8"/>
    <m/>
    <m/>
    <n v="12715.8"/>
  </r>
  <r>
    <x v="0"/>
    <m/>
    <s v="APERTURA APROCHES AL PUENTE DE NAMBACOLA"/>
    <x v="0"/>
    <s v="GONZANAMA"/>
    <s v="NAMBACOLA"/>
    <s v="AD. DIRECTA"/>
    <s v="VIALSUR"/>
    <m/>
    <m/>
    <n v="0"/>
    <s v="Transporte de material para mejoramiento, inc cargado"/>
    <s v="m3/km"/>
    <n v="0.3"/>
    <n v="50"/>
    <d v="2014-11-01T00:00:00"/>
    <d v="2014-11-30T00:00:00"/>
    <s v="EN EJECUCION"/>
    <n v="15"/>
    <m/>
    <m/>
    <m/>
  </r>
  <r>
    <x v="0"/>
    <m/>
    <s v="APERTURA APROCHES AL PUENTE DE NAMBACOLA"/>
    <x v="0"/>
    <s v="GONZANAMA"/>
    <s v="NAMBACOLA"/>
    <s v="AD. DIRECTA"/>
    <s v="VIALSUR"/>
    <m/>
    <n v="0.09"/>
    <n v="0"/>
    <s v="Mejoramiento de la subrasante con suelo seleccionado"/>
    <s v="m3"/>
    <n v="5.92"/>
    <n v="100"/>
    <d v="2014-11-01T00:00:00"/>
    <d v="2014-11-30T00:00:00"/>
    <s v="EN EJECUCION"/>
    <n v="592"/>
    <m/>
    <m/>
    <m/>
  </r>
  <r>
    <x v="0"/>
    <m/>
    <s v="APERTURA APROCHES AL PUENTE DE NAMBACOLA"/>
    <x v="0"/>
    <s v="GONZANAMA"/>
    <s v="NAMBACOLA"/>
    <s v="AD. DIRECTA"/>
    <s v="VIALSUR"/>
    <m/>
    <n v="0.33"/>
    <n v="0"/>
    <s v="Relleno Compactado a maquina"/>
    <s v="m3"/>
    <n v="3.5"/>
    <n v="1960"/>
    <d v="2014-11-01T00:00:00"/>
    <d v="2014-11-30T00:00:00"/>
    <s v="EN EJECUCION"/>
    <n v="6860"/>
    <m/>
    <m/>
    <m/>
  </r>
  <r>
    <x v="0"/>
    <s v="MANTENIMIENTO RUTINARIO VIAL EN LOS CANTONES CALVAS, ESPINDOLA, GONZANAMÁ, QUILANGA Y SOZORANGA (CONTRATO SIE-NRO.821-VIALSUR E.P.-2013)"/>
    <s v="MANTENIMIENTO RUTINARIO VIAL EN LOS CANTONES CALVAS, ESPINDOLA, GONZANAMÁ, QUILANGA Y SOZORANGA (CONTRATO SIE-NRO.821-VIALSUR E.P.-2013)"/>
    <x v="0"/>
    <s v="CALVAS"/>
    <s v="EL LUCERO"/>
    <s v="CONTRATO"/>
    <s v="VIALSUR"/>
    <n v="15.453333333333333"/>
    <n v="25.41"/>
    <n v="677.77777777777783"/>
    <s v="Rasanteo y conformacion de cunetas con motoniveladora"/>
    <s v="m2"/>
    <n v="0.08"/>
    <n v="139737.5"/>
    <d v="2014-01-01T00:00:00"/>
    <d v="2014-02-28T00:00:00"/>
    <s v="EJECUTADO"/>
    <n v="11179"/>
    <m/>
    <m/>
    <n v="11179"/>
  </r>
  <r>
    <x v="0"/>
    <s v="MANTENIMIENTO RUTINARIO VIAL EN LOS CANTONES CALVAS, ESPINDOLA, GONZANAMÁ, QUILANGA Y SOZORANGA (CONTRATO SIE-NRO.821-VIALSUR E.P.-2013)"/>
    <s v="MANTENIMIENTO RUTINARIO VIAL EN LOS CANTONES CALVAS, ESPINDOLA, GONZANAMÁ, QUILANGA Y SOZORANGA (CONTRATO SIE-NRO.821-VIALSUR E.P.-2013)"/>
    <x v="0"/>
    <s v="GONZANAMA"/>
    <s v="PURUNUMA"/>
    <s v="CONTRATO"/>
    <s v="VIALSUR"/>
    <n v="15.453333333333333"/>
    <n v="25.41"/>
    <n v="677.77777777777783"/>
    <s v="Rasanteo y conformacion de cunetas con motoniveladora"/>
    <s v="m2"/>
    <n v="0.08"/>
    <n v="139737.5"/>
    <d v="2014-01-01T00:00:00"/>
    <d v="2014-02-28T00:00:00"/>
    <s v="EJECUTADO"/>
    <n v="11179"/>
    <m/>
    <m/>
    <n v="11179"/>
  </r>
  <r>
    <x v="0"/>
    <s v="MANTENIMIENTO RUTINARIO VIAL EN LOS CANTONES CALVAS, ESPINDOLA, GONZANAMÁ, QUILANGA Y SOZORANGA (CONTRATO SIE-NRO.821-VIALSUR E.P.-2013)"/>
    <s v="MANTENIMIENTO RUTINARIO VIAL EN LOS CANTONES CALVAS, ESPINDOLA, GONZANAMÁ, QUILANGA Y SOZORANGA (CONTRATO SIE-NRO.821-VIALSUR E.P.-2013)"/>
    <x v="0"/>
    <s v="GONZANAMA"/>
    <s v="SACAPALCA"/>
    <s v="CONTRATO"/>
    <s v="VIALSUR"/>
    <n v="15.453333333333333"/>
    <n v="25.41"/>
    <n v="677.77777777777783"/>
    <s v="Rasanteo y conformacion de cunetas con motoniveladora"/>
    <s v="m2"/>
    <n v="0.08"/>
    <n v="139737.5"/>
    <d v="2014-01-01T00:00:00"/>
    <d v="2014-02-28T00:00:00"/>
    <s v="EJECUTADO"/>
    <n v="11179"/>
    <m/>
    <m/>
    <n v="11179"/>
  </r>
  <r>
    <x v="0"/>
    <s v="MANTENIMIENTO RUTINARIO VIAL EN LOS CANTONES CALVAS, ESPINDOLA, GONZANAMÁ, QUILANGA Y SOZORANGA (CONTRATO SIE-NRO.821-VIALSUR E.P.-2013)"/>
    <s v="MANTENIMIENTO RUTINARIO VIAL EN LOS CANTONES CALVAS, ESPINDOLA, GONZANAMÁ, QUILANGA Y SOZORANGA (CONTRATO SIE-NRO.821-VIALSUR E.P.-2013)"/>
    <x v="0"/>
    <s v="QUILANGA"/>
    <s v="SANANTONIODELASARADAS"/>
    <s v="CONTRATO"/>
    <s v="VIALSUR"/>
    <n v="15.453333333333333"/>
    <n v="25.41"/>
    <n v="677.77777777777783"/>
    <s v="Rasanteo y conformacion de cunetas con motoniveladora"/>
    <s v="m2"/>
    <n v="0.08"/>
    <n v="139737.5"/>
    <d v="2014-01-01T00:00:00"/>
    <d v="2014-02-28T00:00:00"/>
    <s v="EJECUTADO"/>
    <n v="11179"/>
    <m/>
    <m/>
    <n v="11179"/>
  </r>
  <r>
    <x v="0"/>
    <s v="MANTENIMIENTO RUTINARIO VIAL EN LOS CANTONES CALVAS, ESPINDOLA, GONZANAMÁ, QUILANGA Y SOZORANGA (CONTRATO SIE-NRO.821-VIALSUR E.P.-2013)"/>
    <s v="MANTENIMIENTO RUTINARIO VIAL EN LOS CANTONES CALVAS, ESPINDOLA, GONZANAMÁ, QUILANGA Y SOZORANGA (CONTRATO SIE-NRO.821-VIALSUR E.P.-2013)"/>
    <x v="0"/>
    <s v="ESPINDOLA"/>
    <s v="JIMBURA"/>
    <s v="CONTRATO"/>
    <s v="VIALSUR"/>
    <n v="15.453333333333333"/>
    <n v="25.41"/>
    <n v="677.77777777777783"/>
    <s v="Rasanteo y conformacion de cunetas con motoniveladora"/>
    <s v="m2"/>
    <n v="0.08"/>
    <n v="139737.5"/>
    <d v="2014-01-01T00:00:00"/>
    <d v="2014-02-28T00:00:00"/>
    <s v="EJECUTADO"/>
    <n v="11179"/>
    <m/>
    <m/>
    <n v="11179"/>
  </r>
  <r>
    <x v="0"/>
    <s v="ALCANTARILLA MULTIPLACA QUEBRADA DE AMINDURO"/>
    <s v="ALCANTARILLA MULTIPLACA QUEBRADA DE AMINDURO"/>
    <x v="0"/>
    <s v="QUILANGA"/>
    <s v="QUILANGA"/>
    <s v="CONTRATO"/>
    <s v="VIALSUR"/>
    <m/>
    <m/>
    <n v="677.77777777777783"/>
    <s v="CONSTRUCCION DE ALCANTARILLA MULTIPLACA"/>
    <s v="GBL"/>
    <n v="1"/>
    <n v="14512.49"/>
    <d v="2014-01-01T00:00:00"/>
    <d v="2014-02-28T00:00:00"/>
    <s v="EJECUTADO"/>
    <n v="14512.49"/>
    <m/>
    <m/>
    <n v="14512.49"/>
  </r>
  <r>
    <x v="0"/>
    <s v="VÍA Y DE FUNDOCHAMBA - FUNDOCHAMBA, CANTON QUILANGA, L=2.9 K, trabajos del 13 al 22 de Noviembre del 2014."/>
    <s v="VÍA Y DE FUNDOCHAMBA - FUNDOCHAMBA, CANTON QUILANGA, L=2.9 K, trabajos del 13 al 22 de Noviembre del 2014."/>
    <x v="0"/>
    <s v="QUILANGA"/>
    <s v="QUILANGA"/>
    <s v="AD. DIRECTA"/>
    <s v="VIALSUR"/>
    <n v="2.9"/>
    <n v="3.17"/>
    <n v="677.77777777777783"/>
    <s v="Acabado de Obra Básica existente"/>
    <s v="m2"/>
    <n v="0.35"/>
    <n v="17400"/>
    <d v="2014-11-13T00:00:00"/>
    <d v="2014-11-22T00:00:00"/>
    <s v="EJECUTADO"/>
    <n v="6090"/>
    <m/>
    <m/>
    <n v="6090"/>
  </r>
  <r>
    <x v="0"/>
    <s v="VÍA Y DE FUNDOCHAMBA - FUNDOCHAMBA, CANTON QUILANGA, L=2.9 K, trabajos del 13 al 22 de Noviembre del 2014."/>
    <s v="VÍA Y DE FUNDOCHAMBA - FUNDOCHAMBA, CANTON QUILANGA, L=2.9 K, trabajos del 13 al 22 de Noviembre del 2014."/>
    <x v="0"/>
    <s v="QUILANGA"/>
    <s v="QUILANGA"/>
    <s v="AD. DIRECTA"/>
    <s v="VIALSUR"/>
    <m/>
    <n v="1.58"/>
    <m/>
    <s v="Mejoramiento de la subrasante con suelo seleccionado"/>
    <s v="m3"/>
    <n v="5.92"/>
    <n v="1740"/>
    <d v="2014-11-13T00:00:00"/>
    <d v="2014-11-22T00:00:00"/>
    <s v="EJECUTADO"/>
    <n v="10300.799999999999"/>
    <m/>
    <m/>
    <n v="10300.799999999999"/>
  </r>
  <r>
    <x v="0"/>
    <s v="VÍA Y DE FUNDOCHAMBA - FUNDOCHAMBA, CANTON QUILANGA, L=2.9 K, trabajos del 13 al 22 de Noviembre del 2014."/>
    <s v="VÍA Y DE FUNDOCHAMBA - FUNDOCHAMBA, CANTON QUILANGA, L=2.9 K, trabajos del 13 al 22 de Noviembre del 2014."/>
    <x v="0"/>
    <s v="QUILANGA"/>
    <s v="QUILANGA"/>
    <s v="AD. DIRECTA"/>
    <s v="VIALSUR"/>
    <m/>
    <m/>
    <m/>
    <s v="Transporte de material de Mejoramiento"/>
    <s v="M3-KM"/>
    <n v="0.3"/>
    <n v="20880"/>
    <d v="2014-11-13T00:00:00"/>
    <d v="2014-11-22T00:00:00"/>
    <s v="EJECUTADO"/>
    <n v="6264"/>
    <m/>
    <m/>
    <n v="6264"/>
  </r>
  <r>
    <x v="0"/>
    <s v="VÍA FUNDOCHAMBA - EL SAUCE, CANTON QUILANGA, L=5 KM, trabajos del 13 al 22 de Noviembre del 2014."/>
    <s v="VÍA FUNDOCHAMBA - EL SAUCE, CANTON QUILANGA, L=5 KM, trabajos del 13 al 22 de Noviembre del 2014."/>
    <x v="0"/>
    <s v="QUILANGA"/>
    <s v="QUILANGA"/>
    <s v="AD. DIRECTA"/>
    <s v="VIALSUR"/>
    <n v="5"/>
    <n v="4.55"/>
    <m/>
    <s v="Acabado de Obra Básica existente"/>
    <s v="m2"/>
    <n v="0.35"/>
    <n v="25000"/>
    <d v="2014-11-13T00:00:00"/>
    <d v="2014-11-22T00:00:00"/>
    <s v="EJECUTADO"/>
    <n v="8750"/>
    <m/>
    <m/>
    <n v="8750"/>
  </r>
  <r>
    <x v="0"/>
    <s v="VÍA FUNDOCHAMBA - EL SAUCE, CANTON QUILANGA, L=5 KM, trabajos del 13 al 22 de Noviembre del 2014."/>
    <s v="VÍA FUNDOCHAMBA - EL SAUCE, CANTON QUILANGA, L=5 KM, trabajos del 13 al 22 de Noviembre del 2014."/>
    <x v="0"/>
    <s v="QUILANGA"/>
    <s v="QUILANGA"/>
    <s v="AD. DIRECTA"/>
    <s v="VIALSUR"/>
    <m/>
    <n v="1.7"/>
    <m/>
    <s v="Mejoramiento de la subrasante con suelo seleccionado"/>
    <s v="m3"/>
    <n v="5.92"/>
    <n v="1875"/>
    <d v="2014-11-13T00:00:00"/>
    <d v="2014-11-22T00:00:00"/>
    <s v="EJECUTADO"/>
    <n v="11100"/>
    <m/>
    <m/>
    <n v="11100"/>
  </r>
  <r>
    <x v="0"/>
    <s v="VÍA FUNDOCHAMBA - EL SAUCE, CANTON QUILANGA, L=5 KM, trabajos del 13 al 22 de Noviembre del 2014."/>
    <s v="VÍA FUNDOCHAMBA - EL SAUCE, CANTON QUILANGA, L=5 KM, trabajos del 13 al 22 de Noviembre del 2014."/>
    <x v="0"/>
    <s v="QUILANGA"/>
    <s v="QUILANGA"/>
    <s v="AD. DIRECTA"/>
    <s v="VIALSUR"/>
    <m/>
    <m/>
    <m/>
    <s v="Transporte de material de Mejoramiento"/>
    <s v="M3-KM"/>
    <n v="0.3"/>
    <n v="4687.5"/>
    <d v="2014-11-13T00:00:00"/>
    <d v="2014-11-22T00:00:00"/>
    <s v="EJECUTADO"/>
    <n v="1406.25"/>
    <m/>
    <m/>
    <n v="1406.25"/>
  </r>
  <r>
    <x v="0"/>
    <s v="VÍA FUNDOCHAMBA - PUENTE DE QUIROZ, CANTON QUILANGA L=4.7 KM, trabajos del 13 al 22 de Noviembre del 2014."/>
    <s v="VÍA FUNDOCHAMBA - PUENTE DE QUIROZ, CANTON QUILANGA L=4.7 KM, trabajos del 13 al 22 de Noviembre del 2014."/>
    <x v="0"/>
    <s v="QUILANGA"/>
    <s v="QUILANGA"/>
    <s v="AD. DIRECTA"/>
    <s v="VIALSUR"/>
    <n v="4.7"/>
    <n v="4.7"/>
    <m/>
    <s v="Acabado de Obra Básica existente"/>
    <s v="m2"/>
    <n v="0.35"/>
    <n v="25850"/>
    <d v="2014-11-13T00:00:00"/>
    <d v="2014-11-22T00:00:00"/>
    <s v="EJECUTADO"/>
    <n v="9047.5"/>
    <m/>
    <m/>
    <n v="9047.5"/>
  </r>
  <r>
    <x v="0"/>
    <s v="VÍA FUNDOCHAMBA - PUENTE DE QUIROZ, CANTON QUILANGA L=4.7 KM, trabajos del 13 al 22 de Noviembre del 2014."/>
    <s v="VÍA FUNDOCHAMBA - PUENTE DE QUIROZ, CANTON QUILANGA L=4.7 KM, trabajos del 13 al 22 de Noviembre del 2014."/>
    <x v="0"/>
    <s v="QUILANGA"/>
    <s v="QUILANGA"/>
    <s v="AD. DIRECTA"/>
    <s v="VIALSUR"/>
    <m/>
    <n v="1.76"/>
    <m/>
    <s v="Mejoramiento de la subrasante con suelo seleccionado"/>
    <s v="m3"/>
    <n v="5.92"/>
    <n v="1938.75"/>
    <d v="2014-11-13T00:00:00"/>
    <d v="2014-11-22T00:00:00"/>
    <s v="EJECUTADO"/>
    <n v="11477.4"/>
    <m/>
    <m/>
    <n v="11477.4"/>
  </r>
  <r>
    <x v="0"/>
    <s v="VÍA FUNDOCHAMBA - PUENTE DE QUIROZ, CANTON QUILANGA L=4.7 KM, trabajos del 13 al 22 de Noviembre del 2014."/>
    <s v="VÍA FUNDOCHAMBA - PUENTE DE QUIROZ, CANTON QUILANGA L=4.7 KM, trabajos del 13 al 22 de Noviembre del 2014."/>
    <x v="0"/>
    <s v="QUILANGA"/>
    <s v="QUILANGA"/>
    <s v="AD. DIRECTA"/>
    <s v="VIALSUR"/>
    <m/>
    <m/>
    <m/>
    <s v="Transporte de material de Mejoramiento"/>
    <s v="M3-KM"/>
    <n v="0.3"/>
    <n v="4846.875"/>
    <d v="2014-11-13T00:00:00"/>
    <d v="2014-11-22T00:00:00"/>
    <s v="EJECUTADO"/>
    <n v="1454.06"/>
    <m/>
    <m/>
    <n v="1454.06"/>
  </r>
  <r>
    <x v="0"/>
    <s v="VÍA PUENTE DE QUIROZ- SAN ANTONIO DE LAS ARADAS, CANTON QUILANGA L=5.2 KM, trabajos del 27 de Noviembre al 6 de Diciembre del 2014."/>
    <s v="VÍA PUENTE DE QUIROZ- SAN ANTONIO DE LAS ARADAS, CANTON QUILANGA L=5.2 KM, trabajos del 27 de Noviembre al 6 de Diciembre del 2014."/>
    <x v="0"/>
    <s v="QUILANGA"/>
    <s v="QUILANGA"/>
    <s v="AD. DIRECTA"/>
    <s v="VIALSUR"/>
    <n v="5.2"/>
    <n v="5.2"/>
    <m/>
    <s v="Acabado de Obra Básica existente"/>
    <s v="m2"/>
    <n v="0.35"/>
    <n v="28600"/>
    <d v="2014-11-27T00:00:00"/>
    <d v="2014-12-06T00:00:00"/>
    <s v="EN EJECUCION"/>
    <n v="10010"/>
    <m/>
    <m/>
    <n v="10010"/>
  </r>
  <r>
    <x v="0"/>
    <s v="VÍA PUENTE DE QUIROZ- SAN ANTONIO DE LAS ARADAS, CANTON QUILANGA L=5.2 KM, trabajos del 27 de Noviembre al 6 de Diciembre del 2014."/>
    <s v="VÍA PUENTE DE QUIROZ- SAN ANTONIO DE LAS ARADAS, CANTON QUILANGA L=5.2 KM, trabajos del 27 de Noviembre al 6 de Diciembre del 2014."/>
    <x v="0"/>
    <s v="QUILANGA"/>
    <s v="QUILANGA"/>
    <s v="AD. DIRECTA"/>
    <s v="VIALSUR"/>
    <m/>
    <n v="1.95"/>
    <m/>
    <s v="Mejoramiento de la subrasante con suelo seleccionado"/>
    <s v="m3"/>
    <n v="5.92"/>
    <n v="2145"/>
    <d v="2014-11-27T00:00:00"/>
    <d v="2014-12-06T00:00:00"/>
    <s v="EN EJECUCION"/>
    <n v="12698.4"/>
    <m/>
    <m/>
    <n v="12698.4"/>
  </r>
  <r>
    <x v="0"/>
    <s v="VÍA PUENTE DE QUIROZ- SAN ANTONIO DE LAS ARADAS, CANTON QUILANGA L=5.2 KM, trabajos del 27 de Noviembre al 6 de Diciembre del 2014."/>
    <s v="VÍA PUENTE DE QUIROZ- SAN ANTONIO DE LAS ARADAS, CANTON QUILANGA L=5.2 KM, trabajos del 27 de Noviembre al 6 de Diciembre del 2014."/>
    <x v="0"/>
    <s v="QUILANGA"/>
    <s v="QUILANGA"/>
    <s v="AD. DIRECTA"/>
    <s v="VIALSUR"/>
    <m/>
    <m/>
    <m/>
    <s v="Transporte de material de Mejoramiento"/>
    <s v="M3-KM"/>
    <n v="0.3"/>
    <n v="27885"/>
    <d v="2014-11-27T00:00:00"/>
    <d v="2014-12-06T00:00:00"/>
    <s v="EN EJECUCION"/>
    <n v="8365.5"/>
    <m/>
    <m/>
    <n v="8365.5"/>
  </r>
  <r>
    <x v="0"/>
    <s v="VÍA SOCCHIBAMBA AMALUZA, CANTON ESPINDOLA L=3.1 KM, trabajos del 20 al 23 de Noviembre del 2014."/>
    <s v="VÍA SOCCHIBAMBA AMALUZA, CANTON ESPINDOLA L=3.1 KM, trabajos del 20 al 23 de Noviembre del 2014."/>
    <x v="0"/>
    <s v="ESPINDOLA"/>
    <s v="AMALUZA"/>
    <s v="AD. DIRECTA"/>
    <s v="VIALSUR"/>
    <n v="5.2"/>
    <n v="2.82"/>
    <m/>
    <s v="Acabado de Obra Básica existente"/>
    <s v="m2"/>
    <n v="0.35"/>
    <n v="15500"/>
    <d v="2014-11-20T00:00:00"/>
    <d v="2014-11-23T00:00:00"/>
    <s v="EJECUTADO"/>
    <n v="5425"/>
    <m/>
    <m/>
    <n v="5425"/>
  </r>
  <r>
    <x v="0"/>
    <s v="VÍA SOCCHIBAMBA AMALUZA, CANTON ESPINDOLA L=3.1 KM, trabajos del 20 al 23 de Noviembre del 2014."/>
    <s v="VÍA SOCCHIBAMBA AMALUZA, CANTON ESPINDOLA L=3.1 KM, trabajos del 20 al 23 de Noviembre del 2014."/>
    <x v="0"/>
    <s v="ESPINDOLA"/>
    <s v="AMALUZA"/>
    <s v="AD. DIRECTA"/>
    <s v="VIALSUR"/>
    <m/>
    <n v="1.41"/>
    <m/>
    <s v="Mejoramiento de la subrasante con suelo seleccionado"/>
    <s v="m3"/>
    <n v="5.92"/>
    <n v="1550"/>
    <d v="2014-11-20T00:00:00"/>
    <d v="2014-11-23T00:00:00"/>
    <s v="EJECUTADO"/>
    <n v="9176"/>
    <m/>
    <m/>
    <n v="9176"/>
  </r>
  <r>
    <x v="0"/>
    <s v="VÍA SOCCHIBAMBA AMALUZA, CANTON ESPINDOLA L=3.1 KM, trabajos del 20 al 23 de Noviembre del 2014."/>
    <s v="VÍA SOCCHIBAMBA AMALUZA, CANTON ESPINDOLA L=3.1 KM, trabajos del 20 al 23 de Noviembre del 2014."/>
    <x v="0"/>
    <s v="ESPINDOLA"/>
    <s v="AMALUZA"/>
    <s v="AD. DIRECTA"/>
    <s v="VIALSUR"/>
    <m/>
    <m/>
    <m/>
    <s v="Transporte de material de Mejoramiento"/>
    <s v="M3-KM"/>
    <n v="0.3"/>
    <n v="6975"/>
    <d v="2014-11-20T00:00:00"/>
    <d v="2014-11-23T00:00:00"/>
    <s v="EJECUTADO"/>
    <n v="2092.5"/>
    <m/>
    <m/>
    <n v="2092.5"/>
  </r>
  <r>
    <x v="0"/>
    <s v="VÍA AMALUZA JIMBURA, CANTON ESPINDOLA L=16.8 KM, trabajos se inician el 23 de Noviembre del 2014"/>
    <s v="VÍA AMALUZA JIMBURA, CANTON ESPINDOLA L=16.8 KM, trabajos se inician el 23 de Noviembre del 2014"/>
    <x v="0"/>
    <s v="ESPINDOLA"/>
    <s v="JIMBURA"/>
    <s v="AD. DIRECTA"/>
    <s v="VIALSUR"/>
    <n v="16.8"/>
    <n v="1.34"/>
    <m/>
    <s v="Acabado de Obra Básica existente"/>
    <s v="m2"/>
    <n v="0.35"/>
    <n v="7349.9999999999991"/>
    <d v="2014-11-23T00:00:00"/>
    <m/>
    <s v="EJECUTADO"/>
    <n v="2572.5"/>
    <m/>
    <m/>
    <n v="2572.5"/>
  </r>
  <r>
    <x v="0"/>
    <s v="VÍA AMALUZA JIMBURA, CANTON ESPINDOLA L=16.8 KM, trabajos se inician el 23 de Noviembre del 2014"/>
    <s v="VÍA AMALUZA JIMBURA, CANTON ESPINDOLA L=16.8 KM, trabajos se inician el 23 de Noviembre del 2014"/>
    <x v="0"/>
    <s v="ESPINDOLA"/>
    <s v="JIMBURA"/>
    <s v="AD. DIRECTA"/>
    <s v="VIALSUR"/>
    <m/>
    <n v="11.3"/>
    <m/>
    <s v="Mejoramiento de la subrasante con suelo seleccionado"/>
    <s v="m3"/>
    <n v="5.92"/>
    <n v="12432"/>
    <d v="2014-11-23T00:00:00"/>
    <m/>
    <s v="EJECUTADO"/>
    <n v="73597.440000000002"/>
    <m/>
    <m/>
    <n v="73597.440000000002"/>
  </r>
  <r>
    <x v="0"/>
    <s v="VÍA AMALUZA JIMBURA, CANTON ESPINDOLA L=16.8 KM, trabajos se inician el 23 de Noviembre del 2014"/>
    <s v="VÍA AMALUZA JIMBURA, CANTON ESPINDOLA L=16.8 KM, trabajos se inician el 23 de Noviembre del 2014"/>
    <x v="0"/>
    <s v="ESPINDOLA"/>
    <s v="JIMBURA"/>
    <s v="AD. DIRECTA"/>
    <s v="VIALSUR"/>
    <m/>
    <m/>
    <m/>
    <s v="Transporte de material de Mejoramiento"/>
    <s v="M3-KM"/>
    <n v="0.3"/>
    <n v="5292"/>
    <d v="2014-11-23T00:00:00"/>
    <m/>
    <s v="EJECUTADO"/>
    <n v="1587.6"/>
    <m/>
    <m/>
    <n v="1587.6"/>
  </r>
  <r>
    <x v="0"/>
    <s v="VÍA JIMBURA EL CEMENTERIO, CANTON ESPINDOLA L=0.8 KM, trabajos se inician el 23 de Noviembre del 2014"/>
    <s v="VÍA JIMBURA EL CEMENTERIO, CANTON ESPINDOLA L=0.8 KM, trabajos se inician el 23 de Noviembre del 2014"/>
    <x v="0"/>
    <s v="ESPINDOLA"/>
    <s v="JIMBURA"/>
    <s v="AD. DIRECTA"/>
    <s v="VIALSUR"/>
    <n v="0.8"/>
    <n v="0.23"/>
    <m/>
    <s v="Acabado de Obra Básica existente"/>
    <s v="m2"/>
    <n v="0.35"/>
    <n v="1260"/>
    <d v="2014-11-23T00:00:00"/>
    <m/>
    <s v="EJECUTADO"/>
    <n v="441"/>
    <m/>
    <m/>
    <n v="441"/>
  </r>
  <r>
    <x v="0"/>
    <s v="VÍA JIMBURA EL CEMENTERIO, CANTON ESPINDOLA L=0.8 KM, trabajos se inician el 23 de Noviembre del 2014"/>
    <s v="VÍA JIMBURA EL CEMENTERIO, CANTON ESPINDOLA L=0.8 KM, trabajos se inician el 23 de Noviembre del 2014"/>
    <x v="0"/>
    <s v="ESPINDOLA"/>
    <s v="JIMBURA"/>
    <s v="AD. DIRECTA"/>
    <s v="VIALSUR"/>
    <m/>
    <n v="2.91"/>
    <m/>
    <s v="Mejoramiento de la subrasante con suelo seleccionado"/>
    <s v="m3"/>
    <n v="5.92"/>
    <n v="3196.8"/>
    <d v="2014-11-23T00:00:00"/>
    <m/>
    <s v="EJECUTADO"/>
    <n v="18925.060000000001"/>
    <m/>
    <m/>
    <n v="18925.060000000001"/>
  </r>
  <r>
    <x v="0"/>
    <s v="VÍA JIMBURA EL CEMENTERIO, CANTON ESPINDOLA L=0.8 KM, trabajos se inician el 23 de Noviembre del 2014"/>
    <s v="VÍA JIMBURA EL CEMENTERIO, CANTON ESPINDOLA L=0.8 KM, trabajos se inician el 23 de Noviembre del 2014"/>
    <x v="0"/>
    <s v="ESPINDOLA"/>
    <s v="JIMBURA"/>
    <s v="AD. DIRECTA"/>
    <s v="VIALSUR"/>
    <m/>
    <m/>
    <m/>
    <s v="Transporte de material de Mejoramiento"/>
    <s v="M3-KM"/>
    <n v="0.3"/>
    <n v="1458"/>
    <d v="2014-11-23T00:00:00"/>
    <m/>
    <s v="EJECUTADO"/>
    <n v="437.4"/>
    <m/>
    <m/>
    <n v="437.4"/>
  </r>
  <r>
    <x v="0"/>
    <s v="VÍA JIMBURA EL SALADO, CANTON ESPINDOLA L=0.8 KM, trabajos se ejecutaron el 23 de Noviembre del 2014"/>
    <s v="VÍA JIMBURA EL SALADO, CANTON ESPINDOLA L=0.8 KM, trabajos se ejecutaron el 23 de Noviembre del 2014"/>
    <x v="0"/>
    <s v="ESPINDOLA"/>
    <s v="JIMBURA"/>
    <s v="AD. DIRECTA"/>
    <s v="VIALSUR"/>
    <n v="0.8"/>
    <n v="0.23"/>
    <m/>
    <s v="Acabado de Obra Básica existente"/>
    <s v="m2"/>
    <n v="0.35"/>
    <n v="1260"/>
    <d v="2014-11-23T00:00:00"/>
    <m/>
    <s v="EJECUTADO"/>
    <n v="441"/>
    <m/>
    <m/>
    <n v="441"/>
  </r>
  <r>
    <x v="0"/>
    <s v="MANTENIMIENTO DE VIAS PARROQUIA TACAMOROS inicio 16 sept 2014  "/>
    <s v="MANTENIMIENTO DE VIAS PARROQUIA TACAMOROS inicio 16 sept 2014  "/>
    <x v="0"/>
    <s v="SOZORANGA"/>
    <s v="TACAMOROS"/>
    <s v="AD. DIRECTA"/>
    <s v="VIALSUR"/>
    <m/>
    <n v="1.46"/>
    <m/>
    <s v="Excavación sin clasificar a maquina (explotación de material) "/>
    <s v="m3"/>
    <n v="1.62"/>
    <n v="8010"/>
    <d v="2014-09-16T00:00:00"/>
    <m/>
    <s v="EJECUTADO"/>
    <n v="12976.2"/>
    <m/>
    <m/>
    <n v="12976.2"/>
  </r>
  <r>
    <x v="0"/>
    <s v="MANTENIMIENTO DE VIAS PARROQUIA TACAMOROS inicio 16 sept 2014  "/>
    <s v="MANTENIMIENTO DE VIAS PARROQUIA TACAMOROS inicio 16 sept 2014  "/>
    <x v="0"/>
    <s v="SOZORANGA"/>
    <s v="TACAMOROS"/>
    <s v="AD. DIRECTA"/>
    <s v="VIALSUR"/>
    <m/>
    <m/>
    <m/>
    <s v="Transporte de material para mejoramiento, inc cargado"/>
    <s v="m3/km"/>
    <n v="0.3"/>
    <n v="35840"/>
    <d v="2014-09-16T00:00:00"/>
    <m/>
    <s v="EJECUTADO"/>
    <n v="10752"/>
    <m/>
    <m/>
    <n v="10752"/>
  </r>
  <r>
    <x v="0"/>
    <s v="MANTENIMIENTO DE VIAS PARROQUIA TACAMOROS inicio 16 sept 2014  "/>
    <s v="MANTENIMIENTO DE VIAS PARROQUIA TACAMOROS inicio 16 sept 2014  "/>
    <x v="0"/>
    <s v="SOZORANGA"/>
    <s v="TACAMOROS"/>
    <s v="AD. DIRECTA"/>
    <s v="VIALSUR"/>
    <m/>
    <m/>
    <m/>
    <s v="Mejoramiento de la subrasante con suelo seleccionado"/>
    <s v="m3"/>
    <n v="5.92"/>
    <n v="5120"/>
    <d v="2014-09-16T00:00:00"/>
    <m/>
    <s v="EJECUTADO"/>
    <n v="30310.400000000001"/>
    <m/>
    <m/>
    <n v="30310.400000000001"/>
  </r>
  <r>
    <x v="0"/>
    <s v="MANTENIMIENTO DE VIAS PARROQUIA TACAMOROS inicio 16 sept 2014  "/>
    <s v="MANTENIMIENTO DE VIAS PARROQUIA TACAMOROS inicio 16 sept 2014  "/>
    <x v="0"/>
    <s v="SOZORANGA"/>
    <s v="TACAMOROS"/>
    <s v="AD. DIRECTA"/>
    <s v="VIALSUR"/>
    <m/>
    <m/>
    <m/>
    <s v="Resanteo a máquina (incluye cunetas)"/>
    <s v="m2"/>
    <n v="0.1"/>
    <n v="150600"/>
    <d v="2014-09-16T00:00:00"/>
    <m/>
    <s v="EJECUTADO"/>
    <n v="15060"/>
    <m/>
    <m/>
    <n v="15060"/>
  </r>
  <r>
    <x v="0"/>
    <s v="MANTENIMIENTO DE VIAS PARROQUIA TACAMOROS inicio 16 sept 2014  "/>
    <s v="MANTENIMIENTO DE VIAS PARROQUIA TACAMOROS inicio 16 sept 2014  "/>
    <x v="0"/>
    <s v="SOZORANGA"/>
    <s v="TACAMOROS"/>
    <s v="AD. DIRECTA"/>
    <s v="VIALSUR"/>
    <m/>
    <m/>
    <m/>
    <s v="Acabado de Obra Básica existente"/>
    <s v="m2"/>
    <n v="0.35"/>
    <n v="5850"/>
    <d v="2014-09-16T00:00:00"/>
    <m/>
    <s v="EJECUTADO"/>
    <n v="2047.5"/>
    <m/>
    <m/>
    <n v="2047.5"/>
  </r>
  <r>
    <x v="0"/>
    <s v="NUEVA FATIMA TERRACEO VIA PRINCIPAL Y EXPLOTACION DE MATERIAL PARA VIAS RURALES DE LA PARROQUIA, COORDINACION CON MUNICIPIO"/>
    <s v="NUEVA FATIMA TERRACEO VIA PRINCIPAL Y EXPLOTACION DE MATERIAL PARA VIAS RURALES DE LA PARROQUIA, COORDINACION CON MUNICIPIO"/>
    <x v="0"/>
    <s v="SOZORANGA"/>
    <s v="NUEVAFÁTIMA"/>
    <s v="AD. DIRECTA"/>
    <s v="VIALSUR"/>
    <m/>
    <m/>
    <m/>
    <s v="Excavación sin clasificar a maquina (explotación de material) "/>
    <s v="m3"/>
    <n v="1.62"/>
    <n v="11136"/>
    <d v="2014-09-16T00:00:00"/>
    <m/>
    <s v="EJECUTADO"/>
    <n v="18040.32"/>
    <m/>
    <m/>
    <n v="18040.32"/>
  </r>
  <r>
    <x v="2"/>
    <s v="PAGO DE RAJUSTE DE PRECIOS DE LA VIA CARIAMANGA EL LUCERO RIO PINDO"/>
    <s v="PAGO DE RAJUSTE DE PRECIOS DE LA VIA CARIAMANGA EL LUCERO RIO PINDO"/>
    <x v="0"/>
    <s v="CALVAS"/>
    <s v="CARIAMANGA"/>
    <s v="CONTRATO"/>
    <s v="VIALSUR"/>
    <m/>
    <m/>
    <n v="677.77777777777783"/>
    <s v="ASFALTADO DE LA VIA CARIAMANGA EL LUCERO RIO PINDO"/>
    <s v="GBL"/>
    <n v="1"/>
    <n v="843163.44"/>
    <d v="2014-01-01T00:00:00"/>
    <d v="2014-02-28T00:00:00"/>
    <s v="EJECUTADO"/>
    <n v="843163.44"/>
    <m/>
    <m/>
    <n v="843163.44"/>
  </r>
  <r>
    <x v="0"/>
    <s v="MANTENIMIENTO RUTINARIO VIAL EN LOS CANTONES CALVAS, ESPINDOLA, GONZANAMÁ, QUILANGA Y SOZORANGA (CONTRATO SIE-NRO.821-VIALSUR E.P.-2013)"/>
    <s v="MANTENIMIENTO RUTINARIO VIAL EN LOS CANTONES CALVAS, ESPINDOLA, GONZANAMÁ, QUILANGA Y SOZORANGA (CONTRATO SIE-NRO.821-VIALSUR E.P.-2013)"/>
    <x v="0"/>
    <s v="SOZORANGA"/>
    <s v="SOZORANGA"/>
    <s v="CONTRATO"/>
    <s v="VIALSUR"/>
    <m/>
    <n v="25.41"/>
    <n v="677.77777777777783"/>
    <s v="Rasanteo y conformacion de cunetas con motoniveladora"/>
    <s v="m2"/>
    <n v="0.08"/>
    <n v="139737.5"/>
    <d v="2014-01-01T00:00:00"/>
    <d v="2014-02-28T00:00:00"/>
    <s v="EJECUTADO"/>
    <n v="11179"/>
    <m/>
    <m/>
    <n v="11179"/>
  </r>
  <r>
    <x v="0"/>
    <s v="VIA MERCADILLO CHITOQUE GAUTUNUMA"/>
    <s v="VIA MERCADILLO CHITOQUE GAUTUNUMA"/>
    <x v="1"/>
    <s v="PUYANGO"/>
    <s v="MERCADILLO"/>
    <s v="AD. DIRECTA"/>
    <s v="VIALSUR"/>
    <n v="9"/>
    <m/>
    <n v="489"/>
    <s v="Roza a mano"/>
    <s v="Ha"/>
    <n v="948.16"/>
    <n v="1"/>
    <d v="2014-09-01T00:00:00"/>
    <d v="2014-10-30T00:00:00"/>
    <s v="EJECUTADO"/>
    <n v="948.16"/>
    <m/>
    <m/>
    <n v="29781.91"/>
  </r>
  <r>
    <x v="0"/>
    <m/>
    <s v="VIA MERCADILLO CHITOQUE GAUTUNUMA"/>
    <x v="1"/>
    <s v="PUYANGO"/>
    <s v="MERCADILLO"/>
    <s v="AD. DIRECTA"/>
    <s v="VIALSUR"/>
    <m/>
    <m/>
    <n v="0"/>
    <s v="Excavación sin clasificar a máquina"/>
    <s v="m3"/>
    <n v="1.62"/>
    <n v="3000"/>
    <d v="2014-09-01T00:00:00"/>
    <d v="2014-10-30T00:00:00"/>
    <s v="EJECUTADO"/>
    <n v="4860"/>
    <m/>
    <m/>
    <m/>
  </r>
  <r>
    <x v="0"/>
    <m/>
    <s v="VIA MERCADILLO CHITOQUE GAUTUNUMA"/>
    <x v="1"/>
    <s v="PUYANGO"/>
    <s v="MERCADILLO"/>
    <s v="AD. DIRECTA"/>
    <s v="VIALSUR"/>
    <m/>
    <m/>
    <n v="0"/>
    <s v="Limpieza de derrumbes a máquina"/>
    <s v="m3"/>
    <n v="1.46"/>
    <n v="600"/>
    <d v="2014-09-01T00:00:00"/>
    <d v="2014-10-30T00:00:00"/>
    <s v="EJECUTADO"/>
    <n v="876"/>
    <m/>
    <m/>
    <m/>
  </r>
  <r>
    <x v="0"/>
    <m/>
    <s v="VIA MERCADILLO CHITOQUE GAUTUNUMA"/>
    <x v="1"/>
    <s v="PUYANGO"/>
    <s v="MERCADILLO"/>
    <s v="AD. DIRECTA"/>
    <s v="VIALSUR"/>
    <m/>
    <m/>
    <n v="0"/>
    <s v="Limpieza de cunetas y alcantarillas a maquina"/>
    <s v="m3"/>
    <n v="1.46"/>
    <n v="150"/>
    <d v="2014-09-01T00:00:00"/>
    <d v="2014-10-30T00:00:00"/>
    <s v="EJECUTADO"/>
    <n v="219"/>
    <m/>
    <m/>
    <m/>
  </r>
  <r>
    <x v="0"/>
    <m/>
    <s v="VIA MERCADILLO CHITOQUE GAUTUNUMA"/>
    <x v="1"/>
    <s v="PUYANGO"/>
    <s v="MERCADILLO"/>
    <s v="AD. DIRECTA"/>
    <s v="VIALSUR"/>
    <m/>
    <m/>
    <n v="0"/>
    <s v="Transporte de material excavado ( desalojo de escombrera)"/>
    <s v="m3/km"/>
    <n v="0.3"/>
    <n v="9000"/>
    <d v="2014-09-01T00:00:00"/>
    <d v="2014-10-30T00:00:00"/>
    <s v="EJECUTADO"/>
    <n v="2700"/>
    <m/>
    <m/>
    <m/>
  </r>
  <r>
    <x v="0"/>
    <m/>
    <s v="VIA MERCADILLO CHITOQUE GAUTUNUMA"/>
    <x v="1"/>
    <s v="PUYANGO"/>
    <s v="MERCADILLO"/>
    <s v="AD. DIRECTA"/>
    <s v="VIALSUR"/>
    <m/>
    <m/>
    <n v="0"/>
    <s v="Transporte de material de mejoramiento, inc cargado"/>
    <s v="m3/km"/>
    <n v="0.3"/>
    <n v="2812.5"/>
    <d v="2014-09-01T00:00:00"/>
    <d v="2014-10-30T00:00:00"/>
    <s v="EJECUTADO"/>
    <n v="843.75"/>
    <m/>
    <m/>
    <m/>
  </r>
  <r>
    <x v="0"/>
    <m/>
    <s v="VIA MERCADILLO CHITOQUE GAUTUNUMA"/>
    <x v="1"/>
    <s v="PUYANGO"/>
    <s v="MERCADILLO"/>
    <s v="AD. DIRECTA"/>
    <s v="VIALSUR"/>
    <m/>
    <n v="10.91"/>
    <n v="0"/>
    <s v="Rasanteo y conformacion de cunetas con motoniveladora"/>
    <s v="m2"/>
    <n v="0.08"/>
    <n v="60000"/>
    <d v="2014-09-01T00:00:00"/>
    <d v="2014-10-30T00:00:00"/>
    <s v="EJECUTADO"/>
    <n v="4800"/>
    <m/>
    <m/>
    <m/>
  </r>
  <r>
    <x v="0"/>
    <m/>
    <s v="VIA MERCADILLO CHITOQUE GAUTUNUMA"/>
    <x v="1"/>
    <s v="PUYANGO"/>
    <s v="MERCADILLO"/>
    <s v="AD. DIRECTA"/>
    <s v="VIALSUR"/>
    <m/>
    <n v="4.0999999999999996"/>
    <n v="0"/>
    <s v="Reconformación de la rasante"/>
    <s v="m2"/>
    <n v="0.35"/>
    <n v="22500"/>
    <d v="2014-09-01T00:00:00"/>
    <d v="2014-10-30T00:00:00"/>
    <s v="EJECUTADO"/>
    <n v="7875"/>
    <m/>
    <m/>
    <m/>
  </r>
  <r>
    <x v="0"/>
    <m/>
    <s v="VIA MERCADILLO CHITOQUE GAUTUNUMA"/>
    <x v="1"/>
    <s v="PUYANGO"/>
    <s v="MERCADILLO"/>
    <s v="AD. DIRECTA"/>
    <s v="VIALSUR"/>
    <m/>
    <n v="1.02"/>
    <n v="0"/>
    <s v="Mejoramiento de la subrasante con suelo seleccionado"/>
    <s v="m3"/>
    <n v="5.92"/>
    <n v="1125"/>
    <d v="2014-09-01T00:00:00"/>
    <d v="2014-10-30T00:00:00"/>
    <s v="EJECUTADO"/>
    <n v="6660"/>
    <m/>
    <m/>
    <m/>
  </r>
  <r>
    <x v="0"/>
    <s v="VIA TACAMOROS - LA VICTORIA - LA BOCANA- EL LIMON; TRAMO - TACAMOROS - LA VICTORIA L= 14 KM._x000a_(PARALIZADO POR INVIERNO)"/>
    <s v="VIA TACAMOROS - LA VICTORIA - LA BOCANA- EL LIMON; TRAMO - TACAMOROS - LA VICTORIA L= 14 KM._x000a_(PARALIZADO POR INVIERNO)"/>
    <x v="1"/>
    <s v="MACARA"/>
    <s v="LA VICTORIA"/>
    <s v="AD. DIRECTA"/>
    <s v="VIALSUR"/>
    <n v="14"/>
    <m/>
    <n v="1077"/>
    <s v="Roza a mano"/>
    <s v="Ha"/>
    <n v="948.16"/>
    <n v="0"/>
    <d v="2014-01-01T00:00:00"/>
    <d v="2014-01-31T00:00:00"/>
    <s v="EJECUTADO"/>
    <n v="0"/>
    <m/>
    <m/>
    <n v="44877.760000000002"/>
  </r>
  <r>
    <x v="0"/>
    <m/>
    <s v="VIA TACAMOROS - LA VICTORIA - LA BOCANA- EL LIMON; TRAMO - TACAMOROS - LA VICTORIA L= 14 KM._x000a_(PARALIZADO POR INVIERNO)"/>
    <x v="1"/>
    <s v="MACARA"/>
    <s v="LA VICTORIA"/>
    <s v="AD. DIRECTA"/>
    <s v="VIALSUR"/>
    <m/>
    <m/>
    <n v="0"/>
    <s v="Excavación sin clasificar a máquina"/>
    <s v="m3"/>
    <n v="1.62"/>
    <n v="4884"/>
    <d v="2014-01-01T00:00:00"/>
    <d v="2014-02-28T00:00:00"/>
    <s v="EJECUTADO"/>
    <n v="7912.08"/>
    <m/>
    <m/>
    <m/>
  </r>
  <r>
    <x v="0"/>
    <m/>
    <s v="VIA TACAMOROS - LA VICTORIA - LA BOCANA- EL LIMON; TRAMO - TACAMOROS - LA VICTORIA L= 14 KM._x000a_(PARALIZADO POR INVIERNO)"/>
    <x v="1"/>
    <s v="MACARA"/>
    <s v="LA VICTORIA"/>
    <s v="AD. DIRECTA"/>
    <s v="VIALSUR"/>
    <m/>
    <m/>
    <n v="0"/>
    <s v="Limpieza de derrumbes a máquina"/>
    <s v="m3"/>
    <n v="1.46"/>
    <n v="3300"/>
    <d v="2014-01-01T00:00:00"/>
    <d v="2014-02-28T00:00:00"/>
    <s v="EJECUTADO"/>
    <n v="4818"/>
    <m/>
    <m/>
    <m/>
  </r>
  <r>
    <x v="0"/>
    <m/>
    <s v="VIA TACAMOROS - LA VICTORIA - LA BOCANA- EL LIMON; TRAMO - TACAMOROS - LA VICTORIA L= 14 KM._x000a_(PARALIZADO POR INVIERNO)"/>
    <x v="1"/>
    <s v="MACARA"/>
    <s v="LA VICTORIA"/>
    <s v="AD. DIRECTA"/>
    <s v="VIALSUR"/>
    <m/>
    <m/>
    <n v="0"/>
    <s v="Limpieza de cunetas y alcantarillas a maquina"/>
    <s v="m3"/>
    <n v="1.47"/>
    <n v="0"/>
    <d v="2014-01-01T00:00:00"/>
    <d v="2014-01-31T00:00:00"/>
    <s v="EJECUTADO"/>
    <n v="0"/>
    <m/>
    <m/>
    <m/>
  </r>
  <r>
    <x v="0"/>
    <m/>
    <s v="VIA TACAMOROS - LA VICTORIA - LA BOCANA- EL LIMON; TRAMO - TACAMOROS - LA VICTORIA L= 14 KM._x000a_(PARALIZADO POR INVIERNO)"/>
    <x v="1"/>
    <s v="MACARA"/>
    <s v="LA VICTORIA"/>
    <s v="AD. DIRECTA"/>
    <s v="VIALSUR"/>
    <m/>
    <m/>
    <n v="0"/>
    <s v="Transporte de material excavado ( desalojo de escombrera)"/>
    <s v="m3/km"/>
    <n v="0.3"/>
    <n v="0"/>
    <d v="2014-01-01T00:00:00"/>
    <d v="2014-01-31T00:00:00"/>
    <s v="EJECUTADO"/>
    <n v="0"/>
    <m/>
    <m/>
    <m/>
  </r>
  <r>
    <x v="0"/>
    <m/>
    <s v="VIA TACAMOROS - LA VICTORIA - LA BOCANA- EL LIMON; TRAMO - TACAMOROS - LA VICTORIA L= 14 KM._x000a_(PARALIZADO POR INVIERNO)"/>
    <x v="1"/>
    <s v="MACARA"/>
    <s v="LA VICTORIA"/>
    <s v="AD. DIRECTA"/>
    <s v="VIALSUR"/>
    <m/>
    <m/>
    <n v="0"/>
    <s v="Transporte de material de mejoramiento, inc cargado"/>
    <s v="m3/km"/>
    <n v="0.3"/>
    <n v="32520"/>
    <d v="2014-01-01T00:00:00"/>
    <d v="2014-02-28T00:00:00"/>
    <s v="EJECUTADO"/>
    <n v="9756"/>
    <m/>
    <m/>
    <m/>
  </r>
  <r>
    <x v="0"/>
    <m/>
    <s v="VIA TACAMOROS - LA VICTORIA - LA BOCANA- EL LIMON; TRAMO - TACAMOROS - LA VICTORIA L= 14 KM._x000a_(PARALIZADO POR INVIERNO)"/>
    <x v="1"/>
    <s v="MACARA"/>
    <s v="LA VICTORIA"/>
    <s v="AD. DIRECTA"/>
    <s v="VIALSUR"/>
    <m/>
    <n v="11.82"/>
    <n v="0"/>
    <s v="Rasanteo y conformacion de cunetas con motoniveladora"/>
    <s v="m2"/>
    <n v="0.08"/>
    <n v="65000"/>
    <d v="2014-01-01T00:00:00"/>
    <d v="2014-02-28T00:00:00"/>
    <s v="EJECUTADO"/>
    <n v="5200"/>
    <m/>
    <m/>
    <m/>
  </r>
  <r>
    <x v="0"/>
    <m/>
    <s v="VIA TACAMOROS - LA VICTORIA - LA BOCANA- EL LIMON; TRAMO - TACAMOROS - LA VICTORIA L= 14 KM._x000a_(PARALIZADO POR INVIERNO)"/>
    <x v="1"/>
    <s v="MACARA"/>
    <s v="LA VICTORIA"/>
    <s v="AD. DIRECTA"/>
    <s v="VIALSUR"/>
    <m/>
    <n v="0"/>
    <n v="0"/>
    <s v="Reconformación de la rasante"/>
    <s v="m2"/>
    <n v="0.35"/>
    <n v="0"/>
    <d v="2014-01-01T00:00:00"/>
    <d v="2014-01-31T00:00:00"/>
    <s v="EJECUTADO"/>
    <n v="0"/>
    <m/>
    <m/>
    <m/>
  </r>
  <r>
    <x v="0"/>
    <m/>
    <s v="VIA TACAMOROS - LA VICTORIA - LA BOCANA- EL LIMON; TRAMO - TACAMOROS - LA VICTORIA L= 14 KM._x000a_(PARALIZADO POR INVIERNO)"/>
    <x v="1"/>
    <s v="MACARA"/>
    <s v="LA VICTORIA"/>
    <s v="AD. DIRECTA"/>
    <s v="VIALSUR"/>
    <m/>
    <n v="2.64"/>
    <n v="0"/>
    <s v="Mejoramiento de la subrasante con suelo seleccionado"/>
    <s v="m3"/>
    <n v="5.92"/>
    <n v="2904"/>
    <d v="2014-02-01T00:00:00"/>
    <d v="2014-02-28T00:00:00"/>
    <s v="EJECUTADO"/>
    <n v="17191.68"/>
    <m/>
    <m/>
    <m/>
  </r>
  <r>
    <x v="0"/>
    <s v="VIA ALAMOR VICENTINO "/>
    <s v="VIA ALAMOR VICENTINO "/>
    <x v="1"/>
    <s v="PUYANGO"/>
    <s v="VICENTINO"/>
    <s v="AD. DIRECTA"/>
    <s v="VIALSUR"/>
    <n v="16"/>
    <m/>
    <n v="640"/>
    <s v="Roza a mano"/>
    <s v="Ha"/>
    <n v="948.16"/>
    <n v="0"/>
    <d v="2014-02-01T00:00:00"/>
    <d v="2014-02-28T00:00:00"/>
    <s v="EJECUTADO"/>
    <n v="0"/>
    <m/>
    <m/>
    <n v="54658"/>
  </r>
  <r>
    <x v="0"/>
    <m/>
    <s v="VIA ALAMOR VICENTINO "/>
    <x v="1"/>
    <s v="PUYANGO"/>
    <s v="VICENTINO"/>
    <s v="AD. DIRECTA"/>
    <s v="VIALSUR"/>
    <m/>
    <m/>
    <n v="0"/>
    <s v="Excavación sin clasificar a máquina"/>
    <s v="m3"/>
    <n v="1.62"/>
    <n v="700"/>
    <d v="2014-02-01T00:00:00"/>
    <d v="2014-02-28T00:00:00"/>
    <s v="EJECUTADO"/>
    <n v="1134"/>
    <m/>
    <m/>
    <m/>
  </r>
  <r>
    <x v="0"/>
    <m/>
    <s v="VIA ALAMOR VICENTINO "/>
    <x v="1"/>
    <s v="PUYANGO"/>
    <s v="VICENTINO"/>
    <s v="AD. DIRECTA"/>
    <s v="VIALSUR"/>
    <m/>
    <m/>
    <n v="0"/>
    <s v="Limpieza de derrumbes a máquina"/>
    <s v="m3"/>
    <n v="1.46"/>
    <n v="1000"/>
    <d v="2014-02-01T00:00:00"/>
    <d v="2014-02-28T00:00:00"/>
    <s v="EJECUTADO"/>
    <n v="1460"/>
    <m/>
    <m/>
    <m/>
  </r>
  <r>
    <x v="0"/>
    <m/>
    <s v="VIA ALAMOR VICENTINO "/>
    <x v="1"/>
    <s v="PUYANGO"/>
    <s v="VICENTINO"/>
    <s v="AD. DIRECTA"/>
    <s v="VIALSUR"/>
    <m/>
    <m/>
    <n v="0"/>
    <s v="Limpieza de cunetas y alcantarillas a maquina"/>
    <s v="m3"/>
    <n v="1.47"/>
    <n v="0"/>
    <d v="2014-02-01T00:00:00"/>
    <d v="2014-02-28T00:00:00"/>
    <s v="EJECUTADO"/>
    <n v="0"/>
    <m/>
    <m/>
    <m/>
  </r>
  <r>
    <x v="0"/>
    <m/>
    <s v="VIA ALAMOR VICENTINO "/>
    <x v="1"/>
    <s v="PUYANGO"/>
    <s v="VICENTINO"/>
    <s v="AD. DIRECTA"/>
    <s v="VIALSUR"/>
    <m/>
    <m/>
    <n v="0"/>
    <s v="Transporte de material excavado ( desalojo de escombrera)"/>
    <s v="m3/km"/>
    <n v="0.3"/>
    <n v="0"/>
    <d v="2014-02-01T00:00:00"/>
    <d v="2014-02-28T00:00:00"/>
    <s v="EJECUTADO"/>
    <n v="0"/>
    <m/>
    <m/>
    <m/>
  </r>
  <r>
    <x v="0"/>
    <m/>
    <s v="VIA ALAMOR VICENTINO "/>
    <x v="1"/>
    <s v="PUYANGO"/>
    <s v="VICENTINO"/>
    <s v="AD. DIRECTA"/>
    <s v="VIALSUR"/>
    <m/>
    <m/>
    <n v="0"/>
    <s v="Transporte de material de mejoramiento, inc cargado"/>
    <s v="m3/km"/>
    <n v="0.3"/>
    <n v="15900"/>
    <d v="2014-02-01T00:00:00"/>
    <d v="2014-02-28T00:00:00"/>
    <s v="EJECUTADO"/>
    <n v="4770"/>
    <m/>
    <m/>
    <m/>
  </r>
  <r>
    <x v="0"/>
    <m/>
    <s v="VIA ALAMOR VICENTINO "/>
    <x v="1"/>
    <s v="PUYANGO"/>
    <s v="VICENTINO"/>
    <s v="AD. DIRECTA"/>
    <s v="VIALSUR"/>
    <m/>
    <n v="14.549999999999999"/>
    <n v="0"/>
    <s v="Rasanteo y conformacion de cunetas con motoniveladora"/>
    <s v="m2"/>
    <n v="0.08"/>
    <n v="80000"/>
    <d v="2014-02-01T00:00:00"/>
    <d v="2014-02-28T00:00:00"/>
    <s v="EJECUTADO"/>
    <n v="6400"/>
    <m/>
    <m/>
    <m/>
  </r>
  <r>
    <x v="0"/>
    <m/>
    <s v="VIA ALAMOR VICENTINO "/>
    <x v="1"/>
    <s v="PUYANGO"/>
    <s v="VICENTINO"/>
    <s v="AD. DIRECTA"/>
    <s v="VIALSUR"/>
    <m/>
    <n v="19.100000000000001"/>
    <n v="0"/>
    <s v="Reconformación de la rasante"/>
    <s v="m2"/>
    <n v="0.35"/>
    <n v="105000"/>
    <d v="2014-02-01T00:00:00"/>
    <d v="2014-01-31T00:00:00"/>
    <s v="EJECUTADO"/>
    <n v="36750"/>
    <m/>
    <m/>
    <m/>
  </r>
  <r>
    <x v="0"/>
    <m/>
    <s v="VIA ALAMOR VICENTINO "/>
    <x v="1"/>
    <s v="PUYANGO"/>
    <s v="VICENTINO"/>
    <s v="AD. DIRECTA"/>
    <s v="VIALSUR"/>
    <m/>
    <n v="0.64"/>
    <n v="0"/>
    <s v="Mejoramiento de la subrasante con suelo seleccionado"/>
    <s v="m3"/>
    <n v="5.92"/>
    <n v="700"/>
    <d v="2014-02-01T00:00:00"/>
    <d v="2014-02-28T00:00:00"/>
    <s v="EJECUTADO"/>
    <n v="4144"/>
    <m/>
    <m/>
    <m/>
  </r>
  <r>
    <x v="0"/>
    <s v="VIA LA HOYADA EL LIMO (CANTON PUYANGO)"/>
    <s v="VIA LA HOYADA EL LIMO (CANTON PUYANGO)"/>
    <x v="1"/>
    <s v="PUYANGO"/>
    <s v="ELLIMO"/>
    <s v="AD. DIRECTA"/>
    <s v="VIALSUR"/>
    <n v="16"/>
    <m/>
    <n v="1388"/>
    <s v="Roza a mano"/>
    <s v="Ha"/>
    <n v="948.16"/>
    <n v="0"/>
    <d v="2014-01-01T00:00:00"/>
    <d v="2014-01-31T00:00:00"/>
    <s v="EJECUTADO"/>
    <n v="0"/>
    <m/>
    <m/>
    <n v="43646"/>
  </r>
  <r>
    <x v="0"/>
    <m/>
    <s v="VIA LA HOYADA EL LIMO (CANTON PUYANGO)"/>
    <x v="1"/>
    <s v="PUYANGO"/>
    <s v="ELLIMO"/>
    <s v="AD. DIRECTA"/>
    <s v="VIALSUR"/>
    <m/>
    <m/>
    <n v="0"/>
    <s v="Excavación sin clasificar a máquina"/>
    <s v="m3"/>
    <n v="1.62"/>
    <n v="500"/>
    <d v="2014-01-01T00:00:00"/>
    <d v="2014-01-31T00:00:00"/>
    <s v="EJECUTADO"/>
    <n v="810"/>
    <m/>
    <m/>
    <m/>
  </r>
  <r>
    <x v="0"/>
    <m/>
    <s v="VIA LA HOYADA EL LIMO (CANTON PUYANGO)"/>
    <x v="1"/>
    <s v="PUYANGO"/>
    <s v="ELLIMO"/>
    <s v="AD. DIRECTA"/>
    <s v="VIALSUR"/>
    <m/>
    <m/>
    <n v="0"/>
    <s v="Limpieza de derrumbes a máquina"/>
    <s v="m3"/>
    <n v="1.46"/>
    <n v="600"/>
    <d v="2014-01-01T00:00:00"/>
    <d v="2014-01-31T00:00:00"/>
    <s v="EJECUTADO"/>
    <n v="876"/>
    <m/>
    <m/>
    <m/>
  </r>
  <r>
    <x v="0"/>
    <m/>
    <s v="VIA LA HOYADA EL LIMO (CANTON PUYANGO)"/>
    <x v="1"/>
    <s v="PUYANGO"/>
    <s v="ELLIMO"/>
    <s v="AD. DIRECTA"/>
    <s v="VIALSUR"/>
    <m/>
    <m/>
    <n v="0"/>
    <s v="Limpieza de cunetas y alcantarillas a maquina"/>
    <s v="m3"/>
    <n v="1.47"/>
    <n v="0"/>
    <d v="2014-01-01T00:00:00"/>
    <d v="2014-01-31T00:00:00"/>
    <s v="EJECUTADO"/>
    <n v="0"/>
    <m/>
    <m/>
    <m/>
  </r>
  <r>
    <x v="0"/>
    <m/>
    <s v="VIA LA HOYADA EL LIMO (CANTON PUYANGO)"/>
    <x v="1"/>
    <s v="PUYANGO"/>
    <s v="ELLIMO"/>
    <s v="AD. DIRECTA"/>
    <s v="VIALSUR"/>
    <m/>
    <m/>
    <n v="0"/>
    <s v="Transporte de material excavado ( desalojo de escombrera)"/>
    <s v="m3/km"/>
    <n v="0.3"/>
    <n v="0"/>
    <d v="2014-01-01T00:00:00"/>
    <d v="2014-01-31T00:00:00"/>
    <s v="EJECUTADO"/>
    <n v="0"/>
    <m/>
    <m/>
    <m/>
  </r>
  <r>
    <x v="0"/>
    <m/>
    <s v="VIA LA HOYADA EL LIMO (CANTON PUYANGO)"/>
    <x v="1"/>
    <s v="PUYANGO"/>
    <s v="ELLIMO"/>
    <s v="AD. DIRECTA"/>
    <s v="VIALSUR"/>
    <m/>
    <m/>
    <n v="0"/>
    <s v="Transporte de material de mejoramiento, inc cargado"/>
    <s v="m3/km"/>
    <n v="0.3"/>
    <n v="7500"/>
    <d v="2014-01-01T00:00:00"/>
    <d v="2014-01-31T00:00:00"/>
    <s v="EJECUTADO"/>
    <n v="2250"/>
    <m/>
    <m/>
    <m/>
  </r>
  <r>
    <x v="0"/>
    <m/>
    <s v="VIA LA HOYADA EL LIMO (CANTON PUYANGO)"/>
    <x v="1"/>
    <s v="PUYANGO"/>
    <s v="ELLIMO"/>
    <s v="AD. DIRECTA"/>
    <s v="VIALSUR"/>
    <m/>
    <n v="0"/>
    <n v="0"/>
    <s v="Rasanteo y conformacion de cunetas con motoniveladora"/>
    <s v="m2"/>
    <n v="0.08"/>
    <m/>
    <d v="2014-02-03T00:00:00"/>
    <d v="2014-01-31T00:00:00"/>
    <s v="EJECUTADO"/>
    <n v="0"/>
    <m/>
    <m/>
    <m/>
  </r>
  <r>
    <x v="0"/>
    <m/>
    <s v="VIA LA HOYADA EL LIMO (CANTON PUYANGO)"/>
    <x v="1"/>
    <s v="PUYANGO"/>
    <s v="ELLIMO"/>
    <s v="AD. DIRECTA"/>
    <s v="VIALSUR"/>
    <m/>
    <n v="19.100000000000001"/>
    <n v="0"/>
    <s v="Reconformación de la rasante"/>
    <s v="m2"/>
    <n v="0.35"/>
    <n v="105000"/>
    <d v="2014-01-01T00:00:00"/>
    <d v="2014-01-31T00:00:00"/>
    <s v="EJECUTADO"/>
    <n v="36750"/>
    <m/>
    <m/>
    <m/>
  </r>
  <r>
    <x v="0"/>
    <m/>
    <s v="VIA LA HOYADA EL LIMO (CANTON PUYANGO)"/>
    <x v="1"/>
    <s v="PUYANGO"/>
    <s v="ELLIMO"/>
    <s v="AD. DIRECTA"/>
    <s v="VIALSUR"/>
    <m/>
    <n v="0.45"/>
    <n v="0"/>
    <s v="Mejoramiento de la subrasante con suelo seleccionado"/>
    <s v="m3"/>
    <n v="5.92"/>
    <n v="500"/>
    <d v="2014-01-01T00:00:00"/>
    <d v="2014-01-31T00:00:00"/>
    <s v="EJECUTADO"/>
    <n v="2960"/>
    <m/>
    <m/>
    <m/>
  </r>
  <r>
    <x v="0"/>
    <s v="VIA GUAYACAN - PALTAPAMBA - (CANTON PUYANGO)_x000a_(PARALIZADO POR INVIERNO)"/>
    <s v="VIA GUAYACAN - PALTAPAMBA - (CANTON PUYANGO)_x000a_(PARALIZADO POR INVIERNO)"/>
    <x v="1"/>
    <s v="PUYANGO"/>
    <s v="VICENTINO"/>
    <s v="AD. DIRECTA"/>
    <s v="VIALSUR"/>
    <n v="6.5"/>
    <m/>
    <n v="640"/>
    <s v="Roza a mano"/>
    <s v="Ha"/>
    <n v="948.16"/>
    <n v="0"/>
    <d v="2014-01-01T00:00:00"/>
    <d v="2014-02-28T00:00:00"/>
    <s v="EJECUTADO"/>
    <n v="0"/>
    <m/>
    <m/>
    <n v="46818.9"/>
  </r>
  <r>
    <x v="0"/>
    <m/>
    <s v="VIA GUAYACAN - PALTAPAMBA - (CANTON PUYANGO)_x000a_(PARALIZADO POR INVIERNO)"/>
    <x v="1"/>
    <s v="PUYANGO"/>
    <s v="VICENTINO"/>
    <s v="AD. DIRECTA"/>
    <s v="VIALSUR"/>
    <m/>
    <m/>
    <n v="0"/>
    <s v="Excavación sin clasificar a máquina"/>
    <s v="m3"/>
    <n v="1.62"/>
    <n v="1800"/>
    <d v="2014-01-01T00:00:00"/>
    <d v="2014-02-28T00:00:00"/>
    <s v="EJECUTADO"/>
    <n v="2916"/>
    <m/>
    <m/>
    <m/>
  </r>
  <r>
    <x v="0"/>
    <m/>
    <s v="VIA GUAYACAN - PALTAPAMBA - (CANTON PUYANGO)_x000a_(PARALIZADO POR INVIERNO)"/>
    <x v="1"/>
    <s v="PUYANGO"/>
    <s v="VICENTINO"/>
    <s v="AD. DIRECTA"/>
    <s v="VIALSUR"/>
    <m/>
    <m/>
    <n v="0"/>
    <s v="Limpieza de derrumbes a máquina"/>
    <s v="m3"/>
    <n v="1.46"/>
    <n v="900"/>
    <d v="2014-01-01T00:00:00"/>
    <d v="2014-02-28T00:00:00"/>
    <s v="EJECUTADO"/>
    <n v="1314"/>
    <m/>
    <m/>
    <m/>
  </r>
  <r>
    <x v="0"/>
    <m/>
    <s v="VIA GUAYACAN - PALTAPAMBA - (CANTON PUYANGO)_x000a_(PARALIZADO POR INVIERNO)"/>
    <x v="1"/>
    <s v="PUYANGO"/>
    <s v="VICENTINO"/>
    <s v="AD. DIRECTA"/>
    <s v="VIALSUR"/>
    <m/>
    <m/>
    <n v="0"/>
    <s v="Limpieza de cunetas y alcantarillas a maquina"/>
    <s v="m3"/>
    <n v="1.47"/>
    <n v="70"/>
    <d v="2014-02-03T00:00:00"/>
    <d v="2014-02-28T00:00:00"/>
    <s v="EJECUTADO"/>
    <n v="102.9"/>
    <m/>
    <m/>
    <m/>
  </r>
  <r>
    <x v="0"/>
    <m/>
    <s v="VIA GUAYACAN - PALTAPAMBA - (CANTON PUYANGO)_x000a_(PARALIZADO POR INVIERNO)"/>
    <x v="1"/>
    <s v="PUYANGO"/>
    <s v="VICENTINO"/>
    <s v="AD. DIRECTA"/>
    <s v="VIALSUR"/>
    <m/>
    <m/>
    <n v="0"/>
    <s v="Transporte de material excavado ( desalojo de escombrera)"/>
    <s v="m3/km"/>
    <n v="0.3"/>
    <n v="0"/>
    <d v="2014-01-01T00:00:00"/>
    <d v="2014-02-28T00:00:00"/>
    <s v="EJECUTADO"/>
    <n v="0"/>
    <m/>
    <m/>
    <m/>
  </r>
  <r>
    <x v="0"/>
    <m/>
    <s v="VIA GUAYACAN - PALTAPAMBA - (CANTON PUYANGO)_x000a_(PARALIZADO POR INVIERNO)"/>
    <x v="1"/>
    <s v="PUYANGO"/>
    <s v="VICENTINO"/>
    <s v="AD. DIRECTA"/>
    <s v="VIALSUR"/>
    <m/>
    <m/>
    <n v="0"/>
    <s v="Transporte de material de mejoramiento, inc cargado"/>
    <s v="m3/km"/>
    <n v="0.3"/>
    <n v="75600"/>
    <d v="2014-01-01T00:00:00"/>
    <d v="2014-02-28T00:00:00"/>
    <s v="EJECUTADO"/>
    <n v="22680"/>
    <m/>
    <m/>
    <m/>
  </r>
  <r>
    <x v="0"/>
    <m/>
    <s v="VIA GUAYACAN - PALTAPAMBA - (CANTON PUYANGO)_x000a_(PARALIZADO POR INVIERNO)"/>
    <x v="1"/>
    <s v="PUYANGO"/>
    <s v="VICENTINO"/>
    <s v="AD. DIRECTA"/>
    <s v="VIALSUR"/>
    <m/>
    <n v="0.91"/>
    <n v="0"/>
    <s v="Rasanteo y conformacion de cunetas con motoniveladora"/>
    <s v="m2"/>
    <n v="0.08"/>
    <n v="5000"/>
    <d v="2014-01-01T00:00:00"/>
    <d v="2014-01-31T00:00:00"/>
    <s v="EJECUTADO"/>
    <n v="400"/>
    <m/>
    <m/>
    <m/>
  </r>
  <r>
    <x v="0"/>
    <m/>
    <s v="VIA GUAYACAN - PALTAPAMBA - (CANTON PUYANGO)_x000a_(PARALIZADO POR INVIERNO)"/>
    <x v="1"/>
    <s v="PUYANGO"/>
    <s v="VICENTINO"/>
    <s v="AD. DIRECTA"/>
    <s v="VIALSUR"/>
    <m/>
    <n v="4.55"/>
    <n v="0"/>
    <s v="Reconformación de la rasante"/>
    <s v="m2"/>
    <n v="0.35"/>
    <n v="25000"/>
    <d v="2014-01-01T00:00:00"/>
    <d v="2014-02-28T00:00:00"/>
    <s v="EJECUTADO"/>
    <n v="8750"/>
    <m/>
    <m/>
    <m/>
  </r>
  <r>
    <x v="0"/>
    <m/>
    <s v="VIA GUAYACAN - PALTAPAMBA - (CANTON PUYANGO)_x000a_(PARALIZADO POR INVIERNO)"/>
    <x v="1"/>
    <s v="PUYANGO"/>
    <s v="VICENTINO"/>
    <s v="AD. DIRECTA"/>
    <s v="VIALSUR"/>
    <m/>
    <n v="1.64"/>
    <n v="0"/>
    <s v="Mejoramiento de la subrasante con suelo seleccionado"/>
    <s v="m3"/>
    <n v="5.92"/>
    <n v="1800"/>
    <d v="2014-01-01T00:00:00"/>
    <d v="2014-02-28T00:00:00"/>
    <s v="EJECUTADO"/>
    <n v="10656"/>
    <m/>
    <m/>
    <m/>
  </r>
  <r>
    <x v="0"/>
    <s v="MANTENIEMIENTO DE VIAS DEL CANTON PUYANGO (PARROQUIAS ARENAL, CIANO, EL LIMO Y MERCADILLO)"/>
    <s v="MANTENIEMIENTO DE VIAS DEL CANTON PUYANGO (PARROQUIAS ARENAL, CIANO, EL LIMO Y MERCADILLO)"/>
    <x v="1"/>
    <s v="PUYANGO"/>
    <s v="CIANO"/>
    <s v="AD. DIRECTA"/>
    <s v="VIALSUR"/>
    <n v="15"/>
    <m/>
    <n v="567"/>
    <s v="Roza a mano"/>
    <s v="Ha"/>
    <n v="948.16"/>
    <n v="1"/>
    <d v="2014-03-01T00:00:00"/>
    <d v="2014-03-31T00:00:00"/>
    <s v="EJECUTADO"/>
    <n v="948.16"/>
    <m/>
    <m/>
    <n v="145347.78999999998"/>
  </r>
  <r>
    <x v="0"/>
    <m/>
    <s v="MANTENIEMIENTO DE VIAS DEL CANTON PUYANGO (PARROQUIAS ARENAL, CIANO, EL LIMO Y MERCADILLO)"/>
    <x v="1"/>
    <s v="PUYANGO"/>
    <s v="CIANO"/>
    <s v="AD. DIRECTA"/>
    <s v="VIALSUR"/>
    <m/>
    <m/>
    <m/>
    <s v="Excavacion sin clasificar a maquina (explotación de material)"/>
    <s v="m3"/>
    <n v="1.62"/>
    <n v="8060"/>
    <d v="2014-03-01T00:00:00"/>
    <d v="2014-07-31T00:00:00"/>
    <s v="EJECUTADO"/>
    <n v="13057.2"/>
    <m/>
    <m/>
    <m/>
  </r>
  <r>
    <x v="0"/>
    <m/>
    <s v="MANTENIEMIENTO DE VIAS DEL CANTON PUYANGO (PARROQUIAS ARENAL, CIANO, EL LIMO Y MERCADILLO)"/>
    <x v="1"/>
    <s v="PUYANGO"/>
    <s v="CIANO"/>
    <s v="AD. DIRECTA"/>
    <s v="VIALSUR"/>
    <m/>
    <m/>
    <m/>
    <s v="Limpieza de derrumbes a máquina"/>
    <s v="m3"/>
    <n v="1.46"/>
    <n v="13498"/>
    <d v="2014-03-01T00:00:00"/>
    <d v="2014-07-31T00:00:00"/>
    <s v="EJECUTADO"/>
    <n v="19707.080000000002"/>
    <m/>
    <m/>
    <m/>
  </r>
  <r>
    <x v="0"/>
    <m/>
    <s v="MANTENIEMIENTO DE VIAS DEL CANTON PUYANGO (PARROQUIAS ARENAL, CIANO, EL LIMO Y MERCADILLO)"/>
    <x v="1"/>
    <s v="PUYANGO"/>
    <s v="CIANO"/>
    <s v="AD. DIRECTA"/>
    <s v="VIALSUR"/>
    <m/>
    <m/>
    <m/>
    <s v="Limpieza de cunetas y alcantarillas a máquina"/>
    <s v="m3"/>
    <n v="1.46"/>
    <n v="1290"/>
    <d v="2014-03-01T00:00:00"/>
    <d v="2014-05-31T00:00:00"/>
    <s v="EJECUTADO"/>
    <n v="1883.4"/>
    <m/>
    <m/>
    <m/>
  </r>
  <r>
    <x v="0"/>
    <m/>
    <s v="MANTENIEMIENTO DE VIAS DEL CANTON PUYANGO (PARROQUIAS ARENAL, CIANO, EL LIMO Y MERCADILLO)"/>
    <x v="1"/>
    <s v="PUYANGO"/>
    <s v="CIANO"/>
    <s v="AD. DIRECTA"/>
    <s v="VIALSUR"/>
    <m/>
    <m/>
    <m/>
    <s v="Transporte de material excavado (desalojo a escombrera)"/>
    <s v="m3/km"/>
    <n v="0.3"/>
    <n v="28252"/>
    <d v="2014-03-01T00:00:00"/>
    <d v="2014-07-31T00:00:00"/>
    <s v="EJECUTADO"/>
    <n v="8475.6"/>
    <m/>
    <m/>
    <m/>
  </r>
  <r>
    <x v="0"/>
    <m/>
    <s v="MANTENIEMIENTO DE VIAS DEL CANTON PUYANGO (PARROQUIAS ARENAL, CIANO, EL LIMO Y MERCADILLO)"/>
    <x v="1"/>
    <s v="PUYANGO"/>
    <s v="CIANO"/>
    <s v="AD. DIRECTA"/>
    <s v="VIALSUR"/>
    <m/>
    <m/>
    <m/>
    <s v="Transporte de material para mejoramiento, inc. cargado"/>
    <s v="m3/km"/>
    <n v="0.3"/>
    <n v="37740.5"/>
    <d v="2014-03-01T00:00:00"/>
    <d v="2014-07-31T00:00:00"/>
    <s v="EJECUTADO"/>
    <n v="11322.15"/>
    <m/>
    <m/>
    <m/>
  </r>
  <r>
    <x v="0"/>
    <m/>
    <s v="MANTENIEMIENTO DE VIAS DEL CANTON PUYANGO (PARROQUIAS ARENAL, CIANO, EL LIMO Y MERCADILLO)"/>
    <x v="1"/>
    <s v="PUYANGO"/>
    <s v="CIANO"/>
    <s v="AD. DIRECTA"/>
    <s v="VIALSUR"/>
    <m/>
    <n v="107.37"/>
    <m/>
    <s v="Rasanteo y conformacion de cunetas con motoniveladora"/>
    <s v="m2"/>
    <n v="0.08"/>
    <n v="590500"/>
    <d v="2014-03-01T00:00:00"/>
    <d v="2014-07-31T00:00:00"/>
    <s v="EJECUTADO"/>
    <n v="47240"/>
    <m/>
    <m/>
    <m/>
  </r>
  <r>
    <x v="0"/>
    <m/>
    <s v="MANTENIEMIENTO DE VIAS DEL CANTON PUYANGO (PARROQUIAS ARENAL, CIANO, EL LIMO Y MERCADILLO)"/>
    <x v="1"/>
    <s v="PUYANGO"/>
    <s v="CIANO"/>
    <s v="AD. DIRECTA"/>
    <s v="VIALSUR"/>
    <m/>
    <n v="4.0999999999999996"/>
    <m/>
    <s v="Reconformación de la rasante"/>
    <s v="m2"/>
    <n v="0.35"/>
    <n v="22500"/>
    <d v="2014-03-01T00:00:00"/>
    <d v="2014-04-30T00:00:00"/>
    <s v="EJECUTADO"/>
    <n v="7875"/>
    <m/>
    <m/>
    <m/>
  </r>
  <r>
    <x v="0"/>
    <m/>
    <s v="MANTENIEMIENTO DE VIAS DEL CANTON PUYANGO (PARROQUIAS ARENAL, CIANO, EL LIMO Y MERCADILLO)"/>
    <x v="1"/>
    <s v="PUYANGO"/>
    <s v="CIANO"/>
    <s v="AD. DIRECTA"/>
    <s v="VIALSUR"/>
    <m/>
    <n v="5.35"/>
    <m/>
    <s v="Mejoramiento de la subrasante con suelo seleccionado"/>
    <s v="m3"/>
    <n v="5.92"/>
    <n v="5885"/>
    <d v="2014-03-01T00:00:00"/>
    <d v="2014-07-31T00:00:00"/>
    <s v="EJECUTADO"/>
    <n v="34839.199999999997"/>
    <m/>
    <m/>
    <m/>
  </r>
  <r>
    <x v="3"/>
    <s v="REHABILITACION DE LA VIA Y CELICA - POZUL - PINDAL_x000a_(CONVENIO GPL - VIALSUR.EP RECURSOS)"/>
    <s v="REHABILITACION DE LA VIA Y CELICA - POZUL - PINDAL_x000a_(CONVENIO GPL - VIALSUR.EP RECURSOS)"/>
    <x v="1"/>
    <s v="PINDAL"/>
    <s v="PINDAL C"/>
    <s v="CONVENIO"/>
    <s v="VIALSUR"/>
    <n v="26"/>
    <n v="1.02"/>
    <n v="2919"/>
    <s v="Bacheo con material de base clase 3"/>
    <s v="m3"/>
    <n v="19.149999999999999"/>
    <n v="1100"/>
    <d v="2014-02-03T00:00:00"/>
    <d v="2014-07-31T00:00:00"/>
    <s v="EJECUTADO"/>
    <n v="21065"/>
    <m/>
    <m/>
    <n v="883751.8"/>
  </r>
  <r>
    <x v="3"/>
    <m/>
    <s v="REHABILITACION DE LA VIA Y CELICA - POZUL - PINDAL_x000a_(CONVENIO GPL - VIALSUR.EP RECURSOS)"/>
    <x v="1"/>
    <s v="PINDAL"/>
    <s v="PINDAL C"/>
    <s v="CONVENIO"/>
    <s v="VIALSUR"/>
    <m/>
    <m/>
    <n v="0"/>
    <s v="Imprimación Asfaltica"/>
    <s v="Lt."/>
    <n v="0.98"/>
    <n v="59500"/>
    <d v="2014-02-03T00:00:00"/>
    <d v="2014-03-31T00:00:00"/>
    <s v="EJECUTADO"/>
    <n v="58310"/>
    <m/>
    <m/>
    <m/>
  </r>
  <r>
    <x v="3"/>
    <m/>
    <s v="REHABILITACION DE LA VIA Y CELICA - POZUL - PINDAL_x000a_(CONVENIO GPL - VIALSUR.EP RECURSOS)"/>
    <x v="1"/>
    <s v="PINDAL"/>
    <s v="PINDAL C"/>
    <s v="CONVENIO"/>
    <s v="VIALSUR"/>
    <m/>
    <m/>
    <n v="0"/>
    <s v="Bacheo asfaltico con material 3/4&quot; (manual)"/>
    <s v="m2"/>
    <n v="3.17"/>
    <n v="25880"/>
    <d v="2014-02-03T00:00:00"/>
    <d v="2014-07-31T00:00:00"/>
    <s v="EJECUTADO"/>
    <n v="82039.600000000006"/>
    <m/>
    <m/>
    <m/>
  </r>
  <r>
    <x v="3"/>
    <m/>
    <s v="REHABILITACION DE LA VIA Y CELICA - POZUL - PINDAL_x000a_(CONVENIO GPL - VIALSUR.EP RECURSOS)"/>
    <x v="1"/>
    <s v="PINDAL"/>
    <s v="PINDAL C"/>
    <s v="CONVENIO"/>
    <s v="VIALSUR"/>
    <m/>
    <n v="27"/>
    <n v="0"/>
    <s v="Sello asfaltico con material 3/8&quot;"/>
    <s v="m2"/>
    <n v="2.8"/>
    <n v="173874"/>
    <d v="2014-03-01T00:00:00"/>
    <d v="2014-07-31T00:00:00"/>
    <s v="EJECUTADO"/>
    <n v="486847.2"/>
    <m/>
    <m/>
    <m/>
  </r>
  <r>
    <x v="3"/>
    <m/>
    <s v="REHABILITACION DE LA VIA Y CELICA - POZUL - PINDAL_x000a_(CONVENIO GPL - VIALSUR.EP RECURSOS)"/>
    <x v="1"/>
    <s v="PINDAL"/>
    <s v="PINDAL C"/>
    <s v="CONVENIO"/>
    <s v="VIALSUR"/>
    <m/>
    <n v="8.59"/>
    <n v="0"/>
    <s v="Reconformación de base"/>
    <s v="m2"/>
    <n v="0.35"/>
    <n v="47200"/>
    <d v="2014-01-05T00:00:00"/>
    <d v="2014-07-31T00:00:00"/>
    <s v="EJECUTADO"/>
    <n v="16520"/>
    <m/>
    <m/>
    <m/>
  </r>
  <r>
    <x v="3"/>
    <m/>
    <s v="REHABILITACION DE LA VIA Y CELICA - POZUL - PINDAL_x000a_(CONVENIO GPL - VIALSUR.EP RECURSOS)"/>
    <x v="1"/>
    <s v="CELICA"/>
    <s v="POZUL"/>
    <s v="CONVENIO"/>
    <s v="VIALSUR"/>
    <m/>
    <m/>
    <n v="0"/>
    <s v="Transporte de material  ( Catamayo - Loja)"/>
    <s v="m3/km"/>
    <n v="0.3"/>
    <n v="729900"/>
    <d v="2014-02-03T00:00:00"/>
    <d v="2014-07-31T00:00:00"/>
    <s v="EJECUTADO"/>
    <n v="218970"/>
    <m/>
    <m/>
    <m/>
  </r>
  <r>
    <x v="3"/>
    <s v="REHABILITACION DE LA VÍA MACARÁ - SAUCILLO_x000a_(CONVENIO GPL - VIALSUR.EP RECURSOS)"/>
    <s v="REHABILITACION DE LA VÍA MACARÁ - SAUCILLO_x000a_(CONVENIO GPL - VIALSUR.EP RECURSOS)"/>
    <x v="1"/>
    <s v="MACARA"/>
    <s v="MACARÁ"/>
    <s v="CONVENIO"/>
    <s v="VIALSUR"/>
    <n v="42"/>
    <n v="0.51"/>
    <n v="6573"/>
    <s v="Bacheo con material de base clase 3"/>
    <s v="m3"/>
    <n v="19.149999999999999"/>
    <n v="732.5"/>
    <d v="2014-03-01T00:00:00"/>
    <d v="2014-07-31T00:00:00"/>
    <s v="EJECUTADO"/>
    <n v="14027.38"/>
    <m/>
    <m/>
    <n v="590470.46"/>
  </r>
  <r>
    <x v="3"/>
    <m/>
    <s v="REHABILITACION DE LA VÍA MACARÁ - SAUCILLO_x000a_(CONVENIO GPL - VIALSUR.EP RECURSOS)"/>
    <x v="1"/>
    <s v="MACARA"/>
    <s v="MACARÁ"/>
    <s v="CONVENIO"/>
    <s v="VIALSUR"/>
    <m/>
    <m/>
    <n v="0"/>
    <s v="Imprimación asfaltica"/>
    <s v="Lt"/>
    <n v="0.98"/>
    <n v="75582"/>
    <d v="2014-03-01T00:00:00"/>
    <d v="2014-07-31T00:00:00"/>
    <s v="EJECUTADO"/>
    <n v="74070.36"/>
    <m/>
    <m/>
    <m/>
  </r>
  <r>
    <x v="3"/>
    <m/>
    <s v="REHABILITACION DE LA VÍA MACARÁ - SAUCILLO_x000a_(CONVENIO GPL - VIALSUR.EP RECURSOS)"/>
    <x v="1"/>
    <s v="MACARA"/>
    <s v="MACARÁ"/>
    <s v="CONVENIO"/>
    <s v="VIALSUR"/>
    <m/>
    <n v="42"/>
    <n v="0"/>
    <s v="Bacheo asfaltico con material 3/4&quot; Y 3/8&quot; (manual)"/>
    <s v="m2"/>
    <n v="3.48"/>
    <n v="8314"/>
    <d v="2014-03-01T00:00:00"/>
    <d v="2014-07-31T00:00:00"/>
    <s v="EJECUTADO"/>
    <n v="28932.720000000001"/>
    <m/>
    <m/>
    <m/>
  </r>
  <r>
    <x v="3"/>
    <m/>
    <s v="REHABILITACION DE LA VÍA MACARÁ - SAUCILLO_x000a_(CONVENIO GPL - VIALSUR.EP RECURSOS)"/>
    <x v="1"/>
    <s v="MACARA"/>
    <s v="MACARÁ"/>
    <s v="CONVENIO"/>
    <s v="VIALSUR"/>
    <m/>
    <m/>
    <n v="0"/>
    <s v="Transporte de material (Catamayo - Loja)"/>
    <s v="m3/km"/>
    <n v="0.3"/>
    <n v="295300"/>
    <d v="2014-03-01T00:00:00"/>
    <d v="2014-07-31T00:00:00"/>
    <s v="EJECUTADO"/>
    <n v="88590"/>
    <m/>
    <m/>
    <m/>
  </r>
  <r>
    <x v="3"/>
    <m/>
    <s v="REHABILITACION DE LA VÍA MACARÁ - SAUCILLO_x000a_(CONVENIO GPL - VIALSUR.EP RECURSOS)"/>
    <x v="1"/>
    <s v="MACARA"/>
    <s v="MACARÁ"/>
    <s v="CONVENIO"/>
    <s v="VIALSUR"/>
    <m/>
    <n v="12.91"/>
    <n v="0"/>
    <s v="Reconformación de base"/>
    <s v="m2"/>
    <n v="0.35"/>
    <n v="71000"/>
    <d v="2014-01-05T00:00:00"/>
    <d v="2014-07-31T00:00:00"/>
    <s v="EJECUTADO"/>
    <n v="24850"/>
    <m/>
    <m/>
    <m/>
  </r>
  <r>
    <x v="3"/>
    <m/>
    <s v="REHABILITACION DE LA VÍA MACARÁ - SAUCILLO_x000a_(CONVENIO GPL - VIALSUR.EP RECURSOS)"/>
    <x v="1"/>
    <s v="MACARA"/>
    <s v="MACARÁ"/>
    <s v="CONVENIO"/>
    <s v="VIALSUR"/>
    <m/>
    <m/>
    <n v="0"/>
    <s v="Doble tratamiento superficial bituminoso"/>
    <s v="m2"/>
    <n v="4.5"/>
    <n v="80000"/>
    <d v="2014-01-05T00:00:00"/>
    <d v="2014-05-31T00:00:00"/>
    <s v="EJECUTADO"/>
    <n v="360000"/>
    <m/>
    <m/>
    <m/>
  </r>
  <r>
    <x v="0"/>
    <s v="CONTRATO SIE-NRO-828-VIALSUR.EP-2013 CONTRATACION DE MAQUINARIA PARA EL MANTENIMIENTO RUTINARIO DE VIAS EN LOS CANTONES (PINDAL CELICA PUYANGO MACARA Y ZAPOTILLO)"/>
    <s v="CONTRATO SIE-NRO-828-VIALSUR.EP-2013 CONTRATACION DE MAQUINARIA PARA EL MANTENIMIENTO RUTINARIO DE VIAS EN LOS CANTONES (PINDAL CELICA PUYANGO MACARA Y ZAPOTILLO)"/>
    <x v="1"/>
    <s v="PINDAL"/>
    <s v="PINDAL C"/>
    <s v="CONTRATO"/>
    <s v="VIALSUR"/>
    <n v="3.1"/>
    <n v="15.709999999999999"/>
    <n v="2919"/>
    <s v="Rasanteo y conformacion de cunetas con motoniveladora"/>
    <s v="m²."/>
    <n v="0.08"/>
    <n v="86355"/>
    <d v="2014-02-17T00:00:00"/>
    <d v="2014-02-28T00:00:00"/>
    <s v="EJECUTADO"/>
    <n v="6908.4"/>
    <m/>
    <m/>
    <n v="6908.4"/>
  </r>
  <r>
    <x v="0"/>
    <m/>
    <s v="CONTRATO SIE-NRO-828-VIALSUR.EP-2013 CONTRATACION DE MAQUINARIA PARA EL MANTENIMIENTO RUTINARIO DE VIAS EN LOS CANTONES (PINDAL CELICA PUYANGO MACARA Y ZAPOTILLO)"/>
    <x v="1"/>
    <s v="ZAPOTILLO"/>
    <s v="BOLASPAMBA"/>
    <s v="CONTRATO"/>
    <s v="VIALSUR"/>
    <n v="3.1"/>
    <n v="12.89"/>
    <n v="889"/>
    <s v="Rasanteo y conformacion de cunetas con motoniveladora"/>
    <s v="m²."/>
    <n v="0.08"/>
    <n v="70865"/>
    <d v="2014-02-17T00:00:00"/>
    <d v="2014-02-28T00:00:00"/>
    <s v="EJECUTADO"/>
    <n v="5669.2"/>
    <m/>
    <m/>
    <n v="5669.2"/>
  </r>
  <r>
    <x v="0"/>
    <m/>
    <s v="CONTRATO SIE-NRO-828-VIALSUR.EP-2013 CONTRATACION DE MAQUINARIA PARA EL MANTENIMIENTO RUTINARIO DE VIAS EN LOS CANTONES (PINDAL CELICA PUYANGO MACARA Y ZAPOTILLO)"/>
    <x v="1"/>
    <s v="ZAPOTILLO"/>
    <s v="GARZAREAL"/>
    <s v="CONTRATO"/>
    <s v="VIALSUR"/>
    <n v="3.1"/>
    <n v="19.610000000000003"/>
    <n v="1426"/>
    <s v="Rasanteo y conformacion de cunetas con motoniveladora"/>
    <s v="m²."/>
    <n v="0.08"/>
    <n v="107820"/>
    <d v="2014-03-01T00:00:00"/>
    <d v="2014-03-31T00:00:00"/>
    <s v="EJECUTADO"/>
    <n v="8625.6"/>
    <m/>
    <m/>
    <n v="8625.6"/>
  </r>
  <r>
    <x v="0"/>
    <m/>
    <s v="CONTRATO SIE-NRO-828-VIALSUR.EP-2013 CONTRATACION DE MAQUINARIA PARA EL MANTENIMIENTO RUTINARIO DE VIAS EN LOS CANTONES (PINDAL CELICA PUYANGO MACARA Y ZAPOTILLO)"/>
    <x v="1"/>
    <s v="ZAPOTILLO"/>
    <s v="CAZADEROS"/>
    <s v="CONTRATO"/>
    <s v="VIALSUR"/>
    <n v="3.1"/>
    <n v="48.01"/>
    <n v="879"/>
    <s v="Rasanteo y conformacion de cunetas con motoniveladora"/>
    <s v="m²."/>
    <n v="0.08"/>
    <n v="264017.5"/>
    <d v="2014-03-01T00:00:00"/>
    <d v="2014-03-31T00:00:00"/>
    <s v="EJECUTADO"/>
    <n v="21121.4"/>
    <m/>
    <m/>
    <n v="21121.4"/>
  </r>
  <r>
    <x v="0"/>
    <m/>
    <s v="CONTRATO SIE-NRO-828-VIALSUR.EP-2013 CONTRATACION DE MAQUINARIA PARA EL MANTENIMIENTO RUTINARIO DE VIAS EN LOS CANTONES (PINDAL CELICA PUYANGO MACARA Y ZAPOTILLO)"/>
    <x v="1"/>
    <s v="PUYANGO"/>
    <s v="ELLIMO"/>
    <s v="CONTRATO"/>
    <s v="VIALSUR"/>
    <n v="3.1"/>
    <n v="24.25"/>
    <n v="1388"/>
    <s v="Rasanteo y conformacion de cunetas con motoniveladora"/>
    <s v="m²."/>
    <n v="0.08"/>
    <n v="133350"/>
    <d v="2014-03-01T00:00:00"/>
    <d v="2014-03-31T00:00:00"/>
    <s v="EJECUTADO"/>
    <n v="10668"/>
    <m/>
    <m/>
    <n v="10668"/>
  </r>
  <r>
    <x v="0"/>
    <m/>
    <s v="CONTRATO SIE-NRO-828-VIALSUR.EP-2013 CONTRATACION DE MAQUINARIA PARA EL MANTENIMIENTO RUTINARIO DE VIAS EN LOS CANTONES (PINDAL CELICA PUYANGO MACARA Y ZAPOTILLO)"/>
    <x v="1"/>
    <s v="CELICA"/>
    <s v="CRUZPAMBA "/>
    <s v="CONTRATO"/>
    <s v="VIALSUR"/>
    <n v="3.1"/>
    <n v="19.610000000000003"/>
    <n v="661"/>
    <s v="Rasanteo y conformacion de cunetas con motoniveladora"/>
    <s v="m²."/>
    <n v="0.08"/>
    <n v="107820"/>
    <d v="2014-03-01T00:00:00"/>
    <d v="2014-03-31T00:00:00"/>
    <s v="EJECUTADO"/>
    <n v="8625.6"/>
    <m/>
    <m/>
    <n v="8625.6"/>
  </r>
  <r>
    <x v="0"/>
    <s v="MANTENIMIENTO DE LA VIA MANGAHURQUILLO CAZADEROS PROGRESO GRAMADALES LA LEONERA"/>
    <s v="MANTENIMIENTO DE LA VIA MANGAHURQUILLO CAZADEROS PROGRESO GRAMADALES LA LEONERA"/>
    <x v="1"/>
    <s v="ZAPOTILLO"/>
    <s v="CAZADEROS"/>
    <s v="AD. DIRECTA"/>
    <s v="VIALSUR"/>
    <m/>
    <m/>
    <n v="0"/>
    <s v="Limpieza de derrumbes a máquina"/>
    <s v="m3"/>
    <n v="1.46"/>
    <n v="52000"/>
    <d v="2014-06-01T00:00:00"/>
    <d v="2014-07-31T00:00:00"/>
    <s v="EJECUTADO"/>
    <n v="75920"/>
    <m/>
    <m/>
    <n v="147920"/>
  </r>
  <r>
    <x v="0"/>
    <m/>
    <s v="MANTENIMIENTO DE LA VIA MANGAHURQUILLO CAZADEROS PROGRESO GRAMADALES LA LEONERA"/>
    <x v="1"/>
    <s v="ZAPOTILLO"/>
    <s v="CAZADEROS"/>
    <s v="AD. DIRECTA"/>
    <s v="VIALSUR"/>
    <m/>
    <n v="109.10000000000001"/>
    <n v="0"/>
    <s v="Pefilado de razante con tractor"/>
    <s v="m3"/>
    <n v="0.12"/>
    <n v="600000"/>
    <d v="2014-06-01T00:00:00"/>
    <d v="2014-07-31T00:00:00"/>
    <s v="EJECUTADO"/>
    <n v="72000"/>
    <m/>
    <m/>
    <m/>
  </r>
  <r>
    <x v="0"/>
    <s v="MANTENIMINETO DE VIAS DE LA PARROQUIA BOLASPAMBA CANTON ZAPOTILLO"/>
    <s v="MANTENIMINETO DE VIAS DE LA PARROQUIA BOLASPAMBA CANTON ZAPOTILLO"/>
    <x v="1"/>
    <s v="ZAPOTILLO"/>
    <s v="CAZADEROS"/>
    <s v="AD. DIRECTA"/>
    <s v="VIALSUR"/>
    <m/>
    <m/>
    <n v="0"/>
    <s v="Limpieza de derrumbes a máquina"/>
    <s v="m3"/>
    <n v="1.46"/>
    <n v="6750"/>
    <d v="2014-06-01T00:00:00"/>
    <d v="2014-07-31T00:00:00"/>
    <s v="EJECUTADO"/>
    <n v="9855"/>
    <m/>
    <m/>
    <n v="45855"/>
  </r>
  <r>
    <x v="0"/>
    <m/>
    <s v="MANTENIMINETO DE VIAS DE LA PARROQUIA BOLASPAMBA CANTON ZAPOTILLO"/>
    <x v="1"/>
    <s v="ZAPOTILLO"/>
    <s v="CAZADEROS"/>
    <s v="AD. DIRECTA"/>
    <s v="VIALSUR"/>
    <m/>
    <n v="54.55"/>
    <n v="0"/>
    <s v="Pefilado de razante con tractor"/>
    <s v="m3"/>
    <n v="0.12"/>
    <n v="300000"/>
    <d v="2014-06-01T00:00:00"/>
    <d v="2014-07-31T00:00:00"/>
    <s v="EJECUTADO"/>
    <n v="36000"/>
    <m/>
    <m/>
    <m/>
  </r>
  <r>
    <x v="0"/>
    <s v="MEJORAMIENTO DE LA VIA MERCADILLO SAN JOSE I ETAPA, CANTON PUYANGO"/>
    <s v="MEJORAMIENTO DE LA VIA MERCADILLO SAN JOSE I ETAPA, CANTON PUYANGO"/>
    <x v="1"/>
    <s v="PUYANGO"/>
    <s v="MERCADILLO"/>
    <s v="AD. DIRECTA"/>
    <s v="VIALSUR"/>
    <m/>
    <m/>
    <n v="0"/>
    <s v="Roza a mano"/>
    <s v="Ha"/>
    <n v="948.16"/>
    <n v="1.2"/>
    <d v="2014-10-01T00:00:00"/>
    <d v="2014-11-30T00:00:00"/>
    <s v="EN EJECUCION"/>
    <n v="1137.79"/>
    <m/>
    <m/>
    <n v="94279.420000000013"/>
  </r>
  <r>
    <x v="0"/>
    <m/>
    <s v="MEJORAMIENTO DE LA VIA MERCADILLO SAN JOSE I ETAPA, CANTON PUYANGO"/>
    <x v="1"/>
    <s v="PUYANGO"/>
    <s v="MERCADILLO"/>
    <s v="AD. DIRECTA"/>
    <s v="VIALSUR"/>
    <m/>
    <m/>
    <n v="0"/>
    <s v="Excavación sin clasificar a máquina"/>
    <s v="m3"/>
    <n v="1.62"/>
    <n v="22826"/>
    <d v="2014-10-01T00:00:00"/>
    <d v="2014-11-30T00:00:00"/>
    <s v="EN EJECUCION"/>
    <n v="36978.120000000003"/>
    <m/>
    <m/>
    <m/>
  </r>
  <r>
    <x v="0"/>
    <m/>
    <s v="MEJORAMIENTO DE LA VIA MERCADILLO SAN JOSE I ETAPA, CANTON PUYANGO"/>
    <x v="1"/>
    <s v="PUYANGO"/>
    <s v="MERCADILLO"/>
    <s v="AD. DIRECTA"/>
    <s v="VIALSUR"/>
    <m/>
    <m/>
    <n v="0"/>
    <s v="Limpieza de derrumbes a máquina"/>
    <s v="m3"/>
    <n v="1.46"/>
    <n v="0"/>
    <d v="2014-10-01T00:00:00"/>
    <d v="2014-11-30T00:00:00"/>
    <s v="EN EJECUCION"/>
    <n v="0"/>
    <m/>
    <m/>
    <m/>
  </r>
  <r>
    <x v="0"/>
    <m/>
    <s v="MEJORAMIENTO DE LA VIA MERCADILLO SAN JOSE I ETAPA, CANTON PUYANGO"/>
    <x v="1"/>
    <s v="PUYANGO"/>
    <s v="MERCADILLO"/>
    <s v="AD. DIRECTA"/>
    <s v="VIALSUR"/>
    <m/>
    <m/>
    <n v="0"/>
    <s v="Limpieza de cunetas y alcantarillas a maquina"/>
    <s v="m3"/>
    <n v="1.47"/>
    <n v="0"/>
    <d v="2014-10-01T00:00:00"/>
    <d v="2014-11-30T00:00:00"/>
    <s v="EN EJECUCION"/>
    <n v="0"/>
    <m/>
    <m/>
    <m/>
  </r>
  <r>
    <x v="0"/>
    <m/>
    <s v="MEJORAMIENTO DE LA VIA MERCADILLO SAN JOSE I ETAPA, CANTON PUYANGO"/>
    <x v="1"/>
    <s v="PUYANGO"/>
    <s v="MERCADILLO"/>
    <s v="AD. DIRECTA"/>
    <s v="VIALSUR"/>
    <m/>
    <m/>
    <n v="0"/>
    <s v="Transporte de material excavado ( desalojo de escombrera)"/>
    <s v="m3/km"/>
    <n v="0.3"/>
    <n v="10271.700000000001"/>
    <d v="2014-10-01T00:00:00"/>
    <d v="2014-11-30T00:00:00"/>
    <s v="EN EJECUCION"/>
    <n v="3081.51"/>
    <m/>
    <m/>
    <m/>
  </r>
  <r>
    <x v="0"/>
    <m/>
    <s v="MEJORAMIENTO DE LA VIA MERCADILLO SAN JOSE I ETAPA, CANTON PUYANGO"/>
    <x v="1"/>
    <s v="PUYANGO"/>
    <s v="MERCADILLO"/>
    <s v="AD. DIRECTA"/>
    <s v="VIALSUR"/>
    <m/>
    <m/>
    <n v="0"/>
    <s v="Transporte de material de mejoramiento, inc cargado"/>
    <s v="m3/km"/>
    <n v="0.3"/>
    <n v="36840"/>
    <d v="2014-10-01T00:00:00"/>
    <d v="2014-11-30T00:00:00"/>
    <s v="EN EJECUCION"/>
    <n v="11052"/>
    <m/>
    <m/>
    <m/>
  </r>
  <r>
    <x v="0"/>
    <m/>
    <s v="MEJORAMIENTO DE LA VIA MERCADILLO SAN JOSE I ETAPA, CANTON PUYANGO"/>
    <x v="1"/>
    <s v="PUYANGO"/>
    <s v="MERCADILLO"/>
    <s v="AD. DIRECTA"/>
    <s v="VIALSUR"/>
    <m/>
    <n v="0"/>
    <n v="0"/>
    <s v="Rasanteo y conformacion de cunetas con motoniveladora"/>
    <s v="m2"/>
    <n v="0.08"/>
    <n v="0"/>
    <d v="2014-10-01T00:00:00"/>
    <d v="2014-11-30T00:00:00"/>
    <s v="EN EJECUCION"/>
    <n v="0"/>
    <m/>
    <m/>
    <m/>
  </r>
  <r>
    <x v="0"/>
    <m/>
    <s v="MEJORAMIENTO DE LA VIA MERCADILLO SAN JOSE I ETAPA, CANTON PUYANGO"/>
    <x v="1"/>
    <s v="PUYANGO"/>
    <s v="MERCADILLO"/>
    <s v="AD. DIRECTA"/>
    <s v="VIALSUR"/>
    <m/>
    <n v="11.459999999999999"/>
    <n v="0"/>
    <s v="Reconformación de la rasante"/>
    <s v="m2"/>
    <n v="0.35"/>
    <n v="63000"/>
    <d v="2014-10-01T00:00:00"/>
    <d v="2014-11-30T00:00:00"/>
    <s v="EN EJECUCION"/>
    <n v="22050"/>
    <m/>
    <m/>
    <m/>
  </r>
  <r>
    <x v="0"/>
    <m/>
    <s v="MEJORAMIENTO DE LA VIA MERCADILLO SAN JOSE I ETAPA, CANTON PUYANGO"/>
    <x v="1"/>
    <s v="PUYANGO"/>
    <s v="MERCADILLO"/>
    <s v="AD. DIRECTA"/>
    <s v="VIALSUR"/>
    <m/>
    <n v="3.07"/>
    <n v="0"/>
    <s v="Mejoramiento de la subrasante con suelo seleccionado"/>
    <s v="m3"/>
    <n v="5.92"/>
    <n v="3375"/>
    <d v="2014-10-01T00:00:00"/>
    <d v="2014-11-30T00:00:00"/>
    <s v="EN EJECUCION"/>
    <n v="19980"/>
    <m/>
    <m/>
    <m/>
  </r>
  <r>
    <x v="0"/>
    <s v="MEJORAMIENTO DE LA VIA PINDAL MILAGROS PALETILLAS"/>
    <s v="MEJORAMIENTO DE LA VIA PINDAL MILAGROS PALETILLAS"/>
    <x v="1"/>
    <s v="ZAPOTILLO"/>
    <s v="PALETILLAS"/>
    <s v="AD. DIRECTA"/>
    <s v="VIALSUR"/>
    <m/>
    <m/>
    <n v="0"/>
    <s v="Roza a mano"/>
    <s v="Ha"/>
    <n v="948.16"/>
    <n v="6"/>
    <d v="2014-10-01T00:00:00"/>
    <d v="2014-11-30T00:00:00"/>
    <s v="EN EJECUCION"/>
    <n v="5688.96"/>
    <m/>
    <m/>
    <n v="146186.86000000002"/>
  </r>
  <r>
    <x v="0"/>
    <m/>
    <s v="MEJORAMIENTO DE LA VIA PINDAL MILAGROS PALETILLAS"/>
    <x v="1"/>
    <s v="ZAPOTILLO"/>
    <s v="PALETILLAS"/>
    <s v="AD. DIRECTA"/>
    <s v="VIALSUR"/>
    <m/>
    <m/>
    <n v="0"/>
    <s v="Excavación sin clasificar a máquina"/>
    <s v="m3"/>
    <n v="1.62"/>
    <n v="12895"/>
    <d v="2014-10-01T00:00:00"/>
    <d v="2014-11-30T00:00:00"/>
    <s v="EN EJECUCION"/>
    <n v="20889.900000000001"/>
    <m/>
    <m/>
    <m/>
  </r>
  <r>
    <x v="0"/>
    <m/>
    <s v="MEJORAMIENTO DE LA VIA PINDAL MILAGROS PALETILLAS"/>
    <x v="1"/>
    <s v="ZAPOTILLO"/>
    <s v="PALETILLAS"/>
    <s v="AD. DIRECTA"/>
    <s v="VIALSUR"/>
    <m/>
    <m/>
    <n v="0"/>
    <s v="Limpieza de derrumbes a máquina"/>
    <s v="m3"/>
    <n v="1.46"/>
    <n v="0"/>
    <d v="2014-10-01T00:00:00"/>
    <d v="2014-11-30T00:00:00"/>
    <s v="EN EJECUCION"/>
    <n v="0"/>
    <m/>
    <m/>
    <m/>
  </r>
  <r>
    <x v="0"/>
    <m/>
    <s v="MEJORAMIENTO DE LA VIA PINDAL MILAGROS PALETILLAS"/>
    <x v="1"/>
    <s v="ZAPOTILLO"/>
    <s v="PALETILLAS"/>
    <s v="AD. DIRECTA"/>
    <s v="VIALSUR"/>
    <m/>
    <m/>
    <n v="0"/>
    <s v="Limpieza de cunetas y alcantarillas a maquina"/>
    <s v="m3"/>
    <n v="1.47"/>
    <n v="70"/>
    <d v="2014-10-01T00:00:00"/>
    <d v="2014-11-30T00:00:00"/>
    <s v="EN EJECUCION"/>
    <n v="102.9"/>
    <m/>
    <m/>
    <m/>
  </r>
  <r>
    <x v="0"/>
    <m/>
    <s v="MEJORAMIENTO DE LA VIA PINDAL MILAGROS PALETILLAS"/>
    <x v="1"/>
    <s v="ZAPOTILLO"/>
    <s v="PALETILLAS"/>
    <s v="AD. DIRECTA"/>
    <s v="VIALSUR"/>
    <m/>
    <m/>
    <n v="0"/>
    <s v="Transporte de material excavado ( desalojo de escombrera)"/>
    <s v="m3/km"/>
    <n v="0.3"/>
    <n v="38685"/>
    <d v="2014-10-01T00:00:00"/>
    <d v="2014-11-30T00:00:00"/>
    <s v="EN EJECUCION"/>
    <n v="11605.5"/>
    <m/>
    <m/>
    <m/>
  </r>
  <r>
    <x v="0"/>
    <m/>
    <s v="MEJORAMIENTO DE LA VIA PINDAL MILAGROS PALETILLAS"/>
    <x v="1"/>
    <s v="ZAPOTILLO"/>
    <s v="PALETILLAS"/>
    <s v="AD. DIRECTA"/>
    <s v="VIALSUR"/>
    <m/>
    <m/>
    <n v="0"/>
    <s v="Transporte de material de mejoramiento, inc cargado"/>
    <s v="m3/km"/>
    <n v="0.3"/>
    <n v="40320"/>
    <d v="2014-10-01T00:00:00"/>
    <d v="2014-11-30T00:00:00"/>
    <s v="EN EJECUCION"/>
    <n v="12096"/>
    <m/>
    <m/>
    <m/>
  </r>
  <r>
    <x v="0"/>
    <m/>
    <s v="MEJORAMIENTO DE LA VIA PINDAL MILAGROS PALETILLAS"/>
    <x v="1"/>
    <s v="ZAPOTILLO"/>
    <s v="PALETILLAS"/>
    <s v="AD. DIRECTA"/>
    <s v="VIALSUR"/>
    <m/>
    <n v="6.55"/>
    <n v="0"/>
    <s v="Rasanteo y conformacion de cunetas con motoniveladora"/>
    <s v="m2"/>
    <n v="0.08"/>
    <n v="36000"/>
    <d v="2014-10-01T00:00:00"/>
    <d v="2014-11-30T00:00:00"/>
    <s v="EN EJECUCION"/>
    <n v="2880"/>
    <m/>
    <m/>
    <m/>
  </r>
  <r>
    <x v="0"/>
    <m/>
    <s v="MEJORAMIENTO DE LA VIA PINDAL MILAGROS PALETILLAS"/>
    <x v="1"/>
    <s v="ZAPOTILLO"/>
    <s v="PALETILLAS"/>
    <s v="AD. DIRECTA"/>
    <s v="VIALSUR"/>
    <m/>
    <n v="17.28"/>
    <n v="0"/>
    <s v="Reconformación de la rasante"/>
    <s v="m2"/>
    <n v="0.35"/>
    <n v="95000"/>
    <d v="2014-10-01T00:00:00"/>
    <d v="2014-11-30T00:00:00"/>
    <s v="EN EJECUCION"/>
    <n v="33250"/>
    <m/>
    <m/>
    <m/>
  </r>
  <r>
    <x v="0"/>
    <m/>
    <s v="MEJORAMIENTO DE LA VIA PINDAL MILAGROS PALETILLAS"/>
    <x v="1"/>
    <s v="ZAPOTILLO"/>
    <s v="PALETILLAS"/>
    <s v="AD. DIRECTA"/>
    <s v="VIALSUR"/>
    <m/>
    <n v="9.16"/>
    <n v="0"/>
    <s v="Mejoramiento de la subrasante con suelo seleccionado"/>
    <s v="m3"/>
    <n v="5.92"/>
    <n v="10080"/>
    <d v="2014-10-01T00:00:00"/>
    <d v="2014-11-30T00:00:00"/>
    <s v="EN EJECUCION"/>
    <n v="59673.599999999999"/>
    <m/>
    <m/>
    <m/>
  </r>
  <r>
    <x v="0"/>
    <s v="MANTENIMIENTO DE LA VIA EL LIMON LA BOCANA LA VICTORIA CANTON MACARA"/>
    <s v="MANTENIMIENTO DE LA VIA EL LIMON LA BOCANA LA VICTORIA CANTON MACARA"/>
    <x v="1"/>
    <s v="MACARA"/>
    <s v="LA VICTORIA"/>
    <s v="AD. DIRECTA"/>
    <s v="VIALSUR"/>
    <m/>
    <m/>
    <n v="0"/>
    <s v="Roza a mano"/>
    <s v="Ha"/>
    <n v="948.16"/>
    <n v="2.2999999999999998"/>
    <d v="2014-10-01T00:00:00"/>
    <d v="2014-11-30T00:00:00"/>
    <s v="EN EJECUCION"/>
    <n v="2180.77"/>
    <m/>
    <m/>
    <n v="92354.569999999992"/>
  </r>
  <r>
    <x v="0"/>
    <m/>
    <s v="MANTENIMIENTO DE LA VIA EL LIMON LA BOCANA LA VICTORIA CANTON MACARA"/>
    <x v="1"/>
    <s v="MACARA"/>
    <s v="LA VICTORIA"/>
    <s v="AD. DIRECTA"/>
    <s v="VIALSUR"/>
    <m/>
    <m/>
    <n v="0"/>
    <s v="Excavación sin clasificar a máquina"/>
    <s v="m3"/>
    <n v="1.62"/>
    <n v="0"/>
    <d v="2014-10-01T00:00:00"/>
    <d v="2014-11-30T00:00:00"/>
    <s v="EN EJECUCION"/>
    <n v="0"/>
    <m/>
    <m/>
    <m/>
  </r>
  <r>
    <x v="0"/>
    <m/>
    <s v="MANTENIMIENTO DE LA VIA EL LIMON LA BOCANA LA VICTORIA CANTON MACARA"/>
    <x v="1"/>
    <s v="MACARA"/>
    <s v="LA VICTORIA"/>
    <s v="AD. DIRECTA"/>
    <s v="VIALSUR"/>
    <m/>
    <m/>
    <n v="0"/>
    <s v="Limpieza de derrumbes a máquina"/>
    <s v="m3"/>
    <n v="1.46"/>
    <n v="1035"/>
    <d v="2014-10-01T00:00:00"/>
    <d v="2014-11-30T00:00:00"/>
    <s v="EN EJECUCION"/>
    <n v="1511.1"/>
    <m/>
    <m/>
    <m/>
  </r>
  <r>
    <x v="0"/>
    <m/>
    <s v="MANTENIMIENTO DE LA VIA EL LIMON LA BOCANA LA VICTORIA CANTON MACARA"/>
    <x v="1"/>
    <s v="MACARA"/>
    <s v="LA VICTORIA"/>
    <s v="AD. DIRECTA"/>
    <s v="VIALSUR"/>
    <m/>
    <m/>
    <n v="0"/>
    <s v="Limpieza de cunetas y alcantarillas a maquina"/>
    <s v="m3"/>
    <n v="1.47"/>
    <n v="0"/>
    <d v="2014-10-01T00:00:00"/>
    <d v="2014-11-30T00:00:00"/>
    <s v="EN EJECUCION"/>
    <n v="0"/>
    <m/>
    <m/>
    <m/>
  </r>
  <r>
    <x v="0"/>
    <m/>
    <s v="MANTENIMIENTO DE LA VIA EL LIMON LA BOCANA LA VICTORIA CANTON MACARA"/>
    <x v="1"/>
    <s v="MACARA"/>
    <s v="LA VICTORIA"/>
    <s v="AD. DIRECTA"/>
    <s v="VIALSUR"/>
    <m/>
    <m/>
    <n v="0"/>
    <s v="Transporte de material excavado ( desalojo de escombrera)"/>
    <s v="m3/km"/>
    <n v="0.3"/>
    <n v="0"/>
    <d v="2014-10-01T00:00:00"/>
    <d v="2014-11-30T00:00:00"/>
    <s v="EN EJECUCION"/>
    <n v="0"/>
    <m/>
    <m/>
    <m/>
  </r>
  <r>
    <x v="0"/>
    <m/>
    <s v="MANTENIMIENTO DE LA VIA EL LIMON LA BOCANA LA VICTORIA CANTON MACARA"/>
    <x v="1"/>
    <s v="MACARA"/>
    <s v="LA VICTORIA"/>
    <s v="AD. DIRECTA"/>
    <s v="VIALSUR"/>
    <m/>
    <m/>
    <n v="0"/>
    <s v="Transporte de material de mejoramiento, inc cargado"/>
    <s v="m3/km"/>
    <n v="0.3"/>
    <n v="36225"/>
    <d v="2014-10-01T00:00:00"/>
    <d v="2014-11-30T00:00:00"/>
    <s v="EN EJECUCION"/>
    <n v="10867.5"/>
    <m/>
    <m/>
    <m/>
  </r>
  <r>
    <x v="0"/>
    <m/>
    <s v="MANTENIMIENTO DE LA VIA EL LIMON LA BOCANA LA VICTORIA CANTON MACARA"/>
    <x v="1"/>
    <s v="MACARA"/>
    <s v="LA VICTORIA"/>
    <s v="AD. DIRECTA"/>
    <s v="VIALSUR"/>
    <m/>
    <n v="0"/>
    <n v="0"/>
    <s v="Rasanteo y conformacion de cunetas con motoniveladora"/>
    <s v="m2"/>
    <n v="0.08"/>
    <n v="0"/>
    <d v="2014-10-01T00:00:00"/>
    <d v="2014-11-30T00:00:00"/>
    <s v="EN EJECUCION"/>
    <n v="0"/>
    <m/>
    <m/>
    <m/>
  </r>
  <r>
    <x v="0"/>
    <m/>
    <s v="MANTENIMIENTO DE LA VIA EL LIMON LA BOCANA LA VICTORIA CANTON MACARA"/>
    <x v="1"/>
    <s v="MACARA"/>
    <s v="LA VICTORIA"/>
    <s v="AD. DIRECTA"/>
    <s v="VIALSUR"/>
    <m/>
    <n v="29.28"/>
    <n v="0"/>
    <s v="Reconformación de la rasante"/>
    <s v="m2"/>
    <n v="0.35"/>
    <n v="161000"/>
    <d v="2014-10-01T00:00:00"/>
    <d v="2014-11-30T00:00:00"/>
    <s v="EN EJECUCION"/>
    <n v="56350"/>
    <m/>
    <m/>
    <m/>
  </r>
  <r>
    <x v="0"/>
    <m/>
    <s v="MANTENIMIENTO DE LA VIA EL LIMON LA BOCANA LA VICTORIA CANTON MACARA"/>
    <x v="1"/>
    <s v="MACARA"/>
    <s v="LA VICTORIA"/>
    <s v="AD. DIRECTA"/>
    <s v="VIALSUR"/>
    <m/>
    <n v="3.29"/>
    <n v="0"/>
    <s v="Mejoramiento de la subrasante con suelo seleccionado"/>
    <s v="m3"/>
    <n v="5.92"/>
    <n v="3622.5"/>
    <d v="2014-10-01T00:00:00"/>
    <d v="2014-11-30T00:00:00"/>
    <s v="EN EJECUCION"/>
    <n v="21445.200000000001"/>
    <m/>
    <m/>
    <m/>
  </r>
  <r>
    <x v="0"/>
    <s v="MANTENIMIENTO DE LA VIA SAN JUAMPAMBA - ACHIMA, PARROQUIA SABIANGO, CANTON MACARA"/>
    <s v="MANTENIMIENTO DE LA VIA SAN JUAMPAMBA - ACHIMA, PARROQUIA SABIANGO, CANTON MACARA"/>
    <x v="1"/>
    <s v="MACARA"/>
    <s v="LA VICTORIA"/>
    <s v="AD. DIRECTA"/>
    <s v="VIALSUR"/>
    <m/>
    <m/>
    <n v="0"/>
    <s v="Roza a mano"/>
    <s v="Ha"/>
    <n v="948.16"/>
    <n v="2.6"/>
    <d v="2014-10-01T00:00:00"/>
    <d v="2014-11-30T00:00:00"/>
    <s v="EN EJECUCION"/>
    <n v="2465.2199999999998"/>
    <m/>
    <m/>
    <n v="89042.22"/>
  </r>
  <r>
    <x v="0"/>
    <m/>
    <s v="MANTENIMIENTO DE LA VIA SAN JUAMPAMBA - ACHIMA, PARROQUIA SABIANGO, CANTON MACARA"/>
    <x v="1"/>
    <s v="MACARA"/>
    <s v="LA VICTORIA"/>
    <s v="AD. DIRECTA"/>
    <s v="VIALSUR"/>
    <m/>
    <m/>
    <n v="0"/>
    <s v="Excavación sin clasificar a máquina"/>
    <s v="m3"/>
    <n v="1.62"/>
    <n v="4700"/>
    <d v="2014-10-01T00:00:00"/>
    <d v="2014-11-30T00:00:00"/>
    <s v="EN EJECUCION"/>
    <n v="7614"/>
    <m/>
    <m/>
    <m/>
  </r>
  <r>
    <x v="0"/>
    <m/>
    <s v="MANTENIMIENTO DE LA VIA SAN JUAMPAMBA - ACHIMA, PARROQUIA SABIANGO, CANTON MACARA"/>
    <x v="1"/>
    <s v="MACARA"/>
    <s v="LA VICTORIA"/>
    <s v="AD. DIRECTA"/>
    <s v="VIALSUR"/>
    <m/>
    <m/>
    <n v="0"/>
    <s v="Limpieza de derrumbes a máquina"/>
    <s v="m3"/>
    <n v="1.46"/>
    <n v="3000"/>
    <d v="2014-10-01T00:00:00"/>
    <d v="2014-11-30T00:00:00"/>
    <s v="EN EJECUCION"/>
    <n v="4380"/>
    <m/>
    <m/>
    <m/>
  </r>
  <r>
    <x v="0"/>
    <m/>
    <s v="MANTENIMIENTO DE LA VIA SAN JUAMPAMBA - ACHIMA, PARROQUIA SABIANGO, CANTON MACARA"/>
    <x v="1"/>
    <s v="MACARA"/>
    <s v="LA VICTORIA"/>
    <s v="AD. DIRECTA"/>
    <s v="VIALSUR"/>
    <m/>
    <m/>
    <n v="0"/>
    <s v="Limpieza de cunetas y alcantarillas a maquina"/>
    <s v="m3"/>
    <n v="1.47"/>
    <n v="0"/>
    <d v="2014-10-01T00:00:00"/>
    <d v="2014-11-30T00:00:00"/>
    <s v="EN EJECUCION"/>
    <n v="0"/>
    <m/>
    <m/>
    <m/>
  </r>
  <r>
    <x v="0"/>
    <m/>
    <s v="MANTENIMIENTO DE LA VIA SAN JUAMPAMBA - ACHIMA, PARROQUIA SABIANGO, CANTON MACARA"/>
    <x v="1"/>
    <s v="MACARA"/>
    <s v="LA VICTORIA"/>
    <s v="AD. DIRECTA"/>
    <s v="VIALSUR"/>
    <m/>
    <m/>
    <n v="0"/>
    <s v="Transporte de material excavado ( desalojo de escombrera)"/>
    <s v="m3/km"/>
    <n v="0.3"/>
    <n v="3000"/>
    <d v="2014-10-01T00:00:00"/>
    <d v="2014-11-30T00:00:00"/>
    <s v="EN EJECUCION"/>
    <n v="900"/>
    <m/>
    <m/>
    <m/>
  </r>
  <r>
    <x v="0"/>
    <m/>
    <s v="MANTENIMIENTO DE LA VIA SAN JUAMPAMBA - ACHIMA, PARROQUIA SABIANGO, CANTON MACARA"/>
    <x v="1"/>
    <s v="MACARA"/>
    <s v="LA VICTORIA"/>
    <s v="AD. DIRECTA"/>
    <s v="VIALSUR"/>
    <m/>
    <m/>
    <n v="0"/>
    <s v="Transporte de material de mejoramiento, inc cargado"/>
    <s v="m3/km"/>
    <n v="0.3"/>
    <n v="62100"/>
    <d v="2014-10-01T00:00:00"/>
    <d v="2014-11-30T00:00:00"/>
    <s v="EN EJECUCION"/>
    <n v="18630"/>
    <m/>
    <m/>
    <m/>
  </r>
  <r>
    <x v="0"/>
    <m/>
    <s v="MANTENIMIENTO DE LA VIA SAN JUAMPAMBA - ACHIMA, PARROQUIA SABIANGO, CANTON MACARA"/>
    <x v="1"/>
    <s v="MACARA"/>
    <s v="LA VICTORIA"/>
    <s v="AD. DIRECTA"/>
    <s v="VIALSUR"/>
    <m/>
    <n v="0"/>
    <n v="0"/>
    <s v="Rasanteo y conformacion de cunetas con motoniveladora"/>
    <s v="m2"/>
    <n v="0.08"/>
    <n v="0"/>
    <d v="2014-10-01T00:00:00"/>
    <d v="2014-11-30T00:00:00"/>
    <s v="EN EJECUCION"/>
    <n v="0"/>
    <m/>
    <m/>
    <m/>
  </r>
  <r>
    <x v="0"/>
    <m/>
    <s v="MANTENIMIENTO DE LA VIA SAN JUAMPAMBA - ACHIMA, PARROQUIA SABIANGO, CANTON MACARA"/>
    <x v="1"/>
    <s v="MACARA"/>
    <s v="LA VICTORIA"/>
    <s v="AD. DIRECTA"/>
    <s v="VIALSUR"/>
    <m/>
    <n v="10.459999999999999"/>
    <n v="0"/>
    <s v="Reconformación de la rasante"/>
    <s v="m2"/>
    <n v="0.35"/>
    <n v="57500"/>
    <d v="2014-10-01T00:00:00"/>
    <d v="2014-11-30T00:00:00"/>
    <s v="EN EJECUCION"/>
    <n v="20125"/>
    <m/>
    <m/>
    <m/>
  </r>
  <r>
    <x v="0"/>
    <m/>
    <s v="MANTENIMIENTO DE LA VIA SAN JUAMPAMBA - ACHIMA, PARROQUIA SABIANGO, CANTON MACARA"/>
    <x v="1"/>
    <s v="MACARA"/>
    <s v="LA VICTORIA"/>
    <s v="AD. DIRECTA"/>
    <s v="VIALSUR"/>
    <m/>
    <n v="5.36"/>
    <n v="0"/>
    <s v="Mejoramiento de la subrasante con suelo seleccionado"/>
    <s v="m3"/>
    <n v="5.92"/>
    <n v="5900"/>
    <d v="2014-10-01T00:00:00"/>
    <d v="2014-11-30T00:00:00"/>
    <s v="EN EJECUCION"/>
    <n v="34928"/>
    <m/>
    <m/>
    <m/>
  </r>
  <r>
    <x v="0"/>
    <s v="MANTENIMIENTO DE LA VIA ALAMOR - VICENTINO, CANTON PUYANGO"/>
    <s v="MANTENIMIENTO DE LA VIA ALAMOR - VICENTINO, CANTON PUYANGO"/>
    <x v="1"/>
    <s v="PUYANGO"/>
    <s v="VICENTINO"/>
    <s v="AD. DIRECTA"/>
    <s v="VIALSUR"/>
    <m/>
    <m/>
    <n v="0"/>
    <s v="Roza a mano"/>
    <s v="Ha"/>
    <n v="948.16"/>
    <n v="2"/>
    <d v="2014-10-01T00:00:00"/>
    <d v="2014-11-30T00:00:00"/>
    <s v="EN EJECUCION"/>
    <n v="1896.32"/>
    <m/>
    <m/>
    <n v="92390.720000000001"/>
  </r>
  <r>
    <x v="0"/>
    <m/>
    <s v="MANTENIMIENTO DE LA VIA ALAMOR - VICENTINO, CANTON PUYANGO"/>
    <x v="1"/>
    <s v="PUYANGO"/>
    <s v="VICENTINO"/>
    <s v="AD. DIRECTA"/>
    <s v="VIALSUR"/>
    <m/>
    <m/>
    <n v="0"/>
    <s v="Excavación sin clasificar a máquina"/>
    <s v="m3"/>
    <n v="1.62"/>
    <n v="5760"/>
    <d v="2014-10-01T00:00:00"/>
    <d v="2014-11-30T00:00:00"/>
    <s v="EN EJECUCION"/>
    <n v="9331.2000000000007"/>
    <m/>
    <m/>
    <m/>
  </r>
  <r>
    <x v="0"/>
    <m/>
    <s v="MANTENIMIENTO DE LA VIA ALAMOR - VICENTINO, CANTON PUYANGO"/>
    <x v="1"/>
    <s v="PUYANGO"/>
    <s v="VICENTINO"/>
    <s v="AD. DIRECTA"/>
    <s v="VIALSUR"/>
    <m/>
    <m/>
    <n v="0"/>
    <s v="Limpieza de derrumbes a máquina"/>
    <s v="m3"/>
    <n v="1.46"/>
    <n v="6000"/>
    <d v="2014-10-01T00:00:00"/>
    <d v="2014-11-30T00:00:00"/>
    <s v="EN EJECUCION"/>
    <n v="8760"/>
    <m/>
    <m/>
    <m/>
  </r>
  <r>
    <x v="0"/>
    <m/>
    <s v="MANTENIMIENTO DE LA VIA ALAMOR - VICENTINO, CANTON PUYANGO"/>
    <x v="1"/>
    <s v="PUYANGO"/>
    <s v="VICENTINO"/>
    <s v="AD. DIRECTA"/>
    <s v="VIALSUR"/>
    <m/>
    <m/>
    <n v="0"/>
    <s v="Limpieza de cunetas y alcantarillas a maquina"/>
    <s v="m3"/>
    <n v="1.47"/>
    <n v="0"/>
    <d v="2014-10-01T00:00:00"/>
    <d v="2014-11-30T00:00:00"/>
    <s v="EN EJECUCION"/>
    <n v="0"/>
    <m/>
    <m/>
    <m/>
  </r>
  <r>
    <x v="0"/>
    <m/>
    <s v="MANTENIMIENTO DE LA VIA ALAMOR - VICENTINO, CANTON PUYANGO"/>
    <x v="1"/>
    <s v="PUYANGO"/>
    <s v="VICENTINO"/>
    <s v="AD. DIRECTA"/>
    <s v="VIALSUR"/>
    <m/>
    <m/>
    <n v="0"/>
    <s v="Transporte de material excavado ( desalojo de escombrera)"/>
    <s v="m3/km"/>
    <n v="0.3"/>
    <n v="48000"/>
    <d v="2014-10-01T00:00:00"/>
    <d v="2014-11-30T00:00:00"/>
    <s v="EN EJECUCION"/>
    <n v="14400"/>
    <m/>
    <m/>
    <m/>
  </r>
  <r>
    <x v="0"/>
    <m/>
    <s v="MANTENIMIENTO DE LA VIA ALAMOR - VICENTINO, CANTON PUYANGO"/>
    <x v="1"/>
    <s v="PUYANGO"/>
    <s v="VICENTINO"/>
    <s v="AD. DIRECTA"/>
    <s v="VIALSUR"/>
    <m/>
    <m/>
    <n v="0"/>
    <s v="Transporte de material de mejoramiento, inc cargado"/>
    <s v="m3/km"/>
    <n v="0.3"/>
    <n v="46080"/>
    <d v="2014-10-01T00:00:00"/>
    <d v="2014-11-30T00:00:00"/>
    <s v="EN EJECUCION"/>
    <n v="13824"/>
    <m/>
    <m/>
    <m/>
  </r>
  <r>
    <x v="0"/>
    <m/>
    <s v="MANTENIMIENTO DE LA VIA ALAMOR - VICENTINO, CANTON PUYANGO"/>
    <x v="1"/>
    <s v="PUYANGO"/>
    <s v="VICENTINO"/>
    <s v="AD. DIRECTA"/>
    <s v="VIALSUR"/>
    <m/>
    <n v="0"/>
    <n v="0"/>
    <s v="Rasanteo y conformacion de cunetas con motoniveladora"/>
    <s v="m2"/>
    <n v="0.08"/>
    <n v="0"/>
    <d v="2014-10-01T00:00:00"/>
    <d v="2014-11-30T00:00:00"/>
    <s v="EN EJECUCION"/>
    <n v="0"/>
    <m/>
    <m/>
    <m/>
  </r>
  <r>
    <x v="0"/>
    <m/>
    <s v="MANTENIMIENTO DE LA VIA ALAMOR - VICENTINO, CANTON PUYANGO"/>
    <x v="1"/>
    <s v="PUYANGO"/>
    <s v="VICENTINO"/>
    <s v="AD. DIRECTA"/>
    <s v="VIALSUR"/>
    <m/>
    <n v="5.24"/>
    <n v="0"/>
    <s v="Reconformación de la rasante"/>
    <s v="m2"/>
    <n v="0.35"/>
    <n v="28800"/>
    <d v="2014-10-01T00:00:00"/>
    <d v="2014-11-30T00:00:00"/>
    <s v="EN EJECUCION"/>
    <n v="10080"/>
    <m/>
    <m/>
    <m/>
  </r>
  <r>
    <x v="0"/>
    <m/>
    <s v="MANTENIMIENTO DE LA VIA ALAMOR - VICENTINO, CANTON PUYANGO"/>
    <x v="1"/>
    <s v="PUYANGO"/>
    <s v="VICENTINO"/>
    <s v="AD. DIRECTA"/>
    <s v="VIALSUR"/>
    <m/>
    <n v="5.24"/>
    <n v="0"/>
    <s v="Mejoramiento de la subrasante con suelo seleccionado"/>
    <s v="m3"/>
    <n v="5.92"/>
    <n v="5760"/>
    <d v="2014-10-01T00:00:00"/>
    <d v="2014-11-30T00:00:00"/>
    <s v="EN EJECUCION"/>
    <n v="34099.199999999997"/>
    <m/>
    <m/>
    <m/>
  </r>
  <r>
    <x v="4"/>
    <s v="CONSTRUCCION DE ESTRIBOS PARA PUENTE BAYLEY SECTOR EL ARENAL CONVENIO NRO 007-2013 GADM PUYANGO - VIALSUR.EP(MUNICIPIO AUN NO INICIA LOS TRABAJOS) APORTES GAD $ 10000,00 Y VIALSUR $ 10 500,00, las estructuras se encuentran en bodega del GAP. PUYANGO, en espera de firma de convenio para realizar entrega"/>
    <s v="CONSTRUCCION DE ESTRIBOS PARA PUENTE BAYLEY SECTOR EL ARENAL CONVENIO NRO 007-2013 GADM PUYANGO - VIALSUR.EP(MUNICIPIO AUN NO INICIA LOS TRABAJOS) APORTES GAD $ 10000,00 Y VIALSUR $ 10 500,00, las estructuras se encuentran en bodega del GAP. PUYANGO, en espera de firma de convenio para realizar entrega"/>
    <x v="1"/>
    <s v="PUYANGO"/>
    <s v="ELARENAL"/>
    <s v="CONVENIO"/>
    <s v="VIALSUR"/>
    <n v="3.1"/>
    <n v="0"/>
    <n v="467"/>
    <m/>
    <s v="m3"/>
    <m/>
    <n v="0"/>
    <m/>
    <m/>
    <s v="EJECUTADO"/>
    <n v="0"/>
    <m/>
    <m/>
    <n v="0"/>
  </r>
  <r>
    <x v="4"/>
    <s v="CONSTRUCCION DE ESTRIBOS PARA PUENTE BAYLEY SECTOR CIANO CONVENIO  NRO. 006-2013 GADP CIANO - VIALSUR.EP(ESTRIBOS EJECUTADOS) GADP $ 15 000, 00 Y VIALSUR. EP $ 10 000,00. Las estructuras se encuentran en bodega del GAP. PUYANGO, en espera de firma de convenio para realizar entrega"/>
    <s v="CONSTRUCCION DE ESTRIBOS PARA PUENTE BAYLEY SECTOR CIANO CONVENIO  NRO. 006-2013 GADP CIANO - VIALSUR.EP(ESTRIBOS EJECUTADOS) GADP $ 15 000, 00 Y VIALSUR. EP $ 10 000,00. Las estructuras se encuentran en bodega del GAP. PUYANGO, en espera de firma de convenio para realizar entrega"/>
    <x v="1"/>
    <s v="PUYANGO"/>
    <s v="CIANO"/>
    <s v="CONVENIO"/>
    <s v="VIALSUR"/>
    <n v="3.1"/>
    <n v="0"/>
    <n v="567"/>
    <s v="ESTRIBOS CONSTRUIDOS"/>
    <s v="m3"/>
    <m/>
    <n v="0"/>
    <d v="2014-01-01T00:00:00"/>
    <d v="2014-01-31T00:00:00"/>
    <s v="EJECUTADO"/>
    <n v="10000"/>
    <m/>
    <m/>
    <n v="10000"/>
  </r>
  <r>
    <x v="0"/>
    <s v="VIA, CHINCHAS-ZAMBI-RIO PINDO, L=55,88 km. (Catamayo)"/>
    <s v="VIA, CHINCHAS-ZAMBI-RIO PINDO, L=55,88 km. (Catamayo)"/>
    <x v="2"/>
    <s v="CATAMAYO"/>
    <s v="zambi"/>
    <s v="AD. DIRECTA"/>
    <s v="VIALSUR"/>
    <n v="15"/>
    <m/>
    <n v="267"/>
    <s v="Excavación sin clasificar a máquina (ampliación de la vía en áreas críticas)"/>
    <s v="m³."/>
    <n v="1.62"/>
    <n v="700"/>
    <d v="2014-06-01T00:00:00"/>
    <d v="2014-06-30T00:00:00"/>
    <s v="EJECUTADO"/>
    <n v="1134"/>
    <m/>
    <m/>
    <n v="202459.11000000002"/>
  </r>
  <r>
    <x v="0"/>
    <m/>
    <s v="VIA, CHINCHAS-ZAMBI-RIO PINDO, L=55,88 km. (Catamayo)"/>
    <x v="2"/>
    <s v="CATAMAYO"/>
    <s v="ZAMBI"/>
    <s v="AD. DIRECTA"/>
    <s v="VIALSUR"/>
    <m/>
    <m/>
    <n v="0"/>
    <s v="Explotación  de material (incluye cargado)"/>
    <s v="m³."/>
    <n v="2.54"/>
    <n v="800"/>
    <d v="2014-01-05T00:00:00"/>
    <d v="2014-05-31T00:00:00"/>
    <s v="EJECUTADO"/>
    <n v="2032"/>
    <m/>
    <m/>
    <m/>
  </r>
  <r>
    <x v="0"/>
    <m/>
    <s v="VIA, CHINCHAS-ZAMBI-RIO PINDO, L=55,88 km. (Catamayo)"/>
    <x v="2"/>
    <s v="CATAMAYO"/>
    <s v="ZAMBI"/>
    <s v="AD. DIRECTA"/>
    <s v="VIALSUR"/>
    <m/>
    <m/>
    <n v="0"/>
    <s v="Relleno compactado, con material mejorado (estructura de la vía)."/>
    <s v="m³."/>
    <n v="5.05"/>
    <n v="368"/>
    <d v="2014-11-22T00:00:00"/>
    <d v="2014-12-14T00:00:00"/>
    <s v="EN EJECUCION"/>
    <n v="1858.4"/>
    <m/>
    <m/>
    <m/>
  </r>
  <r>
    <x v="0"/>
    <m/>
    <s v="VIA, CHINCHAS-ZAMBI-RIO PINDO, L=55,88 km. (Catamayo)"/>
    <x v="2"/>
    <s v="CATAMAYO"/>
    <s v="ZAMBI"/>
    <s v="AD. DIRECTA"/>
    <s v="VIALSUR"/>
    <m/>
    <m/>
    <n v="0"/>
    <s v="Clasificación de material."/>
    <s v="m³."/>
    <n v="1.47"/>
    <n v="700"/>
    <d v="2014-06-12T00:00:00"/>
    <d v="2014-06-30T00:00:00"/>
    <s v="EJECUTADO"/>
    <n v="1029"/>
    <m/>
    <m/>
    <m/>
  </r>
  <r>
    <x v="0"/>
    <m/>
    <s v="VIA, CHINCHAS-ZAMBI-RIO PINDO, L=55,88 km. (Catamayo)"/>
    <x v="2"/>
    <s v="CATAMAYO"/>
    <s v="ZAMBI"/>
    <s v="AD. DIRECTA"/>
    <s v="VIALSUR"/>
    <m/>
    <m/>
    <n v="0"/>
    <s v="Limpieza de derrumbes a maquina"/>
    <s v="m³."/>
    <n v="1.46"/>
    <n v="10858"/>
    <d v="2014-01-01T00:00:00"/>
    <d v="2014-06-30T00:00:00"/>
    <s v="EJECUTADO"/>
    <n v="15852.68"/>
    <m/>
    <m/>
    <m/>
  </r>
  <r>
    <x v="0"/>
    <m/>
    <s v="VIA, CHINCHAS-ZAMBI-RIO PINDO, L=55,88 km. (Catamayo)"/>
    <x v="2"/>
    <s v="CATAMAYO"/>
    <s v="ZAMBI"/>
    <s v="AD. DIRECTA"/>
    <s v="VIALSUR"/>
    <m/>
    <m/>
    <n v="0"/>
    <s v="Limpieza de cunetas y alcantarillas a maquina"/>
    <s v="m³."/>
    <n v="1.47"/>
    <n v="2380"/>
    <d v="2014-01-05T00:00:00"/>
    <d v="2014-07-31T00:00:00"/>
    <s v="EJECUTADO"/>
    <n v="3498.6"/>
    <m/>
    <m/>
    <m/>
  </r>
  <r>
    <x v="0"/>
    <m/>
    <s v="VIA, CHINCHAS-ZAMBI-RIO PINDO, L=55,88 km. (Catamayo)"/>
    <x v="2"/>
    <s v="CATAMAYO"/>
    <s v="GUAYQUICHUMA"/>
    <s v="AD. DIRECTA"/>
    <s v="VIALSUR"/>
    <n v="17"/>
    <n v="16.330000000000002"/>
    <n v="144"/>
    <s v="Rasanteo y conformacion de cunetas con motoniveladora"/>
    <s v="m²."/>
    <n v="0.1"/>
    <n v="89782"/>
    <d v="2014-01-01T00:00:00"/>
    <d v="2014-11-30T00:00:00"/>
    <s v="EN EJECUCION"/>
    <n v="8978.2000000000007"/>
    <m/>
    <m/>
    <m/>
  </r>
  <r>
    <x v="0"/>
    <m/>
    <s v="VIA, CHINCHAS-ZAMBI-RIO PINDO, L=55,88 km. (Catamayo)"/>
    <x v="2"/>
    <s v="CATAMAYO"/>
    <s v="GUAYQUICHUMA"/>
    <s v="AD. DIRECTA"/>
    <s v="VIALSUR"/>
    <m/>
    <n v="83.76"/>
    <n v="0"/>
    <s v="Reconformación de la Subrazante"/>
    <s v="m²."/>
    <n v="0.35"/>
    <n v="460641"/>
    <d v="2014-01-01T00:00:00"/>
    <d v="2014-12-14T00:00:00"/>
    <s v="EN EJECUCION"/>
    <n v="161224.35"/>
    <m/>
    <m/>
    <m/>
  </r>
  <r>
    <x v="0"/>
    <m/>
    <s v="VIA, CHINCHAS-ZAMBI-RIO PINDO, L=55,88 km. (Catamayo)"/>
    <x v="2"/>
    <s v="CATAMAYO"/>
    <s v="GUAYQUICHUMA"/>
    <s v="AD. DIRECTA"/>
    <s v="VIALSUR"/>
    <m/>
    <m/>
    <n v="0"/>
    <s v="Transporte de material de mejoramiento"/>
    <s v="m3/km."/>
    <n v="0.3"/>
    <n v="7052.92"/>
    <d v="2014-01-05T00:00:00"/>
    <d v="2014-12-14T00:00:00"/>
    <s v="EN EJECUCION"/>
    <n v="2115.88"/>
    <m/>
    <m/>
    <m/>
  </r>
  <r>
    <x v="0"/>
    <m/>
    <s v="VIA, CHINCHAS-ZAMBI-RIO PINDO, L=55,88 km. (Catamayo)"/>
    <x v="2"/>
    <s v="CATAMAYO"/>
    <s v="GUAYQUICHUMA"/>
    <s v="AD. DIRECTA"/>
    <s v="VIALSUR"/>
    <m/>
    <m/>
    <n v="0"/>
    <s v="Mejoramiento de la subrasante con suelo seleccionado"/>
    <s v="m³."/>
    <n v="5.92"/>
    <n v="800"/>
    <d v="2014-11-22T00:00:00"/>
    <d v="2014-12-14T00:00:00"/>
    <s v="EN EJECUCION"/>
    <n v="4736"/>
    <m/>
    <m/>
    <m/>
  </r>
  <r>
    <x v="0"/>
    <s v="VIA, ACCESO A RUMIPOTRERO, L=4,5 km. (Catamayo)"/>
    <s v="VIA, ACCESO A RUMIPOTRERO, L=4,5 km. (Catamayo)"/>
    <x v="2"/>
    <s v="CATAMAYO"/>
    <s v="GUAYQUICHUMA"/>
    <s v="AD. DIRECTA"/>
    <s v="VIALSUR"/>
    <n v="4.5"/>
    <m/>
    <n v="144"/>
    <s v="Limpieza de derrumbes a máquina"/>
    <s v="m³."/>
    <n v="1.46"/>
    <n v="440"/>
    <d v="2014-04-11T00:00:00"/>
    <d v="2014-06-30T00:00:00"/>
    <s v="EJECUTADO"/>
    <n v="642.4"/>
    <m/>
    <m/>
    <n v="3607.4"/>
  </r>
  <r>
    <x v="0"/>
    <m/>
    <s v="VIA, ACCESO A RUMIPOTRERO, L=4,5 km. (Catamayo)"/>
    <x v="2"/>
    <s v="CATAMAYO"/>
    <s v="GUAYQUICHUMA"/>
    <s v="AD. DIRECTA"/>
    <s v="VIALSUR"/>
    <m/>
    <n v="5.3999999999999995"/>
    <m/>
    <s v="Rasanteo y conformacion de cunetas con motoniveladora"/>
    <s v="m²."/>
    <n v="0.1"/>
    <n v="29650"/>
    <d v="2014-06-01T00:00:00"/>
    <d v="2014-09-30T00:00:00"/>
    <s v="EJECUTADO"/>
    <n v="2965"/>
    <m/>
    <m/>
    <m/>
  </r>
  <r>
    <x v="0"/>
    <s v="VIA, CHIGUANGO-CHIGUANGO ALTO, L=3,1 km. (Catamayo)"/>
    <s v="VIA, CHIGUANGO-CHIGUANGO ALTO, L=3,1 km. (Catamayo)"/>
    <x v="2"/>
    <s v="CATAMAYO"/>
    <s v="GUAYQUICHUMA"/>
    <s v="AD. DIRECTA"/>
    <s v="VIALSUR"/>
    <n v="3.1"/>
    <n v="2.2699999999999996"/>
    <n v="144"/>
    <s v="Rasanteo y conformacion de cunetas con motoniveladora"/>
    <s v="m²."/>
    <n v="0.08"/>
    <n v="12460"/>
    <d v="2014-02-07T00:00:00"/>
    <d v="2014-02-08T00:00:00"/>
    <s v="EJECUTADO"/>
    <n v="996.8"/>
    <m/>
    <m/>
    <n v="996.8"/>
  </r>
  <r>
    <x v="0"/>
    <s v="VIA CHINCHAS LA ARADA, L=6.7 KM. (incluye 0.4 km accesos al sitio la Cruz ( ( Zambi - Catamayo)"/>
    <s v="VIA CHINCHAS LA ARADA, L=6.7 KM. (incluye 0.4 km accesos al sitio la Cruz ( ( Zambi - Catamayo)"/>
    <x v="2"/>
    <s v="CATAMAYO"/>
    <s v="ZAMBI"/>
    <s v="AD. DIRECTA"/>
    <s v="VIALSUR"/>
    <n v="6.7"/>
    <m/>
    <n v="267"/>
    <s v="Limpieza de derrumbes a máquina"/>
    <s v="m³."/>
    <n v="1.46"/>
    <n v="300"/>
    <d v="2014-06-01T00:00:00"/>
    <d v="2014-06-30T00:00:00"/>
    <s v="EJECUTADO"/>
    <n v="438"/>
    <m/>
    <m/>
    <n v="9846"/>
  </r>
  <r>
    <x v="0"/>
    <m/>
    <s v="VIA CHINCHAS LA ARADA, L=6.7 KM. (incluye 0.4 km accesos al sitio la Cruz ( ( Zambi - Catamayo)"/>
    <x v="2"/>
    <s v="CATAMAYO"/>
    <s v="ZAMBI"/>
    <s v="AD. DIRECTA"/>
    <s v="VIALSUR"/>
    <m/>
    <n v="4.8899999999999997"/>
    <m/>
    <s v="Reconformación de la Subrazante"/>
    <s v="m²."/>
    <n v="0.35"/>
    <n v="26880"/>
    <d v="2014-06-01T00:00:00"/>
    <d v="2014-06-30T00:00:00"/>
    <s v="EJECUTADO"/>
    <n v="9408"/>
    <m/>
    <m/>
    <m/>
  </r>
  <r>
    <x v="0"/>
    <s v="VIA, ACCESO A BARRIOS: LA CHORA-LA LIBERTAD, L=6,7 km, AL PORVENIR, L=1,1 km.  (Catamayo)"/>
    <s v="VIA, ACCESO A BARRIOS: LA CHORA-LA LIBERTAD, L=6,7 km, AL PORVENIR, L=1,1 km.  (Catamayo)"/>
    <x v="2"/>
    <s v="CATAMAYO"/>
    <s v="ZAMBI"/>
    <s v="AD. DIRECTA"/>
    <s v="VIALSUR"/>
    <m/>
    <m/>
    <n v="0"/>
    <s v="Limpieza de derrumbes a máquina"/>
    <s v="m³."/>
    <n v="1.46"/>
    <n v="850"/>
    <d v="2014-04-09T00:00:00"/>
    <d v="2014-06-30T00:00:00"/>
    <s v="EJECUTADO"/>
    <n v="1241"/>
    <m/>
    <m/>
    <n v="16156.5"/>
  </r>
  <r>
    <x v="0"/>
    <m/>
    <s v="VIA, ACCESO A BARRIOS: LA CHORA-LA LIBERTAD, L=6,7 km, AL PORVENIR, L=1,1 km.  (Catamayo)"/>
    <x v="2"/>
    <s v="CATAMAYO"/>
    <s v="ZAMBI"/>
    <s v="AD. DIRECTA"/>
    <s v="VIALSUR"/>
    <m/>
    <n v="1.85"/>
    <n v="0"/>
    <s v="Rasanteo y conformacion de cunetas con motoniveladora"/>
    <s v="m²."/>
    <n v="0.08"/>
    <n v="10175"/>
    <d v="2014-04-09T00:00:00"/>
    <d v="2014-04-15T00:00:00"/>
    <s v="EJECUTADO"/>
    <n v="814"/>
    <m/>
    <m/>
    <m/>
  </r>
  <r>
    <x v="0"/>
    <m/>
    <s v="VIA, ACCESO A BARRIOS: LA CHORA-LA LIBERTAD, L=6,7 km, AL PORVENIR, L=1,1 km.  (Catamayo)"/>
    <x v="2"/>
    <s v="CATAMAYO"/>
    <s v="ZAMBI"/>
    <s v="AD. DIRECTA"/>
    <s v="VIALSUR"/>
    <n v="7.8"/>
    <n v="7.33"/>
    <n v="267"/>
    <s v="Acabado de Obra Básica existente"/>
    <s v="m²."/>
    <n v="0.35"/>
    <n v="40290"/>
    <d v="2014-04-09T00:00:00"/>
    <d v="2014-06-30T00:00:00"/>
    <s v="EJECUTADO"/>
    <n v="14101.5"/>
    <m/>
    <m/>
    <m/>
  </r>
  <r>
    <x v="0"/>
    <s v="VIA, ACCESO AL BARRIO, TOGUEROS, L=1,65 km (Catamayo)"/>
    <s v="VIA, ACCESO AL BARRIO, TOGUEROS, L=1,65 km (Catamayo)"/>
    <x v="2"/>
    <s v="CATAMAYO"/>
    <s v="SAN PEDRO DE LA BENDITA"/>
    <s v="AD. DIRECTA"/>
    <s v="VIALSUR"/>
    <n v="1.65"/>
    <m/>
    <n v="245"/>
    <s v="Excavación sin clasificar a maquina (construcción de drenes y subdrenes)"/>
    <s v="m³."/>
    <n v="1.62"/>
    <n v="1920"/>
    <d v="2014-05-01T00:00:00"/>
    <d v="2014-05-31T00:00:00"/>
    <s v="EJECUTADO"/>
    <n v="3110.4"/>
    <m/>
    <m/>
    <n v="20934.349999999999"/>
  </r>
  <r>
    <x v="0"/>
    <m/>
    <s v="VIA, ACCESO AL BARRIO, TOGUEROS, L=1,65 km (Catamayo)"/>
    <x v="2"/>
    <s v="CATAMAYO"/>
    <s v="SAN PEDRO DE LA BENDITA"/>
    <s v="AD. DIRECTA"/>
    <s v="VIALSUR"/>
    <m/>
    <m/>
    <n v="0"/>
    <s v="Explotación de material incluye cargado"/>
    <s v="m³."/>
    <n v="1.62"/>
    <n v="700"/>
    <d v="2014-04-16T00:00:00"/>
    <d v="2014-04-30T00:00:00"/>
    <s v="EJECUTADO"/>
    <n v="1134"/>
    <m/>
    <m/>
    <m/>
  </r>
  <r>
    <x v="0"/>
    <m/>
    <s v="VIA, ACCESO AL BARRIO, TOGUEROS, L=1,65 km (Catamayo)"/>
    <x v="2"/>
    <s v="CATAMAYO"/>
    <s v="SAN PEDRO DE LA BENDITA"/>
    <s v="AD. DIRECTA"/>
    <s v="VIALSUR"/>
    <m/>
    <m/>
    <n v="0"/>
    <s v="Clasificación de material."/>
    <s v="m³."/>
    <n v="1.47"/>
    <n v="1500"/>
    <d v="2014-01-05T00:00:00"/>
    <d v="2014-05-31T00:00:00"/>
    <s v="EJECUTADO"/>
    <n v="2205"/>
    <m/>
    <m/>
    <m/>
  </r>
  <r>
    <x v="0"/>
    <m/>
    <s v="VIA, ACCESO AL BARRIO, TOGUEROS, L=1,65 km (Catamayo)"/>
    <x v="2"/>
    <s v="CATAMAYO"/>
    <s v="SAN PEDRO DE LA BENDITA"/>
    <s v="AD. DIRECTA"/>
    <s v="VIALSUR"/>
    <m/>
    <m/>
    <n v="0"/>
    <s v="Limpieza de derrumbes a máquina"/>
    <s v="m³."/>
    <n v="1.46"/>
    <n v="875"/>
    <d v="2014-04-16T00:00:00"/>
    <d v="2014-04-30T00:00:00"/>
    <s v="EJECUTADO"/>
    <n v="1277.5"/>
    <m/>
    <m/>
    <m/>
  </r>
  <r>
    <x v="0"/>
    <m/>
    <s v="VIA, ACCESO AL BARRIO, TOGUEROS, L=1,65 km (Catamayo)"/>
    <x v="2"/>
    <s v="CATAMAYO"/>
    <s v="SAN PEDRO DE LA BENDITA"/>
    <s v="AD. DIRECTA"/>
    <s v="VIALSUR"/>
    <m/>
    <n v="1.53"/>
    <n v="0"/>
    <s v="Rasanteo y conformacion de cunetas con motoniveladora"/>
    <s v="m²."/>
    <n v="0.08"/>
    <n v="8370"/>
    <d v="2014-04-16T00:00:00"/>
    <d v="2014-04-30T00:00:00"/>
    <s v="EJECUTADO"/>
    <n v="669.6"/>
    <m/>
    <m/>
    <m/>
  </r>
  <r>
    <x v="0"/>
    <m/>
    <s v="VIA, ACCESO AL BARRIO, TOGUEROS, L=1,65 km (Catamayo)"/>
    <x v="2"/>
    <s v="CATAMAYO"/>
    <s v="SAN PEDRO DE LA BENDITA"/>
    <s v="AD. DIRECTA"/>
    <s v="VIALSUR"/>
    <m/>
    <m/>
    <n v="0"/>
    <s v="Transporte de material excavado, inc. cargado"/>
    <s v="m³/km."/>
    <n v="0.38"/>
    <n v="780"/>
    <d v="2014-04-16T00:00:00"/>
    <d v="2014-04-30T00:00:00"/>
    <s v="EJECUTADO"/>
    <n v="296.39999999999998"/>
    <m/>
    <m/>
    <m/>
  </r>
  <r>
    <x v="0"/>
    <m/>
    <s v="VIA, ACCESO AL BARRIO, TOGUEROS, L=1,65 km (Catamayo)"/>
    <x v="2"/>
    <s v="CATAMAYO"/>
    <s v="SAN PEDRO DE LA BENDITA"/>
    <s v="AD. DIRECTA"/>
    <s v="VIALSUR"/>
    <m/>
    <m/>
    <n v="0"/>
    <s v="Transporte de material para mejoramiento, inc. cargado"/>
    <s v="m³/km."/>
    <n v="0.3"/>
    <n v="6429.36"/>
    <d v="2014-04-16T00:00:00"/>
    <d v="2014-05-31T00:00:00"/>
    <s v="EJECUTADO"/>
    <n v="1928.81"/>
    <m/>
    <m/>
    <m/>
  </r>
  <r>
    <x v="0"/>
    <m/>
    <s v="VIA, ACCESO AL BARRIO, TOGUEROS, L=1,65 km (Catamayo)"/>
    <x v="2"/>
    <s v="CATAMAYO"/>
    <s v="SAN PEDRO DE LA BENDITA"/>
    <s v="AD. DIRECTA"/>
    <s v="VIALSUR"/>
    <m/>
    <n v="1.58"/>
    <n v="0"/>
    <s v="Mejoramiento de la subrasante con suelo seleccionado"/>
    <s v="m³."/>
    <n v="5.92"/>
    <n v="1742"/>
    <d v="2014-04-16T00:00:00"/>
    <d v="2014-05-31T00:00:00"/>
    <s v="EJECUTADO"/>
    <n v="10312.64"/>
    <m/>
    <m/>
    <m/>
  </r>
  <r>
    <x v="0"/>
    <s v="VIA, INDIUCHO-EL TAMBO, L=12,7 km. (Catamayo)  FALLA GEOLOGICA, ABS. 8+500  Inicio: 7 de marzo, continúa."/>
    <s v="VIA, INDIUCHO-EL TAMBO, L=12,7 km. (Catamayo)  FALLA GEOLOGICA, ABS. 8+500  Inicio: 7 de marzo, continúa."/>
    <x v="2"/>
    <s v="CATAMAYO"/>
    <s v="EL TAMBO"/>
    <s v="AD. DIRECTA"/>
    <s v="VIALSUR"/>
    <n v="12.7"/>
    <m/>
    <n v="2886"/>
    <s v="Suministro y colocación de alcantarilla D=1.20 m."/>
    <s v="ml."/>
    <n v="208.57"/>
    <n v="14"/>
    <d v="2014-01-05T00:00:00"/>
    <d v="2014-05-31T00:00:00"/>
    <s v="EJECUTADO"/>
    <n v="2919.98"/>
    <m/>
    <m/>
    <n v="42722.719999999994"/>
  </r>
  <r>
    <x v="0"/>
    <m/>
    <s v="VIA, INDIUCHO-EL TAMBO, L=12,7 km. (Catamayo)  FALLA GEOLOGICA, ABS. 8+500  Inicio: 7 de marzo, continúa."/>
    <x v="2"/>
    <s v="CATAMAYO"/>
    <s v="EL TAMBO"/>
    <s v="AD. DIRECTA"/>
    <s v="VIALSUR"/>
    <m/>
    <m/>
    <n v="0"/>
    <s v="Material filtrante (construcción de subdrenes)"/>
    <s v="m3"/>
    <n v="9.84"/>
    <n v="800"/>
    <d v="2014-01-05T00:00:00"/>
    <d v="2014-05-31T00:00:00"/>
    <s v="EJECUTADO"/>
    <n v="7872"/>
    <m/>
    <m/>
    <m/>
  </r>
  <r>
    <x v="0"/>
    <m/>
    <s v="VIA, INDIUCHO-EL TAMBO, L=12,7 km. (Catamayo)  FALLA GEOLOGICA, ABS. 8+500  Inicio: 7 de marzo, continúa."/>
    <x v="2"/>
    <s v="CATAMAYO"/>
    <s v="EL TAMBO"/>
    <s v="AD. DIRECTA"/>
    <s v="VIALSUR"/>
    <m/>
    <m/>
    <n v="0"/>
    <s v="Relleno Compactado con material mejorado (estructura de la vía)"/>
    <s v="m3"/>
    <n v="5.05"/>
    <n v="440"/>
    <d v="2014-01-05T00:00:00"/>
    <d v="2014-05-31T00:00:00"/>
    <s v="EJECUTADO"/>
    <n v="2222"/>
    <m/>
    <m/>
    <m/>
  </r>
  <r>
    <x v="0"/>
    <m/>
    <s v="VIA, INDIUCHO-EL TAMBO, L=12,7 km. (Catamayo)  FALLA GEOLOGICA, ABS. 8+500  Inicio: 7 de marzo, continúa."/>
    <x v="2"/>
    <s v="CATAMAYO"/>
    <s v="EL TAMBO"/>
    <s v="AD. DIRECTA"/>
    <s v="VIALSUR"/>
    <m/>
    <m/>
    <n v="0"/>
    <s v="ESCOMBRERAS"/>
    <s v="m3"/>
    <n v="0.92"/>
    <n v="4372.8"/>
    <d v="2014-01-05T00:00:00"/>
    <d v="2014-05-31T00:00:00"/>
    <s v="EJECUTADO"/>
    <n v="4022.98"/>
    <m/>
    <m/>
    <m/>
  </r>
  <r>
    <x v="0"/>
    <m/>
    <s v="VIA, INDIUCHO-EL TAMBO, L=12,7 km. (Catamayo)  FALLA GEOLOGICA, ABS. 8+500  Inicio: 7 de marzo, continúa."/>
    <x v="2"/>
    <s v="CATAMAYO"/>
    <s v="EL TAMBO"/>
    <s v="AD. DIRECTA"/>
    <s v="VIALSUR"/>
    <m/>
    <m/>
    <n v="0"/>
    <s v="Explotación de material (incluye cargado)."/>
    <s v="m³."/>
    <n v="2.54"/>
    <n v="1300"/>
    <d v="2014-03-07T00:00:00"/>
    <d v="2014-04-23T00:00:00"/>
    <s v="EJECUTADO"/>
    <n v="3302"/>
    <m/>
    <m/>
    <m/>
  </r>
  <r>
    <x v="0"/>
    <m/>
    <s v="VIA, INDIUCHO-EL TAMBO, L=12,7 km. (Catamayo)  FALLA GEOLOGICA, ABS. 8+500  Inicio: 7 de marzo, continúa."/>
    <x v="2"/>
    <s v="CATAMAYO"/>
    <s v="EL TAMBO"/>
    <s v="AD. DIRECTA"/>
    <s v="VIALSUR"/>
    <m/>
    <m/>
    <n v="0"/>
    <s v="Excavación sin clasificar a maquina (Ampliación de la vía)"/>
    <s v="m³."/>
    <n v="1.62"/>
    <n v="4930"/>
    <d v="2014-03-07T00:00:00"/>
    <d v="2014-04-23T00:00:00"/>
    <s v="EJECUTADO"/>
    <n v="7986.6"/>
    <m/>
    <m/>
    <m/>
  </r>
  <r>
    <x v="0"/>
    <m/>
    <s v="VIA, INDIUCHO-EL TAMBO, L=12,7 km. (Catamayo)  FALLA GEOLOGICA, ABS. 8+500  Inicio: 7 de marzo, continúa."/>
    <x v="2"/>
    <s v="CATAMAYO"/>
    <s v="EL TAMBO"/>
    <s v="AD. DIRECTA"/>
    <s v="VIALSUR"/>
    <m/>
    <m/>
    <n v="0"/>
    <s v="Clasificación de material."/>
    <s v="m³."/>
    <n v="1.47"/>
    <n v="2130"/>
    <d v="2014-03-07T00:00:00"/>
    <d v="2014-03-31T00:00:00"/>
    <s v="EJECUTADO"/>
    <n v="3131.1"/>
    <m/>
    <m/>
    <m/>
  </r>
  <r>
    <x v="0"/>
    <m/>
    <s v="VIA, INDIUCHO-EL TAMBO, L=12,7 km. (Catamayo)  FALLA GEOLOGICA, ABS. 8+500  Inicio: 7 de marzo, continúa."/>
    <x v="2"/>
    <s v="CATAMAYO"/>
    <s v="EL TAMBO"/>
    <s v="AD. DIRECTA"/>
    <s v="VIALSUR"/>
    <m/>
    <m/>
    <n v="0"/>
    <s v="Transporte de material excavado, inc. cargado"/>
    <s v="m³/km."/>
    <n v="0.38"/>
    <n v="1457"/>
    <d v="2014-03-07T00:00:00"/>
    <d v="2014-04-23T00:00:00"/>
    <s v="EJECUTADO"/>
    <n v="553.66"/>
    <m/>
    <m/>
    <m/>
  </r>
  <r>
    <x v="0"/>
    <m/>
    <s v="VIA, INDIUCHO-EL TAMBO, L=12,7 km. (Catamayo)  FALLA GEOLOGICA, ABS. 8+500  Inicio: 7 de marzo, continúa."/>
    <x v="2"/>
    <s v="CATAMAYO"/>
    <s v="EL TAMBO"/>
    <s v="AD. DIRECTA"/>
    <s v="VIALSUR"/>
    <m/>
    <m/>
    <n v="0"/>
    <s v="Transporte de material petreo, inc. cargado"/>
    <s v="m³/km."/>
    <n v="0.3"/>
    <n v="5902.4"/>
    <d v="2014-03-07T00:00:00"/>
    <d v="2014-04-23T00:00:00"/>
    <s v="EJECUTADO"/>
    <n v="1770.72"/>
    <m/>
    <m/>
    <m/>
  </r>
  <r>
    <x v="0"/>
    <m/>
    <s v="VIA, INDIUCHO-EL TAMBO, L=12,7 km. (Catamayo)  FALLA GEOLOGICA, ABS. 8+500  Inicio: 7 de marzo, continúa."/>
    <x v="2"/>
    <s v="CATAMAYO"/>
    <s v="EL TAMBO"/>
    <s v="AD. DIRECTA"/>
    <s v="VIALSUR"/>
    <m/>
    <m/>
    <n v="0"/>
    <s v="Transporte de material para mejoramiento, inc. cargado"/>
    <s v="m³/km."/>
    <n v="0.3"/>
    <n v="11572"/>
    <d v="2014-03-07T00:00:00"/>
    <d v="2014-04-23T00:00:00"/>
    <s v="EJECUTADO"/>
    <n v="3471.6"/>
    <m/>
    <m/>
    <m/>
  </r>
  <r>
    <x v="0"/>
    <m/>
    <s v="VIA, INDIUCHO-EL TAMBO, L=12,7 km. (Catamayo)  FALLA GEOLOGICA, ABS. 8+500  Inicio: 7 de marzo, continúa."/>
    <x v="2"/>
    <s v="CATAMAYO"/>
    <s v="EL TAMBO"/>
    <s v="AD. DIRECTA"/>
    <s v="VIALSUR"/>
    <m/>
    <n v="0.84"/>
    <n v="0"/>
    <s v="Mejoramiento de la subrasante con suelo seleccionado"/>
    <s v="m³"/>
    <n v="5.92"/>
    <n v="924"/>
    <d v="2014-03-07T00:00:00"/>
    <d v="2014-03-31T00:00:00"/>
    <s v="EJECUTADO"/>
    <n v="5470.08"/>
    <m/>
    <m/>
    <m/>
  </r>
  <r>
    <x v="0"/>
    <s v="VIA, INDIUCHO-EL TAMBO, L=12,7 km. (Catamayo)"/>
    <s v="VIA, INDIUCHO-EL TAMBO, L=12,7 km. (Catamayo)"/>
    <x v="2"/>
    <s v="CATAMAYO"/>
    <s v="EL TAMBO"/>
    <s v="AD. DIRECTA"/>
    <s v="VIALSUR"/>
    <n v="12.7"/>
    <m/>
    <n v="2886"/>
    <s v="Limpieza de derrumbes a máquina"/>
    <s v="m³."/>
    <n v="1.46"/>
    <n v="1975"/>
    <d v="2014-02-18T00:00:00"/>
    <d v="2014-05-31T00:00:00"/>
    <s v="EJECUTADO"/>
    <n v="2883.5"/>
    <m/>
    <m/>
    <n v="2883.5"/>
  </r>
  <r>
    <x v="0"/>
    <s v="VIA, EL TAMBO-CHAPAMARCA-VILLONACO, L=18,2 km. (Catamayo)"/>
    <s v="VIA, EL TAMBO-CHAPAMARCA-VILLONACO, L=18,2 km. (Catamayo)"/>
    <x v="2"/>
    <s v="CATAMAYO"/>
    <s v="EL TAMBO"/>
    <s v="AD. DIRECTA"/>
    <s v="VIALSUR"/>
    <n v="18.2"/>
    <m/>
    <n v="2886"/>
    <s v="Limpieza de derrumbes a máquina"/>
    <s v="m³."/>
    <n v="1.46"/>
    <n v="2750"/>
    <d v="2014-04-04T00:00:00"/>
    <d v="2014-06-30T00:00:00"/>
    <s v="EJECUTADO"/>
    <n v="4015"/>
    <m/>
    <m/>
    <n v="10857.5"/>
  </r>
  <r>
    <x v="0"/>
    <m/>
    <s v="VIA, EL TAMBO-CHAPAMARCA-VILLONACO, L=18,2 km. (Catamayo)"/>
    <x v="2"/>
    <s v="CATAMAYO"/>
    <s v="EL TAMBO"/>
    <s v="AD. DIRECTA"/>
    <s v="VIALSUR"/>
    <m/>
    <n v="3.5599999999999996"/>
    <n v="0"/>
    <s v="Reconformación de la Subrazante"/>
    <s v="m2"/>
    <n v="0.35"/>
    <n v="19550"/>
    <d v="2014-06-01T00:00:00"/>
    <d v="2014-06-30T00:00:00"/>
    <s v="EJECUTADO"/>
    <n v="6842.5"/>
    <m/>
    <m/>
    <m/>
  </r>
  <r>
    <x v="0"/>
    <s v="VIA, EL TAMBO-LA ERA, L=8,6 km. (Catamayo)"/>
    <s v="VIA, EL TAMBO-LA ERA, L=8,6 km. (Catamayo)"/>
    <x v="2"/>
    <s v="CATAMAYO"/>
    <s v="EL TAMBO"/>
    <s v="AD. DIRECTA"/>
    <s v="VIALSUR"/>
    <n v="8.6"/>
    <m/>
    <n v="2886"/>
    <s v="Limpieza de derrumbes a máquina"/>
    <s v="m³."/>
    <n v="1.46"/>
    <n v="3200"/>
    <d v="2014-04-10T00:00:00"/>
    <d v="2014-06-30T00:00:00"/>
    <s v="EJECUTADO"/>
    <n v="4672"/>
    <m/>
    <m/>
    <n v="40493.599999999999"/>
  </r>
  <r>
    <x v="0"/>
    <m/>
    <s v="VIA, EL TAMBO-LA ERA, L=8,6 km. (Catamayo)"/>
    <x v="2"/>
    <s v="CATAMAYO"/>
    <s v="EL TAMBO"/>
    <s v="AD. DIRECTA"/>
    <s v="VIALSUR"/>
    <m/>
    <m/>
    <n v="0"/>
    <s v="Relleno Compactado con material mejorado (estructura de la vía)"/>
    <s v="m³."/>
    <n v="5.05"/>
    <n v="360"/>
    <d v="2014-06-01T00:00:00"/>
    <d v="2014-06-30T00:00:00"/>
    <s v="EJECUTADO"/>
    <n v="1818"/>
    <m/>
    <m/>
    <m/>
  </r>
  <r>
    <x v="0"/>
    <m/>
    <s v="VIA, EL TAMBO-LA ERA, L=8,6 km. (Catamayo)"/>
    <x v="2"/>
    <s v="CATAMAYO"/>
    <s v="EL TAMBO"/>
    <s v="AD. DIRECTA"/>
    <s v="VIALSUR"/>
    <m/>
    <m/>
    <n v="0"/>
    <s v="Transporte de material mejorado, inc. Cargado"/>
    <s v="m³./km."/>
    <n v="0.3"/>
    <n v="972"/>
    <d v="2014-06-01T00:00:00"/>
    <d v="2014-06-30T00:00:00"/>
    <s v="EJECUTADO"/>
    <n v="291.60000000000002"/>
    <m/>
    <m/>
    <m/>
  </r>
  <r>
    <x v="0"/>
    <m/>
    <s v="VIA, EL TAMBO-LA ERA, L=8,6 km. (Catamayo)"/>
    <x v="2"/>
    <s v="CATAMAYO"/>
    <s v="EL TAMBO"/>
    <s v="AD. DIRECTA"/>
    <s v="VIALSUR"/>
    <m/>
    <n v="17.520000000000003"/>
    <n v="0"/>
    <s v="Reconformación de la Subrazante"/>
    <s v="m³."/>
    <n v="0.35"/>
    <n v="96320"/>
    <d v="2014-01-05T00:00:00"/>
    <d v="2014-06-30T00:00:00"/>
    <s v="EJECUTADO"/>
    <n v="33712"/>
    <m/>
    <m/>
    <m/>
  </r>
  <r>
    <x v="0"/>
    <s v="VIA ACCESO A LA MERCED BAJA, L= 1.6 KM. VIA ANTIGUA, LA ERA - &quot;Y&quot; DEL CANAL, L= 2,3 KM (EL TAMBO - CATAMAYO)"/>
    <s v="VIA ACCESO A LA MERCED BAJA, L= 1.6 KM. VIA ANTIGUA, LA ERA - &quot;Y&quot; DEL CANAL, L= 2,3 KM (EL TAMBO - CATAMAYO)"/>
    <x v="2"/>
    <s v="CATAMAYO"/>
    <s v="EL TAMBO"/>
    <s v="AD. DIRECTA"/>
    <s v="VIALSUR"/>
    <n v="1.6"/>
    <m/>
    <n v="2886"/>
    <s v="Limpieza de derrumbes a máquina"/>
    <s v="m³."/>
    <n v="1.46"/>
    <n v="1050"/>
    <d v="2014-06-01T00:00:00"/>
    <d v="2014-06-30T00:00:00"/>
    <s v="EJECUTADO"/>
    <n v="1533"/>
    <m/>
    <m/>
    <n v="7780.5"/>
  </r>
  <r>
    <x v="0"/>
    <m/>
    <s v="VIA ACCESO A LA MERCED BAJA, L= 1.6 KM. VIA ANTIGUA, LA ERA - &quot;Y&quot; DEL CANAL, L= 2,3 KM (EL TAMBO - CATAMAYO)"/>
    <x v="2"/>
    <s v="CATAMAYO"/>
    <s v="EL TAMBO"/>
    <s v="AD. DIRECTA"/>
    <s v="VIALSUR"/>
    <m/>
    <n v="3.25"/>
    <n v="0"/>
    <s v="Reconformación de la Subrazante"/>
    <s v="m2"/>
    <n v="0.35"/>
    <n v="17850"/>
    <d v="2014-06-01T00:00:00"/>
    <d v="2014-06-30T00:00:00"/>
    <s v="EJECUTADO"/>
    <n v="6247.5"/>
    <m/>
    <m/>
    <m/>
  </r>
  <r>
    <x v="0"/>
    <s v="VIA, SOBRINOSPAMBA-EL HUAYCO, L=4,7 km. (Catamayo)"/>
    <s v="VIA, SOBRINOSPAMBA-EL HUAYCO, L=4,7 km. (Catamayo)"/>
    <x v="2"/>
    <s v="CATAMAYO"/>
    <s v="EL TAMBO"/>
    <s v="AD. DIRECTA"/>
    <s v="VIALSUR"/>
    <n v="4.7"/>
    <m/>
    <n v="2886"/>
    <s v="Clasificación de material."/>
    <s v="m³."/>
    <n v="1.47"/>
    <n v="100"/>
    <d v="2014-04-10T00:00:00"/>
    <d v="2014-04-11T00:00:00"/>
    <s v="EJECUTADO"/>
    <n v="147"/>
    <m/>
    <m/>
    <n v="627.24"/>
  </r>
  <r>
    <x v="0"/>
    <m/>
    <s v="VIA, SOBRINOSPAMBA-EL HUAYCO, L=4,7 km. (Catamayo)"/>
    <x v="2"/>
    <s v="CATAMAYO"/>
    <s v="EL TAMBO"/>
    <s v="AD. DIRECTA"/>
    <s v="VIALSUR"/>
    <n v="4.7"/>
    <m/>
    <n v="2886"/>
    <s v="Transporte de material para mejoramiento, inc. cargado"/>
    <s v="m³/km."/>
    <n v="0.3"/>
    <n v="180"/>
    <d v="2014-04-10T00:00:00"/>
    <d v="2014-04-11T00:00:00"/>
    <s v="EJECUTADO"/>
    <n v="54"/>
    <m/>
    <m/>
    <m/>
  </r>
  <r>
    <x v="0"/>
    <m/>
    <s v="VIA, SOBRINOSPAMBA-EL HUAYCO, L=4,7 km. (Catamayo)"/>
    <x v="2"/>
    <s v="CATAMAYO"/>
    <s v="EL TAMBO"/>
    <s v="AD. DIRECTA"/>
    <s v="VIALSUR"/>
    <n v="4.7"/>
    <n v="7.0000000000000007E-2"/>
    <n v="2886"/>
    <s v="Mejoramiento de la subrasante con suelo seleccionado"/>
    <s v="m³."/>
    <n v="5.92"/>
    <n v="72"/>
    <d v="2014-04-10T00:00:00"/>
    <d v="2014-04-11T00:00:00"/>
    <s v="EJECUTADO"/>
    <n v="426.24"/>
    <m/>
    <m/>
    <m/>
  </r>
  <r>
    <x v="0"/>
    <s v="VIA, &quot;Y&quot; del ROSARIO-RIO YAGUACHI, L=15,4 km. (Chaguar.)"/>
    <s v="VIA, &quot;Y&quot; del ROSARIO-RIO YAGUACHI, L=15,4 km. (Chaguar.)"/>
    <x v="2"/>
    <s v="CHAGUARPAMBA"/>
    <s v="EL ROSARIO"/>
    <s v="AD. DIRECTA"/>
    <s v="VIALSUR"/>
    <n v="15.4"/>
    <m/>
    <n v="200"/>
    <s v="Limpieza de derrumbes a máquina"/>
    <s v="m³."/>
    <n v="1.46"/>
    <n v="8875"/>
    <d v="2014-02-18T00:00:00"/>
    <d v="2014-07-31T00:00:00"/>
    <s v="EJECUTADO"/>
    <n v="12957.5"/>
    <m/>
    <m/>
    <n v="68891.39"/>
  </r>
  <r>
    <x v="0"/>
    <m/>
    <s v="VIA, &quot;Y&quot; del ROSARIO-RIO YAGUACHI, L=15,4 km. (Chaguar.)"/>
    <x v="2"/>
    <s v="CHAGUARPAMBA"/>
    <s v="EL ROSARIO"/>
    <s v="AD. DIRECTA"/>
    <s v="VIALSUR"/>
    <m/>
    <m/>
    <m/>
    <s v="Limpieza de cunetas y alcantarillas a máquina"/>
    <s v="m³."/>
    <n v="1.47"/>
    <n v="700"/>
    <d v="2014-07-01T00:00:00"/>
    <d v="2014-07-31T00:00:00"/>
    <s v="EJECUTADO"/>
    <n v="1029"/>
    <m/>
    <m/>
    <m/>
  </r>
  <r>
    <x v="0"/>
    <m/>
    <s v="VIA, &quot;Y&quot; del ROSARIO-RIO YAGUACHI, L=15,4 km. (Chaguar.)"/>
    <x v="2"/>
    <s v="CHAGUARPAMBA"/>
    <s v="EL ROSARIO"/>
    <s v="AD. DIRECTA"/>
    <s v="VIALSUR"/>
    <m/>
    <m/>
    <m/>
    <s v="Transporte de material excavado, inc. cargado"/>
    <s v="m³/km."/>
    <n v="0.38"/>
    <n v="639.36"/>
    <d v="2014-07-01T00:00:00"/>
    <d v="2014-07-31T00:00:00"/>
    <s v="EJECUTADO"/>
    <n v="242.96"/>
    <m/>
    <m/>
    <m/>
  </r>
  <r>
    <x v="0"/>
    <m/>
    <s v="VIA, &quot;Y&quot; del ROSARIO-RIO YAGUACHI, L=15,4 km. (Chaguar.)"/>
    <x v="2"/>
    <s v="CHAGUARPAMBA"/>
    <s v="EL ROSARIO"/>
    <s v="AD. DIRECTA"/>
    <s v="VIALSUR"/>
    <m/>
    <m/>
    <m/>
    <s v="Transporte de material para mejoramiento, inc. cargado"/>
    <s v="m³/km."/>
    <n v="0.38"/>
    <n v="8378.76"/>
    <d v="2014-07-01T00:00:00"/>
    <d v="2014-12-14T00:00:00"/>
    <s v="EN EJECUCION"/>
    <n v="3183.93"/>
    <m/>
    <m/>
    <m/>
  </r>
  <r>
    <x v="0"/>
    <m/>
    <s v="VIA, &quot;Y&quot; del ROSARIO-RIO YAGUACHI, L=15,4 km. (Chaguar.)"/>
    <x v="2"/>
    <s v="CHAGUARPAMBA"/>
    <s v="EL ROSARIO"/>
    <s v="AD. DIRECTA"/>
    <s v="VIALSUR"/>
    <m/>
    <m/>
    <m/>
    <s v="Transporte de material petreo, inc. Cargado (&gt; a 5 km.)"/>
    <s v="m³/km."/>
    <n v="0.3"/>
    <n v="648"/>
    <d v="2014-07-01T00:00:00"/>
    <d v="2014-12-14T00:00:00"/>
    <s v="EN EJECUCION"/>
    <n v="194.4"/>
    <m/>
    <m/>
    <m/>
  </r>
  <r>
    <x v="0"/>
    <m/>
    <s v="VIA, &quot;Y&quot; del ROSARIO-RIO YAGUACHI, L=15,4 km. (Chaguar.)"/>
    <x v="2"/>
    <s v="CHAGUARPAMBA"/>
    <s v="EL ROSARIO"/>
    <s v="AD. DIRECTA"/>
    <s v="VIALSUR"/>
    <m/>
    <m/>
    <m/>
    <s v="Material filtrante (costrucción de subdrenes)"/>
    <s v="m³."/>
    <n v="9.84"/>
    <n v="100"/>
    <d v="2014-07-01T00:00:00"/>
    <d v="2014-12-14T00:00:00"/>
    <s v="EN EJECUCION"/>
    <n v="984"/>
    <m/>
    <m/>
    <m/>
  </r>
  <r>
    <x v="0"/>
    <m/>
    <s v="VIA, &quot;Y&quot; del ROSARIO-RIO YAGUACHI, L=15,4 km. (Chaguar.)"/>
    <x v="2"/>
    <s v="CHAGUARPAMBA"/>
    <s v="EL ROSARIO"/>
    <s v="AD. DIRECTA"/>
    <s v="VIALSUR"/>
    <m/>
    <n v="16.07"/>
    <m/>
    <s v="Reconformación de la subrasante"/>
    <s v="m²."/>
    <n v="0.35"/>
    <n v="88350"/>
    <d v="2014-07-01T00:00:00"/>
    <d v="2014-07-31T00:00:00"/>
    <s v="EJECUTADO"/>
    <n v="30922.5"/>
    <m/>
    <m/>
    <m/>
  </r>
  <r>
    <x v="0"/>
    <m/>
    <s v="VIA, &quot;Y&quot; del ROSARIO-RIO YAGUACHI, L=15,4 km. (Chaguar.)"/>
    <x v="2"/>
    <s v="CHAGUARPAMBA"/>
    <s v="EL ROSARIO"/>
    <s v="AD. DIRECTA"/>
    <s v="VIALSUR"/>
    <m/>
    <n v="0.65"/>
    <m/>
    <s v="Mejoramiento de la subrasante con suelo seleccionado"/>
    <s v="m³."/>
    <n v="5.92"/>
    <n v="720"/>
    <d v="2014-07-01T00:00:00"/>
    <d v="2014-07-31T00:00:00"/>
    <s v="EJECUTADO"/>
    <n v="4262.3999999999996"/>
    <m/>
    <m/>
    <m/>
  </r>
  <r>
    <x v="0"/>
    <m/>
    <s v="VIA, &quot;Y&quot; del ROSARIO-RIO YAGUACHI, L=15,4 km. (Chaguar.)"/>
    <x v="2"/>
    <s v="CHAGUARPAMBA"/>
    <s v="EL ROSARIO"/>
    <s v="AD. DIRECTA"/>
    <s v="VIALSUR"/>
    <m/>
    <m/>
    <m/>
    <s v="Excavación y Relleno compactado, con material mejorado"/>
    <s v="m³."/>
    <n v="7.6"/>
    <n v="1600"/>
    <d v="2014-07-01T00:00:00"/>
    <d v="2014-12-14T00:00:00"/>
    <s v="EN EJECUCION"/>
    <n v="12160"/>
    <m/>
    <m/>
    <m/>
  </r>
  <r>
    <x v="0"/>
    <m/>
    <s v="VIA, &quot;Y&quot; del ROSARIO-RIO YAGUACHI, L=15,4 km. (Chaguar.)"/>
    <x v="2"/>
    <s v="CHAGUARPAMBA"/>
    <s v="EL ROSARIO"/>
    <s v="AD. DIRECTA"/>
    <s v="VIALSUR"/>
    <m/>
    <m/>
    <m/>
    <s v="Clasificación de material."/>
    <s v="m³."/>
    <n v="1.47"/>
    <n v="2010"/>
    <d v="2014-07-01T00:00:00"/>
    <d v="2014-12-14T00:00:00"/>
    <s v="EN EJECUCION"/>
    <n v="2954.7"/>
    <m/>
    <m/>
    <m/>
  </r>
  <r>
    <x v="0"/>
    <s v="VIA, CORDILLERA DE RAMOS-4 LOMAS, L=6,2 km. (Chaguar.)"/>
    <s v="VIA, CORDILLERA DE RAMOS-4 LOMAS, L=6,2 km. (Chaguar.)"/>
    <x v="2"/>
    <s v="CHAGUARPAMBA"/>
    <s v="EL ROSARIO"/>
    <s v="AD. DIRECTA"/>
    <s v="VIALSUR"/>
    <n v="6.2"/>
    <n v="5.08"/>
    <n v="200"/>
    <s v="Reconformación de la subrasante"/>
    <s v="m²."/>
    <n v="0.35"/>
    <n v="27900"/>
    <d v="2014-07-29T00:00:00"/>
    <d v="2014-07-31T00:00:00"/>
    <s v="EJECUTADO"/>
    <n v="9765"/>
    <m/>
    <m/>
    <n v="9765"/>
  </r>
  <r>
    <x v="0"/>
    <s v="VIA CUATRO CAMINOS - AMARILLOS, L=10.1 KM ( CHAGUARPAMBA) INICIO 2 DE OCT. FIN 14 NOV"/>
    <s v="VIA CUATRO CAMINOS - AMARILLOS, L=10.1 KM ( CHAGUARPAMBA) INICIO 2 DE OCT. FIN 14 NOV"/>
    <x v="2"/>
    <s v="CHAGUARPAMBA"/>
    <s v="AMARILLOS"/>
    <s v="AD. DIRECTA"/>
    <s v="VIALSUR"/>
    <n v="10.1"/>
    <m/>
    <n v="350"/>
    <s v="Explotación de material (incluye cargado)."/>
    <s v="m³."/>
    <n v="2.54"/>
    <n v="8900"/>
    <d v="2014-10-02T00:00:00"/>
    <d v="2014-11-14T00:00:00"/>
    <s v="EJECUTADO"/>
    <n v="22606"/>
    <m/>
    <m/>
    <n v="105274.38"/>
  </r>
  <r>
    <x v="0"/>
    <m/>
    <s v="VIA CUATRO CAMINOS - AMARILLOS, L=10.1 KM ( CHAGUARPAMBA) INICIO 2 DE OCT. FIN 14 NOV"/>
    <x v="2"/>
    <s v="CHAGUARPAMBA"/>
    <s v="AMARILLOS"/>
    <s v="AD. DIRECTA"/>
    <s v="VIALSUR"/>
    <m/>
    <m/>
    <n v="0"/>
    <s v="Clasificación de material."/>
    <s v="m³."/>
    <n v="1.47"/>
    <n v="8400"/>
    <d v="2014-10-02T00:00:00"/>
    <d v="2014-11-14T00:00:00"/>
    <s v="EJECUTADO"/>
    <n v="12348"/>
    <m/>
    <m/>
    <m/>
  </r>
  <r>
    <x v="0"/>
    <m/>
    <s v="VIA CUATRO CAMINOS - AMARILLOS, L=10.1 KM ( CHAGUARPAMBA) INICIO 2 DE OCT. FIN 14 NOV"/>
    <x v="2"/>
    <s v="CHAGUARPAMBA"/>
    <s v="AMARILLOS"/>
    <s v="AD. DIRECTA"/>
    <s v="VIALSUR"/>
    <m/>
    <m/>
    <n v="0"/>
    <s v="Limpieza de derrumbes a máquina"/>
    <s v="m³."/>
    <n v="1.46"/>
    <n v="3600"/>
    <d v="2014-10-02T00:00:00"/>
    <d v="2014-11-14T00:00:00"/>
    <s v="EJECUTADO"/>
    <n v="5256"/>
    <m/>
    <m/>
    <m/>
  </r>
  <r>
    <x v="0"/>
    <m/>
    <s v="VIA CUATRO CAMINOS - AMARILLOS, L=10.1 KM ( CHAGUARPAMBA) INICIO 2 DE OCT. FIN 14 NOV"/>
    <x v="2"/>
    <s v="CHAGUARPAMBA"/>
    <s v="AMARILLOS"/>
    <s v="AD. DIRECTA"/>
    <s v="VIALSUR"/>
    <m/>
    <n v="10.57"/>
    <n v="0"/>
    <s v="Rasanteo y conformacion de cunetas con motoniveladora"/>
    <s v="m²."/>
    <n v="0.08"/>
    <n v="58110"/>
    <d v="2014-10-02T00:00:00"/>
    <d v="2014-11-14T00:00:00"/>
    <s v="EJECUTADO"/>
    <n v="4648.8"/>
    <m/>
    <m/>
    <m/>
  </r>
  <r>
    <x v="0"/>
    <m/>
    <s v="VIA CUATRO CAMINOS - AMARILLOS, L=10.1 KM ( CHAGUARPAMBA) INICIO 2 DE OCT. FIN 14 NOV"/>
    <x v="2"/>
    <s v="CHAGUARPAMBA"/>
    <s v="AMARILLOS"/>
    <s v="AD. DIRECTA"/>
    <s v="VIALSUR"/>
    <m/>
    <n v="7.92"/>
    <n v="0"/>
    <s v="Mejoramiento de la subrasante con suelo seleccionado"/>
    <s v="m³."/>
    <n v="5.92"/>
    <n v="8715"/>
    <d v="2014-10-02T00:00:00"/>
    <d v="2014-11-14T00:00:00"/>
    <s v="EJECUTADO"/>
    <n v="51592.800000000003"/>
    <m/>
    <m/>
    <m/>
  </r>
  <r>
    <x v="0"/>
    <m/>
    <s v="VIA CUATRO CAMINOS - AMARILLOS, L=10.1 KM ( CHAGUARPAMBA) INICIO 2 DE OCT. FIN 14 NOV"/>
    <x v="2"/>
    <s v="CHAGUARPAMBA"/>
    <s v="AMARILLOS"/>
    <s v="AD. DIRECTA"/>
    <s v="VIALSUR"/>
    <m/>
    <m/>
    <n v="0"/>
    <s v="Transporte de material para mejoramiento, inc. cargado"/>
    <s v="m³/km."/>
    <n v="0.38"/>
    <n v="23217.84"/>
    <d v="2014-10-02T00:00:00"/>
    <d v="2014-11-14T00:00:00"/>
    <s v="EJECUTADO"/>
    <n v="8822.7800000000007"/>
    <m/>
    <m/>
    <m/>
  </r>
  <r>
    <x v="0"/>
    <s v="VIA ACCESO AL BARRIO LA ESPERANZA L=1.1 KM INICIO: 5 NOV FIN 5 NOV"/>
    <s v="VIA ACCESO AL BARRIO LA ESPERANZA L=1.1 KM INICIO: 5 NOV FIN 5 NOV"/>
    <x v="2"/>
    <s v="CHAGUARPAMBA"/>
    <s v="AMARILLOS"/>
    <s v="AD. DIRECTA"/>
    <s v="VIALSUR"/>
    <n v="1.1000000000000001"/>
    <n v="0.91"/>
    <n v="350"/>
    <s v="Rasanteo y conformacion de cunetas con motoniveladora"/>
    <s v="m²."/>
    <n v="0.08"/>
    <n v="4960"/>
    <d v="2014-11-05T00:00:00"/>
    <d v="2014-11-05T00:00:00"/>
    <s v="EJECUTADO"/>
    <n v="396.8"/>
    <m/>
    <m/>
    <n v="396.8"/>
  </r>
  <r>
    <x v="0"/>
    <s v="VIA AMRILLOS BUENAVISTA (limita Parroquial), L=4.9 km. Chaguarpamba"/>
    <s v="VIA AMRILLOS BUENAVISTA (limita Parroquial), L=4.9 km. Chaguarpamba"/>
    <x v="2"/>
    <s v="CHAGUARPAMBA"/>
    <s v="BUENAVISTA"/>
    <s v="AD. DIRECTA"/>
    <s v="VIALSUR"/>
    <n v="4.9000000000000004"/>
    <m/>
    <n v="483"/>
    <s v="Explotación de material (incluye cargado)."/>
    <s v="m³."/>
    <n v="2.54"/>
    <n v="320"/>
    <d v="2014-10-15T00:00:00"/>
    <d v="2014-10-16T00:00:00"/>
    <s v="EJECUTADO"/>
    <n v="812.8"/>
    <m/>
    <m/>
    <n v="3255"/>
  </r>
  <r>
    <x v="0"/>
    <m/>
    <s v="VIA AMRILLOS BUENAVISTA (limita Parroquial), L=4.9 km. Chaguarpamba"/>
    <x v="2"/>
    <s v="CHAGUARPAMBA"/>
    <s v="BUENAVISTA"/>
    <s v="AD. DIRECTA"/>
    <s v="VIALSUR"/>
    <m/>
    <m/>
    <n v="0"/>
    <s v="Clasificación de material."/>
    <s v="m³."/>
    <n v="1.47"/>
    <n v="300"/>
    <d v="2014-10-15T00:00:00"/>
    <d v="2014-10-16T00:00:00"/>
    <s v="EJECUTADO"/>
    <n v="441"/>
    <m/>
    <m/>
    <m/>
  </r>
  <r>
    <x v="0"/>
    <m/>
    <s v="VIA AMRILLOS BUENAVISTA (limita Parroquial), L=4.9 km. Chaguarpamba"/>
    <x v="2"/>
    <s v="CHAGUARPAMBA"/>
    <s v="BUENAVISTA"/>
    <s v="AD. DIRECTA"/>
    <s v="VIALSUR"/>
    <m/>
    <n v="0.22"/>
    <n v="0"/>
    <s v="Mejoramiento de la subrasante con suelo seleccionado"/>
    <s v="m³."/>
    <n v="5.92"/>
    <n v="245"/>
    <d v="2014-10-15T00:00:00"/>
    <d v="2014-10-16T00:00:00"/>
    <s v="EJECUTADO"/>
    <n v="1450.4"/>
    <m/>
    <m/>
    <m/>
  </r>
  <r>
    <x v="0"/>
    <m/>
    <s v="VIA AMRILLOS BUENAVISTA (limita Parroquial), L=4.9 km. Chaguarpamba"/>
    <x v="2"/>
    <s v="CHAGUARPAMBA"/>
    <s v="BUENAVISTA"/>
    <s v="AD. DIRECTA"/>
    <s v="VIALSUR"/>
    <m/>
    <m/>
    <n v="0"/>
    <s v="Transporte de material para mejoramiento, inc. cargado"/>
    <s v="m³/km."/>
    <n v="0.3"/>
    <n v="1836"/>
    <d v="2014-10-15T00:00:00"/>
    <d v="2014-10-16T00:00:00"/>
    <s v="EJECUTADO"/>
    <n v="550.79999999999995"/>
    <m/>
    <m/>
    <m/>
  </r>
  <r>
    <x v="0"/>
    <s v="VIA,SAN JOSE-BUENAVISTA, L=7,3 km. (Chaguarpamba) INICIO 16 FEBRERO. FIN 21 DE FEBRERO"/>
    <s v="VIA,SAN JOSE-BUENAVISTA, L=7,3 km. (Chaguarpamba) INICIO 16 FEBRERO. FIN 21 DE FEBRERO"/>
    <x v="2"/>
    <s v="CHAGUARPAMBA"/>
    <s v="BUENAVISTA"/>
    <s v="AD. DIRECTA"/>
    <s v="VIALSUR"/>
    <n v="7.3"/>
    <m/>
    <n v="483"/>
    <s v="Explotación de material (incluye cargado)."/>
    <s v="m³."/>
    <n v="2.54"/>
    <n v="4430"/>
    <d v="2014-01-21T00:00:00"/>
    <d v="2014-02-15T00:00:00"/>
    <s v="EJECUTADO"/>
    <n v="11252.2"/>
    <m/>
    <m/>
    <n v="43848.180000000008"/>
  </r>
  <r>
    <x v="0"/>
    <m/>
    <s v="VIA,SAN JOSE-BUENAVISTA, L=7,3 km. (Chaguarpamba) INICIO 16 FEBRERO. FIN 21 DE FEBRERO"/>
    <x v="2"/>
    <s v="CHAGUARPAMBA"/>
    <s v="BUENAVISTA"/>
    <s v="AD. DIRECTA"/>
    <s v="VIALSUR"/>
    <m/>
    <m/>
    <n v="0"/>
    <s v="Clasificación de material."/>
    <s v="m³."/>
    <n v="1.47"/>
    <n v="1350"/>
    <d v="2014-01-21T00:00:00"/>
    <d v="2014-02-15T00:00:00"/>
    <s v="EJECUTADO"/>
    <n v="1984.5"/>
    <m/>
    <m/>
    <m/>
  </r>
  <r>
    <x v="0"/>
    <m/>
    <s v="VIA,SAN JOSE-BUENAVISTA, L=7,3 km. (Chaguarpamba) INICIO 16 FEBRERO. FIN 21 DE FEBRERO"/>
    <x v="2"/>
    <s v="CHAGUARPAMBA"/>
    <s v="BUENAVISTA"/>
    <s v="AD. DIRECTA"/>
    <s v="VIALSUR"/>
    <m/>
    <m/>
    <n v="0"/>
    <s v="Limpieza de derrumbes a máquina"/>
    <s v="m³."/>
    <n v="1.46"/>
    <n v="1820"/>
    <d v="2014-01-21T00:00:00"/>
    <d v="2014-02-15T00:00:00"/>
    <s v="EJECUTADO"/>
    <n v="2657.2"/>
    <m/>
    <m/>
    <m/>
  </r>
  <r>
    <x v="0"/>
    <m/>
    <s v="VIA,SAN JOSE-BUENAVISTA, L=7,3 km. (Chaguarpamba) INICIO 16 FEBRERO. FIN 21 DE FEBRERO"/>
    <x v="2"/>
    <s v="CHAGUARPAMBA"/>
    <s v="BUENAVISTA"/>
    <s v="AD. DIRECTA"/>
    <s v="VIALSUR"/>
    <m/>
    <m/>
    <n v="0"/>
    <s v="Limpieza de cunetas y alcantarillas a máquina (inc. Plataforma de la vía)"/>
    <s v="m³."/>
    <n v="1.47"/>
    <n v="920"/>
    <d v="2014-12-01T00:00:00"/>
    <d v="2014-12-14T00:00:00"/>
    <s v="EN EJECUCION"/>
    <n v="1352.4"/>
    <m/>
    <m/>
    <m/>
  </r>
  <r>
    <x v="0"/>
    <m/>
    <s v="VIA,SAN JOSE-BUENAVISTA, L=7,3 km. (Chaguarpamba) INICIO 16 FEBRERO. FIN 21 DE FEBRERO"/>
    <x v="2"/>
    <s v="CHAGUARPAMBA"/>
    <s v="BUENAVISTA"/>
    <s v="AD. DIRECTA"/>
    <s v="VIALSUR"/>
    <m/>
    <n v="14.61"/>
    <n v="0"/>
    <s v="Rasanteo y conformacion de cunetas con motoniveladora"/>
    <s v="m²."/>
    <n v="0.08"/>
    <n v="80355"/>
    <d v="2014-12-01T00:00:00"/>
    <d v="2014-12-14T00:00:00"/>
    <s v="EN EJECUCION"/>
    <n v="6428.4"/>
    <m/>
    <m/>
    <m/>
  </r>
  <r>
    <x v="0"/>
    <m/>
    <s v="VIA,SAN JOSE-BUENAVISTA, L=7,3 km. (Chaguarpamba) INICIO 16 FEBRERO. FIN 21 DE FEBRERO"/>
    <x v="2"/>
    <s v="CHAGUARPAMBA"/>
    <s v="BUENAVISTA"/>
    <s v="AD. DIRECTA"/>
    <s v="VIALSUR"/>
    <m/>
    <n v="2.77"/>
    <n v="0"/>
    <s v="Mejoramiento de la subrasante con suelo seleccionado"/>
    <s v="m³."/>
    <n v="5.92"/>
    <n v="3044"/>
    <d v="2014-01-21T00:00:00"/>
    <d v="2014-02-15T00:00:00"/>
    <s v="EJECUTADO"/>
    <n v="18020.48"/>
    <m/>
    <m/>
    <m/>
  </r>
  <r>
    <x v="0"/>
    <m/>
    <s v="VIA,SAN JOSE-BUENAVISTA, L=7,3 km. (Chaguarpamba) INICIO 16 FEBRERO. FIN 21 DE FEBRERO"/>
    <x v="2"/>
    <s v="CHAGUARPAMBA"/>
    <s v="BUENAVISTA"/>
    <s v="AD. DIRECTA"/>
    <s v="VIALSUR"/>
    <m/>
    <m/>
    <n v="0"/>
    <s v="Transporte de material para mejoramiento, inc. cargado"/>
    <s v="m³/km."/>
    <n v="0.38"/>
    <n v="5665.78"/>
    <d v="2014-01-21T00:00:00"/>
    <d v="2014-02-15T00:00:00"/>
    <s v="EJECUTADO"/>
    <n v="2153"/>
    <m/>
    <m/>
    <m/>
  </r>
  <r>
    <x v="0"/>
    <m/>
    <s v="VIA,SAN JOSE-BUENAVISTA, L=7,3 km. (Chaguarpamba) INICIO 16 FEBRERO. FIN 21 DE FEBRERO"/>
    <x v="2"/>
    <s v="CHAGUARPAMBA"/>
    <s v="BUENAVISTA"/>
    <s v="AD. DIRECTA"/>
    <s v="VIALSUR"/>
    <m/>
    <m/>
    <n v="0"/>
    <s v="Transporte de material excavado (dasalojo), inc. Cargado (&lt; a 5 km.)"/>
    <s v="m³/km."/>
    <n v="0.38"/>
    <n v="475.2"/>
    <d v="2014-12-01T00:00:00"/>
    <d v="2014-12-14T00:00:00"/>
    <s v="EN EJECUCION"/>
    <n v="180.58"/>
    <m/>
    <m/>
    <m/>
  </r>
  <r>
    <x v="0"/>
    <s v="VIA, BUENAVISTA-AMARILLOS, L=9,9 km. (Chaguarpamba) Inicio: 16 de febrero Fin: 21 de febrero"/>
    <s v="VIA, BUENAVISTA-AMARILLOS, L=9,9 km. (Chaguarpamba) Inicio: 16 de febrero Fin: 21 de febrero"/>
    <x v="2"/>
    <s v="CHAGUARPAMBA"/>
    <s v="AMARILLOS"/>
    <s v="AD. DIRECTA"/>
    <s v="VIALSUR"/>
    <n v="9.9"/>
    <m/>
    <n v="350"/>
    <s v="Explotación de material (incluye cargado)."/>
    <s v="m³."/>
    <n v="2.54"/>
    <n v="1600"/>
    <d v="2014-02-16T00:00:00"/>
    <d v="2014-02-21T00:00:00"/>
    <s v="EJECUTADO"/>
    <n v="4064"/>
    <m/>
    <m/>
    <n v="15911.91"/>
  </r>
  <r>
    <x v="0"/>
    <m/>
    <s v="VIA, BUENAVISTA-AMARILLOS, L=9,9 km. (Chaguarpamba) Inicio: 16 de febrero Fin: 21 de febrero"/>
    <x v="2"/>
    <s v="CHAGUARPAMBA"/>
    <s v="AMARILLOS"/>
    <s v="AD. DIRECTA"/>
    <s v="VIALSUR"/>
    <m/>
    <m/>
    <n v="0"/>
    <s v="Clasificación de material."/>
    <s v="m³."/>
    <n v="1.47"/>
    <n v="300"/>
    <d v="2014-02-16T00:00:00"/>
    <d v="2014-02-21T00:00:00"/>
    <s v="EJECUTADO"/>
    <n v="441"/>
    <m/>
    <m/>
    <m/>
  </r>
  <r>
    <x v="0"/>
    <m/>
    <s v="VIA, BUENAVISTA-AMARILLOS, L=9,9 km. (Chaguarpamba) Inicio: 16 de febrero Fin: 21 de febrero"/>
    <x v="2"/>
    <s v="CHAGUARPAMBA"/>
    <s v="AMARILLOS"/>
    <s v="AD. DIRECTA"/>
    <s v="VIALSUR"/>
    <m/>
    <m/>
    <n v="0"/>
    <s v="Limpieza de derrumbes a máquina"/>
    <s v="m³."/>
    <n v="1.46"/>
    <n v="1650"/>
    <d v="2014-02-16T00:00:00"/>
    <d v="2014-02-21T00:00:00"/>
    <s v="EJECUTADO"/>
    <n v="2409"/>
    <m/>
    <m/>
    <m/>
  </r>
  <r>
    <x v="0"/>
    <m/>
    <s v="VIA, BUENAVISTA-AMARILLOS, L=9,9 km. (Chaguarpamba) Inicio: 16 de febrero Fin: 21 de febrero"/>
    <x v="2"/>
    <s v="CHAGUARPAMBA"/>
    <s v="AMARILLOS"/>
    <s v="AD. DIRECTA"/>
    <s v="VIALSUR"/>
    <m/>
    <n v="2.42"/>
    <n v="0"/>
    <s v="Rasanteo y conformacion de cunetas con motoniveladora"/>
    <s v="m²."/>
    <n v="0.08"/>
    <n v="13260"/>
    <d v="2014-02-16T00:00:00"/>
    <d v="2014-02-21T00:00:00"/>
    <s v="EJECUTADO"/>
    <n v="1060.8"/>
    <m/>
    <m/>
    <m/>
  </r>
  <r>
    <x v="0"/>
    <m/>
    <s v="VIA, BUENAVISTA-AMARILLOS, L=9,9 km. (Chaguarpamba) Inicio: 16 de febrero Fin: 21 de febrero"/>
    <x v="2"/>
    <s v="CHAGUARPAMBA"/>
    <s v="AMARILLOS"/>
    <s v="AD. DIRECTA"/>
    <s v="VIALSUR"/>
    <m/>
    <n v="0.98"/>
    <n v="0"/>
    <s v="Mejoramiento de la subrasante con suelo seleccionado"/>
    <s v="m³."/>
    <n v="5.92"/>
    <n v="1079"/>
    <d v="2014-02-16T00:00:00"/>
    <d v="2014-02-21T00:00:00"/>
    <s v="EJECUTADO"/>
    <n v="6387.68"/>
    <m/>
    <m/>
    <m/>
  </r>
  <r>
    <x v="0"/>
    <m/>
    <s v="VIA, BUENAVISTA-AMARILLOS, L=9,9 km. (Chaguarpamba) Inicio: 16 de febrero Fin: 21 de febrero"/>
    <x v="2"/>
    <s v="CHAGUARPAMBA"/>
    <s v="AMARILLOS"/>
    <s v="AD. DIRECTA"/>
    <s v="VIALSUR"/>
    <m/>
    <m/>
    <n v="0"/>
    <s v="Transporte de material para mejoramiento, inc. cargado"/>
    <s v="m³/km."/>
    <n v="0.38"/>
    <n v="4077.45"/>
    <d v="2014-02-16T00:00:00"/>
    <d v="2014-02-21T00:00:00"/>
    <s v="EJECUTADO"/>
    <n v="1549.43"/>
    <m/>
    <m/>
    <m/>
  </r>
  <r>
    <x v="0"/>
    <s v="VIAS DESDE BUENAVISTA A, VALLE HERMOSO, PALMAL Y PAN DE AZUCAR"/>
    <s v="VIAS DESDE BUENAVISTA A, VALLE HERMOSO, PALMAL Y PAN DE AZUCAR"/>
    <x v="2"/>
    <s v="CHAGUARPAMBA"/>
    <s v="BUENAVISTA"/>
    <s v="AD. DIRECTA"/>
    <s v="VIALSUR"/>
    <n v="13.6"/>
    <n v="4.2799999999999994"/>
    <n v="483"/>
    <s v="Rasanteo y conformacion de cunetas con motoniveladora"/>
    <s v="m²."/>
    <n v="0.08"/>
    <n v="23520"/>
    <d v="2014-02-25T00:00:00"/>
    <d v="2014-02-28T00:00:00"/>
    <s v="EJECUTADO"/>
    <n v="1881.6"/>
    <m/>
    <m/>
    <n v="3619"/>
  </r>
  <r>
    <x v="0"/>
    <m/>
    <s v="VIAS DESDE BUENAVISTA A, VALLE HERMOSO, PALMAL Y PAN DE AZUCAR"/>
    <x v="2"/>
    <s v="CHAGUARPAMBA"/>
    <s v="BUENAVISTA"/>
    <s v="AD. DIRECTA"/>
    <s v="VIALSUR"/>
    <m/>
    <m/>
    <n v="0"/>
    <s v="Limpieza de derrumbes a máquina"/>
    <s v="m³."/>
    <n v="1.46"/>
    <n v="1190"/>
    <d v="2014-02-25T00:00:00"/>
    <d v="2014-04-30T00:00:00"/>
    <s v="EJECUTADO"/>
    <n v="1737.4"/>
    <m/>
    <m/>
    <m/>
  </r>
  <r>
    <x v="0"/>
    <s v="VIA, LAS JUNTAS-&quot;Y&quot; del GUINEO, RIO PINDO L=5.6 km. "/>
    <s v="VIA, LAS JUNTAS-&quot;Y&quot; del GUINEO, RIO PINDO L=5.6 km. "/>
    <x v="2"/>
    <s v="CHAGUARPAMBA"/>
    <s v="SANTA RUFINA"/>
    <s v="AD. DIRECTA"/>
    <s v="VIALSUR"/>
    <n v="4.2"/>
    <m/>
    <n v="698"/>
    <s v="Clasificación de material."/>
    <s v="m³."/>
    <n v="1.47"/>
    <n v="870"/>
    <d v="2014-01-07T00:00:00"/>
    <d v="2014-01-31T00:00:00"/>
    <s v="EJECUTADO"/>
    <n v="1278.9000000000001"/>
    <m/>
    <m/>
    <n v="4967.33"/>
  </r>
  <r>
    <x v="0"/>
    <m/>
    <s v="VIA, LAS JUNTAS-&quot;Y&quot; del GUINEO, RIO PINDO L=5.6 km. "/>
    <x v="2"/>
    <s v="CHAGUARPAMBA"/>
    <s v="SANTA RUFINA"/>
    <s v="AD. DIRECTA"/>
    <s v="VIALSUR"/>
    <m/>
    <n v="1.1100000000000001"/>
    <n v="0"/>
    <s v="Rasanteo y conformacion de cunetas con motoniveladora"/>
    <s v="m²."/>
    <n v="0.08"/>
    <n v="6080"/>
    <d v="2014-01-07T00:00:00"/>
    <d v="2014-01-31T00:00:00"/>
    <s v="EJECUTADO"/>
    <n v="486.4"/>
    <m/>
    <m/>
    <m/>
  </r>
  <r>
    <x v="0"/>
    <m/>
    <s v="VIA, LAS JUNTAS-&quot;Y&quot; del GUINEO, RIO PINDO L=5.6 km. "/>
    <x v="2"/>
    <s v="CHAGUARPAMBA"/>
    <s v="SANTA RUFINA"/>
    <s v="AD. DIRECTA"/>
    <s v="VIALSUR"/>
    <m/>
    <n v="0.41"/>
    <n v="0"/>
    <s v="Mejoramiento de la subrasante con suelo seleccionado"/>
    <s v="m³."/>
    <n v="5.92"/>
    <n v="456"/>
    <d v="2014-01-07T00:00:00"/>
    <d v="2014-01-31T00:00:00"/>
    <s v="EJECUTADO"/>
    <n v="2699.52"/>
    <m/>
    <m/>
    <m/>
  </r>
  <r>
    <x v="0"/>
    <m/>
    <s v="VIA, LAS JUNTAS-&quot;Y&quot; del GUINEO, RIO PINDO L=5.6 km. "/>
    <x v="2"/>
    <s v="CHAGUARPAMBA"/>
    <s v="SANTA RUFINA"/>
    <s v="AD. DIRECTA"/>
    <s v="VIALSUR"/>
    <m/>
    <m/>
    <n v="0"/>
    <s v="Transporte de material para mejoramiento, inc. cargado"/>
    <s v="m³/km."/>
    <n v="0.38"/>
    <n v="1322.4"/>
    <d v="2014-01-07T00:00:00"/>
    <d v="2014-01-31T00:00:00"/>
    <s v="EJECUTADO"/>
    <n v="502.51"/>
    <m/>
    <m/>
    <m/>
  </r>
  <r>
    <x v="0"/>
    <s v="PLATAFORMA DEL CANAL,&quot;Y&quot; del GUINEO, L=4,2 km. (Chaguarpamba)"/>
    <s v="PLATAFORMA DEL CANAL,&quot;Y&quot; del GUINEO, L=4,2 km. (Chaguarpamba)"/>
    <x v="2"/>
    <s v="CHAGUARPAMBA"/>
    <s v="SANTA RUFINA"/>
    <s v="AD. DIRECTA"/>
    <s v="VIALSUR"/>
    <n v="11"/>
    <m/>
    <n v="698"/>
    <s v="Limpieza y desalojo de derrumbes a máquina"/>
    <s v="m³."/>
    <n v="1.46"/>
    <n v="1800"/>
    <d v="2014-07-26T00:00:00"/>
    <d v="2014-07-31T00:00:00"/>
    <s v="EJECUTADO"/>
    <n v="2628"/>
    <m/>
    <m/>
    <n v="2628"/>
  </r>
  <r>
    <x v="0"/>
    <s v="VIA YEE DEL GUINEO SANTA RUFINA 7.5 KM"/>
    <s v="VIA YEE DEL GUINEO SANTA RUFINA 7.5 KM"/>
    <x v="2"/>
    <s v="CHAGUARPAMBA"/>
    <s v="SANTA RUFINA"/>
    <s v="AD. DIRECTA"/>
    <s v="VIALSUR"/>
    <n v="5.7"/>
    <n v="5.7"/>
    <n v="267"/>
    <s v="Excavación sin clasificar a máquina (ampliación de la vía en áreas críticas)"/>
    <s v="m³."/>
    <n v="1.62"/>
    <m/>
    <d v="2014-06-01T00:00:00"/>
    <d v="2014-06-30T00:00:00"/>
    <s v="EJECUTADO"/>
    <n v="0"/>
    <n v="141961.84"/>
    <m/>
    <n v="26873.06"/>
  </r>
  <r>
    <x v="0"/>
    <m/>
    <s v="VIA YEE DEL GUINEO SANTA RUFINA 7.5 KM"/>
    <x v="2"/>
    <s v="CHAGUARPAMBA"/>
    <s v="SANTA RUFINA"/>
    <s v="AD. DIRECTA"/>
    <s v="VIALSUR"/>
    <m/>
    <m/>
    <n v="0"/>
    <s v="Explotación  de material (incluye cargado)"/>
    <s v="m³."/>
    <n v="2.54"/>
    <n v="1200"/>
    <d v="2014-01-05T00:00:00"/>
    <d v="2014-05-31T00:00:00"/>
    <s v="EJECUTADO"/>
    <n v="3048"/>
    <m/>
    <m/>
    <m/>
  </r>
  <r>
    <x v="0"/>
    <m/>
    <s v="VIA YEE DEL GUINEO SANTA RUFINA 7.5 KM"/>
    <x v="2"/>
    <s v="CHAGUARPAMBA"/>
    <s v="SANTA RUFINA"/>
    <s v="AD. DIRECTA"/>
    <s v="VIALSUR"/>
    <m/>
    <m/>
    <n v="0"/>
    <s v="Clasificación de material."/>
    <s v="m³."/>
    <n v="1.47"/>
    <n v="1100"/>
    <d v="2014-06-12T00:00:00"/>
    <d v="2014-06-30T00:00:00"/>
    <s v="EJECUTADO"/>
    <n v="1617"/>
    <m/>
    <m/>
    <m/>
  </r>
  <r>
    <x v="0"/>
    <m/>
    <s v="VIA YEE DEL GUINEO SANTA RUFINA 7.5 KM"/>
    <x v="2"/>
    <s v="CHAGUARPAMBA"/>
    <s v="SANTA RUFINA"/>
    <s v="AD. DIRECTA"/>
    <s v="VIALSUR"/>
    <m/>
    <m/>
    <n v="0"/>
    <s v="Limpieza de derrumbes a maquina"/>
    <s v="m³."/>
    <n v="1.46"/>
    <n v="1200"/>
    <d v="2014-01-01T00:00:00"/>
    <d v="2014-06-30T00:00:00"/>
    <s v="EJECUTADO"/>
    <n v="1752"/>
    <m/>
    <m/>
    <m/>
  </r>
  <r>
    <x v="0"/>
    <m/>
    <s v="VIA YEE DEL GUINEO SANTA RUFINA 7.5 KM"/>
    <x v="2"/>
    <s v="CHAGUARPAMBA"/>
    <s v="SANTA RUFINA"/>
    <s v="AD. DIRECTA"/>
    <s v="VIALSUR"/>
    <m/>
    <m/>
    <n v="0"/>
    <s v="Limpieza de cunetas y alcantarillas a maquina"/>
    <s v="m³."/>
    <n v="1.47"/>
    <m/>
    <d v="2014-01-05T00:00:00"/>
    <d v="2014-07-31T00:00:00"/>
    <s v="EN EJECUCION"/>
    <n v="0"/>
    <m/>
    <m/>
    <m/>
  </r>
  <r>
    <x v="0"/>
    <m/>
    <s v="VIA YEE DEL GUINEO SANTA RUFINA 7.5 KM"/>
    <x v="2"/>
    <s v="CHAGUARPAMBA"/>
    <s v="SANTA RUFINA"/>
    <s v="AD. DIRECTA"/>
    <s v="VIALSUR"/>
    <m/>
    <n v="0.92"/>
    <n v="144"/>
    <s v="Mejoramiento de la subrasante con suelo seleccionado"/>
    <s v="m³."/>
    <n v="5.92"/>
    <n v="1010"/>
    <d v="2014-01-01T00:00:00"/>
    <d v="2014-04-30T00:00:00"/>
    <s v="EJECUTADO"/>
    <n v="5979.2"/>
    <m/>
    <m/>
    <m/>
  </r>
  <r>
    <x v="0"/>
    <m/>
    <s v="VIA YEE DEL GUINEO SANTA RUFINA 7.5 KM"/>
    <x v="2"/>
    <s v="CHAGUARPAMBA"/>
    <s v="SANTA RUFINA"/>
    <s v="AD. DIRECTA"/>
    <s v="VIALSUR"/>
    <m/>
    <n v="6.2299999999999995"/>
    <n v="0"/>
    <s v="Reconformación de la Subrazante"/>
    <s v="m²."/>
    <n v="0.35"/>
    <n v="34230"/>
    <d v="2014-01-01T00:00:00"/>
    <d v="2014-06-30T00:00:00"/>
    <s v="EJECUTADO"/>
    <n v="11980.5"/>
    <m/>
    <m/>
    <m/>
  </r>
  <r>
    <x v="0"/>
    <m/>
    <s v="VIA YEE DEL GUINEO SANTA RUFINA 7.5 KM"/>
    <x v="2"/>
    <s v="CHAGUARPAMBA"/>
    <s v="SANTA RUFINA"/>
    <s v="AD. DIRECTA"/>
    <s v="VIALSUR"/>
    <m/>
    <m/>
    <n v="0"/>
    <s v="Transporte de material de mejoramiento"/>
    <s v="m3/km."/>
    <n v="0.3"/>
    <n v="6831"/>
    <d v="2014-01-05T00:00:00"/>
    <d v="2014-06-30T00:00:00"/>
    <s v="EJECUTADO"/>
    <n v="2049.3000000000002"/>
    <m/>
    <m/>
    <m/>
  </r>
  <r>
    <x v="0"/>
    <m/>
    <s v="VIA YEE DEL GUINEO SANTA RUFINA 7.5 KM"/>
    <x v="2"/>
    <s v="CHAGUARPAMBA"/>
    <s v="SANTA RUFINA"/>
    <s v="AD. DIRECTA"/>
    <s v="VIALSUR"/>
    <m/>
    <m/>
    <n v="200"/>
    <s v="Transporte de material excavado, inc. cargado"/>
    <s v="m³/km."/>
    <n v="0.38"/>
    <n v="1176.48"/>
    <d v="2014-05-01T00:00:00"/>
    <d v="2014-05-31T00:00:00"/>
    <s v="EJECUTADO"/>
    <n v="447.06"/>
    <m/>
    <m/>
    <m/>
  </r>
  <r>
    <x v="0"/>
    <s v="VIA SANTARUFINA PUEBLO NUEVO 2.8 KM"/>
    <s v="VIA SANTARUFINA PUEBLO NUEVO 2.8 KM"/>
    <x v="2"/>
    <s v="CHAGUARPAMBA"/>
    <s v="SANTA RUFINA"/>
    <s v="AD. DIRECTA"/>
    <s v="VIALSUR"/>
    <n v="2.8"/>
    <m/>
    <n v="0"/>
    <s v="Limpieza de cunetas y alcantarillas a maquina"/>
    <s v="m³."/>
    <n v="1.47"/>
    <n v="600"/>
    <d v="2014-01-05T00:00:00"/>
    <d v="2014-07-31T00:00:00"/>
    <s v="EN EJECUCION"/>
    <n v="882"/>
    <m/>
    <m/>
    <n v="882"/>
  </r>
  <r>
    <x v="0"/>
    <s v="VIA AMANCAY SANTARUFINA PUEBLO NUEVO 1,7 KM"/>
    <s v="VIA AMANCAY SANTARUFINA PUEBLO NUEVO 1,7 KM"/>
    <x v="2"/>
    <s v="CHAGUARPAMBA"/>
    <s v="SANTA RUFINA"/>
    <s v="AD. DIRECTA"/>
    <s v="VIALSUR"/>
    <n v="1.7"/>
    <n v="3.06"/>
    <n v="0"/>
    <s v="Reconformación de la Subrazante"/>
    <s v="m²."/>
    <n v="0.35"/>
    <n v="16830"/>
    <d v="2014-01-01T00:00:00"/>
    <d v="2014-06-30T00:00:00"/>
    <s v="EJECUTADO"/>
    <n v="5890.5"/>
    <m/>
    <m/>
    <n v="5890.5"/>
  </r>
  <r>
    <x v="0"/>
    <m/>
    <s v="VIA AMANCAY SANTARUFINA PUEBLO NUEVO 1,7 KM"/>
    <x v="2"/>
    <s v="CHAGUARPAMBA"/>
    <s v="SANTA RUFINA"/>
    <s v="AD. DIRECTA"/>
    <s v="VIALSUR"/>
    <m/>
    <m/>
    <n v="0"/>
    <s v="Limpieza de cunetas y alcantarillas a maquina"/>
    <s v="m³."/>
    <n v="1.47"/>
    <m/>
    <d v="2014-01-05T00:00:00"/>
    <d v="2014-07-31T00:00:00"/>
    <s v="EN EJECUCION"/>
    <n v="0"/>
    <m/>
    <m/>
    <n v="14850.789999999999"/>
  </r>
  <r>
    <x v="0"/>
    <m/>
    <s v="VIA AMANCAY SANTARUFINA PUEBLO NUEVO 1,7 KM"/>
    <x v="2"/>
    <s v="CHAGUARPAMBA"/>
    <s v="SANTA RUFINA"/>
    <s v="AD. DIRECTA"/>
    <s v="VIALSUR"/>
    <m/>
    <n v="0"/>
    <n v="0"/>
    <s v="Reconformación de la Subrazante"/>
    <s v="m²."/>
    <n v="0.35"/>
    <m/>
    <d v="2014-01-01T00:00:00"/>
    <d v="2014-06-30T00:00:00"/>
    <s v="EJECUTADO"/>
    <n v="0"/>
    <m/>
    <m/>
    <m/>
  </r>
  <r>
    <x v="0"/>
    <m/>
    <s v="VIA AMANCAY SANTARUFINA PUEBLO NUEVO 1,7 KM"/>
    <x v="2"/>
    <s v="CHAGUARPAMBA"/>
    <s v="SANTA RUFINA"/>
    <s v="AD. DIRECTA"/>
    <s v="VIALSUR"/>
    <m/>
    <m/>
    <m/>
    <s v="Explotación  de material (incluye cargado)"/>
    <s v="m³."/>
    <n v="2.54"/>
    <n v="1100"/>
    <d v="2014-01-05T00:00:00"/>
    <d v="2014-05-31T00:00:00"/>
    <s v="EJECUTADO"/>
    <n v="2794"/>
    <m/>
    <m/>
    <m/>
  </r>
  <r>
    <x v="0"/>
    <m/>
    <s v="VIA AMANCAY SANTARUFINA PUEBLO NUEVO 1,7 KM"/>
    <x v="2"/>
    <s v="CHAGUARPAMBA"/>
    <s v="SANTA RUFINA"/>
    <s v="AD. DIRECTA"/>
    <s v="VIALSUR"/>
    <m/>
    <m/>
    <m/>
    <s v="Clasificación de material."/>
    <s v="m³."/>
    <n v="1.47"/>
    <n v="1100"/>
    <d v="2014-06-12T00:00:00"/>
    <d v="2014-06-30T00:00:00"/>
    <s v="EJECUTADO"/>
    <n v="1617"/>
    <m/>
    <m/>
    <m/>
  </r>
  <r>
    <x v="0"/>
    <m/>
    <s v="VIA AMANCAY SANTARUFINA PUEBLO NUEVO 1,7 KM"/>
    <x v="2"/>
    <s v="CHAGUARPAMBA"/>
    <s v="SANTA RUFINA"/>
    <s v="AD. DIRECTA"/>
    <s v="VIALSUR"/>
    <m/>
    <m/>
    <m/>
    <s v="Limpieza de derrumbes a maquina"/>
    <s v="m³."/>
    <n v="1.46"/>
    <n v="840"/>
    <d v="2014-01-01T00:00:00"/>
    <d v="2014-06-30T00:00:00"/>
    <s v="EJECUTADO"/>
    <n v="1226.4000000000001"/>
    <m/>
    <m/>
    <m/>
  </r>
  <r>
    <x v="0"/>
    <m/>
    <s v="VIA AMANCAY SANTARUFINA PUEBLO NUEVO 1,7 KM"/>
    <x v="2"/>
    <s v="CHAGUARPAMBA"/>
    <s v="SANTA RUFINA"/>
    <s v="AD. DIRECTA"/>
    <s v="VIALSUR"/>
    <m/>
    <n v="0.97"/>
    <m/>
    <s v="Mejoramiento de la subrasante con suelo seleccionado"/>
    <s v="m³."/>
    <n v="5.92"/>
    <n v="1070"/>
    <d v="2014-01-01T00:00:00"/>
    <d v="2014-04-30T00:00:00"/>
    <s v="EJECUTADO"/>
    <n v="6334.4"/>
    <m/>
    <m/>
    <m/>
  </r>
  <r>
    <x v="0"/>
    <m/>
    <s v="VIA AMANCAY SANTARUFINA PUEBLO NUEVO 1,7 KM"/>
    <x v="2"/>
    <s v="CHAGUARPAMBA"/>
    <s v="SANTA RUFINA"/>
    <s v="AD. DIRECTA"/>
    <s v="VIALSUR"/>
    <m/>
    <m/>
    <m/>
    <s v="Transporte de material de mejoramiento"/>
    <s v="m3/km."/>
    <n v="0.3"/>
    <n v="9596.6200000000008"/>
    <d v="2014-01-05T00:00:00"/>
    <d v="2014-06-30T00:00:00"/>
    <s v="EJECUTADO"/>
    <n v="2878.99"/>
    <m/>
    <m/>
    <m/>
  </r>
  <r>
    <x v="0"/>
    <s v="CALLES DE SANTA RUFINA  0,8 KM"/>
    <s v="CALLES DE SANTA RUFINA  0,8 KM"/>
    <x v="2"/>
    <s v="CHAGUARPAMBA"/>
    <s v="SANTA RUFINA"/>
    <s v="AD. DIRECTA"/>
    <s v="VIALSUR"/>
    <n v="0.8"/>
    <n v="0.8"/>
    <m/>
    <s v="Explotación  de material (incluye cargado)"/>
    <s v="m³."/>
    <n v="2.54"/>
    <n v="900"/>
    <d v="2014-01-05T00:00:00"/>
    <d v="2014-05-31T00:00:00"/>
    <s v="EJECUTADO"/>
    <n v="2286"/>
    <m/>
    <m/>
    <n v="8915.1"/>
  </r>
  <r>
    <x v="0"/>
    <m/>
    <s v="CALLES DE SANTA RUFINA  0,8 KM"/>
    <x v="2"/>
    <s v="CHAGUARPAMBA"/>
    <s v="SANTA RUFINA"/>
    <s v="AD. DIRECTA"/>
    <s v="VIALSUR"/>
    <m/>
    <m/>
    <m/>
    <s v="Clasificación de material."/>
    <s v="m³."/>
    <n v="1.47"/>
    <n v="750"/>
    <d v="2014-06-12T00:00:00"/>
    <d v="2014-06-30T00:00:00"/>
    <s v="EJECUTADO"/>
    <n v="1102.5"/>
    <m/>
    <m/>
    <m/>
  </r>
  <r>
    <x v="0"/>
    <m/>
    <s v="CALLES DE SANTA RUFINA  0,8 KM"/>
    <x v="2"/>
    <s v="CHAGUARPAMBA"/>
    <s v="SANTA RUFINA"/>
    <s v="AD. DIRECTA"/>
    <s v="VIALSUR"/>
    <m/>
    <m/>
    <m/>
    <s v="Limpieza de derrumbes a maquina"/>
    <s v="m³."/>
    <n v="1.46"/>
    <n v="480"/>
    <d v="2014-01-01T00:00:00"/>
    <d v="2014-06-30T00:00:00"/>
    <s v="EJECUTADO"/>
    <n v="700.8"/>
    <m/>
    <m/>
    <m/>
  </r>
  <r>
    <x v="0"/>
    <m/>
    <s v="CALLES DE SANTA RUFINA  0,8 KM"/>
    <x v="2"/>
    <s v="CHAGUARPAMBA"/>
    <s v="SANTA RUFINA"/>
    <s v="AD. DIRECTA"/>
    <s v="VIALSUR"/>
    <m/>
    <n v="0.49"/>
    <m/>
    <s v="Mejoramiento de la subrasante con suelo seleccionado"/>
    <s v="m³."/>
    <n v="5.92"/>
    <n v="540"/>
    <d v="2014-01-01T00:00:00"/>
    <d v="2014-04-30T00:00:00"/>
    <s v="EJECUTADO"/>
    <n v="3196.8"/>
    <m/>
    <m/>
    <m/>
  </r>
  <r>
    <x v="0"/>
    <m/>
    <s v="CALLES DE SANTA RUFINA  0,8 KM"/>
    <x v="2"/>
    <s v="CHAGUARPAMBA"/>
    <s v="SANTA RUFINA"/>
    <s v="AD. DIRECTA"/>
    <s v="VIALSUR"/>
    <m/>
    <m/>
    <m/>
    <s v="Transporte de material de mejoramiento"/>
    <s v="m3/km."/>
    <n v="0.3"/>
    <n v="5430"/>
    <d v="2014-01-05T00:00:00"/>
    <d v="2014-06-30T00:00:00"/>
    <s v="EJECUTADO"/>
    <n v="1629"/>
    <m/>
    <m/>
    <m/>
  </r>
  <r>
    <x v="0"/>
    <s v="VIA PANAMERICANA- LOZUMBE - CUCUMATE, L=7.7 KM (Chaguarpamba) Inicio 1 de Octubre . Fin  2 de Octubre"/>
    <s v="VIA PANAMERICANA- LOZUMBE - CUCUMATE, L=7.7 KM (Chaguarpamba) Inicio 1 de Octubre . Fin  2 de Octubre"/>
    <x v="2"/>
    <s v="CHAGUARPAMBA"/>
    <s v="SANTA RUFINA"/>
    <s v="AD. DIRECTA"/>
    <s v="VIALSUR"/>
    <n v="7.7"/>
    <m/>
    <m/>
    <s v="Limpieza de derrumbes a maquina"/>
    <s v="m³."/>
    <n v="1.46"/>
    <n v="400"/>
    <d v="2014-10-01T00:00:00"/>
    <d v="2014-10-02T00:00:00"/>
    <s v="EJECUTADO"/>
    <n v="584"/>
    <m/>
    <m/>
    <n v="6439.6"/>
  </r>
  <r>
    <x v="0"/>
    <m/>
    <s v="VIA PANAMERICANA- LOZUMBE - CUCUMATE, L=7.7 KM (Chaguarpamba) Inicio 1 de Octubre . Fin  2 de Octubre"/>
    <x v="2"/>
    <s v="CHAGUARPAMBA"/>
    <s v="SANTA RUFINA"/>
    <s v="AD. DIRECTA"/>
    <s v="VIALSUR"/>
    <m/>
    <n v="3.6399999999999997"/>
    <m/>
    <s v="Rasanteo y conformacion de cunetas con motoniveladora"/>
    <s v="m²."/>
    <n v="0.08"/>
    <n v="19995"/>
    <d v="2014-10-01T00:00:00"/>
    <d v="2014-10-02T00:00:00"/>
    <s v="EJECUTADO"/>
    <n v="1599.6"/>
    <m/>
    <m/>
    <m/>
  </r>
  <r>
    <x v="0"/>
    <m/>
    <s v="VIA PANAMERICANA- LOZUMBE - CUCUMATE, L=7.7 KM (Chaguarpamba) Inicio 1 de Octubre . Fin  2 de Octubre"/>
    <x v="2"/>
    <s v="CHAGUARPAMBA"/>
    <s v="SANTA RUFINA"/>
    <s v="AD. DIRECTA"/>
    <s v="VIALSUR"/>
    <m/>
    <n v="2.2199999999999998"/>
    <m/>
    <s v="Reconformación de la Subrazante"/>
    <s v="m²."/>
    <n v="0.35"/>
    <n v="12160"/>
    <d v="2014-10-01T00:00:00"/>
    <d v="2014-10-02T00:00:00"/>
    <s v="EJECUTADO"/>
    <n v="4256"/>
    <m/>
    <m/>
    <m/>
  </r>
  <r>
    <x v="0"/>
    <s v="VIA, ORIANGA-LA VICTORIA-SHOA, L=11,0 km. (Paltas)"/>
    <s v="VIA, ORIANGA-LA VICTORIA-SHOA, L=11,0 km. (Paltas)"/>
    <x v="2"/>
    <s v="PALTAS"/>
    <s v="ORIANGA"/>
    <s v="AD. DIRECTA"/>
    <s v="VIALSUR"/>
    <n v="11"/>
    <m/>
    <n v="1083"/>
    <s v="Explotación de material (incluye cargado)."/>
    <s v="m³."/>
    <n v="2.54"/>
    <n v="960"/>
    <d v="2014-01-02T00:00:00"/>
    <d v="2014-01-31T00:00:00"/>
    <s v="EJECUTADO"/>
    <n v="2438.4"/>
    <m/>
    <m/>
    <n v="22139.7"/>
  </r>
  <r>
    <x v="0"/>
    <m/>
    <s v="VIA, ORIANGA-LA VICTORIA-SHOA, L=11,0 km. (Paltas)"/>
    <x v="2"/>
    <s v="PALTAS"/>
    <s v="ORIANGA"/>
    <s v="AD. DIRECTA"/>
    <s v="VIALSUR"/>
    <m/>
    <m/>
    <n v="0"/>
    <s v="Limpieza de derrumbes a máquina"/>
    <s v="m³."/>
    <n v="1.46"/>
    <n v="1320"/>
    <d v="2014-06-01T00:00:00"/>
    <d v="2014-06-30T00:00:00"/>
    <s v="EJECUTADO"/>
    <n v="1927.2"/>
    <m/>
    <m/>
    <m/>
  </r>
  <r>
    <x v="0"/>
    <m/>
    <s v="VIA, ORIANGA-LA VICTORIA-SHOA, L=11,0 km. (Paltas)"/>
    <x v="2"/>
    <s v="PALTAS"/>
    <s v="ORIANGA"/>
    <s v="AD. DIRECTA"/>
    <s v="VIALSUR"/>
    <m/>
    <m/>
    <n v="0"/>
    <s v="Clasificación de material."/>
    <s v="m³."/>
    <n v="1.47"/>
    <n v="1700"/>
    <d v="2014-01-02T00:00:00"/>
    <d v="2014-01-31T00:00:00"/>
    <s v="EJECUTADO"/>
    <n v="2499"/>
    <m/>
    <m/>
    <m/>
  </r>
  <r>
    <x v="0"/>
    <m/>
    <s v="VIA, ORIANGA-LA VICTORIA-SHOA, L=11,0 km. (Paltas)"/>
    <x v="2"/>
    <s v="PALTAS"/>
    <s v="ORIANGA"/>
    <s v="AD. DIRECTA"/>
    <s v="VIALSUR"/>
    <m/>
    <n v="4.84"/>
    <n v="0"/>
    <s v="Rasanteo y conformacion de cunetas con motoniveladora"/>
    <s v="m²."/>
    <n v="0.08"/>
    <n v="26600"/>
    <d v="2014-01-02T00:00:00"/>
    <d v="2014-01-31T00:00:00"/>
    <s v="EJECUTADO"/>
    <n v="2128"/>
    <m/>
    <m/>
    <m/>
  </r>
  <r>
    <x v="0"/>
    <m/>
    <s v="VIA, ORIANGA-LA VICTORIA-SHOA, L=11,0 km. (Paltas)"/>
    <x v="2"/>
    <s v="PALTAS"/>
    <s v="ORIANGA"/>
    <s v="AD. DIRECTA"/>
    <s v="VIALSUR"/>
    <m/>
    <n v="1.3"/>
    <n v="0"/>
    <s v="Mejoramiento de la subrasante con suelo seleccionado"/>
    <s v="m³."/>
    <n v="5.92"/>
    <n v="1430"/>
    <d v="2014-01-02T00:00:00"/>
    <d v="2014-01-31T00:00:00"/>
    <s v="EJECUTADO"/>
    <n v="8465.6"/>
    <m/>
    <m/>
    <m/>
  </r>
  <r>
    <x v="0"/>
    <m/>
    <s v="VIA, ORIANGA-LA VICTORIA-SHOA, L=11,0 km. (Paltas)"/>
    <x v="2"/>
    <s v="PALTAS"/>
    <s v="ORIANGA"/>
    <s v="AD. DIRECTA"/>
    <s v="VIALSUR"/>
    <m/>
    <m/>
    <n v="0"/>
    <s v="Transporte de material para mejoramiento, inc. cargado"/>
    <s v="m³/km."/>
    <n v="0.3"/>
    <n v="15605"/>
    <d v="2014-01-02T00:00:00"/>
    <d v="2014-06-30T00:00:00"/>
    <s v="EJECUTADO"/>
    <n v="4681.5"/>
    <m/>
    <m/>
    <m/>
  </r>
  <r>
    <x v="0"/>
    <s v="VIA RIO PINDO  LAS JUNTAS ORIANGA L=17,8 KM (PALTAS)"/>
    <s v="VIA RIO PINDO  LAS JUNTAS ORIANGA L=17,8 KM (PALTAS)"/>
    <x v="2"/>
    <s v="PALTAS"/>
    <s v="ORIANGA"/>
    <s v="AD. DIRECTA"/>
    <s v="VIALSUR"/>
    <n v="17.8"/>
    <m/>
    <n v="1083"/>
    <s v="Limpieza de derrumbes a máquina"/>
    <s v="m³."/>
    <n v="1.46"/>
    <n v="17120"/>
    <d v="2014-01-19T00:00:00"/>
    <d v="2014-06-30T00:00:00"/>
    <s v="EJECUTADO"/>
    <n v="24995.200000000001"/>
    <m/>
    <m/>
    <n v="85847.71"/>
  </r>
  <r>
    <x v="0"/>
    <m/>
    <s v="VIA RIO PINDO  LAS JUNTAS ORIANGA L=17,8 KM (PALTAS)"/>
    <x v="2"/>
    <s v="PALTAS"/>
    <s v="ORIANGA"/>
    <s v="AD. DIRECTA"/>
    <s v="VIALSUR"/>
    <m/>
    <m/>
    <n v="0"/>
    <s v="Excavación sin clasificar a maquina (estabilización de talud)"/>
    <s v="m³."/>
    <n v="1.62"/>
    <n v="36270"/>
    <d v="2014-07-19T00:00:00"/>
    <d v="2014-07-31T00:00:00"/>
    <s v="EJECUTADO"/>
    <n v="58757.4"/>
    <m/>
    <m/>
    <m/>
  </r>
  <r>
    <x v="0"/>
    <m/>
    <s v="VIA RIO PINDO  LAS JUNTAS ORIANGA L=17,8 KM (PALTAS)"/>
    <x v="2"/>
    <s v="PALTAS"/>
    <s v="ORIANGA"/>
    <s v="AD. DIRECTA"/>
    <s v="VIALSUR"/>
    <m/>
    <m/>
    <n v="0"/>
    <s v="Transporte de material excavado, inc. cargado"/>
    <s v="m³/km."/>
    <n v="0.38"/>
    <n v="5513.44"/>
    <d v="2014-07-19T00:00:00"/>
    <d v="2014-07-31T00:00:00"/>
    <s v="EJECUTADO"/>
    <n v="2095.11"/>
    <m/>
    <m/>
    <m/>
  </r>
  <r>
    <x v="0"/>
    <s v="VIA RIO PINDO  LAS JUNTAS ORIANGA L=23.2 KM (PALTAS)"/>
    <s v="VIA RIO PINDO  LAS JUNTAS ORIANGA L=23.2 KM (PALTAS)"/>
    <x v="2"/>
    <s v="PALTAS"/>
    <s v="ORIANGA"/>
    <s v="AD. DIRECTA"/>
    <s v="VIALSUR"/>
    <n v="23.2"/>
    <m/>
    <n v="1083"/>
    <s v="Excavación sin clasificar a maquina"/>
    <s v="m³."/>
    <n v="1.62"/>
    <n v="5580"/>
    <d v="2014-06-01T00:00:00"/>
    <d v="2014-07-31T00:00:00"/>
    <s v="EJECUTADO"/>
    <n v="9039.6"/>
    <m/>
    <m/>
    <n v="116319.3"/>
  </r>
  <r>
    <x v="0"/>
    <m/>
    <s v="VIA RIO PINDO  LAS JUNTAS ORIANGA L=23.2 KM (PALTAS)"/>
    <x v="2"/>
    <s v="PALTAS"/>
    <s v="ORIANGA"/>
    <s v="AD. DIRECTA"/>
    <s v="VIALSUR"/>
    <m/>
    <m/>
    <n v="0"/>
    <s v="Limpieza de derrumbes a máquina"/>
    <s v="m³."/>
    <n v="1.46"/>
    <n v="7045"/>
    <d v="2014-06-01T00:00:00"/>
    <d v="2014-07-31T00:00:00"/>
    <s v="EJECUTADO"/>
    <n v="10285.700000000001"/>
    <m/>
    <m/>
    <m/>
  </r>
  <r>
    <x v="0"/>
    <m/>
    <s v="VIA RIO PINDO  LAS JUNTAS ORIANGA L=23.2 KM (PALTAS)"/>
    <x v="2"/>
    <s v="PALTAS"/>
    <s v="ORIANGA"/>
    <s v="AD. DIRECTA"/>
    <s v="VIALSUR"/>
    <m/>
    <n v="25.01"/>
    <n v="0"/>
    <s v="Reconformación de la Subrazante"/>
    <s v="m³."/>
    <n v="0.35"/>
    <n v="137520"/>
    <d v="2014-06-01T00:00:00"/>
    <d v="2014-06-30T00:00:00"/>
    <s v="EJECUTADO"/>
    <n v="48132"/>
    <m/>
    <m/>
    <m/>
  </r>
  <r>
    <x v="0"/>
    <m/>
    <s v="VIA RIO PINDO  LAS JUNTAS ORIANGA L=23.2 KM (PALTAS)"/>
    <x v="2"/>
    <s v="PALTAS"/>
    <s v="ORIANGA"/>
    <s v="AD. DIRECTA"/>
    <s v="VIALSUR"/>
    <m/>
    <n v="1.18"/>
    <n v="0"/>
    <s v="Mejoramiento de la subrasante con suelo seleccionado"/>
    <s v="m³."/>
    <n v="5.92"/>
    <n v="1297"/>
    <d v="2014-01-02T00:00:00"/>
    <d v="2014-01-31T00:00:00"/>
    <s v="EJECUTADO"/>
    <n v="7678.24"/>
    <m/>
    <m/>
    <m/>
  </r>
  <r>
    <x v="0"/>
    <m/>
    <s v="VIA RIO PINDO  LAS JUNTAS ORIANGA L=23.2 KM (PALTAS)"/>
    <x v="2"/>
    <s v="PALTAS"/>
    <s v="ORIANGA"/>
    <s v="AD. DIRECTA"/>
    <s v="VIALSUR"/>
    <m/>
    <n v="0.18000000000000002"/>
    <n v="0"/>
    <s v="Excavación y Relleno compactado, con material mejorado"/>
    <s v="m³."/>
    <n v="7.6"/>
    <n v="955"/>
    <d v="2014-07-01T00:00:00"/>
    <d v="2014-07-31T00:00:00"/>
    <s v="EJECUTADO"/>
    <n v="7258"/>
    <m/>
    <m/>
    <m/>
  </r>
  <r>
    <x v="0"/>
    <m/>
    <s v="VIA RIO PINDO  LAS JUNTAS ORIANGA L=23.2 KM (PALTAS)"/>
    <x v="2"/>
    <s v="PALTAS"/>
    <s v="ORIANGA"/>
    <s v="AD. DIRECTA"/>
    <s v="VIALSUR"/>
    <m/>
    <n v="3.8499999999999996"/>
    <n v="0"/>
    <s v="Clasificación de material."/>
    <s v="m³."/>
    <n v="1.47"/>
    <n v="21150"/>
    <d v="2014-07-01T00:00:00"/>
    <d v="2014-07-31T00:00:00"/>
    <s v="EJECUTADO"/>
    <n v="31090.5"/>
    <m/>
    <m/>
    <m/>
  </r>
  <r>
    <x v="0"/>
    <m/>
    <s v="VIA RIO PINDO  LAS JUNTAS ORIANGA L=23.2 KM (PALTAS)"/>
    <x v="2"/>
    <s v="PALTAS"/>
    <s v="ORIANGA"/>
    <s v="AD. DIRECTA"/>
    <s v="VIALSUR"/>
    <m/>
    <n v="1.36"/>
    <n v="0"/>
    <s v="Transporte de material para mejoramiento, inc. cargado"/>
    <s v="m³/km."/>
    <n v="0.38"/>
    <n v="7461.2"/>
    <d v="2014-07-01T00:00:00"/>
    <d v="2014-07-31T00:00:00"/>
    <s v="EJECUTADO"/>
    <n v="2835.26"/>
    <m/>
    <m/>
    <m/>
  </r>
  <r>
    <x v="0"/>
    <s v="CALLES DE ORIANGA, L=1,0 km.  (Paltas)"/>
    <s v="CALLES DE ORIANGA, L=1,0 km.  (Paltas)"/>
    <x v="2"/>
    <s v="PALTAS"/>
    <s v="ORIANGA"/>
    <s v="AD. DIRECTA"/>
    <s v="VIALSUR"/>
    <n v="1"/>
    <m/>
    <n v="1083"/>
    <s v="Clasificación de material."/>
    <s v="m³."/>
    <n v="1.47"/>
    <n v="300"/>
    <d v="2014-07-16T00:00:00"/>
    <d v="2014-07-31T00:00:00"/>
    <s v="EJECUTADO"/>
    <n v="441"/>
    <m/>
    <m/>
    <n v="793.22"/>
  </r>
  <r>
    <x v="0"/>
    <s v="CALLES DE ORIANGA, L=1,0 km.  (Paltas)"/>
    <s v="CALLES DE ORIANGA, L=1,0 km.  (Paltas)"/>
    <x v="2"/>
    <s v="PALTAS"/>
    <s v="ORIANGA"/>
    <s v="AD. DIRECTA"/>
    <s v="VIALSUR"/>
    <m/>
    <m/>
    <n v="0"/>
    <s v="Transporte de material para mejoramiento, inc. cargado"/>
    <s v="m³/km."/>
    <n v="0.38"/>
    <n v="926.9"/>
    <d v="2014-07-16T00:00:00"/>
    <d v="2014-07-31T00:00:00"/>
    <s v="EJECUTADO"/>
    <n v="352.22"/>
    <m/>
    <m/>
    <m/>
  </r>
  <r>
    <x v="0"/>
    <s v="VIA, ORIANGA-EL TRIUNFO- NARANJILLO- NARANJITO- TUNIMA, L=38.9 km. (Paltas)"/>
    <s v="VIA, ORIANGA-EL TRIUNFO- NARANJILLO- NARANJITO- TUNIMA, L=38.9 km. (Paltas)"/>
    <x v="2"/>
    <s v="PALTAS"/>
    <s v="ORIANGA"/>
    <s v="AD. DIRECTA"/>
    <s v="VIALSUR"/>
    <n v="38.9"/>
    <m/>
    <n v="1083"/>
    <s v="Limpieza de derrumbes a máquina"/>
    <s v="m³."/>
    <n v="1.46"/>
    <n v="15990"/>
    <d v="2014-09-06T00:00:00"/>
    <d v="2014-10-24T00:00:00"/>
    <s v="EJECUTADO"/>
    <n v="23345.4"/>
    <m/>
    <m/>
    <n v="23345.4"/>
  </r>
  <r>
    <x v="0"/>
    <s v="VIA, ORIANGA- L. GUERRERO (LIM PARROQUIAL), L=5.8 km. (Paltas) Inicio 23 nov. Fin 29 de nov"/>
    <s v="VIA, ORIANGA- L. GUERRERO (LIM PARROQUIAL), L=5.8 km. (Paltas) Inicio 23 nov. Fin 29 de nov"/>
    <x v="2"/>
    <s v="PALTAS"/>
    <s v="ORIANGA"/>
    <s v="AD. DIRECTA"/>
    <s v="VIALSUR"/>
    <n v="5.8"/>
    <m/>
    <n v="1083"/>
    <s v="Limpieza de derrumbes a máquina"/>
    <s v="m³."/>
    <n v="1.46"/>
    <n v="3870"/>
    <d v="2014-11-23T00:00:00"/>
    <d v="2014-11-29T00:00:00"/>
    <s v="EJECUTADO"/>
    <n v="5650.2"/>
    <m/>
    <m/>
    <n v="5650.2"/>
  </r>
  <r>
    <x v="0"/>
    <s v="VIAS DESDE ORIANGA A, GUAYACAN Y LA VEGA. (Paltas)"/>
    <s v="VIAS DESDE ORIANGA A, GUAYACAN Y LA VEGA. (Paltas)"/>
    <x v="2"/>
    <s v="PALTAS"/>
    <s v="ORIANGA"/>
    <s v="AD. DIRECTA"/>
    <s v="VIALSUR"/>
    <n v="4.5"/>
    <m/>
    <n v="1083"/>
    <s v="Limpieza de derrumbes a máquina"/>
    <s v="m³."/>
    <n v="1.46"/>
    <n v="2880"/>
    <d v="2014-02-17T00:00:00"/>
    <d v="2014-04-30T00:00:00"/>
    <s v="EJECUTADO"/>
    <n v="4204.8"/>
    <m/>
    <m/>
    <n v="4204.8"/>
  </r>
  <r>
    <x v="0"/>
    <s v="VIA, LA PALMA-EL PLACER, L=11,1 km. (Paltas)( RETROEXCAVADORA DE LA JUNTA PARROQUIAL)"/>
    <s v="VIA, LA PALMA-EL PLACER, L=11,1 km. (Paltas)( RETROEXCAVADORA DE LA JUNTA PARROQUIAL)"/>
    <x v="2"/>
    <s v="PALTAS"/>
    <s v="LAUROGUERRERO"/>
    <s v="AD. DIRECTA"/>
    <s v="VIALSUR"/>
    <n v="11.1"/>
    <m/>
    <n v="1092"/>
    <s v="Explotación de material (incluye cargado)."/>
    <s v="m³."/>
    <n v="2.54"/>
    <n v="640"/>
    <d v="2014-02-03T00:00:00"/>
    <d v="2014-02-07T00:00:00"/>
    <s v="EJECUTADO"/>
    <n v="1625.6"/>
    <m/>
    <m/>
    <n v="1821.11"/>
  </r>
  <r>
    <x v="0"/>
    <m/>
    <s v="VIA, LA PALMA-EL PLACER, L=11,1 km. (Paltas)( RETROEXCAVADORA DE LA JUNTA PARROQUIAL)"/>
    <x v="2"/>
    <s v="PALTAS"/>
    <s v="LAUROGUERRERO"/>
    <s v="AD. DIRECTA"/>
    <s v="VIALSUR"/>
    <m/>
    <m/>
    <n v="0"/>
    <s v="Transporte de material para mejoramiento, inc. cargado"/>
    <s v="m³/km."/>
    <n v="0.38"/>
    <n v="514.5"/>
    <d v="2014-02-03T00:00:00"/>
    <d v="2014-02-07T00:00:00"/>
    <s v="EJECUTADO"/>
    <n v="195.51"/>
    <m/>
    <m/>
    <m/>
  </r>
  <r>
    <x v="0"/>
    <s v="VIAS DE LA PARROQUIA YAMANA, L=6,90 km. (Paltas)"/>
    <s v="VIAS DE LA PARROQUIA YAMANA, L=6,90 km. (Paltas)"/>
    <x v="2"/>
    <s v="PALTAS"/>
    <s v="YAMANA"/>
    <s v="AD. DIRECTA"/>
    <s v="VIALSUR"/>
    <n v="6.9"/>
    <n v="4.97"/>
    <n v="797"/>
    <s v="Rasanteo y conformacion de cunetas con motoniveladora"/>
    <s v="m²."/>
    <n v="0.08"/>
    <n v="27300"/>
    <d v="2014-01-02T00:00:00"/>
    <d v="2014-01-05T00:00:00"/>
    <s v="EJECUTADO"/>
    <n v="2184"/>
    <m/>
    <m/>
    <n v="2184"/>
  </r>
  <r>
    <x v="0"/>
    <s v="VIA, PLAYAS-YAMANA, L=3,8 km. (Paltas)"/>
    <s v="VIA, PLAYAS-YAMANA, L=3,8 km. (Paltas)"/>
    <x v="2"/>
    <s v="PALTAS"/>
    <s v="YAMANA"/>
    <s v="AD. DIRECTA"/>
    <s v="VIALSUR"/>
    <n v="3.8"/>
    <m/>
    <n v="797"/>
    <s v="Clasificación de material."/>
    <s v="m³."/>
    <n v="1.47"/>
    <n v="1325"/>
    <d v="2014-01-02T00:00:00"/>
    <d v="2014-01-11T00:00:00"/>
    <s v="EJECUTADO"/>
    <n v="1947.75"/>
    <m/>
    <m/>
    <n v="9294.8599999999988"/>
  </r>
  <r>
    <x v="0"/>
    <m/>
    <s v="VIA, PLAYAS-YAMANA, L=3,8 km. (Paltas)"/>
    <x v="2"/>
    <s v="PALTAS"/>
    <s v="YAMANA"/>
    <s v="AD. DIRECTA"/>
    <s v="VIALSUR"/>
    <m/>
    <n v="1.08"/>
    <n v="0"/>
    <s v="Mejoramiento de la subrasante con suelo seleccionado"/>
    <s v="m³."/>
    <n v="5.92"/>
    <n v="1192"/>
    <d v="2014-01-02T00:00:00"/>
    <d v="2014-01-11T00:00:00"/>
    <s v="EJECUTADO"/>
    <n v="7056.64"/>
    <m/>
    <m/>
    <m/>
  </r>
  <r>
    <x v="0"/>
    <m/>
    <s v="VIA, PLAYAS-YAMANA, L=3,8 km. (Paltas)"/>
    <x v="2"/>
    <s v="PALTAS"/>
    <s v="YAMANA"/>
    <s v="AD. DIRECTA"/>
    <s v="VIALSUR"/>
    <m/>
    <m/>
    <n v="0"/>
    <s v="Transporte de material para mejoramiento, inc. cargado"/>
    <s v="m³/km."/>
    <n v="0.38"/>
    <n v="764.4"/>
    <d v="2014-01-02T00:00:00"/>
    <d v="2014-01-11T00:00:00"/>
    <s v="EJECUTADO"/>
    <n v="290.47000000000003"/>
    <m/>
    <m/>
    <m/>
  </r>
  <r>
    <x v="0"/>
    <s v="VIA, SAN ANTONIO-EL SAUCE, L=9,7 km. (Paltas)"/>
    <s v="VIA, SAN ANTONIO-EL SAUCE, L=9,7 km. (Paltas)"/>
    <x v="2"/>
    <s v="PALTAS"/>
    <s v="SANANTONIO"/>
    <s v="AD. DIRECTA"/>
    <s v="VIALSUR"/>
    <n v="9.6999999999999993"/>
    <m/>
    <n v="639"/>
    <s v="Explotación de material (incluye cargado)."/>
    <s v="m³."/>
    <n v="2.54"/>
    <n v="10895"/>
    <d v="2014-01-16T00:00:00"/>
    <d v="2014-03-31T00:00:00"/>
    <s v="EJECUTADO"/>
    <n v="27673.3"/>
    <m/>
    <m/>
    <n v="105800.52"/>
  </r>
  <r>
    <x v="0"/>
    <m/>
    <s v="VIA, SAN ANTONIO-EL SAUCE, L=9,7 km. (Paltas)"/>
    <x v="2"/>
    <s v="PALTAS"/>
    <s v="SANANTONIO"/>
    <s v="AD. DIRECTA"/>
    <s v="VIALSUR"/>
    <m/>
    <m/>
    <m/>
    <s v="Clasificación de material."/>
    <s v="m³."/>
    <n v="1.47"/>
    <n v="8985"/>
    <d v="2014-01-16T00:00:00"/>
    <d v="2014-03-31T00:00:00"/>
    <s v="EJECUTADO"/>
    <n v="13207.95"/>
    <m/>
    <m/>
    <m/>
  </r>
  <r>
    <x v="0"/>
    <m/>
    <s v="VIA, SAN ANTONIO-EL SAUCE, L=9,7 km. (Paltas)"/>
    <x v="2"/>
    <s v="PALTAS"/>
    <s v="SANANTONIO"/>
    <s v="AD. DIRECTA"/>
    <s v="VIALSUR"/>
    <m/>
    <n v="4.0699999999999994"/>
    <m/>
    <s v="Rasanteo y conformacion de cunetas con motoniveladora"/>
    <s v="m²."/>
    <n v="0.08"/>
    <n v="22344"/>
    <d v="2014-01-16T00:00:00"/>
    <d v="2014-03-31T00:00:00"/>
    <s v="EJECUTADO"/>
    <n v="1787.52"/>
    <m/>
    <m/>
    <m/>
  </r>
  <r>
    <x v="0"/>
    <m/>
    <s v="VIA, SAN ANTONIO-EL SAUCE, L=9,7 km. (Paltas)"/>
    <x v="2"/>
    <s v="PALTAS"/>
    <s v="SANANTONIO"/>
    <s v="AD. DIRECTA"/>
    <s v="VIALSUR"/>
    <m/>
    <n v="8.19"/>
    <m/>
    <s v="Mejoramiento de la subrasante con suelo seleccionado"/>
    <s v="m³."/>
    <n v="5.92"/>
    <n v="9011"/>
    <d v="2014-01-16T00:00:00"/>
    <d v="2014-03-31T00:00:00"/>
    <s v="EJECUTADO"/>
    <n v="53345.120000000003"/>
    <m/>
    <m/>
    <m/>
  </r>
  <r>
    <x v="0"/>
    <m/>
    <s v="VIA, SAN ANTONIO-EL SAUCE, L=9,7 km. (Paltas)"/>
    <x v="2"/>
    <s v="PALTAS"/>
    <s v="SANANTONIO"/>
    <s v="AD. DIRECTA"/>
    <s v="VIALSUR"/>
    <m/>
    <m/>
    <m/>
    <s v="Transporte de material para mejoramiento, inc. cargado"/>
    <s v="m³/km."/>
    <n v="0.35"/>
    <n v="27961.8"/>
    <d v="2014-01-16T00:00:00"/>
    <d v="2014-03-31T00:00:00"/>
    <s v="EJECUTADO"/>
    <n v="9786.6299999999992"/>
    <m/>
    <m/>
    <m/>
  </r>
  <r>
    <x v="0"/>
    <s v="VIA, SAN ANTONIO-YAMANA, L=2.8 km. (Paltas) Inicio: 22 de marzo"/>
    <s v="VIA, SAN ANTONIO-YAMANA, L=2.8 km. (Paltas) Inicio: 22 de marzo"/>
    <x v="2"/>
    <s v="PALTAS"/>
    <s v="SANANTONIO"/>
    <s v="AD. DIRECTA"/>
    <s v="VIALSUR"/>
    <n v="5.7"/>
    <m/>
    <m/>
    <s v="Explotación de material (incluye cargado)."/>
    <s v="m³."/>
    <n v="2.54"/>
    <n v="880"/>
    <d v="2014-03-21T00:00:00"/>
    <d v="2014-03-31T00:00:00"/>
    <s v="EJECUTADO"/>
    <n v="2235.1999999999998"/>
    <m/>
    <m/>
    <n v="19205.28"/>
  </r>
  <r>
    <x v="0"/>
    <m/>
    <s v="VIA, SAN ANTONIO-YAMANA, L=2.8 km. (Paltas) Inicio: 22 de marzo"/>
    <x v="2"/>
    <s v="PALTAS"/>
    <s v="SANANTONIO"/>
    <s v="AD. DIRECTA"/>
    <s v="VIALSUR"/>
    <m/>
    <m/>
    <m/>
    <s v="Excavación sin clasificar a maquina (Ampliación de la vía)"/>
    <s v="m³."/>
    <n v="1.62"/>
    <n v="4070"/>
    <d v="2014-03-21T00:00:00"/>
    <d v="2014-03-31T00:00:00"/>
    <s v="EJECUTADO"/>
    <n v="6593.4"/>
    <m/>
    <m/>
    <m/>
  </r>
  <r>
    <x v="0"/>
    <m/>
    <s v="VIA, SAN ANTONIO-YAMANA, L=2.8 km. (Paltas) Inicio: 22 de marzo"/>
    <x v="2"/>
    <s v="PALTAS"/>
    <s v="SANANTONIO"/>
    <s v="AD. DIRECTA"/>
    <s v="VIALSUR"/>
    <m/>
    <m/>
    <m/>
    <s v="Clasificación de material."/>
    <s v="m³."/>
    <n v="1.47"/>
    <n v="2400"/>
    <d v="2014-03-21T00:00:00"/>
    <d v="2014-03-31T00:00:00"/>
    <s v="EJECUTADO"/>
    <n v="3528"/>
    <m/>
    <m/>
    <m/>
  </r>
  <r>
    <x v="0"/>
    <m/>
    <s v="VIA, SAN ANTONIO-YAMANA, L=2.8 km. (Paltas) Inicio: 22 de marzo"/>
    <x v="2"/>
    <s v="PALTAS"/>
    <s v="SANANTONIO"/>
    <s v="AD. DIRECTA"/>
    <s v="VIALSUR"/>
    <m/>
    <n v="3.6399999999999997"/>
    <m/>
    <s v="Rasanteo y conformacion de cunetas con motoniveladora"/>
    <s v="m²."/>
    <n v="0.08"/>
    <n v="20000"/>
    <d v="2014-03-21T00:00:00"/>
    <d v="2014-03-31T00:00:00"/>
    <s v="EJECUTADO"/>
    <n v="1600"/>
    <m/>
    <m/>
    <m/>
  </r>
  <r>
    <x v="0"/>
    <m/>
    <s v="VIA, SAN ANTONIO-YAMANA, L=2.8 km. (Paltas) Inicio: 22 de marzo"/>
    <x v="2"/>
    <s v="PALTAS"/>
    <s v="SANANTONIO"/>
    <s v="AD. DIRECTA"/>
    <s v="VIALSUR"/>
    <m/>
    <n v="0.76"/>
    <m/>
    <s v="Mejoramiento de la subrasante con suelo seleccionado"/>
    <s v="m³."/>
    <n v="5.92"/>
    <n v="840"/>
    <d v="2014-03-21T00:00:00"/>
    <d v="2014-03-31T00:00:00"/>
    <s v="EJECUTADO"/>
    <n v="4972.8"/>
    <m/>
    <m/>
    <m/>
  </r>
  <r>
    <x v="0"/>
    <m/>
    <s v="VIA, SAN ANTONIO-YAMANA, L=2.8 km. (Paltas) Inicio: 22 de marzo"/>
    <x v="2"/>
    <s v="PALTAS"/>
    <s v="SANANTONIO"/>
    <s v="AD. DIRECTA"/>
    <s v="VIALSUR"/>
    <m/>
    <m/>
    <m/>
    <s v="Transporte de material para mejoramiento, inc. cargado"/>
    <s v="m³/km."/>
    <n v="0.38"/>
    <n v="726"/>
    <d v="2014-03-21T00:00:00"/>
    <d v="2014-03-31T00:00:00"/>
    <s v="EJECUTADO"/>
    <n v="275.88"/>
    <m/>
    <m/>
    <m/>
  </r>
  <r>
    <x v="0"/>
    <s v="VIAS DE ACCESO A LOS BARRIOS, STO. DOMINGO, L=3.8 km. CHORRERA L=0.8 km. (Paltas)"/>
    <s v="VIAS DE ACCESO A LOS BARRIOS, STO. DOMINGO, L=3.8 km. CHORRERA L=0.8 km. (Paltas)"/>
    <x v="2"/>
    <s v="PALTAS"/>
    <s v="SANANTONIO"/>
    <s v="AD. DIRECTA"/>
    <s v="VIALSUR"/>
    <n v="0.8"/>
    <n v="2.96"/>
    <n v="639"/>
    <s v="Rasanteo y conformacion de cunetas con motoniveladora"/>
    <s v="m²."/>
    <n v="0.08"/>
    <n v="16280"/>
    <d v="2014-04-01T00:00:00"/>
    <d v="2014-04-30T00:00:00"/>
    <s v="EJECUTADO"/>
    <n v="1302.4000000000001"/>
    <m/>
    <m/>
    <n v="1302.4000000000001"/>
  </r>
  <r>
    <x v="0"/>
    <s v="VIAS DE ACCESO A LOS BARRIOS, SACAPIANGA Y SAN ANTONIO BAJO"/>
    <s v="VIAS DE ACCESO A LOS BARRIOS, SACAPIANGA Y SAN ANTONIO BAJO"/>
    <x v="2"/>
    <s v="PALTAS"/>
    <s v="SANANTONIO"/>
    <s v="AD. DIRECTA"/>
    <s v="VIALSUR"/>
    <n v="4.2"/>
    <n v="3.44"/>
    <n v="639"/>
    <s v="Rasanteo y conformacion de cunetas con motoniveladora"/>
    <s v="m²."/>
    <n v="0.08"/>
    <n v="18900"/>
    <d v="2014-02-01T00:00:00"/>
    <d v="2014-02-03T00:00:00"/>
    <s v="EJECUTADO"/>
    <n v="1512"/>
    <m/>
    <m/>
    <n v="1512"/>
  </r>
  <r>
    <x v="0"/>
    <s v="VIA EL LIMON GUACHANAMA LAURO GUERRERO"/>
    <s v="VIA EL LIMON GUACHANAMA LAURO GUERRERO"/>
    <x v="2"/>
    <s v="PALTAS"/>
    <s v="SANANTONIO"/>
    <s v="AD. DIRECTA"/>
    <s v="VIALSUR"/>
    <m/>
    <m/>
    <m/>
    <s v="Limpieza de derrumbes a máquina"/>
    <s v="m³."/>
    <n v="1.46"/>
    <n v="1440"/>
    <d v="2014-03-21T00:00:00"/>
    <d v="2014-05-31T00:00:00"/>
    <s v="EJECUTADO"/>
    <n v="2102.4"/>
    <n v="1226.4000000000001"/>
    <m/>
    <n v="2102.4"/>
  </r>
  <r>
    <x v="0"/>
    <s v="VIA GUACHANAMA CELICA 9,6 KM"/>
    <s v="VIA GUACHANAMA CELICA 9,6 KM"/>
    <x v="2"/>
    <s v="PALTAS"/>
    <s v="GUACHANAMA"/>
    <s v="AD. DIRECTA"/>
    <s v="VIALSUR"/>
    <n v="9.6"/>
    <m/>
    <m/>
    <s v="Limpieza de derrumbes a máquina"/>
    <s v="m³."/>
    <n v="1.46"/>
    <n v="2240"/>
    <d v="2014-08-13T00:00:00"/>
    <d v="2014-08-27T00:00:00"/>
    <s v="EJECUTADO"/>
    <n v="3270.4"/>
    <m/>
    <m/>
    <n v="27504.850000000002"/>
  </r>
  <r>
    <x v="0"/>
    <m/>
    <s v="VIA GUACHANAMA CELICA 9,6 KM"/>
    <x v="2"/>
    <s v="PALTAS"/>
    <s v="GUACHANAMA"/>
    <s v="AD. DIRECTA"/>
    <s v="VIALSUR"/>
    <m/>
    <n v="8.73"/>
    <m/>
    <s v="Reconformación de la Subrazante"/>
    <s v="m²."/>
    <n v="0.35"/>
    <n v="48000"/>
    <d v="2014-01-01T00:00:00"/>
    <d v="2014-06-30T00:00:00"/>
    <s v="EJECUTADO"/>
    <n v="16800"/>
    <m/>
    <m/>
    <m/>
  </r>
  <r>
    <x v="0"/>
    <m/>
    <s v="VIA GUACHANAMA CELICA 9,6 KM"/>
    <x v="2"/>
    <s v="PALTAS"/>
    <s v="GUACHANAMA"/>
    <s v="AD. DIRECTA"/>
    <s v="VIALSUR"/>
    <m/>
    <n v="0.64"/>
    <m/>
    <s v="Mejoramiento de la subrasante con suelo seleccionado"/>
    <s v="m³."/>
    <n v="5.92"/>
    <n v="700"/>
    <d v="2014-01-01T00:00:00"/>
    <d v="2014-04-30T00:00:00"/>
    <s v="EJECUTADO"/>
    <n v="4144"/>
    <m/>
    <m/>
    <m/>
  </r>
  <r>
    <x v="0"/>
    <m/>
    <s v="VIA GUACHANAMA CELICA 9,6 KM"/>
    <x v="2"/>
    <s v="PALTAS"/>
    <s v="GUACHANAMA"/>
    <s v="AD. DIRECTA"/>
    <s v="VIALSUR"/>
    <m/>
    <m/>
    <m/>
    <s v="Transporte de material de mejoramiento"/>
    <s v="m3/km."/>
    <n v="0.3"/>
    <n v="6852.16"/>
    <d v="2014-01-05T00:00:00"/>
    <d v="2014-06-30T00:00:00"/>
    <s v="EJECUTADO"/>
    <n v="2055.65"/>
    <m/>
    <m/>
    <m/>
  </r>
  <r>
    <x v="0"/>
    <m/>
    <s v="VIA GUACHANAMA CELICA 9,6 KM"/>
    <x v="2"/>
    <s v="PALTAS"/>
    <s v="GUACHANAMA"/>
    <s v="AD. DIRECTA"/>
    <s v="VIALSUR"/>
    <m/>
    <m/>
    <m/>
    <s v="Clasificación de material."/>
    <s v="m³."/>
    <n v="1.47"/>
    <n v="840"/>
    <d v="2014-06-12T00:00:00"/>
    <d v="2014-06-30T00:00:00"/>
    <s v="EJECUTADO"/>
    <n v="1234.8"/>
    <m/>
    <m/>
    <m/>
  </r>
  <r>
    <x v="0"/>
    <s v="VIA GUACHANAMA LA SALERA 17,1 KM"/>
    <s v="VIA GUACHANAMA LA SALERA 17,1 KM"/>
    <x v="2"/>
    <s v="PALTAS"/>
    <s v="GUACHANAMA"/>
    <s v="AD. DIRECTA"/>
    <s v="VIALSUR"/>
    <n v="17.100000000000001"/>
    <m/>
    <m/>
    <s v="Explotación  de material (incluye cargado)"/>
    <s v="m³."/>
    <n v="2.54"/>
    <n v="950"/>
    <d v="2014-01-01T00:00:00"/>
    <d v="2014-06-30T00:00:00"/>
    <s v="EJECUTADO"/>
    <n v="2413"/>
    <m/>
    <m/>
    <n v="57659.130000000005"/>
  </r>
  <r>
    <x v="0"/>
    <m/>
    <s v="VIA GUACHANAMA LA SALERA 17,1 KM"/>
    <x v="2"/>
    <s v="PALTAS"/>
    <s v="GUACHANAMA"/>
    <s v="AD. DIRECTA"/>
    <s v="VIALSUR"/>
    <m/>
    <m/>
    <m/>
    <s v="Limpieza de derrumbes a maquina"/>
    <s v="m³."/>
    <n v="1.46"/>
    <n v="2265"/>
    <d v="2014-01-01T00:00:00"/>
    <d v="2014-06-30T00:00:00"/>
    <s v="EJECUTADO"/>
    <n v="3306.9"/>
    <m/>
    <m/>
    <m/>
  </r>
  <r>
    <x v="0"/>
    <m/>
    <s v="VIA GUACHANAMA LA SALERA 17,1 KM"/>
    <x v="2"/>
    <s v="PALTAS"/>
    <s v="GUACHANAMA"/>
    <s v="AD. DIRECTA"/>
    <s v="VIALSUR"/>
    <m/>
    <n v="1.64"/>
    <m/>
    <s v="Razanteo y reconformación de cunetas con motoniveladora"/>
    <s v="m²."/>
    <n v="0.08"/>
    <n v="9000"/>
    <d v="2014-01-01T00:00:00"/>
    <d v="2014-06-30T00:00:00"/>
    <s v="EJECUTADO"/>
    <n v="720"/>
    <m/>
    <m/>
    <m/>
  </r>
  <r>
    <x v="0"/>
    <m/>
    <s v="VIA GUACHANAMA LA SALERA 17,1 KM"/>
    <x v="2"/>
    <s v="PALTAS"/>
    <s v="GUACHANAMA"/>
    <s v="AD. DIRECTA"/>
    <s v="VIALSUR"/>
    <m/>
    <n v="12.549999999999999"/>
    <m/>
    <s v="Reconformación de la Subrazante"/>
    <s v="m²."/>
    <n v="0.35"/>
    <n v="68980"/>
    <d v="2014-01-01T00:00:00"/>
    <d v="2014-06-30T00:00:00"/>
    <s v="EJECUTADO"/>
    <n v="24143"/>
    <m/>
    <m/>
    <m/>
  </r>
  <r>
    <x v="0"/>
    <m/>
    <s v="VIA GUACHANAMA LA SALERA 17,1 KM"/>
    <x v="2"/>
    <s v="PALTAS"/>
    <s v="GUACHANAMA"/>
    <s v="AD. DIRECTA"/>
    <s v="VIALSUR"/>
    <m/>
    <n v="2.63"/>
    <m/>
    <s v="Mejoramiento de la subrasante con suelo seleccionado"/>
    <s v="m³."/>
    <n v="5.92"/>
    <n v="2896"/>
    <d v="2014-01-01T00:00:00"/>
    <d v="2014-04-30T00:00:00"/>
    <s v="EJECUTADO"/>
    <n v="17144.32"/>
    <m/>
    <m/>
    <m/>
  </r>
  <r>
    <x v="0"/>
    <m/>
    <s v="VIA GUACHANAMA LA SALERA 17,1 KM"/>
    <x v="2"/>
    <s v="PALTAS"/>
    <s v="GUACHANAMA"/>
    <s v="AD. DIRECTA"/>
    <s v="VIALSUR"/>
    <m/>
    <m/>
    <m/>
    <s v="Transporte de material de mejoramiento"/>
    <s v="m3/km."/>
    <n v="0.3"/>
    <n v="17573.36"/>
    <d v="2014-01-05T00:00:00"/>
    <d v="2014-06-30T00:00:00"/>
    <s v="EJECUTADO"/>
    <n v="5272.01"/>
    <m/>
    <m/>
    <m/>
  </r>
  <r>
    <x v="0"/>
    <m/>
    <s v="VIA GUACHANAMA LA SALERA 17,1 KM"/>
    <x v="2"/>
    <s v="PALTAS"/>
    <s v="GUACHANAMA"/>
    <s v="AD. DIRECTA"/>
    <s v="VIALSUR"/>
    <m/>
    <m/>
    <m/>
    <s v="Clasificación de material."/>
    <s v="m³."/>
    <n v="1.47"/>
    <n v="3170"/>
    <d v="2014-06-12T00:00:00"/>
    <d v="2014-06-30T00:00:00"/>
    <s v="EJECUTADO"/>
    <n v="4659.8999999999996"/>
    <m/>
    <m/>
    <m/>
  </r>
  <r>
    <x v="0"/>
    <s v="VIA LAURO GUERRERO SANTA GERTRUDIZ 12.1 KM"/>
    <s v="VIA LAURO GUERRERO SANTA GERTRUDIZ 12.1 KM"/>
    <x v="2"/>
    <s v="PALTAS"/>
    <s v="LAUROGUERRERO"/>
    <s v="AD. DIRECTA"/>
    <s v="VIALSUR"/>
    <n v="12.1"/>
    <m/>
    <m/>
    <s v="Explotación  de material (incluye cargado)"/>
    <s v="m³."/>
    <n v="2.54"/>
    <n v="2490"/>
    <d v="2014-01-01T00:00:00"/>
    <d v="2014-06-30T00:00:00"/>
    <s v="EJECUTADO"/>
    <n v="6324.6"/>
    <m/>
    <m/>
    <n v="43704.159999999996"/>
  </r>
  <r>
    <x v="0"/>
    <m/>
    <s v="VIA LAURO GUERRERO SANTA GERTRUDIZ 12.1 KM"/>
    <x v="2"/>
    <s v="PALTAS"/>
    <s v="LAUROGUERRERO"/>
    <s v="AD. DIRECTA"/>
    <s v="VIALSUR"/>
    <m/>
    <m/>
    <m/>
    <s v="Limpieza de derrumbes a maquina"/>
    <s v="m³."/>
    <n v="1.46"/>
    <n v="1450"/>
    <d v="2014-01-01T00:00:00"/>
    <d v="2014-06-30T00:00:00"/>
    <s v="EJECUTADO"/>
    <n v="2117"/>
    <m/>
    <m/>
    <m/>
  </r>
  <r>
    <x v="0"/>
    <m/>
    <s v="VIA LAURO GUERRERO SANTA GERTRUDIZ 12.1 KM"/>
    <x v="2"/>
    <s v="PALTAS"/>
    <s v="LAUROGUERRERO"/>
    <s v="AD. DIRECTA"/>
    <s v="VIALSUR"/>
    <m/>
    <n v="5.08"/>
    <m/>
    <s v="Razanteo y reconformación de cunetas con motoniveladora"/>
    <s v="m2."/>
    <n v="0.08"/>
    <n v="27930"/>
    <d v="2014-01-01T00:00:00"/>
    <d v="2014-06-30T00:00:00"/>
    <s v="EJECUTADO"/>
    <n v="2234.4"/>
    <m/>
    <m/>
    <m/>
  </r>
  <r>
    <x v="0"/>
    <m/>
    <s v="VIA LAURO GUERRERO SANTA GERTRUDIZ 12.1 KM"/>
    <x v="2"/>
    <s v="PALTAS"/>
    <s v="LAUROGUERRERO"/>
    <s v="AD. DIRECTA"/>
    <s v="VIALSUR"/>
    <m/>
    <n v="5.9"/>
    <m/>
    <s v="Reconformación de la Subrazante"/>
    <s v="m²."/>
    <n v="0.35"/>
    <n v="32450"/>
    <d v="2014-01-01T00:00:00"/>
    <d v="2014-06-30T00:00:00"/>
    <s v="EJECUTADO"/>
    <n v="11357.5"/>
    <m/>
    <m/>
    <m/>
  </r>
  <r>
    <x v="0"/>
    <m/>
    <s v="VIA LAURO GUERRERO SANTA GERTRUDIZ 12.1 KM"/>
    <x v="2"/>
    <s v="PALTAS"/>
    <s v="LAUROGUERRERO"/>
    <s v="AD. DIRECTA"/>
    <s v="VIALSUR"/>
    <m/>
    <n v="1.84"/>
    <m/>
    <s v="Mejoramiento de la subrasante con suelo seleccionado"/>
    <s v="m³."/>
    <n v="5.92"/>
    <n v="2020"/>
    <d v="2014-01-01T00:00:00"/>
    <d v="2014-04-30T00:00:00"/>
    <s v="EJECUTADO"/>
    <n v="11958.4"/>
    <m/>
    <m/>
    <m/>
  </r>
  <r>
    <x v="0"/>
    <m/>
    <s v="VIA LAURO GUERRERO SANTA GERTRUDIZ 12.1 KM"/>
    <x v="2"/>
    <s v="PALTAS"/>
    <s v="LAUROGUERRERO"/>
    <s v="AD. DIRECTA"/>
    <s v="VIALSUR"/>
    <m/>
    <m/>
    <m/>
    <s v="Transporte de material de mejoramiento"/>
    <s v="m3/km."/>
    <n v="0.3"/>
    <n v="21692.2"/>
    <d v="2014-01-05T00:00:00"/>
    <d v="2014-06-30T00:00:00"/>
    <s v="EJECUTADO"/>
    <n v="6507.66"/>
    <m/>
    <m/>
    <m/>
  </r>
  <r>
    <x v="0"/>
    <m/>
    <s v="VIA LAURO GUERRERO SANTA GERTRUDIZ 12.1 KM"/>
    <x v="2"/>
    <s v="PALTAS"/>
    <s v="LAUROGUERRERO"/>
    <s v="AD. DIRECTA"/>
    <s v="VIALSUR"/>
    <m/>
    <m/>
    <m/>
    <s v="Explotación de material (incluye cargado)."/>
    <s v="m³."/>
    <n v="1.47"/>
    <n v="2180"/>
    <d v="2014-01-02T00:00:00"/>
    <d v="2014-01-31T00:00:00"/>
    <s v="EJECUTADO"/>
    <n v="3204.6"/>
    <m/>
    <m/>
    <m/>
  </r>
  <r>
    <x v="0"/>
    <s v="VIA STA. GERTRUDIS - ORIANGA (lim Parroquial). L=9.6 km (Paltas) Inicio 9 Nov. Fin 22 de Nov"/>
    <s v="VIA STA. GERTRUDIS - ORIANGA (lim Parroquial). L=9.6 km (Paltas) Inicio 9 Nov. Fin 22 de Nov"/>
    <x v="2"/>
    <s v="PALTAS"/>
    <s v="ORIANGA"/>
    <s v="AD. DIRECTA"/>
    <s v="VIALSUR"/>
    <n v="9.6"/>
    <m/>
    <m/>
    <s v="Limpieza de derrumbes a maquina y razanteo con Tractor"/>
    <s v="m³."/>
    <n v="1.46"/>
    <n v="4680"/>
    <d v="2014-11-09T00:00:00"/>
    <d v="2014-11-22T00:00:00"/>
    <s v="EJECUTADO"/>
    <n v="6832.8"/>
    <m/>
    <m/>
    <n v="6832.8"/>
  </r>
  <r>
    <x v="0"/>
    <s v="VIA LAURO GUERRERO - CANGONAMA (limite parroquial) L= 4.6 Km. Paltas Inicio 7 y 8 de oct. Fin 8 de Nov"/>
    <s v="VIA LAURO GUERRERO - CANGONAMA (limite parroquial) L= 4.6 Km. Paltas Inicio 7 y 8 de oct. Fin 8 de Nov"/>
    <x v="2"/>
    <s v="PALTAS"/>
    <s v="cangonamá"/>
    <s v="AD. DIRECTA"/>
    <s v="VIALSUR"/>
    <n v="4.5999999999999996"/>
    <m/>
    <n v="775"/>
    <s v="Explotación de material (incluye cargado)."/>
    <s v="m³."/>
    <n v="1.62"/>
    <n v="5310"/>
    <d v="2014-01-02T00:00:00"/>
    <d v="2014-01-31T00:00:00"/>
    <s v="EJECUTADO"/>
    <n v="8602.2000000000007"/>
    <m/>
    <m/>
    <n v="12978.08"/>
  </r>
  <r>
    <x v="0"/>
    <m/>
    <s v="VIA LAURO GUERRERO - CANGONAMA (limite parroquial) L= 4.6 Km. Paltas Inicio 7 y 8 de oct. Fin 8 de Nov"/>
    <x v="2"/>
    <s v="PALTAS"/>
    <s v="cangonamá"/>
    <s v="AD. DIRECTA"/>
    <s v="VIALSUR"/>
    <m/>
    <m/>
    <n v="0"/>
    <s v="Explotación de Material incluye cargado"/>
    <s v="m³."/>
    <n v="2.54"/>
    <n v="270"/>
    <d v="2014-06-01T00:00:00"/>
    <d v="2014-06-30T00:00:00"/>
    <s v="EJECUTADO"/>
    <n v="685.8"/>
    <m/>
    <m/>
    <m/>
  </r>
  <r>
    <x v="0"/>
    <m/>
    <s v="VIA LAURO GUERRERO - CANGONAMA (limite parroquial) L= 4.6 Km. Paltas Inicio 7 y 8 de oct. Fin 8 de Nov"/>
    <x v="2"/>
    <s v="PALTAS"/>
    <s v="cangonamá"/>
    <s v="AD. DIRECTA"/>
    <s v="VIALSUR"/>
    <m/>
    <m/>
    <n v="0"/>
    <s v="Limpieza de derrumbes a maquina (incluye limpieza de plataforma de la vía)"/>
    <s v="m³."/>
    <n v="1.46"/>
    <n v="350"/>
    <d v="2014-01-02T00:00:00"/>
    <d v="2014-01-31T00:00:00"/>
    <s v="EJECUTADO"/>
    <n v="511"/>
    <m/>
    <m/>
    <m/>
  </r>
  <r>
    <x v="0"/>
    <m/>
    <s v="VIA LAURO GUERRERO - CANGONAMA (limite parroquial) L= 4.6 Km. Paltas Inicio 7 y 8 de oct. Fin 8 de Nov"/>
    <x v="2"/>
    <s v="PALTAS"/>
    <s v="cangonamá"/>
    <s v="AD. DIRECTA"/>
    <s v="VIALSUR"/>
    <m/>
    <n v="0.97"/>
    <n v="0"/>
    <s v="Rasanteo y conformacion de cunetas con motoniveladora"/>
    <s v="m²."/>
    <n v="0.08"/>
    <n v="5320"/>
    <d v="2014-01-02T00:00:00"/>
    <d v="2014-01-31T00:00:00"/>
    <s v="EJECUTADO"/>
    <n v="425.6"/>
    <m/>
    <m/>
    <m/>
  </r>
  <r>
    <x v="0"/>
    <m/>
    <s v="VIA LAURO GUERRERO - CANGONAMA (limite parroquial) L= 4.6 Km. Paltas Inicio 7 y 8 de oct. Fin 8 de Nov"/>
    <x v="2"/>
    <s v="PALTAS"/>
    <s v="cangonamá"/>
    <s v="AD. DIRECTA"/>
    <s v="VIALSUR"/>
    <m/>
    <n v="0.24"/>
    <n v="0"/>
    <s v="Mejoramiento de la subrasante con suelo seleccionado"/>
    <s v="m³."/>
    <n v="5.92"/>
    <n v="268"/>
    <d v="2014-01-02T00:00:00"/>
    <d v="2014-01-31T00:00:00"/>
    <s v="EJECUTADO"/>
    <n v="1586.56"/>
    <m/>
    <m/>
    <m/>
  </r>
  <r>
    <x v="0"/>
    <m/>
    <s v="VIA LAURO GUERRERO - CANGONAMA (limite parroquial) L= 4.6 Km. Paltas Inicio 7 y 8 de oct. Fin 8 de Nov"/>
    <x v="2"/>
    <s v="PALTAS"/>
    <s v="cangonamá"/>
    <s v="AD. DIRECTA"/>
    <s v="VIALSUR"/>
    <m/>
    <m/>
    <n v="0"/>
    <s v="Transporte de material excavado inc cargado &lt; 5km"/>
    <s v="m3/km."/>
    <n v="0.38"/>
    <n v="794"/>
    <d v="2014-10-07T00:00:00"/>
    <d v="2014-10-08T00:00:00"/>
    <s v="EJECUTADO"/>
    <n v="301.72000000000003"/>
    <m/>
    <m/>
    <m/>
  </r>
  <r>
    <x v="0"/>
    <m/>
    <s v="VIA LAURO GUERRERO - CANGONAMA (limite parroquial) L= 4.6 Km. Paltas Inicio 7 y 8 de oct. Fin 8 de Nov"/>
    <x v="2"/>
    <s v="PALTAS"/>
    <s v="cangonamá"/>
    <s v="AD. DIRECTA"/>
    <s v="VIALSUR"/>
    <m/>
    <m/>
    <n v="0"/>
    <s v="Transporte de material de mejoramiento"/>
    <s v="m3/km."/>
    <n v="0.3"/>
    <n v="1610"/>
    <d v="2014-10-07T00:00:00"/>
    <d v="2014-10-08T00:00:00"/>
    <s v="EJECUTADO"/>
    <n v="483"/>
    <m/>
    <m/>
    <m/>
  </r>
  <r>
    <x v="0"/>
    <m/>
    <s v="VIA LAURO GUERRERO - CANGONAMA (limite parroquial) L= 4.6 Km. Paltas Inicio 7 y 8 de oct. Fin 8 de Nov"/>
    <x v="2"/>
    <s v="PALTAS"/>
    <s v="cangonamá"/>
    <s v="AD. DIRECTA"/>
    <s v="VIALSUR"/>
    <m/>
    <m/>
    <n v="0"/>
    <s v="Clasificación de material."/>
    <s v="m³."/>
    <n v="1.47"/>
    <n v="260"/>
    <d v="2014-01-02T00:00:00"/>
    <d v="2014-06-30T00:00:00"/>
    <s v="EJECUTADO"/>
    <n v="382.2"/>
    <m/>
    <m/>
    <m/>
  </r>
  <r>
    <x v="0"/>
    <s v="VIA LAURO GUERRERO - SAN FRANCISCO (limite parroquial) L=7.6 km. Paltas Inicio 9 de oct Fin 15-18 oct"/>
    <s v="VIA LAURO GUERRERO - SAN FRANCISCO (limite parroquial) L=7.6 km. Paltas Inicio 9 de oct Fin 15-18 oct"/>
    <x v="2"/>
    <s v="PALTAS"/>
    <s v="LAUROGUERRERO"/>
    <s v="AD. DIRECTA"/>
    <s v="VIALSUR"/>
    <n v="7.6"/>
    <m/>
    <n v="1092"/>
    <s v="Explotación de Material incluye cargado"/>
    <s v="m³."/>
    <n v="2.54"/>
    <n v="810"/>
    <d v="2014-10-07T00:00:00"/>
    <d v="2014-11-08T00:00:00"/>
    <s v="EJECUTADO"/>
    <n v="2057.4"/>
    <m/>
    <m/>
    <n v="11514.480000000001"/>
  </r>
  <r>
    <x v="0"/>
    <m/>
    <s v="VIA LAURO GUERRERO - SAN FRANCISCO (limite parroquial) L=7.6 km. Paltas Inicio 9 de oct Fin 15-18 oct"/>
    <x v="2"/>
    <s v="PALTAS"/>
    <s v="LAUROGUERRERO"/>
    <s v="AD. DIRECTA"/>
    <s v="VIALSUR"/>
    <m/>
    <m/>
    <n v="0"/>
    <s v="Limpieza de derrumbes a maquina (incluye limpieza de plataforma de la vía)"/>
    <s v="m³."/>
    <n v="1.46"/>
    <n v="450"/>
    <d v="2014-10-07T00:00:00"/>
    <d v="2014-11-08T00:00:00"/>
    <s v="EJECUTADO"/>
    <n v="657"/>
    <m/>
    <m/>
    <m/>
  </r>
  <r>
    <x v="0"/>
    <m/>
    <s v="VIA LAURO GUERRERO - SAN FRANCISCO (limite parroquial) L=7.6 km. Paltas Inicio 9 de oct Fin 15-18 oct"/>
    <x v="2"/>
    <s v="PALTAS"/>
    <s v="LAUROGUERRERO"/>
    <s v="AD. DIRECTA"/>
    <s v="VIALSUR"/>
    <m/>
    <n v="5.5699999999999994"/>
    <n v="0"/>
    <s v="Rasanteo y conformacion de cunetas con motoniveladora"/>
    <s v="m²."/>
    <n v="0.08"/>
    <n v="30590"/>
    <d v="2014-10-07T00:00:00"/>
    <d v="2014-11-08T00:00:00"/>
    <s v="EJECUTADO"/>
    <n v="2447.1999999999998"/>
    <m/>
    <m/>
    <m/>
  </r>
  <r>
    <x v="0"/>
    <m/>
    <s v="VIA LAURO GUERRERO - SAN FRANCISCO (limite parroquial) L=7.6 km. Paltas Inicio 9 de oct Fin 15-18 oct"/>
    <x v="2"/>
    <s v="PALTAS"/>
    <s v="LAUROGUERRERO"/>
    <s v="AD. DIRECTA"/>
    <s v="VIALSUR"/>
    <m/>
    <n v="0.65"/>
    <n v="0"/>
    <s v="Mejoramiento de la subrasante con suelo seleccionado"/>
    <s v="m³."/>
    <n v="5.92"/>
    <n v="713"/>
    <d v="2014-10-07T00:00:00"/>
    <d v="2014-11-08T00:00:00"/>
    <s v="EJECUTADO"/>
    <n v="4220.96"/>
    <m/>
    <m/>
    <m/>
  </r>
  <r>
    <x v="0"/>
    <m/>
    <s v="VIA LAURO GUERRERO - SAN FRANCISCO (limite parroquial) L=7.6 km. Paltas Inicio 9 de oct Fin 15-18 oct"/>
    <x v="2"/>
    <s v="PALTAS"/>
    <s v="LAUROGUERRERO"/>
    <s v="AD. DIRECTA"/>
    <s v="VIALSUR"/>
    <m/>
    <m/>
    <n v="0"/>
    <s v="Transporte de material excavado inc cargado &lt; 5km"/>
    <s v="m3/km."/>
    <n v="0.38"/>
    <n v="2709"/>
    <d v="2014-10-07T00:00:00"/>
    <d v="2014-11-08T00:00:00"/>
    <s v="EJECUTADO"/>
    <n v="1029.42"/>
    <m/>
    <m/>
    <m/>
  </r>
  <r>
    <x v="0"/>
    <m/>
    <s v="VIA LAURO GUERRERO - SAN FRANCISCO (limite parroquial) L=7.6 km. Paltas Inicio 9 de oct Fin 15-18 oct"/>
    <x v="2"/>
    <s v="PALTAS"/>
    <s v="LAUROGUERRERO"/>
    <s v="AD. DIRECTA"/>
    <s v="VIALSUR"/>
    <m/>
    <m/>
    <n v="0"/>
    <s v="Clasificación de material."/>
    <s v="m³."/>
    <n v="1.47"/>
    <n v="750"/>
    <d v="2014-10-07T00:00:00"/>
    <d v="2014-11-08T00:00:00"/>
    <s v="EJECUTADO"/>
    <n v="1102.5"/>
    <m/>
    <m/>
    <m/>
  </r>
  <r>
    <x v="0"/>
    <s v="VIA CASANGA SAN FRANCISCO (Limite parroquial) L=4.5 km. Paltas Inicio 29 de Octubre Fin 5 de nov "/>
    <s v="VIA CASANGA SAN FRANCISCO (Limite parroquial) L=4.5 km. Paltas Inicio 29 de Octubre Fin 5 de nov "/>
    <x v="2"/>
    <s v="PALTAS"/>
    <s v="CASANGA"/>
    <s v="AD. DIRECTA"/>
    <s v="VIALSUR"/>
    <n v="4.5"/>
    <m/>
    <n v="1168"/>
    <s v="Explotación de Material incluye cargado"/>
    <s v="m³."/>
    <n v="2.54"/>
    <n v="533"/>
    <d v="2014-10-29T00:00:00"/>
    <d v="2014-11-05T00:00:00"/>
    <s v="EJECUTADO"/>
    <n v="1353.82"/>
    <m/>
    <m/>
    <n v="15222.72"/>
  </r>
  <r>
    <x v="0"/>
    <m/>
    <s v="VIA CASANGA SAN FRANCISCO (Limite parroquial) L=4.5 km. Paltas Inicio 29 de Octubre Fin 5 de nov "/>
    <x v="2"/>
    <s v="PALTAS"/>
    <s v="CASANGA"/>
    <s v="AD. DIRECTA"/>
    <s v="VIALSUR"/>
    <m/>
    <m/>
    <n v="0"/>
    <s v="Limpieza de derrumbes a maquina (incluye limpieza de plataforma de la vía)"/>
    <s v="m³."/>
    <n v="1.46"/>
    <n v="600"/>
    <d v="2014-10-29T00:00:00"/>
    <d v="2014-11-05T00:00:00"/>
    <s v="EJECUTADO"/>
    <n v="876"/>
    <m/>
    <m/>
    <m/>
  </r>
  <r>
    <x v="0"/>
    <m/>
    <s v="VIA CASANGA SAN FRANCISCO (Limite parroquial) L=4.5 km. Paltas Inicio 29 de Octubre Fin 5 de nov "/>
    <x v="2"/>
    <s v="PALTAS"/>
    <s v="CASANGA"/>
    <s v="AD. DIRECTA"/>
    <s v="VIALSUR"/>
    <m/>
    <n v="4.08"/>
    <n v="0"/>
    <s v="Rasanteo y conformacion de cunetas con motoniveladora"/>
    <s v="m²."/>
    <n v="0.08"/>
    <n v="22410"/>
    <d v="2014-10-29T00:00:00"/>
    <d v="2014-11-05T00:00:00"/>
    <s v="EJECUTADO"/>
    <n v="1792.8"/>
    <m/>
    <m/>
    <m/>
  </r>
  <r>
    <x v="0"/>
    <m/>
    <s v="VIA CASANGA SAN FRANCISCO (Limite parroquial) L=4.5 km. Paltas Inicio 29 de Octubre Fin 5 de nov "/>
    <x v="2"/>
    <s v="PALTAS"/>
    <s v="CASANGA"/>
    <s v="AD. DIRECTA"/>
    <s v="VIALSUR"/>
    <m/>
    <n v="3.55"/>
    <n v="0"/>
    <s v="Reconformacion de la razante existente"/>
    <s v="m²."/>
    <n v="0.35"/>
    <n v="19500"/>
    <d v="2014-10-29T00:00:00"/>
    <d v="2014-11-05T00:00:00"/>
    <s v="EJECUTADO"/>
    <n v="6825"/>
    <m/>
    <m/>
    <m/>
  </r>
  <r>
    <x v="0"/>
    <m/>
    <s v="VIA CASANGA SAN FRANCISCO (Limite parroquial) L=4.5 km. Paltas Inicio 29 de Octubre Fin 5 de nov "/>
    <x v="2"/>
    <s v="PALTAS"/>
    <s v="CASANGA"/>
    <s v="AD. DIRECTA"/>
    <s v="VIALSUR"/>
    <m/>
    <n v="0.44"/>
    <n v="0"/>
    <s v="Mejoramiento de la subrasante con suelo seleccionado"/>
    <s v="m³."/>
    <n v="5.92"/>
    <n v="485"/>
    <d v="2014-10-29T00:00:00"/>
    <d v="2014-11-05T00:00:00"/>
    <s v="EJECUTADO"/>
    <n v="2871.2"/>
    <m/>
    <m/>
    <m/>
  </r>
  <r>
    <x v="0"/>
    <m/>
    <s v="VIA CASANGA SAN FRANCISCO (Limite parroquial) L=4.5 km. Paltas Inicio 29 de Octubre Fin 5 de nov "/>
    <x v="2"/>
    <s v="PALTAS"/>
    <s v="CASANGA"/>
    <s v="AD. DIRECTA"/>
    <s v="VIALSUR"/>
    <m/>
    <m/>
    <n v="0"/>
    <s v="Transporte de material excavado inc cargado &lt; 5km"/>
    <s v="m3/km."/>
    <n v="0.3"/>
    <n v="2612"/>
    <d v="2014-10-29T00:00:00"/>
    <d v="2014-11-05T00:00:00"/>
    <s v="EJECUTADO"/>
    <n v="783.6"/>
    <m/>
    <m/>
    <m/>
  </r>
  <r>
    <x v="0"/>
    <m/>
    <s v="VIA CASANGA SAN FRANCISCO (Limite parroquial) L=4.5 km. Paltas Inicio 29 de Octubre Fin 5 de nov "/>
    <x v="2"/>
    <s v="PALTAS"/>
    <s v="CASANGA"/>
    <s v="AD. DIRECTA"/>
    <s v="VIALSUR"/>
    <m/>
    <m/>
    <n v="0"/>
    <s v="Clasificación de material."/>
    <s v="m³."/>
    <n v="1.47"/>
    <n v="490"/>
    <d v="2014-10-29T00:00:00"/>
    <d v="2014-11-05T00:00:00"/>
    <s v="EJECUTADO"/>
    <n v="720.3"/>
    <m/>
    <m/>
    <m/>
  </r>
  <r>
    <x v="0"/>
    <s v="VIA EL DESCANSO - MACANDAMINE- PALO BLANCO L=5.2 KM. Paltas. Inicio 5 de nov Fin 8 de nov"/>
    <s v="VIA EL DESCANSO - MACANDAMINE- PALO BLANCO L=5.2 KM. Paltas. Inicio 5 de nov Fin 8 de nov"/>
    <x v="2"/>
    <s v="PALTAS"/>
    <s v="CASANGA"/>
    <s v="AD. DIRECTA"/>
    <s v="VIALSUR"/>
    <n v="5.2"/>
    <m/>
    <n v="1168"/>
    <s v="Explotación de Material incluye cargado"/>
    <s v="m³."/>
    <n v="2.54"/>
    <n v="460"/>
    <d v="2014-11-05T00:00:00"/>
    <d v="2014-11-08T00:00:00"/>
    <s v="EJECUTADO"/>
    <n v="1168.4000000000001"/>
    <m/>
    <m/>
    <n v="14497.4"/>
  </r>
  <r>
    <x v="0"/>
    <m/>
    <s v="VIA EL DESCANSO - MACANDAMINE- PALO BLANCO L=5.2 KM. Paltas. Inicio 5 de nov Fin 8 de nov"/>
    <x v="2"/>
    <s v="PALTAS"/>
    <s v="CASANGA"/>
    <s v="AD. DIRECTA"/>
    <s v="VIALSUR"/>
    <m/>
    <n v="4.26"/>
    <n v="0"/>
    <s v="Rasanteo y conformacion de cunetas con motoniveladora"/>
    <s v="m²."/>
    <n v="0.08"/>
    <n v="23400"/>
    <d v="2014-11-05T00:00:00"/>
    <d v="2014-11-08T00:00:00"/>
    <s v="EJECUTADO"/>
    <n v="1872"/>
    <m/>
    <m/>
    <m/>
  </r>
  <r>
    <x v="0"/>
    <m/>
    <s v="VIA EL DESCANSO - MACANDAMINE- PALO BLANCO L=5.2 KM. Paltas. Inicio 5 de nov Fin 8 de nov"/>
    <x v="2"/>
    <s v="PALTAS"/>
    <s v="CASANGA"/>
    <s v="AD. DIRECTA"/>
    <s v="VIALSUR"/>
    <m/>
    <n v="3.9099999999999997"/>
    <n v="0"/>
    <s v="Reconformacion de la razante existente"/>
    <s v="m²."/>
    <n v="0.35"/>
    <n v="21500"/>
    <d v="2014-11-05T00:00:00"/>
    <d v="2014-11-08T00:00:00"/>
    <s v="EJECUTADO"/>
    <n v="7525"/>
    <m/>
    <m/>
    <m/>
  </r>
  <r>
    <x v="0"/>
    <m/>
    <s v="VIA EL DESCANSO - MACANDAMINE- PALO BLANCO L=5.2 KM. Paltas. Inicio 5 de nov Fin 8 de nov"/>
    <x v="2"/>
    <s v="PALTAS"/>
    <s v="CASANGA"/>
    <s v="AD. DIRECTA"/>
    <s v="VIALSUR"/>
    <m/>
    <n v="0.43"/>
    <n v="0"/>
    <s v="Mejoramiento de la subrasante con suelo seleccionado"/>
    <s v="m³."/>
    <n v="5.92"/>
    <n v="470"/>
    <d v="2014-11-05T00:00:00"/>
    <d v="2014-11-08T00:00:00"/>
    <s v="EJECUTADO"/>
    <n v="2782.4"/>
    <m/>
    <m/>
    <m/>
  </r>
  <r>
    <x v="0"/>
    <m/>
    <s v="VIA EL DESCANSO - MACANDAMINE- PALO BLANCO L=5.2 KM. Paltas. Inicio 5 de nov Fin 8 de nov"/>
    <x v="2"/>
    <s v="PALTAS"/>
    <s v="CASANGA"/>
    <s v="AD. DIRECTA"/>
    <s v="VIALSUR"/>
    <m/>
    <m/>
    <n v="0"/>
    <s v="Transporte de material excavado inc cargado &lt; 5km"/>
    <s v="m3/km."/>
    <n v="0.3"/>
    <n v="1725"/>
    <d v="2014-11-05T00:00:00"/>
    <d v="2014-11-08T00:00:00"/>
    <s v="EJECUTADO"/>
    <n v="517.5"/>
    <m/>
    <m/>
    <m/>
  </r>
  <r>
    <x v="0"/>
    <m/>
    <s v="VIA EL DESCANSO - MACANDAMINE- PALO BLANCO L=5.2 KM. Paltas. Inicio 5 de nov Fin 8 de nov"/>
    <x v="2"/>
    <s v="PALTAS"/>
    <s v="CASANGA"/>
    <s v="AD. DIRECTA"/>
    <s v="VIALSUR"/>
    <m/>
    <m/>
    <n v="0"/>
    <s v="Clasificación de material."/>
    <s v="m³."/>
    <n v="1.47"/>
    <n v="430"/>
    <d v="2014-11-05T00:00:00"/>
    <d v="2014-11-08T00:00:00"/>
    <s v="EJECUTADO"/>
    <n v="632.1"/>
    <m/>
    <m/>
    <m/>
  </r>
  <r>
    <x v="0"/>
    <s v="VIA CASANGA - EL NARANJO L=3.9 KM  Paltas Inicio 11 de Nov Fin 13 Nov"/>
    <s v="VIA CASANGA - EL NARANJO L=3.9 KM  Paltas Inicio 11 de Nov Fin 13 Nov"/>
    <x v="2"/>
    <s v="PALTAS"/>
    <s v="CASANGA"/>
    <s v="AD. DIRECTA"/>
    <s v="VIALSUR"/>
    <n v="3.9"/>
    <m/>
    <n v="1168"/>
    <s v="Explotación de Material incluye cargado"/>
    <s v="m³."/>
    <n v="2.54"/>
    <n v="140"/>
    <d v="2014-12-11T00:00:00"/>
    <d v="2014-11-13T00:00:00"/>
    <s v="EJECUTADO"/>
    <n v="355.6"/>
    <m/>
    <m/>
    <n v="7566.0899999999992"/>
  </r>
  <r>
    <x v="0"/>
    <m/>
    <s v="VIA CASANGA - EL NARANJO L=3.9 KM  Paltas Inicio 11 de Nov Fin 13 Nov"/>
    <x v="2"/>
    <s v="PALTAS"/>
    <s v="CASANGA"/>
    <s v="AD. DIRECTA"/>
    <s v="VIALSUR"/>
    <m/>
    <m/>
    <n v="0"/>
    <s v="Clasificación de material."/>
    <s v="m³."/>
    <n v="1.47"/>
    <n v="130"/>
    <d v="2014-12-11T00:00:00"/>
    <d v="2014-11-13T00:00:00"/>
    <s v="EJECUTADO"/>
    <n v="191.1"/>
    <m/>
    <m/>
    <m/>
  </r>
  <r>
    <x v="0"/>
    <m/>
    <s v="VIA CASANGA - EL NARANJO L=3.9 KM  Paltas Inicio 11 de Nov Fin 13 Nov"/>
    <x v="2"/>
    <s v="PALTAS"/>
    <s v="CASANGA"/>
    <s v="AD. DIRECTA"/>
    <s v="VIALSUR"/>
    <m/>
    <n v="3.1999999999999997"/>
    <n v="0"/>
    <s v="Rasanteo y conformacion de cunetas con motoniveladora"/>
    <s v="m²."/>
    <n v="0.08"/>
    <n v="17550"/>
    <d v="2014-12-11T00:00:00"/>
    <d v="2014-11-13T00:00:00"/>
    <s v="EJECUTADO"/>
    <n v="1404"/>
    <m/>
    <m/>
    <m/>
  </r>
  <r>
    <x v="0"/>
    <m/>
    <s v="VIA CASANGA - EL NARANJO L=3.9 KM  Paltas Inicio 11 de Nov Fin 13 Nov"/>
    <x v="2"/>
    <s v="PALTAS"/>
    <s v="CASANGA"/>
    <s v="AD. DIRECTA"/>
    <s v="VIALSUR"/>
    <m/>
    <n v="2.38"/>
    <n v="0"/>
    <s v="Reconformacion de la razante existente"/>
    <s v="m²."/>
    <n v="0.35"/>
    <n v="13050"/>
    <d v="2014-12-11T00:00:00"/>
    <d v="2014-11-13T00:00:00"/>
    <s v="EJECUTADO"/>
    <n v="4567.5"/>
    <m/>
    <m/>
    <m/>
  </r>
  <r>
    <x v="0"/>
    <m/>
    <s v="VIA CASANGA - EL NARANJO L=3.9 KM  Paltas Inicio 11 de Nov Fin 13 Nov"/>
    <x v="2"/>
    <s v="PALTAS"/>
    <s v="CASANGA"/>
    <s v="AD. DIRECTA"/>
    <s v="VIALSUR"/>
    <m/>
    <n v="0.13"/>
    <n v="0"/>
    <s v="Mejoramiento de la subrasante con suelo seleccionado"/>
    <s v="m³."/>
    <n v="5.92"/>
    <n v="145"/>
    <d v="2014-12-11T00:00:00"/>
    <d v="2014-11-13T00:00:00"/>
    <s v="EJECUTADO"/>
    <n v="858.4"/>
    <m/>
    <m/>
    <m/>
  </r>
  <r>
    <x v="0"/>
    <m/>
    <s v="VIA CASANGA - EL NARANJO L=3.9 KM  Paltas Inicio 11 de Nov Fin 13 Nov"/>
    <x v="2"/>
    <s v="PALTAS"/>
    <s v="CASANGA"/>
    <s v="AD. DIRECTA"/>
    <s v="VIALSUR"/>
    <m/>
    <m/>
    <n v="0"/>
    <s v="Transporte de material excavado inc cargado &lt; 5km"/>
    <s v="m3/km."/>
    <n v="0.3"/>
    <n v="631.62"/>
    <d v="2014-12-11T00:00:00"/>
    <d v="2014-11-13T00:00:00"/>
    <s v="EJECUTADO"/>
    <n v="189.49"/>
    <m/>
    <m/>
    <m/>
  </r>
  <r>
    <x v="0"/>
    <s v="VIA, ACCESO AL BARRIO, GUAYPIRA.  L=3,1 km. Paltas."/>
    <s v="VIA, ACCESO AL BARRIO, GUAYPIRA.  L=3,1 km. Paltas."/>
    <x v="2"/>
    <s v="PALTAS"/>
    <s v="CASANGA"/>
    <s v="AD. DIRECTA"/>
    <s v="VIALSUR"/>
    <n v="3.1"/>
    <m/>
    <n v="1168"/>
    <s v="Explotación de material."/>
    <s v="m³."/>
    <n v="2.54"/>
    <n v="250"/>
    <d v="2014-11-13T00:00:00"/>
    <d v="2014-11-14T00:00:00"/>
    <s v="EJECUTADO"/>
    <n v="635"/>
    <m/>
    <m/>
    <m/>
  </r>
  <r>
    <x v="0"/>
    <m/>
    <s v="VIA, ACCESO AL BARRIO, GUAYPIRA.  L=3,1 km. Paltas."/>
    <x v="2"/>
    <s v="PALTAS"/>
    <s v="CASANGA"/>
    <s v="AD. DIRECTA"/>
    <s v="VIALSUR"/>
    <m/>
    <m/>
    <n v="0"/>
    <s v="Clasificacion de material."/>
    <s v="m³."/>
    <n v="1.47"/>
    <n v="230"/>
    <d v="2014-11-13T00:00:00"/>
    <d v="2014-11-14T00:00:00"/>
    <s v="EJECUTADO"/>
    <n v="338.1"/>
    <m/>
    <m/>
    <m/>
  </r>
  <r>
    <x v="0"/>
    <m/>
    <s v="VIA, ACCESO AL BARRIO, GUAYPIRA.  L=3,1 km. Paltas."/>
    <x v="2"/>
    <s v="PALTAS"/>
    <s v="CASANGA"/>
    <s v="AD. DIRECTA"/>
    <s v="VIALSUR"/>
    <m/>
    <m/>
    <n v="0"/>
    <s v="Rasanteo y conformacion de cunetas con motoniveladora"/>
    <s v="m²."/>
    <n v="0.08"/>
    <n v="17030"/>
    <d v="2014-11-13T00:00:00"/>
    <d v="2014-11-14T00:00:00"/>
    <s v="EJECUTADO"/>
    <n v="1362.4"/>
    <m/>
    <m/>
    <m/>
  </r>
  <r>
    <x v="0"/>
    <m/>
    <s v="VIA, ACCESO AL BARRIO, GUAYPIRA.  L=3,1 km. Paltas."/>
    <x v="2"/>
    <s v="PALTAS"/>
    <s v="CASANGA"/>
    <s v="AD. DIRECTA"/>
    <s v="VIALSUR"/>
    <m/>
    <m/>
    <n v="0"/>
    <s v="Reconformación de la rasante, existente."/>
    <s v="m²."/>
    <n v="0.35"/>
    <n v="15400"/>
    <d v="2014-11-13T00:00:00"/>
    <d v="2014-11-14T00:00:00"/>
    <s v="EJECUTADO"/>
    <n v="5390"/>
    <m/>
    <m/>
    <m/>
  </r>
  <r>
    <x v="0"/>
    <m/>
    <s v="VIA, ACCESO AL BARRIO, GUAYPIRA.  L=3,1 km. Paltas."/>
    <x v="2"/>
    <s v="PALTAS"/>
    <s v="CASANGA"/>
    <s v="AD. DIRECTA"/>
    <s v="VIALSUR"/>
    <m/>
    <m/>
    <n v="0"/>
    <s v="Mejoramiento de la subrasante con suelo seleccionado"/>
    <s v="m³."/>
    <n v="5.92"/>
    <n v="245"/>
    <d v="2014-11-13T00:00:00"/>
    <d v="2014-11-14T00:00:00"/>
    <s v="EJECUTADO"/>
    <n v="1450.4"/>
    <m/>
    <m/>
    <m/>
  </r>
  <r>
    <x v="0"/>
    <m/>
    <s v="VIA, ACCESO AL BARRIO, GUAYPIRA.  L=3,1 km. Paltas."/>
    <x v="2"/>
    <s v="PALTAS"/>
    <s v="CASANGA"/>
    <s v="AD. DIRECTA"/>
    <s v="VIALSUR"/>
    <m/>
    <m/>
    <n v="0"/>
    <s v="Transporte de material para mejoramiento, inc. Cargado (&lt; a 5 km.)"/>
    <s v="m³/km."/>
    <n v="0.38"/>
    <n v="375.1"/>
    <d v="2014-11-13T00:00:00"/>
    <d v="2014-11-14T00:00:00"/>
    <s v="EJECUTADO"/>
    <n v="142.54"/>
    <m/>
    <m/>
    <m/>
  </r>
  <r>
    <x v="0"/>
    <s v="VIA, &quot;Y&quot; DE GUAYPIRA-LA SOTA-CASANGA.  L=4,4 km. Paltas."/>
    <s v="VIA, &quot;Y&quot; DE GUAYPIRA-LA SOTA-CASANGA.  L=4,4 km. Paltas."/>
    <x v="2"/>
    <s v="PALTAS"/>
    <s v="CASANGA"/>
    <s v="AD. DIRECTA"/>
    <s v="VIALSUR"/>
    <n v="4.4000000000000004"/>
    <m/>
    <n v="1168"/>
    <s v="Explotación de Material incluye cargado"/>
    <s v="m³."/>
    <n v="2.54"/>
    <n v="340"/>
    <d v="2014-11-15T00:00:00"/>
    <d v="2014-11-18T00:00:00"/>
    <s v="EJECUTADO"/>
    <n v="863.6"/>
    <m/>
    <m/>
    <n v="10086.07"/>
  </r>
  <r>
    <x v="0"/>
    <m/>
    <s v="VIA, &quot;Y&quot; DE GUAYPIRA-LA SOTA-CASANGA.  L=4,4 km. Paltas."/>
    <x v="2"/>
    <s v="PALTAS"/>
    <s v="CASANGA"/>
    <s v="AD. DIRECTA"/>
    <s v="VIALSUR"/>
    <m/>
    <m/>
    <n v="0"/>
    <s v="Clasificación de material."/>
    <s v="m³."/>
    <n v="1.47"/>
    <n v="300"/>
    <d v="2014-11-15T00:00:00"/>
    <d v="2014-11-18T00:00:00"/>
    <s v="EJECUTADO"/>
    <n v="441"/>
    <m/>
    <m/>
    <m/>
  </r>
  <r>
    <x v="0"/>
    <m/>
    <s v="VIA, &quot;Y&quot; DE GUAYPIRA-LA SOTA-CASANGA.  L=4,4 km. Paltas."/>
    <x v="2"/>
    <s v="PALTAS"/>
    <s v="CASANGA"/>
    <s v="AD. DIRECTA"/>
    <s v="VIALSUR"/>
    <m/>
    <n v="4.0199999999999996"/>
    <n v="0"/>
    <s v="Rasanteo y conformacion de cunetas con motoniveladora"/>
    <s v="m²."/>
    <n v="0.08"/>
    <n v="22100"/>
    <d v="2014-11-15T00:00:00"/>
    <d v="2014-11-18T00:00:00"/>
    <s v="EJECUTADO"/>
    <n v="1768"/>
    <m/>
    <m/>
    <m/>
  </r>
  <r>
    <x v="0"/>
    <m/>
    <s v="VIA, &quot;Y&quot; DE GUAYPIRA-LA SOTA-CASANGA.  L=4,4 km. Paltas."/>
    <x v="2"/>
    <s v="PALTAS"/>
    <s v="CASANGA"/>
    <s v="AD. DIRECTA"/>
    <s v="VIALSUR"/>
    <m/>
    <n v="2.6199999999999997"/>
    <n v="0"/>
    <s v="Reconformacion de la razante existente"/>
    <s v="m²."/>
    <n v="0.35"/>
    <n v="14400"/>
    <d v="2014-11-15T00:00:00"/>
    <d v="2014-11-18T00:00:00"/>
    <s v="EJECUTADO"/>
    <n v="5040"/>
    <m/>
    <m/>
    <m/>
  </r>
  <r>
    <x v="0"/>
    <m/>
    <s v="VIA, &quot;Y&quot; DE GUAYPIRA-LA SOTA-CASANGA.  L=4,4 km. Paltas."/>
    <x v="2"/>
    <s v="PALTAS"/>
    <s v="CASANGA"/>
    <s v="AD. DIRECTA"/>
    <s v="VIALSUR"/>
    <m/>
    <n v="0.27"/>
    <n v="0"/>
    <s v="Mejoramiento de la subrasante con suelo seleccionado"/>
    <s v="m³."/>
    <n v="5.92"/>
    <n v="300"/>
    <d v="2014-11-15T00:00:00"/>
    <d v="2014-11-18T00:00:00"/>
    <s v="EJECUTADO"/>
    <n v="1776"/>
    <m/>
    <m/>
    <m/>
  </r>
  <r>
    <x v="0"/>
    <m/>
    <s v="VIA, &quot;Y&quot; DE GUAYPIRA-LA SOTA-CASANGA.  L=4,4 km. Paltas."/>
    <x v="2"/>
    <s v="PALTAS"/>
    <s v="CASANGA"/>
    <s v="AD. DIRECTA"/>
    <s v="VIALSUR"/>
    <m/>
    <m/>
    <n v="0"/>
    <s v="Transporte de material excavado inc cargado &lt; 5km"/>
    <s v="m3/km."/>
    <n v="0.3"/>
    <n v="658.24"/>
    <d v="2014-11-15T00:00:00"/>
    <d v="2014-11-18T00:00:00"/>
    <s v="EJECUTADO"/>
    <n v="197.47"/>
    <m/>
    <m/>
    <m/>
  </r>
  <r>
    <x v="0"/>
    <s v="ACCESO AL BARRIO CASANGA L=1.0 KM. Paltas Inicio 20 nov. Fin 20 nov"/>
    <s v="ACCESO AL BARRIO CASANGA L=1.0 KM. Paltas Inicio 20 nov. Fin 20 nov"/>
    <x v="2"/>
    <s v="PALTAS"/>
    <s v="CASANGA"/>
    <s v="AD. DIRECTA"/>
    <s v="VIALSUR"/>
    <n v="1"/>
    <n v="0.91"/>
    <n v="1168"/>
    <s v="Rasanteo y conformacion de cunetas con motoniveladora"/>
    <s v="m²."/>
    <n v="0.08"/>
    <n v="5005"/>
    <d v="2014-11-20T00:00:00"/>
    <d v="2014-11-20T00:00:00"/>
    <s v="EJECUTADO"/>
    <n v="400.4"/>
    <m/>
    <m/>
    <n v="400.4"/>
  </r>
  <r>
    <x v="0"/>
    <s v="PLATAFORMA DEL CANAL DE RIEGO LAS COCHAS SAN VICENTE L=7.8 KM. Paltas Inicio 29 oct Fin 27 Nov"/>
    <s v="PLATAFORMA DEL CANAL DE RIEGO LAS COCHAS SAN VICENTE L=7.8 KM. Paltas Inicio 29 oct Fin 27 Nov"/>
    <x v="2"/>
    <s v="PALTAS"/>
    <s v="CATACOCHA"/>
    <s v="AD. DIRECTA"/>
    <s v="VIALSUR"/>
    <n v="7.8"/>
    <m/>
    <m/>
    <s v="Limpieza y desalojo de derrumbes a máquina"/>
    <s v="m3 "/>
    <n v="1.46"/>
    <n v="6800"/>
    <d v="2014-10-29T00:00:00"/>
    <d v="2014-11-27T00:00:00"/>
    <s v="EJECUTADO"/>
    <n v="9928"/>
    <m/>
    <m/>
    <n v="12091.84"/>
  </r>
  <r>
    <x v="0"/>
    <m/>
    <s v="PLATAFORMA DEL CANAL DE RIEGO LAS COCHAS SAN VICENTE L=7.8 KM. Paltas Inicio 29 oct Fin 27 Nov"/>
    <x v="2"/>
    <s v="PALTAS"/>
    <s v="CATACOCHA"/>
    <s v="AD. DIRECTA"/>
    <s v="VIALSUR"/>
    <m/>
    <m/>
    <m/>
    <s v="Transporte de material excavado inc cargado &lt; 5km"/>
    <s v="m3/km."/>
    <n v="0.38"/>
    <n v="5694.32"/>
    <d v="2014-10-29T00:00:00"/>
    <d v="2014-11-27T00:00:00"/>
    <s v="EJECUTADO"/>
    <n v="2163.84"/>
    <m/>
    <m/>
    <m/>
  </r>
  <r>
    <x v="0"/>
    <m/>
    <s v="PLATAFORMA DEL CANAL DE RIEGO LAS COCHAS SAN VICENTE L=7.8 KM. Paltas Inicio 29 oct Fin 27 Nov"/>
    <x v="2"/>
    <s v="PALTAS"/>
    <s v="CATACOCHA"/>
    <s v="AD. DIRECTA"/>
    <s v="VIALSUR"/>
    <m/>
    <m/>
    <m/>
    <s v="Reconformación de la rasante, existente."/>
    <s v="m²."/>
    <n v="0.35"/>
    <n v="60480"/>
    <d v="2014-10-29T00:00:00"/>
    <d v="2014-11-27T00:00:00"/>
    <s v="EJECUTADO"/>
    <n v="21168"/>
    <m/>
    <m/>
    <m/>
  </r>
  <r>
    <x v="0"/>
    <s v="VIA, TAMBARA-COLA.   L=6,3 km.   Olmedo."/>
    <s v="VIA, TAMBARA-COLA.   L=6,3 km.   Olmedo."/>
    <x v="2"/>
    <s v="OLMEDO"/>
    <s v="olmedo"/>
    <s v="AD. DIRECTA"/>
    <s v="VIALSUR"/>
    <m/>
    <m/>
    <m/>
    <s v="Rasanteo y conformacion de cunetas con motoniveladora"/>
    <s v="m²."/>
    <n v="0.08"/>
    <n v="25440"/>
    <d v="2014-12-07T00:00:00"/>
    <d v="2014-12-10T00:00:00"/>
    <s v="EN EJECUCION"/>
    <n v="2035.2"/>
    <m/>
    <m/>
    <m/>
  </r>
  <r>
    <x v="0"/>
    <s v="VIA CHIVATOS - LA TINGUE L=4.7 KM. Olmedo Inicio 10 nov Fin Continua"/>
    <s v="VIA CHIVATOS - LA TINGUE L=4.7 KM. Olmedo Inicio 10 nov Fin Continua"/>
    <x v="2"/>
    <s v="OLMEDO"/>
    <s v="LA TINGUE"/>
    <s v="AD. DIRECTA"/>
    <s v="VIALSUR"/>
    <n v="4.7"/>
    <m/>
    <n v="512"/>
    <s v="Explotación de Material incluye cargado"/>
    <s v="m³."/>
    <n v="2.54"/>
    <n v="490"/>
    <d v="2014-11-10T00:00:00"/>
    <d v="2014-12-07T00:00:00"/>
    <s v="EN EJECUCION"/>
    <n v="1244.5999999999999"/>
    <m/>
    <m/>
    <n v="27998.15"/>
  </r>
  <r>
    <x v="0"/>
    <m/>
    <s v="VIA CHIVATOS - LA TINGUE L=4.7 KM. Olmedo Inicio 10 nov Fin Continua"/>
    <x v="2"/>
    <s v="OLMEDO"/>
    <s v="LA TINGUE"/>
    <s v="AD. DIRECTA"/>
    <s v="VIALSUR"/>
    <m/>
    <m/>
    <n v="0"/>
    <s v="Clasificación de material."/>
    <s v="m³."/>
    <n v="1.47"/>
    <n v="1290"/>
    <d v="2014-11-10T00:00:00"/>
    <d v="2014-12-07T00:00:00"/>
    <s v="EN EJECUCION"/>
    <n v="1896.3"/>
    <m/>
    <m/>
    <m/>
  </r>
  <r>
    <x v="0"/>
    <m/>
    <s v="PLATAFORMA DEL CANAL DE RIEGO LAS COCHAS SAN VICENTE L=7.8 KM. Paltas Inicio 29 oct Fin 27 Nov"/>
    <x v="2"/>
    <s v="OLMEDO"/>
    <s v="LA TINGUE"/>
    <s v="AD. DIRECTA"/>
    <s v="VIALSUR"/>
    <m/>
    <m/>
    <n v="0"/>
    <s v="Limpieza y desalojo de derrumbes a máquina"/>
    <s v="m3 "/>
    <n v="1.46"/>
    <n v="810"/>
    <d v="2014-11-10T00:00:00"/>
    <d v="2014-12-07T00:00:00"/>
    <s v="EN EJECUCION"/>
    <n v="1182.5999999999999"/>
    <m/>
    <m/>
    <m/>
  </r>
  <r>
    <x v="0"/>
    <m/>
    <s v="VIA CHIVATOS - LA TINGUE L=4.7 KM. Olmedo Inicio 10 nov Fin Continua"/>
    <x v="2"/>
    <s v="OLMEDO"/>
    <s v="LA TINGUE"/>
    <s v="AD. DIRECTA"/>
    <s v="VIALSUR"/>
    <m/>
    <n v="4.72"/>
    <n v="0"/>
    <s v="Rasanteo y conformacion de cunetas con motoniveladora"/>
    <s v="m²."/>
    <n v="0.08"/>
    <n v="25920"/>
    <d v="2014-11-10T00:00:00"/>
    <d v="2014-12-07T00:00:00"/>
    <s v="EN EJECUCION"/>
    <n v="2073.6"/>
    <m/>
    <m/>
    <m/>
  </r>
  <r>
    <x v="0"/>
    <m/>
    <s v="VIA CHIVATOS - LA TINGUE L=4.7 KM. Olmedo Inicio 10 nov Fin Continua"/>
    <x v="2"/>
    <s v="OLMEDO"/>
    <s v="LA TINGUE"/>
    <s v="AD. DIRECTA"/>
    <s v="VIALSUR"/>
    <m/>
    <n v="6.34"/>
    <n v="0"/>
    <s v="Reconformacion de la razante existente"/>
    <s v="m²."/>
    <n v="0.35"/>
    <n v="34820"/>
    <d v="2014-11-10T00:00:00"/>
    <d v="2014-12-07T00:00:00"/>
    <s v="EN EJECUCION"/>
    <n v="12187"/>
    <m/>
    <m/>
    <m/>
  </r>
  <r>
    <x v="0"/>
    <m/>
    <s v="VIA CHIVATOS - LA TINGUE L=4.7 KM. Olmedo Inicio 10 nov Fin Continua"/>
    <x v="2"/>
    <s v="OLMEDO"/>
    <s v="LA TINGUE"/>
    <s v="AD. DIRECTA"/>
    <s v="VIALSUR"/>
    <m/>
    <n v="1.24"/>
    <n v="0"/>
    <s v="Mejoramiento de la subrasante con suelo seleccionado"/>
    <s v="m³."/>
    <n v="5.92"/>
    <n v="1360"/>
    <d v="2014-11-10T00:00:00"/>
    <d v="2014-12-07T00:00:00"/>
    <s v="EN EJECUCION"/>
    <n v="8051.2"/>
    <m/>
    <m/>
    <m/>
  </r>
  <r>
    <x v="0"/>
    <m/>
    <s v="VIA CHIVATOS - LA TINGUE L=4.7 KM. Olmedo Inicio 10 nov Fin Continua"/>
    <x v="2"/>
    <s v="OLMEDO"/>
    <s v="LA TINGUE"/>
    <s v="AD. DIRECTA"/>
    <s v="VIALSUR"/>
    <m/>
    <m/>
    <n v="0"/>
    <s v="Transporte de material excavado inc cargado &lt; 5km"/>
    <s v="m3/km."/>
    <n v="0.38"/>
    <n v="145.19999999999999"/>
    <d v="2014-11-10T00:00:00"/>
    <d v="2014-12-07T00:00:00"/>
    <s v="EN EJECUCION"/>
    <n v="55.18"/>
    <m/>
    <m/>
    <m/>
  </r>
  <r>
    <x v="0"/>
    <m/>
    <s v="VIA CHIVATOS - LA TINGUE L=4.7 KM. Olmedo Inicio 10 nov Fin Continua"/>
    <x v="2"/>
    <s v="OLMEDO"/>
    <s v="LA TINGUE"/>
    <s v="AD. DIRECTA"/>
    <s v="VIALSUR"/>
    <m/>
    <m/>
    <n v="0"/>
    <s v="Transporte de material mejoramiento inc. Cargado &lt; a 5km"/>
    <s v="m3/km."/>
    <n v="0.38"/>
    <n v="3441.24"/>
    <d v="2014-11-10T00:00:00"/>
    <d v="2014-12-07T00:00:00"/>
    <s v="EN EJECUCION"/>
    <n v="1307.67"/>
    <m/>
    <m/>
    <m/>
  </r>
  <r>
    <x v="0"/>
    <s v="VIA ACCESO AL BARRIO LOBONGO L=2.9 km. Olmedo Inicia 18 de nov Fin 19 Nov"/>
    <s v="VIA ACCESO AL BARRIO LOBONGO L=2.9 km. Olmedo Inicia 18 de nov Fin 19 Nov"/>
    <x v="2"/>
    <s v="OLMEDO"/>
    <s v="OLMEDO"/>
    <s v="AD. DIRECTA"/>
    <s v="VIALSUR"/>
    <n v="2.9"/>
    <n v="2.65"/>
    <n v="2775"/>
    <s v="Rasanteo y conformacion de cunetas con motoniveladora"/>
    <s v="m²."/>
    <n v="0.08"/>
    <n v="14535"/>
    <d v="2014-11-18T00:00:00"/>
    <d v="2014-11-19T00:00:00"/>
    <s v="EJECUTADO"/>
    <n v="1162.8"/>
    <m/>
    <m/>
    <n v="1162.8"/>
  </r>
  <r>
    <x v="0"/>
    <s v="VIA ACCESO AL BARRIO LOBONGO L=2.9 km. Olmedo Inicia 18 de nov Fin 19 Nov"/>
    <s v="VIA ACCESO AL BARRIO LOBONGO L=2.9 km. Olmedo Inicia 18 de nov Fin 19 Nov"/>
    <x v="2"/>
    <s v="OLMEDO"/>
    <s v="OLMEDO"/>
    <s v="AD. DIRECTA"/>
    <s v="VIALSUR"/>
    <m/>
    <n v="0.04"/>
    <n v="0"/>
    <s v="Limpieza de cunetas y alcantarillas a máquina"/>
    <s v="m³."/>
    <n v="1.47"/>
    <n v="200"/>
    <d v="2014-12-17T00:00:00"/>
    <d v="2014-12-19T00:00:00"/>
    <s v="EN EJECUCION"/>
    <n v="294"/>
    <m/>
    <m/>
    <n v="294"/>
  </r>
  <r>
    <x v="0"/>
    <s v="VIA ACCESO AL BARRIO LOBONGO L=2.9 km. Olmedo Inicia 18 de nov Fin 19 Nov"/>
    <s v="VIA ACCESO AL BARRIO LOBONGO L=2.9 km. Olmedo Inicia 18 de nov Fin 19 Nov"/>
    <x v="2"/>
    <s v="OLMEDO"/>
    <s v="OLMEDO"/>
    <s v="AD. DIRECTA"/>
    <s v="VIALSUR"/>
    <m/>
    <n v="0.02"/>
    <n v="0"/>
    <s v="Transporte de material excavado, inc. Cargado (&lt; a 5 km.)"/>
    <s v="m³/km."/>
    <n v="0.38"/>
    <n v="96"/>
    <d v="2014-12-17T00:00:00"/>
    <d v="2014-12-19T00:00:00"/>
    <s v="EN EJECUCION"/>
    <n v="36.479999999999997"/>
    <m/>
    <m/>
    <n v="36.479999999999997"/>
  </r>
  <r>
    <x v="0"/>
    <s v="VIA, LA TINGUE-ZAPALLAL.  L=4,8 km."/>
    <s v="VIA, LA TINGUE-ZAPALLAL.  L=4,8 km."/>
    <x v="2"/>
    <s v="OLMEDO"/>
    <s v="LA TINGUE"/>
    <s v="AD. DIRECTA"/>
    <s v="VIALSUR"/>
    <n v="4.8"/>
    <m/>
    <n v="512"/>
    <s v="Limpieza de derrumbes a máquina"/>
    <s v="m³."/>
    <n v="1.46"/>
    <n v="840"/>
    <d v="2014-03-21T00:00:00"/>
    <d v="2014-05-31T00:00:00"/>
    <s v="EJECUTADO"/>
    <n v="1226.4000000000001"/>
    <m/>
    <m/>
    <n v="2952.8"/>
  </r>
  <r>
    <x v="0"/>
    <s v="VIA, LA TINGUE-ZAPALLAL.  L=4,8 km."/>
    <s v="VIA, LA TINGUE-ZAPALLAL.  L=4,8 km."/>
    <x v="2"/>
    <s v="OLMEDO"/>
    <s v="LA TINGUE"/>
    <s v="AD. DIRECTA"/>
    <s v="VIALSUR"/>
    <m/>
    <n v="3.9299999999999997"/>
    <n v="0"/>
    <s v="Rasanteo y conformacion de cunetas con motoniveladora"/>
    <s v="m²."/>
    <n v="0.08"/>
    <n v="21580"/>
    <d v="2014-11-19T00:00:00"/>
    <d v="2014-11-20T00:00:00"/>
    <s v="EJECUTADO"/>
    <n v="1726.4"/>
    <m/>
    <m/>
    <m/>
  </r>
  <r>
    <x v="0"/>
    <s v="VIA ACCESO AL BARRIO SURAPO L= 3.0 KM Olmedo Inicio 20 nov Fin 21 Nov"/>
    <s v="VIA ACCESO AL BARRIO SURAPO L= 3.0 KM Olmedo Inicio 20 nov Fin 21 Nov"/>
    <x v="2"/>
    <s v="OLMEDO"/>
    <s v="LA TINGUE"/>
    <s v="AD. DIRECTA"/>
    <s v="VIALSUR"/>
    <n v="3"/>
    <n v="2.7199999999999998"/>
    <m/>
    <s v="Rasanteo y conformacion de cunetas con motoniveladora"/>
    <s v="m²."/>
    <n v="0.08"/>
    <n v="14940"/>
    <d v="2014-11-20T00:00:00"/>
    <d v="2014-11-21T00:00:00"/>
    <s v="EJECUTADO"/>
    <n v="1195.2"/>
    <m/>
    <m/>
    <n v="1195.2"/>
  </r>
  <r>
    <x v="0"/>
    <s v="MANTENIMIENTO RUTINARIO DE LA VIA EL TAMBO INDIUCHO"/>
    <s v="MANTENIMIENTO RUTINARIO DE LA VIA EL TAMBO INDIUCHO"/>
    <x v="2"/>
    <s v="CATAMAYO"/>
    <s v="EL TAMBO"/>
    <s v="CONTRATO"/>
    <s v="VIALSUR"/>
    <n v="12.1"/>
    <m/>
    <m/>
    <s v="MANTENIMIENTO RUTINARIO CON EL EMPLEO DE MICROEMPRESAS"/>
    <s v="GBL"/>
    <n v="1"/>
    <n v="20810.7"/>
    <d v="2014-01-01T00:00:00"/>
    <d v="2014-05-01T00:00:00"/>
    <s v="EJECUTADO"/>
    <n v="20810.7"/>
    <m/>
    <m/>
    <n v="20810.7"/>
  </r>
  <r>
    <x v="5"/>
    <s v="Fiscalización Vía Carmelo - Cangonamá - Yee De Chalanga"/>
    <s v="Fiscalización Vía Carmelo - Cangonamá - Yee De Chalanga"/>
    <x v="2"/>
    <s v="PALTAS"/>
    <s v="CANGONAMÁ"/>
    <s v="AD. DIRECTA"/>
    <s v="VIALSUR"/>
    <n v="3"/>
    <m/>
    <m/>
    <s v="FISCALIZACIÓN DE LA CONSTRUCCION"/>
    <s v="GBL"/>
    <n v="1"/>
    <n v="29829.45"/>
    <d v="2014-01-01T00:00:00"/>
    <d v="2014-05-01T00:00:00"/>
    <s v="EJECUTADO"/>
    <n v="29829.45"/>
    <m/>
    <m/>
    <n v="29829.45"/>
  </r>
  <r>
    <x v="0"/>
    <s v="VIA ACCESO AL BARIO CARRIZAL L= 3.2 KM Olmedo Inicio 21 nov Fin 22 de Nov"/>
    <s v="VIA ACCESO AL BARIO CARRIZAL L= 3.2 KM Olmedo Inicio 21 nov Fin 22 de Nov"/>
    <x v="2"/>
    <s v="OLMEDO"/>
    <s v="LA TINGUE"/>
    <s v="AD. DIRECTA"/>
    <s v="VIALSUR"/>
    <m/>
    <n v="2.62"/>
    <n v="0"/>
    <s v="Rasanteo y conformacion de cunetas con motoniveladora"/>
    <s v="m²."/>
    <n v="0.08"/>
    <n v="14410"/>
    <d v="2014-11-21T00:00:00"/>
    <d v="2014-11-22T00:00:00"/>
    <s v="EJECUTADO"/>
    <n v="1152.8"/>
    <m/>
    <m/>
    <n v="1853.6"/>
  </r>
  <r>
    <x v="0"/>
    <m/>
    <n v="0"/>
    <x v="2"/>
    <s v="OLMEDO"/>
    <s v="LA TINGUE"/>
    <s v="AD. DIRECTA"/>
    <s v="VIALSUR"/>
    <m/>
    <m/>
    <n v="0"/>
    <s v="Limpieza de derrumbes a máquina"/>
    <s v="m³."/>
    <n v="1.46"/>
    <n v="480"/>
    <d v="2014-11-19T00:00:00"/>
    <d v="2014-11-20T00:00:00"/>
    <s v="EJECUTADO"/>
    <n v="700.8"/>
    <m/>
    <m/>
    <m/>
  </r>
  <r>
    <x v="0"/>
    <s v="MANTENIMIENTO DE LAS VIAS TABLON-MINA, TABLON-SAN JOSE, YEE DE SAN JOSE-QUISHQUIL, CEMENTERIO-LA LAGUNA-COCHALOMA, PANAMERICANA-POTRERILLOS-TACHIN. LONGITUD 18 KM"/>
    <s v="MANTENIMIENTO DE LAS VIAS TABLON-MINA, TABLON-SAN JOSE, YEE DE SAN JOSE-QUISHQUIL, CEMENTERIO-LA LAGUNA-COCHALOMA, PANAMERICANA-POTRERILLOS-TACHIN. LONGITUD 18 KM"/>
    <x v="3"/>
    <s v="SARAGURO"/>
    <s v="EL TABLÓN"/>
    <s v="AD. DIRECTA"/>
    <s v="VIALSUR"/>
    <n v="18"/>
    <n v="12.73"/>
    <n v="716"/>
    <s v="Rasanteo y conformacion de cunetas con motoniveladora"/>
    <s v="m2"/>
    <n v="0.08"/>
    <n v="70000"/>
    <d v="2014-01-01T00:00:00"/>
    <d v="2014-02-28T00:00:00"/>
    <s v="EJECUTADO"/>
    <n v="5600"/>
    <m/>
    <m/>
    <n v="43610"/>
  </r>
  <r>
    <x v="0"/>
    <m/>
    <s v="MANTENIMIENTO DE LAS VIAS TABLON-MINA, TABLON-SAN JOSE, YEE DE SAN JOSE-QUISHQUIL, CEMENTERIO-LA LAGUNA-COCHALOMA, PANAMERICANA-POTRERILLOS-TACHIN. LONGITUD 18 KM"/>
    <x v="3"/>
    <s v="SARAGURO"/>
    <s v="EL TABLÓN"/>
    <s v="AD. DIRECTA"/>
    <s v="VIALSUR"/>
    <m/>
    <n v="3.18"/>
    <n v="0"/>
    <s v="Mejoramiento de la subrasante con suelo seleccionado"/>
    <s v="m3"/>
    <n v="5.92"/>
    <n v="3500"/>
    <d v="2014-01-01T00:00:00"/>
    <d v="2014-02-28T00:00:00"/>
    <s v="EJECUTADO"/>
    <n v="20720"/>
    <m/>
    <m/>
    <m/>
  </r>
  <r>
    <x v="0"/>
    <m/>
    <s v="MANTENIMIENTO DE LAS VIAS TABLON-MINA, TABLON-SAN JOSE, YEE DE SAN JOSE-QUISHQUIL, CEMENTERIO-LA LAGUNA-COCHALOMA, PANAMERICANA-POTRERILLOS-TACHIN. LONGITUD 18 KM"/>
    <x v="3"/>
    <s v="SARAGURO"/>
    <s v="EL TABLÓN"/>
    <s v="AD. DIRECTA"/>
    <s v="VIALSUR"/>
    <m/>
    <m/>
    <n v="0"/>
    <s v="Transporte de material de mejoramiento, base , sub-base "/>
    <s v="M3-KM"/>
    <n v="0.3"/>
    <n v="28000"/>
    <d v="2014-01-01T00:00:00"/>
    <d v="2014-02-28T00:00:00"/>
    <s v="EJECUTADO"/>
    <n v="8400"/>
    <m/>
    <m/>
    <m/>
  </r>
  <r>
    <x v="0"/>
    <m/>
    <s v="MANTENIMIENTO DE LAS VIAS TABLON-MINA, TABLON-SAN JOSE, YEE DE SAN JOSE-QUISHQUIL, CEMENTERIO-LA LAGUNA-COCHALOMA, PANAMERICANA-POTRERILLOS-TACHIN. LONGITUD 18 KM"/>
    <x v="3"/>
    <s v="SARAGURO"/>
    <s v="EL TABLÓN"/>
    <s v="AD. DIRECTA"/>
    <s v="VIALSUR"/>
    <m/>
    <m/>
    <n v="0"/>
    <s v="Explotación de material de mejoramiento"/>
    <s v="m3"/>
    <n v="2.54"/>
    <n v="3500"/>
    <d v="2014-01-01T00:00:00"/>
    <d v="2014-02-28T00:00:00"/>
    <s v="EJECUTADO"/>
    <n v="8890"/>
    <m/>
    <m/>
    <m/>
  </r>
  <r>
    <x v="0"/>
    <s v="MANTENIMIENTO DE LAS VIAS DE LA PARROQUIA CELEN, LONGITUD 12,00 KM"/>
    <s v="MANTENIMIENTO DE LAS VIAS DE LA PARROQUIA CELEN, LONGITUD 12,00 KM"/>
    <x v="3"/>
    <s v="SARAGURO"/>
    <s v="CELEN"/>
    <s v="AD. DIRECTA"/>
    <s v="VIALSUR"/>
    <n v="12"/>
    <n v="13.1"/>
    <n v="2132"/>
    <s v="Rasanteo y conformacion de cunetas con motoniveladora"/>
    <s v="m2"/>
    <n v="0.08"/>
    <n v="72000"/>
    <d v="2014-01-01T00:00:00"/>
    <d v="2014-01-31T00:00:00"/>
    <s v="EJECUTADO"/>
    <n v="5760"/>
    <m/>
    <m/>
    <n v="5863.68"/>
  </r>
  <r>
    <x v="0"/>
    <m/>
    <s v="MANTENIMIENTO DE LAS VIAS DE LA PARROQUIA CELEN, LONGITUD 12,00 KM"/>
    <x v="3"/>
    <s v="SARAGURO"/>
    <s v="CELEN"/>
    <s v="AD. DIRECTA"/>
    <s v="VIALSUR"/>
    <m/>
    <m/>
    <n v="0"/>
    <s v="Excavación sin clasificar a máquina"/>
    <s v="m3"/>
    <n v="1.62"/>
    <n v="64"/>
    <d v="2014-01-01T00:00:00"/>
    <d v="2014-01-31T00:00:00"/>
    <s v="EJECUTADO"/>
    <n v="103.68"/>
    <m/>
    <m/>
    <m/>
  </r>
  <r>
    <x v="0"/>
    <s v="MANTENIMIENTO DE LA VIA MALACATOS-SAN JOSE DE LAS PEÑAS, LONGITUD 3,00 KM"/>
    <s v="MANTENIMIENTO DE LA VIA MALACATOS-SAN JOSE DE LAS PEÑAS, LONGITUD 3,00 KM"/>
    <x v="3"/>
    <s v="LOJA"/>
    <s v="MALACATOS"/>
    <s v="AD. DIRECTA"/>
    <s v="VIALSUR"/>
    <n v="3"/>
    <n v="1.9"/>
    <n v="2611"/>
    <s v="Reconformación de la rasante"/>
    <s v="m2"/>
    <n v="0.35"/>
    <n v="10450"/>
    <d v="2014-01-01T00:00:00"/>
    <d v="2014-01-31T00:00:00"/>
    <s v="EJECUTADO"/>
    <n v="3657.5"/>
    <m/>
    <m/>
    <n v="4780.8599999999997"/>
  </r>
  <r>
    <x v="0"/>
    <m/>
    <s v="MANTENIMIENTO DE LA VIA MALACATOS-SAN JOSE DE LAS PEÑAS, LONGITUD 3,00 KM"/>
    <x v="3"/>
    <s v="LOJA"/>
    <s v="MALACATOS"/>
    <s v="AD. DIRECTA"/>
    <s v="VIALSUR"/>
    <m/>
    <n v="0.11"/>
    <n v="0"/>
    <s v="Mejoramiento de la subrasante con suelo seleccionado"/>
    <s v="m3"/>
    <n v="5.92"/>
    <n v="118"/>
    <d v="2014-01-01T00:00:00"/>
    <d v="2014-01-31T00:00:00"/>
    <s v="EJECUTADO"/>
    <n v="698.56"/>
    <m/>
    <m/>
    <m/>
  </r>
  <r>
    <x v="0"/>
    <m/>
    <s v="MANTENIMIENTO DE LA VIA MALACATOS-SAN JOSE DE LAS PEÑAS, LONGITUD 3,00 KM"/>
    <x v="3"/>
    <s v="LOJA"/>
    <s v="MALACATOS"/>
    <s v="AD. DIRECTA"/>
    <s v="VIALSUR"/>
    <m/>
    <m/>
    <n v="0"/>
    <s v="Transporte de material de mejoramiento, base , sub-base "/>
    <s v="M3-KM"/>
    <n v="0.3"/>
    <n v="1416"/>
    <d v="2014-01-01T00:00:00"/>
    <d v="2014-01-31T00:00:00"/>
    <s v="EJECUTADO"/>
    <n v="424.8"/>
    <m/>
    <m/>
    <m/>
  </r>
  <r>
    <x v="0"/>
    <s v="MANTENIMIENTO DE LA VIA TANQUE DE COLA - PUENTE SANTO DOMINGO, LONGITUD 3,00 KM"/>
    <s v="MANTENIMIENTO DE LA VIA TANQUE DE COLA - PUENTE SANTO DOMINGO, LONGITUD 3,00 KM"/>
    <x v="3"/>
    <s v="LOJA"/>
    <s v="MALACATOS"/>
    <s v="AD. DIRECTA"/>
    <s v="VIALSUR"/>
    <n v="3"/>
    <n v="3.28"/>
    <n v="2611"/>
    <s v="Reconformación de la rasante"/>
    <s v="m2"/>
    <n v="0.35"/>
    <n v="18000"/>
    <d v="2014-01-01T00:00:00"/>
    <d v="2014-01-31T00:00:00"/>
    <s v="EJECUTADO"/>
    <n v="6300"/>
    <m/>
    <m/>
    <n v="20880"/>
  </r>
  <r>
    <x v="0"/>
    <m/>
    <s v="MANTENIMIENTO DE LA VIA TANQUE DE COLA - PUENTE SANTO DOMINGO, LONGITUD 3,00 KM"/>
    <x v="3"/>
    <s v="LOJA"/>
    <s v="MALACATOS"/>
    <s v="AD. DIRECTA"/>
    <s v="VIALSUR"/>
    <m/>
    <m/>
    <n v="0"/>
    <s v="Excavación sin clasificar a máquina"/>
    <s v="m3"/>
    <n v="1.62"/>
    <n v="9000"/>
    <d v="2014-01-01T00:00:00"/>
    <d v="2014-01-31T00:00:00"/>
    <s v="EJECUTADO"/>
    <n v="14580"/>
    <m/>
    <m/>
    <m/>
  </r>
  <r>
    <x v="0"/>
    <s v="MANTENIMIENTO DE LAS VIAS DE LA PARROQUIA YANGANA, TRAMO YANGANA-PUENTE MASANAMACA, LONGITUD 26,00 KM"/>
    <s v="MANTENIMIENTO DE LAS VIAS DE LA PARROQUIA YANGANA, TRAMO YANGANA-PUENTE MASANAMACA, LONGITUD 26,00 KM"/>
    <x v="3"/>
    <s v="LOJA"/>
    <s v="YANGANA"/>
    <s v="AD. DIRECTA"/>
    <s v="VIALSUR"/>
    <n v="26"/>
    <n v="29.1"/>
    <n v="449"/>
    <s v="Reconformación de la rasante"/>
    <s v="m2"/>
    <n v="0.35"/>
    <n v="160002"/>
    <d v="2014-01-01T00:00:00"/>
    <d v="2014-02-28T00:00:00"/>
    <s v="EJECUTADO"/>
    <n v="56000.7"/>
    <m/>
    <m/>
    <n v="104885.34000000001"/>
  </r>
  <r>
    <x v="0"/>
    <m/>
    <s v="MANTENIMIENTO DE LAS VIAS DE LA PARROQUIA YANGANA, TRAMO YANGANA-PUENTE MASANAMACA, LONGITUD 26,00 KM"/>
    <x v="3"/>
    <s v="LOJA"/>
    <s v="YANGANA"/>
    <s v="AD. DIRECTA"/>
    <s v="VIALSUR"/>
    <m/>
    <n v="4.47"/>
    <n v="0"/>
    <s v="Mejoramiento de la subrasante con suelo seleccionado"/>
    <s v="m3"/>
    <n v="5.92"/>
    <n v="4920"/>
    <d v="2014-01-01T00:00:00"/>
    <d v="2014-02-28T00:00:00"/>
    <s v="EJECUTADO"/>
    <n v="29126.400000000001"/>
    <m/>
    <m/>
    <m/>
  </r>
  <r>
    <x v="0"/>
    <m/>
    <s v="MANTENIMIENTO DE LAS VIAS DE LA PARROQUIA YANGANA, TRAMO YANGANA-PUENTE MASANAMACA, LONGITUD 26,00 KM"/>
    <x v="3"/>
    <s v="LOJA"/>
    <s v="YANGANA"/>
    <s v="AD. DIRECTA"/>
    <s v="VIALSUR"/>
    <m/>
    <m/>
    <n v="0"/>
    <s v="Transporte de material de mejoramiento, base , sub-base "/>
    <s v="M3-KM"/>
    <n v="0.3"/>
    <n v="40200"/>
    <d v="2014-01-01T00:00:00"/>
    <d v="2014-02-28T00:00:00"/>
    <s v="EJECUTADO"/>
    <n v="12060"/>
    <m/>
    <m/>
    <m/>
  </r>
  <r>
    <x v="0"/>
    <m/>
    <s v="MANTENIMIENTO DE LAS VIAS DE LA PARROQUIA YANGANA, TRAMO YANGANA-PUENTE MASANAMACA, LONGITUD 26,00 KM"/>
    <x v="3"/>
    <s v="LOJA"/>
    <s v="YANGANA"/>
    <s v="AD. DIRECTA"/>
    <s v="VIALSUR"/>
    <m/>
    <m/>
    <n v="0"/>
    <s v="Excavación sin clasificar a máquina"/>
    <s v="m3"/>
    <n v="1.62"/>
    <n v="4752"/>
    <d v="2014-02-03T00:00:00"/>
    <d v="2014-04-15T00:00:00"/>
    <s v="EJECUTADO"/>
    <n v="7698.24"/>
    <m/>
    <m/>
    <m/>
  </r>
  <r>
    <x v="0"/>
    <s v="MEJORAMIENTO  DE LAS CALLES Y VIAS DE LOS BARRIOS PERIFERICOS DE LA CIUDAD DE LOJA, LONGITUD 180 KM CONVENIO NRO. 131-DPS-2013 APORTES GPL - GADMLOJA - VIALSUR.EP, Contrato original sie nro 582 $ 161 921.96  del 15 de agosto al 18 de enero del 2014, concluido 100 % y pagado."/>
    <s v="MEJORAMIENTO  DE LAS CALLES Y VIAS DE LOS BARRIOS PERIFERICOS DE LA CIUDAD DE LOJA, LONGITUD 180 KM CONVENIO NRO. 131-DPS-2013 APORTES GPL - GADMLOJA - VIALSUR.EP, Contrato original sie nro 582 $ 161 921.96  del 15 de agosto al 18 de enero del 2014, concluido 100 % y pagado."/>
    <x v="3"/>
    <s v="LOJA"/>
    <s v="LOJA"/>
    <s v="CONVENIO"/>
    <s v="VIALSUR"/>
    <n v="180"/>
    <m/>
    <n v="20662"/>
    <s v="Cargada de material inadecuado a máquina"/>
    <s v="m3"/>
    <n v="0.6"/>
    <m/>
    <d v="2014-01-01T00:00:00"/>
    <d v="2014-01-31T00:00:00"/>
    <s v="EJECUTADO"/>
    <n v="0"/>
    <n v="454123.94"/>
    <n v="45935.25"/>
    <n v="241.06"/>
  </r>
  <r>
    <x v="0"/>
    <m/>
    <s v="MEJORAMIENTO  DE LAS CALLES Y VIAS DE LOS BARRIOS PERIFERICOS DE LA CIUDAD DE LOJA, LONGITUD 180 KM CONVENIO NRO. 131-DPS-2013 APORTES GPL - GADMLOJA - VIALSUR.EP, Contrato original sie nro 582 $ 161 921.96  del 15 de agosto al 18 de enero del 2014, concluido 100 % y pagado."/>
    <x v="3"/>
    <s v="LOJA"/>
    <s v="LOJA"/>
    <s v="CONVENIO"/>
    <s v="VIALSUR"/>
    <m/>
    <m/>
    <n v="0"/>
    <s v="Transporte de material de mejoramiento, distancia 0 a 5,00 Km"/>
    <s v="m3"/>
    <n v="0.81"/>
    <n v="297.60000000000002"/>
    <d v="2014-01-01T00:00:00"/>
    <d v="2014-02-28T00:00:00"/>
    <s v="EJECUTADO"/>
    <n v="241.06"/>
    <m/>
    <m/>
    <m/>
  </r>
  <r>
    <x v="0"/>
    <m/>
    <s v="MEJORAMIENTO  DE LAS CALLES Y VIAS DE LOS BARRIOS PERIFERICOS DE LA CIUDAD DE LOJA, LONGITUD 180 KM CONVENIO NRO. 131-DPS-2013 APORTES GPL - GADMLOJA - VIALSUR.EP, Contrato original sie nro 582 $ 161 921.96  del 15 de agosto al 18 de enero del 2014, concluido 100 % y pagado."/>
    <x v="3"/>
    <s v="LOJA"/>
    <s v="LOJA"/>
    <s v="CONVENIO"/>
    <s v="VIALSUR"/>
    <m/>
    <m/>
    <n v="0"/>
    <s v="Alquiler de excavadora"/>
    <s v="Horas"/>
    <n v="45"/>
    <m/>
    <d v="2014-01-01T00:00:00"/>
    <d v="2014-01-31T00:00:00"/>
    <s v="EJECUTADO"/>
    <n v="0"/>
    <m/>
    <m/>
    <n v="0"/>
  </r>
  <r>
    <x v="0"/>
    <m/>
    <s v="MEJORAMIENTO  DE LAS CALLES Y VIAS DE LOS BARRIOS PERIFERICOS DE LA CIUDAD DE LOJA, LONGITUD 180 KM CONVENIO NRO. 131-DPS-2013 APORTES GPL - GADMLOJA - VIALSUR.EP, Contrato original sie nro 582 $ 161 921.96  del 15 de agosto al 18 de enero del 2014, concluido 100 % y pagado."/>
    <x v="3"/>
    <s v="LOJA"/>
    <s v="LOJA"/>
    <s v="CONVENIO"/>
    <s v="VIALSUR"/>
    <m/>
    <n v="0"/>
    <n v="0"/>
    <s v="Acabado de Obra Básica existente"/>
    <s v="Horas"/>
    <n v="50.6"/>
    <m/>
    <d v="2014-01-01T00:00:00"/>
    <d v="2014-02-28T00:00:00"/>
    <s v="EJECUTADO"/>
    <n v="0"/>
    <m/>
    <m/>
    <n v="0"/>
  </r>
  <r>
    <x v="0"/>
    <m/>
    <s v="MEJORAMIENTO  DE LAS CALLES Y VIAS DE LOS BARRIOS PERIFERICOS DE LA CIUDAD DE LOJA, LONGITUD 180 KM CONVENIO NRO. 131-DPS-2013 APORTES GPL - GADMLOJA - VIALSUR.EP, Contrato original sie nro 582 $ 161 921.96  del 15 de agosto al 18 de enero del 2014, concluido 100 % y pagado."/>
    <x v="3"/>
    <s v="LOJA"/>
    <s v="LOJA"/>
    <s v="CONVENIO"/>
    <s v="VIALSUR"/>
    <m/>
    <m/>
    <n v="0"/>
    <s v="Letrero de identificación"/>
    <s v="UNIDAD"/>
    <n v="704.58"/>
    <m/>
    <d v="2014-01-01T00:00:00"/>
    <d v="2014-01-31T00:00:00"/>
    <s v="EJECUTADO"/>
    <n v="0"/>
    <m/>
    <m/>
    <n v="0"/>
  </r>
  <r>
    <x v="0"/>
    <s v="MANTENTENIMIENTO DE CALLES Y VIAS DE LOS BARRIOS PERIFERICOS DE LA CIUDAD DE LOJA (CONTRATO CIA. JARAMILLO CONSTRUCTORA)"/>
    <s v="MANTENTENIMIENTO DE CALLES Y VIAS DE LOS BARRIOS PERIFERICOS DE LA CIUDAD DE LOJA (CONTRATO CIA. JARAMILLO CONSTRUCTORA)"/>
    <x v="3"/>
    <s v="LOJA"/>
    <s v="LOJA"/>
    <s v="CONTRATO"/>
    <s v="CIA. JARAMILLO"/>
    <m/>
    <m/>
    <n v="0"/>
    <s v="Transporte de material de mejoramiento, distancia mayor a 5,00 Km"/>
    <s v="M3-KM"/>
    <n v="0.24"/>
    <n v="86140.05"/>
    <d v="2014-01-01T00:00:00"/>
    <d v="2014-05-31T00:00:00"/>
    <s v="EJECUTADO"/>
    <n v="20673.61"/>
    <m/>
    <m/>
    <n v="20673.61"/>
  </r>
  <r>
    <x v="6"/>
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<x v="3"/>
    <s v="LOJA"/>
    <s v="MALACATOS"/>
    <s v="CONTRATO"/>
    <s v="VIALSUR"/>
    <n v="4"/>
    <m/>
    <n v="2611"/>
    <s v="Asfalto para riego de imprimación"/>
    <s v="Lit."/>
    <n v="0.6"/>
    <n v="54000"/>
    <d v="2014-01-01T00:00:00"/>
    <d v="2014-04-30T00:00:00"/>
    <s v="EJECUTADO"/>
    <n v="32400"/>
    <m/>
    <m/>
    <n v="505662.16"/>
  </r>
  <r>
    <x v="6"/>
    <m/>
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<x v="3"/>
    <s v="LOJA"/>
    <s v="MALACATOS"/>
    <s v="CONTRATO"/>
    <s v="VIALSUR"/>
    <m/>
    <m/>
    <n v="0"/>
    <s v="Hormigón estructural Clase C f´c=180 kg/cm2 , cunetas y canales"/>
    <s v="m3"/>
    <n v="130.65"/>
    <n v="900.52"/>
    <d v="2014-03-01T00:00:00"/>
    <d v="2014-04-30T00:00:00"/>
    <s v="EJECUTADO"/>
    <n v="117652.94"/>
    <m/>
    <m/>
    <m/>
  </r>
  <r>
    <x v="6"/>
    <m/>
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<x v="3"/>
    <s v="LOJA"/>
    <s v="MALACATOS"/>
    <s v="CONTRATO"/>
    <s v="VIALSUR"/>
    <m/>
    <m/>
    <n v="0"/>
    <s v="Señalización Horizontal"/>
    <s v="ml"/>
    <n v="0.49"/>
    <n v="11751"/>
    <d v="2014-06-01T00:00:00"/>
    <d v="2014-07-31T00:00:00"/>
    <s v="EJECUTADO"/>
    <n v="5757.99"/>
    <m/>
    <m/>
    <m/>
  </r>
  <r>
    <x v="6"/>
    <m/>
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<x v="3"/>
    <s v="LOJA"/>
    <s v="MALACATOS"/>
    <s v="CONTRATO"/>
    <s v="VIALSUR"/>
    <m/>
    <m/>
    <n v="0"/>
    <s v="Tachas Reflectivas"/>
    <s v="UNIDAD"/>
    <n v="8.33"/>
    <n v="450"/>
    <d v="2014-06-01T00:00:00"/>
    <d v="2014-07-31T00:00:00"/>
    <s v="EJECUTADO"/>
    <n v="3748.5"/>
    <m/>
    <m/>
    <m/>
  </r>
  <r>
    <x v="6"/>
    <m/>
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<x v="3"/>
    <s v="LOJA"/>
    <s v="MALACATOS"/>
    <s v="CONTRATO"/>
    <s v="VIALSUR"/>
    <m/>
    <m/>
    <n v="0"/>
    <s v="Barandas Reflectivas"/>
    <s v="UNIDAD"/>
    <n v="10"/>
    <n v="471"/>
    <d v="2014-06-01T00:00:00"/>
    <d v="2014-07-31T00:00:00"/>
    <s v="EJECUTADO"/>
    <n v="4710"/>
    <m/>
    <m/>
    <m/>
  </r>
  <r>
    <x v="6"/>
    <m/>
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<x v="3"/>
    <s v="LOJA"/>
    <s v="MALACATOS"/>
    <s v="CONTRATO"/>
    <s v="VIALSUR"/>
    <m/>
    <m/>
    <m/>
    <s v="DIFERENCIA PARA COMPLEMENTAR LA INVERSIÓN Y CANCELADA HASTA MAYO 2014"/>
    <s v="GBL"/>
    <n v="1"/>
    <n v="254902.72999999998"/>
    <d v="2014-06-01T00:00:00"/>
    <d v="2014-07-31T00:00:00"/>
    <s v="EJECUTADO"/>
    <n v="254902.72999999998"/>
    <m/>
    <m/>
    <m/>
  </r>
  <r>
    <x v="6"/>
    <m/>
    <s v="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"/>
    <x v="3"/>
    <s v="LOJA"/>
    <s v="MALACATOS"/>
    <s v="CONTRATO"/>
    <s v="VIALSUR"/>
    <m/>
    <n v="4.3099999999999996"/>
    <n v="0"/>
    <s v="Doble tratamiento superficial bituminoso"/>
    <s v="m2"/>
    <n v="2.79"/>
    <n v="31000"/>
    <d v="2014-01-01T00:00:00"/>
    <d v="2014-04-30T00:00:00"/>
    <s v="EJECUTADO"/>
    <n v="86490"/>
    <m/>
    <m/>
    <m/>
  </r>
  <r>
    <x v="0"/>
    <s v="MANTENIMIEMTO RUTINARIO VAL EN LOS CANTONES LOJA Y SARAGURO (CONTRATO SIE N° 822 SUSCRITO CON EL ING. MANUEL PICOITA), LONGITUD 200 KM; Resanteo de vía con motoniveladora en las vías de las parroquias Celén, Selva Alegre, Lluzhapa, Yuluc y Sumaipamba, cantón Saraguro"/>
    <s v="MANTENIMIEMTO RUTINARIO VAL EN LOS CANTONES LOJA Y SARAGURO (CONTRATO SIE N° 822 SUSCRITO CON EL ING. MANUEL PICOITA), LONGITUD 200 KM; Resanteo de vía con motoniveladora en las vías de las parroquias Celén, Selva Alegre, Lluzhapa, Yuluc y Sumaipamba, cantón Saraguro"/>
    <x v="3"/>
    <s v="SARAGURO"/>
    <s v="LLUZHAPA"/>
    <s v="CONTRATO"/>
    <s v="ING. MANUEL PICOITA"/>
    <n v="100"/>
    <n v="49.98"/>
    <n v="1258"/>
    <s v="Rasanteo y conformacion de cunetas con motoniveladora"/>
    <s v="m2"/>
    <n v="6.8093799999999996E-2"/>
    <n v="274850"/>
    <d v="2014-01-01T00:00:00"/>
    <d v="2014-03-31T00:00:00"/>
    <s v="EJECUTADO"/>
    <n v="18715.580000000002"/>
    <m/>
    <m/>
    <n v="18715.580000000002"/>
  </r>
  <r>
    <x v="1"/>
    <s v="TERMINACION PROYECTO VIAL VILCABAMBA-LINDEROS-MOYOCOCHA (OBRAS DE ARTE Y SEÑALIZACION, CONTRATISTA ING. MAXIMO CASTRO), fecha de suscripción contrato 5 de febrero del 2014, entrega el anticipo 7 de marzo del 2014 40 % del monto del contrato."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m/>
    <m/>
    <n v="0"/>
    <s v="Hormigon coclopeo F´c 180 Kg / cm 2( 60%)H. Simple"/>
    <s v="m3"/>
    <n v="135.74"/>
    <n v="2094.2800000000002"/>
    <d v="2014-03-01T00:00:00"/>
    <d v="2014-07-31T00:00:00"/>
    <s v="EJECUTADO"/>
    <n v="284277.57"/>
    <m/>
    <m/>
    <n v="809288.37999999989"/>
  </r>
  <r>
    <x v="1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m/>
    <m/>
    <n v="0"/>
    <s v="Hormigon simple F´c 180 Kg / cm 2"/>
    <s v="m3"/>
    <n v="174.39"/>
    <n v="1916.28"/>
    <d v="2014-03-01T00:00:00"/>
    <d v="2014-07-31T00:00:00"/>
    <s v="EJECUTADO"/>
    <n v="334180.07"/>
    <m/>
    <m/>
    <m/>
  </r>
  <r>
    <x v="1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m/>
    <m/>
    <n v="0"/>
    <s v="EXCAVACIÓN PARA CUNETAS Y ENCAUZAMIENTOS, A MÁQUINA D/L=200M"/>
    <s v="m3"/>
    <n v="9.5"/>
    <n v="7489.95"/>
    <d v="2014-03-01T00:00:00"/>
    <d v="2014-07-31T00:00:00"/>
    <s v="EJECUTADO"/>
    <n v="71154.53"/>
    <m/>
    <m/>
    <m/>
  </r>
  <r>
    <x v="1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m/>
    <m/>
    <n v="0"/>
    <s v="Excavación de suelo a mano cimientos de Piedra"/>
    <s v="m3"/>
    <n v="9.5"/>
    <n v="220.3"/>
    <d v="2014-03-01T00:00:00"/>
    <d v="2014-07-31T00:00:00"/>
    <s v="EJECUTADO"/>
    <n v="2092.85"/>
    <m/>
    <m/>
    <m/>
  </r>
  <r>
    <x v="1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m/>
    <m/>
    <n v="0"/>
    <s v="Relleno compactado"/>
    <s v="m3"/>
    <n v="6.44"/>
    <n v="1549.04"/>
    <d v="2014-04-01T00:00:00"/>
    <d v="2014-05-31T00:00:00"/>
    <s v="EJECUTADO"/>
    <n v="9975.82"/>
    <m/>
    <m/>
    <m/>
  </r>
  <r>
    <x v="1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m/>
    <m/>
    <n v="0"/>
    <s v="Transporte de material mayor a 5 km"/>
    <s v="M3-KM"/>
    <n v="0.3"/>
    <n v="40912.31"/>
    <d v="2014-07-01T00:00:00"/>
    <d v="2014-07-31T00:00:00"/>
    <s v="EJECUTADO"/>
    <n v="12273.69"/>
    <m/>
    <m/>
    <m/>
  </r>
  <r>
    <x v="1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m/>
    <m/>
    <n v="0"/>
    <s v="Letrero de Señalización de 2,4 x 4,80 m"/>
    <s v="UNIDAD"/>
    <n v="913.74"/>
    <n v="2"/>
    <d v="2014-09-01T00:00:00"/>
    <d v="2014-09-30T00:00:00"/>
    <s v="EJECUTADO"/>
    <n v="1827.48"/>
    <m/>
    <m/>
    <m/>
  </r>
  <r>
    <x v="1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m/>
    <m/>
    <n v="0"/>
    <s v="Pintura de Pavimento ancho 10 cm"/>
    <s v="m2"/>
    <n v="0.53"/>
    <n v="37814.230000000003"/>
    <d v="2014-09-01T00:00:00"/>
    <s v="31/09/2014"/>
    <s v="EN EJECUCION"/>
    <n v="20041.54"/>
    <m/>
    <m/>
    <m/>
  </r>
  <r>
    <x v="1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m/>
    <m/>
    <n v="0"/>
    <s v="Letrero de señalización de 0.75 X 0.75"/>
    <s v="UNIDAD"/>
    <n v="176.44"/>
    <n v="204"/>
    <d v="2014-04-01T00:00:00"/>
    <d v="2014-04-30T00:00:00"/>
    <s v="EJECUTADO"/>
    <n v="35993.760000000002"/>
    <m/>
    <m/>
    <m/>
  </r>
  <r>
    <x v="1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m/>
    <m/>
    <n v="0"/>
    <s v="Acero refuerzo fy= 4200 kg/cm2 ( Suminostro y colocación )"/>
    <s v="kg"/>
    <n v="2.19"/>
    <n v="1002.5"/>
    <d v="2014-07-01T00:00:00"/>
    <d v="2014-07-31T00:00:00"/>
    <s v="EJECUTADO"/>
    <n v="2195.48"/>
    <m/>
    <m/>
    <m/>
  </r>
  <r>
    <x v="1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m/>
    <m/>
    <n v="0"/>
    <s v="Hormigón estructural"/>
    <s v="m3"/>
    <n v="194.99"/>
    <n v="24.47"/>
    <d v="2014-07-01T00:00:00"/>
    <d v="2014-07-31T00:00:00"/>
    <s v="EJECUTADO"/>
    <n v="4771.41"/>
    <m/>
    <m/>
    <m/>
  </r>
  <r>
    <x v="1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m/>
    <m/>
    <n v="0"/>
    <s v="Replanteo y Nivelación con aparatos ( Edificaciones) O.T. #2"/>
    <s v="m2"/>
    <n v="0.83"/>
    <n v="1122.57"/>
    <d v="2014-07-01T00:00:00"/>
    <d v="2014-07-31T00:00:00"/>
    <s v="EJECUTADO"/>
    <n v="931.73"/>
    <m/>
    <m/>
    <m/>
  </r>
  <r>
    <x v="1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m/>
    <m/>
    <n v="0"/>
    <s v="Replanteo y Nivelación con aparatos ( Edificaciones) O.T. #1"/>
    <s v="m2"/>
    <n v="548.87"/>
    <n v="9.64"/>
    <d v="2014-07-01T00:00:00"/>
    <d v="2014-07-31T00:00:00"/>
    <s v="EJECUTADO"/>
    <n v="5291.11"/>
    <m/>
    <m/>
    <m/>
  </r>
  <r>
    <x v="1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m/>
    <m/>
    <n v="0"/>
    <s v="Rosa a Mano"/>
    <s v="Ha"/>
    <n v="903"/>
    <n v="4.8600000000000003"/>
    <d v="2014-07-01T00:00:00"/>
    <d v="2014-07-31T00:00:00"/>
    <s v="EJECUTADO"/>
    <n v="4388.58"/>
    <m/>
    <m/>
    <m/>
  </r>
  <r>
    <x v="1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m/>
    <m/>
    <n v="0"/>
    <s v="Acero refuerzo fy= 4200 kg/cm2 ( Suminostro y colocación )"/>
    <s v="kg"/>
    <n v="2.23"/>
    <n v="3630.82"/>
    <d v="2014-07-01T00:00:00"/>
    <d v="2014-07-31T00:00:00"/>
    <s v="EJECUTADO"/>
    <n v="8096.73"/>
    <m/>
    <m/>
    <m/>
  </r>
  <r>
    <x v="1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m/>
    <m/>
    <n v="0"/>
    <s v="Excavación sin clasificar no incluye desalojo"/>
    <s v="m3"/>
    <n v="1.62"/>
    <n v="133.94999999999999"/>
    <d v="2014-03-01T00:00:00"/>
    <d v="2014-07-31T00:00:00"/>
    <s v="EJECUTADO"/>
    <n v="217"/>
    <m/>
    <m/>
    <m/>
  </r>
  <r>
    <x v="1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m/>
    <m/>
    <n v="0"/>
    <s v="Relleno compactado con material de sitio"/>
    <s v="m3"/>
    <n v="8.11"/>
    <n v="44"/>
    <d v="2014-03-01T00:00:00"/>
    <d v="2014-07-31T00:00:00"/>
    <s v="EJECUTADO"/>
    <n v="356.84"/>
    <m/>
    <m/>
    <m/>
  </r>
  <r>
    <x v="1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m/>
    <m/>
    <n v="0"/>
    <s v="Relleno compactado con material granular"/>
    <s v="m3"/>
    <n v="9.9600000000000009"/>
    <n v="238.61"/>
    <d v="2014-03-01T00:00:00"/>
    <d v="2014-07-31T00:00:00"/>
    <s v="EJECUTADO"/>
    <n v="2376.56"/>
    <m/>
    <m/>
    <m/>
  </r>
  <r>
    <x v="1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m/>
    <m/>
    <n v="0"/>
    <s v="Hormigón Estructural f´c=210 kg/cm2 I/E"/>
    <s v="m3"/>
    <n v="198.68"/>
    <n v="43.41"/>
    <d v="2014-03-01T00:00:00"/>
    <d v="2014-07-31T00:00:00"/>
    <s v="EJECUTADO"/>
    <n v="8624.7000000000007"/>
    <m/>
    <m/>
    <m/>
  </r>
  <r>
    <x v="1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m/>
    <m/>
    <n v="0"/>
    <s v="Tubería PVC para machinales D=10 cm"/>
    <s v="ml"/>
    <n v="6.07"/>
    <n v="6"/>
    <d v="2014-09-01T00:00:00"/>
    <s v="31/09/2014"/>
    <s v="EN EJECUCION"/>
    <n v="36.42"/>
    <m/>
    <m/>
    <m/>
  </r>
  <r>
    <x v="1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m/>
    <m/>
    <n v="0"/>
    <s v="Transporte de cemento en camión"/>
    <s v="ton/km"/>
    <n v="0.23"/>
    <n v="656.36"/>
    <d v="2014-09-01T00:00:00"/>
    <s v="31/09/2014"/>
    <s v="EN EJECUCION"/>
    <n v="150.96"/>
    <m/>
    <m/>
    <m/>
  </r>
  <r>
    <x v="1"/>
    <m/>
    <s v="TERMINACION PROYECTO VIAL VILCABAMBA-LINDEROS-MOYOCOCHA (OBRAS DE ARTE Y SEÑALIZACION, CONTRATISTA ING. MAXIMO CASTRO), fecha de suscripción contrato 5 de febrero del 2014, entrega el anticipo 7 de marzo del 2014 40 % del monto del contrato."/>
    <x v="3"/>
    <s v="LOJA"/>
    <s v="VILCABAMBA "/>
    <s v="CONTRATO"/>
    <s v="ING. MAXIMO CASTRO"/>
    <m/>
    <m/>
    <n v="0"/>
    <s v="Transporte de hierro en camión"/>
    <s v="ton/km"/>
    <n v="0.22"/>
    <n v="152.49"/>
    <d v="2014-09-01T00:00:00"/>
    <s v="31/09/2014"/>
    <s v="EN EJECUCION"/>
    <n v="33.549999999999997"/>
    <m/>
    <m/>
    <m/>
  </r>
  <r>
    <x v="0"/>
    <s v="MANTENIMIENTO DE LA VIA SELVA ALEGRE-LLUZHAPA-SUMAIPAMBA L= 40 km."/>
    <s v="MANTENIMIENTO DE LA VIA SELVA ALEGRE-LLUZHAPA-SUMAIPAMBA L= 40 km."/>
    <x v="3"/>
    <s v="SARAGURO"/>
    <s v="SARAGURO"/>
    <s v="AD. DIRECTA"/>
    <s v="VIALSUR"/>
    <m/>
    <m/>
    <n v="0"/>
    <s v="Limpieza de derrumbes"/>
    <s v="m3"/>
    <n v="1.46"/>
    <n v="9960"/>
    <d v="2014-03-01T00:00:00"/>
    <d v="2014-04-30T00:00:00"/>
    <s v="EJECUTADO"/>
    <n v="14541.6"/>
    <m/>
    <m/>
    <n v="22509.599999999999"/>
  </r>
  <r>
    <x v="0"/>
    <m/>
    <s v="MANTENIMIENTO DE LA VIA SELVA ALEGRE-LLUZHAPA-SUMAIPAMBA L= 40 km."/>
    <x v="3"/>
    <s v="SARAGURO"/>
    <s v="SARAGURO"/>
    <s v="AD. DIRECTA"/>
    <s v="VIALSUR"/>
    <m/>
    <m/>
    <n v="0"/>
    <s v="Relleno con material granular"/>
    <s v="m3"/>
    <n v="9.9600000000000009"/>
    <n v="800"/>
    <d v="2014-03-01T00:00:00"/>
    <d v="2014-04-30T00:00:00"/>
    <s v="EJECUTADO"/>
    <n v="7968"/>
    <m/>
    <m/>
    <m/>
  </r>
  <r>
    <x v="0"/>
    <s v="MANTENIMIENTO DE LA VIA EL CISNE - GUALEL - CHUQUIRIBAMBA  L=22 km."/>
    <s v="MANTENIMIENTO DE LA VIA EL CISNE - GUALEL - CHUQUIRIBAMBA  L=22 km."/>
    <x v="3"/>
    <s v="LOJA"/>
    <s v="LOJA"/>
    <s v="AD. DIRECTA"/>
    <s v="VIALSUR"/>
    <m/>
    <m/>
    <n v="0"/>
    <s v="Limpieza de derrumbes"/>
    <s v="m3"/>
    <n v="1.46"/>
    <n v="14400"/>
    <d v="2014-03-01T00:00:00"/>
    <d v="2014-03-31T00:00:00"/>
    <s v="EJECUTADO"/>
    <n v="21024"/>
    <m/>
    <m/>
    <n v="21024"/>
  </r>
  <r>
    <x v="0"/>
    <s v="MANTENIMIENTO DE LA VIA EL CISNE - GUALEL - CHUQUIRIBAMBA  L=22 km."/>
    <s v="MANTENIMIENTO DE LA VIA EL CISNE - GUALEL - CHUQUIRIBAMBA  L=22 km."/>
    <x v="3"/>
    <s v="LOJA"/>
    <s v="LOJA"/>
    <s v="AD. DIRECTA"/>
    <s v="VIALSUR"/>
    <m/>
    <m/>
    <n v="0"/>
    <s v="Reconformación de la rasante con motoniveladora"/>
    <s v="m2"/>
    <n v="0.08"/>
    <n v="85000"/>
    <d v="2014-12-01T00:00:00"/>
    <d v="2014-12-24T00:00:00"/>
    <s v="EN EJECUCION"/>
    <n v="6800"/>
    <m/>
    <m/>
    <n v="6800"/>
  </r>
  <r>
    <x v="0"/>
    <s v="MANTENIMIENTO DE LA VÍA EL CISNE - AMBOCAS L=24 km."/>
    <s v="MANTENIMIENTO DE LA VÍA EL CISNE - AMBOCAS L=24 km."/>
    <x v="3"/>
    <s v="LOJA"/>
    <s v="LOJA"/>
    <s v="AD. DIRECTA"/>
    <s v="VIALSUR"/>
    <m/>
    <m/>
    <n v="0"/>
    <s v="Limpieza de derrumbes"/>
    <s v="m3"/>
    <n v="1.46"/>
    <n v="5000"/>
    <d v="2014-03-01T00:00:00"/>
    <d v="2014-04-30T00:00:00"/>
    <s v="EJECUTADO"/>
    <n v="7300"/>
    <m/>
    <m/>
    <n v="11679.4"/>
  </r>
  <r>
    <x v="0"/>
    <m/>
    <s v="MANTENIMIENTO DE LA VÍA EL CISNE - AMBOCAS L=24 km."/>
    <x v="3"/>
    <s v="LOJA"/>
    <s v="LOJA"/>
    <s v="AD. DIRECTA"/>
    <s v="VIALSUR"/>
    <m/>
    <m/>
    <n v="0"/>
    <s v="Relleno  Compactado"/>
    <s v="m3"/>
    <n v="8.11"/>
    <n v="540"/>
    <d v="2014-04-01T00:00:00"/>
    <d v="2014-04-30T00:00:00"/>
    <s v="EJECUTADO"/>
    <n v="4379.3999999999996"/>
    <m/>
    <m/>
    <m/>
  </r>
  <r>
    <x v="0"/>
    <s v="MANTENIMIENTPO DE LA VIA SAN PEDRO DE VILCABAMBA - SACAPO L=3,00 KM"/>
    <s v="MANTENIMIENTPO DE LA VIA SAN PEDRO DE VILCABAMBA - SACAPO L=3,00 KM"/>
    <x v="3"/>
    <s v="LOJA"/>
    <s v="LOJA"/>
    <s v="AD. DIRECTA"/>
    <s v="VIALSUR"/>
    <n v="3"/>
    <m/>
    <n v="20662"/>
    <s v="Limpieza de derrumbes"/>
    <s v="m3"/>
    <n v="1.03"/>
    <n v="864"/>
    <d v="2014-12-01T00:00:00"/>
    <d v="2014-12-24T00:00:00"/>
    <s v="EN EJECUCION"/>
    <n v="889.92"/>
    <m/>
    <m/>
    <n v="889.92"/>
  </r>
  <r>
    <x v="0"/>
    <s v="MANTENIMIENTO DE VIAS DE PARROQUIA MALACATOS SAN FRANCISCO BAJO - SAN FRANCISCOALTO-BELEN "/>
    <s v="MANTENIMIENTO DE VIAS DE PARROQUIA MALACATOS SAN FRANCISCO BAJO - SAN FRANCISCOALTO-BELEN "/>
    <x v="3"/>
    <s v="LOJA"/>
    <s v="LOJA"/>
    <s v="AD. DIRECTA"/>
    <s v="VIALSUR"/>
    <n v="5.8"/>
    <n v="9.6"/>
    <n v="20662"/>
    <s v="Reconformación de la rasante"/>
    <s v="m2"/>
    <n v="0.35"/>
    <n v="52800"/>
    <d v="2014-03-01T00:00:00"/>
    <d v="2014-04-30T00:00:00"/>
    <s v="EJECUTADO"/>
    <n v="18480"/>
    <m/>
    <m/>
    <n v="49678.079999999994"/>
  </r>
  <r>
    <x v="0"/>
    <m/>
    <s v="MANTENIMIENTO DE VIAS DE PARROQUIA MALACATOS SAN FRANCISCO BAJO - SAN FRANCISCOALTO-BELEN "/>
    <x v="3"/>
    <s v="LOJA"/>
    <s v="LOJA"/>
    <s v="AD. DIRECTA"/>
    <s v="VIALSUR"/>
    <m/>
    <n v="3.27"/>
    <n v="0"/>
    <s v="Mejoramiento de la subrasante con suelo seleccionado"/>
    <s v="m3"/>
    <n v="5.92"/>
    <n v="3600"/>
    <d v="2014-03-01T00:00:00"/>
    <d v="2014-04-30T00:00:00"/>
    <s v="EJECUTADO"/>
    <n v="21312"/>
    <m/>
    <m/>
    <m/>
  </r>
  <r>
    <x v="0"/>
    <m/>
    <s v="MANTENIMIENTO DE VIAS DE PARROQUIA MALACATOS SAN FRANCISCO BAJO - SAN FRANCISCOALTO-BELEN "/>
    <x v="3"/>
    <s v="LOJA"/>
    <s v="LOJA"/>
    <s v="AD. DIRECTA"/>
    <s v="VIALSUR"/>
    <m/>
    <m/>
    <n v="0"/>
    <s v="Relleno con material granular"/>
    <s v="m3"/>
    <n v="9.9600000000000009"/>
    <n v="588"/>
    <d v="2014-03-01T00:00:00"/>
    <d v="2014-03-31T00:00:00"/>
    <s v="EJECUTADO"/>
    <n v="5856.48"/>
    <m/>
    <m/>
    <m/>
  </r>
  <r>
    <x v="0"/>
    <m/>
    <s v="MANTENIMIENTO DE VIAS DE PARROQUIA MALACATOS SAN FRANCISCO BAJO - SAN FRANCISCOALTO-BELEN "/>
    <x v="3"/>
    <s v="LOJA"/>
    <s v="LOJA"/>
    <s v="AD. DIRECTA"/>
    <s v="VIALSUR"/>
    <m/>
    <m/>
    <n v="0"/>
    <s v="Transporte de material de mejoramiento, distancia mayor a 5,00 Km"/>
    <s v="M3-KM"/>
    <n v="0.3"/>
    <n v="13432"/>
    <d v="2014-03-01T00:00:00"/>
    <d v="2014-04-30T00:00:00"/>
    <s v="EJECUTADO"/>
    <n v="4029.6"/>
    <m/>
    <m/>
    <m/>
  </r>
  <r>
    <x v="0"/>
    <s v="MANTENIMIENTO DE LA VIA VILLONACO-TAQUIL-CHANTACO-CHUQUIRIBAMBA  L=40 KM."/>
    <s v="MANTENIMIENTO DE LA VIA VILLONACO-TAQUIL-CHANTACO-CHUQUIRIBAMBA  L=40 KM."/>
    <x v="3"/>
    <s v="LOJA"/>
    <s v="TAQUIL"/>
    <s v="AD. DIRECTA"/>
    <s v="VIALSUR"/>
    <n v="10.63"/>
    <n v="47.6"/>
    <n v="2613"/>
    <s v="Reconformación de la rasante"/>
    <s v="m2"/>
    <n v="0.35"/>
    <n v="261800"/>
    <d v="2014-03-01T00:00:00"/>
    <d v="2014-06-30T00:00:00"/>
    <s v="EJECUTADO"/>
    <n v="91630"/>
    <m/>
    <m/>
    <n v="218197.27000000002"/>
  </r>
  <r>
    <x v="0"/>
    <m/>
    <s v="MANTENIMIENTO DE LA VIA VILLONACO-TAQUIL-CHANTACO-CHUQUIRIBAMBA  L=40 KM."/>
    <x v="3"/>
    <s v="LOJA"/>
    <s v="CHANTACO"/>
    <s v="AD. DIRECTA"/>
    <s v="VIALSUR"/>
    <n v="10.63"/>
    <n v="14.87"/>
    <n v="696"/>
    <s v="Mejoramiento de la subrasante con suelo seleccionado S/T h= 20 cm. Incluye explotada"/>
    <s v="m3"/>
    <n v="5.92"/>
    <n v="16356"/>
    <d v="2014-03-01T00:00:00"/>
    <d v="2014-06-30T00:00:00"/>
    <s v="EJECUTADO"/>
    <n v="96827.520000000004"/>
    <m/>
    <m/>
    <m/>
  </r>
  <r>
    <x v="0"/>
    <m/>
    <s v="MANTENIMIENTO DE LA VIA VILLONACO-TAQUIL-CHANTACO-CHUQUIRIBAMBA  L=40 KM."/>
    <x v="3"/>
    <s v="LOJA"/>
    <s v="CHUQUIRIBAMBA"/>
    <s v="AD. DIRECTA"/>
    <s v="VIALSUR"/>
    <n v="10.63"/>
    <m/>
    <n v="1446"/>
    <s v="Transporte de material de mejoramiento, distancia mayor a 5,00 Km"/>
    <s v="M3-KM"/>
    <n v="0.3"/>
    <n v="57760"/>
    <d v="2014-03-01T00:00:00"/>
    <d v="2014-06-30T00:00:00"/>
    <s v="EJECUTADO"/>
    <n v="17328"/>
    <m/>
    <m/>
    <m/>
  </r>
  <r>
    <x v="0"/>
    <m/>
    <s v="MANTENIMIENTO DE LA VIA VILLONACO-TAQUIL-CHANTACO-CHUQUIRIBAMBA  L=40 KM."/>
    <x v="3"/>
    <s v="LOJA"/>
    <s v="CHUQUIRIBAMBA"/>
    <s v="AD. DIRECTA"/>
    <s v="VIALSUR"/>
    <m/>
    <m/>
    <m/>
    <s v="Relleno con material granular"/>
    <s v="m3"/>
    <n v="9.9600000000000009"/>
    <n v="400"/>
    <d v="2014-04-01T00:00:00"/>
    <d v="2014-04-30T00:00:00"/>
    <s v="EJECUTADO"/>
    <n v="3984"/>
    <m/>
    <m/>
    <m/>
  </r>
  <r>
    <x v="0"/>
    <m/>
    <s v="MANTENIMIENTO DE LA VIA VILLONACO-TAQUIL-CHANTACO-CHUQUIRIBAMBA  L=40 KM."/>
    <x v="3"/>
    <s v="LOJA"/>
    <s v="CHUQUIRIBAMBA"/>
    <s v="AD. DIRECTA"/>
    <s v="VIALSUR"/>
    <m/>
    <m/>
    <m/>
    <s v="Alcantarilla de armico D=1.80, e= 2.5 mm"/>
    <s v="ml"/>
    <n v="561.85"/>
    <n v="15"/>
    <d v="2014-04-01T00:00:00"/>
    <d v="2014-04-30T00:00:00"/>
    <s v="EJECUTADO"/>
    <n v="8427.75"/>
    <m/>
    <m/>
    <m/>
  </r>
  <r>
    <x v="0"/>
    <s v="REHABILITACION DE LA VIA LOS MANGOS - CHAQUIRCUÑA L = 7.5 KM"/>
    <s v="REHABILITACION DE LA VIA LOS MANGOS - CHAQUIRCUÑA L = 7.5 KM"/>
    <x v="3"/>
    <s v="LOJA"/>
    <s v="EL CISNE"/>
    <s v="AD. DIRECTA"/>
    <s v="VIALSUR"/>
    <n v="7.5"/>
    <m/>
    <n v="589"/>
    <s v="Enrocado de piedra diámetro mayor a 70 cm."/>
    <s v="m3"/>
    <n v="36.880000000000003"/>
    <n v="700"/>
    <d v="2014-04-01T00:00:00"/>
    <d v="2014-04-30T00:00:00"/>
    <s v="EJECUTADO"/>
    <n v="25816"/>
    <m/>
    <m/>
    <n v="68928"/>
  </r>
  <r>
    <x v="0"/>
    <m/>
    <s v="REHABILITACION DE LA VIA LOS MANGOS - CHAQUIRCUÑA L = 7.5 KM"/>
    <x v="3"/>
    <s v="LOJA"/>
    <s v="EL CISNE"/>
    <s v="AD. DIRECTA"/>
    <s v="VIALSUR"/>
    <m/>
    <m/>
    <n v="0"/>
    <s v="Relleno con material granular"/>
    <s v="m3"/>
    <n v="9.9600000000000009"/>
    <n v="3200"/>
    <d v="2014-04-01T00:00:00"/>
    <d v="2014-04-30T00:00:00"/>
    <s v="EJECUTADO"/>
    <n v="31872"/>
    <m/>
    <m/>
    <m/>
  </r>
  <r>
    <x v="0"/>
    <m/>
    <s v="REHABILITACION DE LA VIA LOS MANGOS - CHAQUIRCUÑA L = 7.5 KM"/>
    <x v="3"/>
    <s v="LOJA"/>
    <s v="EL CISNE"/>
    <s v="AD. DIRECTA"/>
    <s v="VIALSUR"/>
    <m/>
    <m/>
    <n v="0"/>
    <s v="Encauzamiento de río"/>
    <s v="m3"/>
    <n v="2.81"/>
    <n v="4000"/>
    <d v="2014-04-01T00:00:00"/>
    <d v="2014-04-30T00:00:00"/>
    <s v="EJECUTADO"/>
    <n v="11240"/>
    <m/>
    <m/>
    <m/>
  </r>
  <r>
    <x v="0"/>
    <s v="MANTENIMIENTO DE LA VIA SOLAMAR - JIMBILLA L= 17.00 KM."/>
    <s v="MANTENIMIENTO DE LA VIA SOLAMAR - JIMBILLA L= 17.00 KM."/>
    <x v="3"/>
    <s v="LOJA"/>
    <s v="JIMBILLA"/>
    <s v="AD. DIRECTA"/>
    <s v="VIALSUR"/>
    <n v="17"/>
    <n v="3.6399999999999997"/>
    <n v="539"/>
    <s v="Reconformación de la rasante"/>
    <s v="m2"/>
    <n v="0.35"/>
    <n v="20000"/>
    <d v="2014-01-05T00:00:00"/>
    <d v="2014-05-31T00:00:00"/>
    <s v="EJECUTADO"/>
    <n v="7000"/>
    <m/>
    <m/>
    <n v="7000"/>
  </r>
  <r>
    <x v="0"/>
    <m/>
    <s v="MANTENIMIENTO DE LA VIA SOLAMAR - JIMBILLA L= 17.00 KM."/>
    <x v="3"/>
    <s v="LOJA"/>
    <s v="JIMBILLA"/>
    <s v="AD. DIRECTA"/>
    <s v="VIALSUR"/>
    <m/>
    <n v="6.9999999999999993E-2"/>
    <n v="0"/>
    <s v="reconformación de la razante"/>
    <s v="m2"/>
    <n v="0.35"/>
    <n v="336"/>
    <d v="2014-04-01T00:00:00"/>
    <d v="2014-04-30T00:00:00"/>
    <s v="EJECUTADO"/>
    <n v="117.6"/>
    <m/>
    <m/>
    <n v="117.6"/>
  </r>
  <r>
    <x v="0"/>
    <s v="MANTENIMIENTO DEL CADE"/>
    <s v="MANTENIMIENTO DEL CADE"/>
    <x v="3"/>
    <s v="LOJA"/>
    <s v="LOJA"/>
    <s v="AD. DIRECTA"/>
    <s v="VIALSUR"/>
    <m/>
    <m/>
    <n v="0"/>
    <s v="Encauzamiento de río"/>
    <s v="m3"/>
    <n v="1.46"/>
    <n v="246"/>
    <d v="2014-04-01T00:00:00"/>
    <d v="2014-04-30T00:00:00"/>
    <s v="EJECUTADO"/>
    <n v="359.16"/>
    <m/>
    <m/>
    <n v="359.16"/>
  </r>
  <r>
    <x v="0"/>
    <s v="MANTENIMIENTO DE LA VIA SAUCES NORTE SOLAMAR - SAN LUCAS"/>
    <s v="MANTENIMIENTO DE LA VIA SAUCES NORTE SOLAMAR - SAN LUCAS"/>
    <x v="3"/>
    <s v="LOJA"/>
    <s v="SAN LUCAS"/>
    <s v="AD. DIRECTA"/>
    <s v="VIALSUR"/>
    <n v="32"/>
    <n v="7.42"/>
    <n v="288"/>
    <s v="reconformación de la razante"/>
    <s v="m2"/>
    <n v="0.35"/>
    <n v="40800"/>
    <d v="2014-06-01T00:00:00"/>
    <d v="2014-06-30T00:00:00"/>
    <s v="EJECUTADO"/>
    <n v="14280"/>
    <m/>
    <m/>
    <n v="21885"/>
  </r>
  <r>
    <x v="0"/>
    <m/>
    <s v="MANTENIMIENTO DE LA VIA SAUCES NORTE SOLAMAR - SAN LUCAS"/>
    <x v="3"/>
    <s v="LOJA"/>
    <s v="SAN LUCAS"/>
    <s v="AD. DIRECTA"/>
    <s v="VIALSUR"/>
    <m/>
    <m/>
    <n v="0"/>
    <s v="Desalojo de Material de escombros"/>
    <s v="m3"/>
    <n v="0.6"/>
    <n v="720"/>
    <d v="2014-06-01T00:00:00"/>
    <d v="2014-06-30T00:00:00"/>
    <s v="EJECUTADO"/>
    <n v="432"/>
    <m/>
    <m/>
    <m/>
  </r>
  <r>
    <x v="0"/>
    <m/>
    <s v="MANTENIMIENTO DE LA VIA SAUCES NORTE SOLAMAR - SAN LUCAS"/>
    <x v="3"/>
    <s v="LOJA"/>
    <s v="SAN LUCAS"/>
    <s v="AD. DIRECTA"/>
    <s v="VIALSUR"/>
    <m/>
    <m/>
    <n v="0"/>
    <s v="Excavación en plataforma suelo rocoso a máquina desalojo hasta 50 m(Variante)"/>
    <s v="m3"/>
    <n v="7.97"/>
    <n v="900"/>
    <d v="2014-06-01T00:00:00"/>
    <d v="2014-06-30T00:00:00"/>
    <s v="EJECUTADO"/>
    <n v="7173"/>
    <m/>
    <m/>
    <m/>
  </r>
  <r>
    <x v="0"/>
    <s v="ENCAUSAMIENTO DE QUEBRADA PICUMINE (BARRIO TUMIANUMA)"/>
    <s v="ENCAUSAMIENTO DE QUEBRADA PICUMINE (BARRIO TUMIANUMA)"/>
    <x v="3"/>
    <s v="LOJA"/>
    <s v="LOJA"/>
    <s v="AD. DIRECTA"/>
    <s v="VIALSUR"/>
    <m/>
    <m/>
    <n v="0"/>
    <s v="Encauzamiento de río"/>
    <s v="m3"/>
    <n v="2.81"/>
    <n v="7200"/>
    <d v="2014-06-01T00:00:00"/>
    <d v="2014-06-30T00:00:00"/>
    <s v="EJECUTADO"/>
    <n v="20232"/>
    <m/>
    <m/>
    <n v="20232"/>
  </r>
  <r>
    <x v="0"/>
    <s v="MANTENIMIENTO DE LA VIA SELVA ALEGRE - TENTA"/>
    <s v="MANTENIMIENTO DE LA VIA SELVA ALEGRE - TENTA"/>
    <x v="3"/>
    <s v="SARAGURO"/>
    <s v="SANPABLODETENTA"/>
    <s v="AD. DIRECTA"/>
    <s v="VIALSUR"/>
    <m/>
    <n v="8.73"/>
    <n v="0"/>
    <s v="reconformación de la razante"/>
    <s v="m2"/>
    <n v="0.35"/>
    <n v="48000"/>
    <d v="2014-07-01T00:00:00"/>
    <d v="2014-07-31T00:00:00"/>
    <s v="EJECUTADO"/>
    <n v="16800"/>
    <m/>
    <m/>
    <n v="16800"/>
  </r>
  <r>
    <x v="0"/>
    <m/>
    <s v="MANTENIMIENTO DE LA VIA SELVA ALEGRE - TENTA"/>
    <x v="3"/>
    <s v="SARAGURO"/>
    <s v="SANPABLODETENTA"/>
    <s v="AD. DIRECTA"/>
    <s v="VIALSUR"/>
    <m/>
    <m/>
    <n v="0"/>
    <s v="Desalojo de Material de escombros"/>
    <s v="m3"/>
    <n v="0.6"/>
    <n v="2000"/>
    <d v="2014-07-01T00:00:00"/>
    <d v="2014-07-31T00:00:00"/>
    <s v="EJECUTADO"/>
    <n v="1200"/>
    <m/>
    <m/>
    <n v="1200"/>
  </r>
  <r>
    <x v="0"/>
    <m/>
    <s v="MANTENIMIENTO DE LA VIA SELVA ALEGRE - TENTA"/>
    <x v="3"/>
    <s v="SARAGURO"/>
    <s v="SANPABLODETENTA"/>
    <s v="AD. DIRECTA"/>
    <s v="VIALSUR"/>
    <m/>
    <n v="1.73"/>
    <n v="0"/>
    <s v="Mejoramiento de la subrasante con suelo seleccionado s/t h=20 cm incluye explotada"/>
    <s v="m3"/>
    <n v="5.92"/>
    <n v="1899"/>
    <d v="2014-07-01T00:00:00"/>
    <d v="2014-07-31T00:00:00"/>
    <s v="EJECUTADO"/>
    <n v="11242.08"/>
    <m/>
    <m/>
    <n v="11242.08"/>
  </r>
  <r>
    <x v="0"/>
    <m/>
    <s v="MANTENIMIENTO DE LA VIA SELVA ALEGRE - TENTA"/>
    <x v="3"/>
    <s v="SARAGURO"/>
    <s v="SANPABLODETENTA"/>
    <s v="AD. DIRECTA"/>
    <s v="VIALSUR"/>
    <m/>
    <m/>
    <n v="0"/>
    <s v="Transporte de mateial mayor a 5 km"/>
    <s v="M3-KM"/>
    <n v="0.3"/>
    <n v="27535"/>
    <d v="2014-07-01T00:00:00"/>
    <d v="2014-07-31T00:00:00"/>
    <s v="EJECUTADO"/>
    <n v="8260.5"/>
    <m/>
    <m/>
    <n v="8260.5"/>
  </r>
  <r>
    <x v="0"/>
    <s v="MANTENIMIENTO DE LA VIA TENTA - SELVA ALEGRE"/>
    <s v="MANTENIMIENTO DE LA VIA TENTA - SELVA ALEGRE"/>
    <x v="3"/>
    <s v="SARAGURO"/>
    <s v="SELVAALEGRE"/>
    <s v="AD. DIRECTA"/>
    <s v="VIALSUR"/>
    <m/>
    <n v="20.73"/>
    <n v="0"/>
    <s v="reconformación de la razante"/>
    <s v="m2"/>
    <n v="0.35"/>
    <n v="114000"/>
    <d v="2014-09-01T00:00:00"/>
    <d v="2014-09-30T00:00:00"/>
    <s v="EJECUTADO"/>
    <n v="39900"/>
    <m/>
    <m/>
    <n v="63553.2"/>
  </r>
  <r>
    <x v="0"/>
    <m/>
    <s v="MANTENIMIENTO DE LA VIA TENTA - SELVA ALEGRE"/>
    <x v="3"/>
    <s v="SARAGURO"/>
    <s v="SELVAALEGRE"/>
    <s v="AD. DIRECTA"/>
    <s v="VIALSUR"/>
    <m/>
    <m/>
    <n v="0"/>
    <s v="Desalojo de Material de escombros"/>
    <s v="m3"/>
    <n v="0.6"/>
    <n v="1902"/>
    <d v="2014-09-01T00:00:00"/>
    <d v="2014-09-30T00:00:00"/>
    <s v="EJECUTADO"/>
    <n v="1141.2"/>
    <m/>
    <m/>
    <m/>
  </r>
  <r>
    <x v="0"/>
    <m/>
    <s v="MANTENIMIENTO DE LA VIA TENTA - SELVA ALEGRE"/>
    <x v="3"/>
    <s v="SARAGURO"/>
    <s v="SELVAALEGRE"/>
    <s v="AD. DIRECTA"/>
    <s v="VIALSUR"/>
    <m/>
    <n v="1.91"/>
    <n v="0"/>
    <s v="Mejoramiento de la subrasante con suelo seleccionado s/t h=20 cm incluye explotada"/>
    <s v="m3"/>
    <n v="5.92"/>
    <n v="2100"/>
    <d v="2014-09-01T00:00:00"/>
    <d v="2014-09-30T00:00:00"/>
    <s v="EJECUTADO"/>
    <n v="12432"/>
    <m/>
    <m/>
    <m/>
  </r>
  <r>
    <x v="0"/>
    <m/>
    <s v="MANTENIMIENTO DE LA VIA TENTA - SELVA ALEGRE"/>
    <x v="3"/>
    <s v="SARAGURO"/>
    <s v="SELVAALEGRE"/>
    <s v="AD. DIRECTA"/>
    <s v="VIALSUR"/>
    <m/>
    <m/>
    <n v="0"/>
    <s v="Transporte de mateial mayor a 5 km"/>
    <s v="M3-KM"/>
    <n v="0.3"/>
    <n v="33600"/>
    <d v="2014-09-01T00:00:00"/>
    <d v="2014-09-30T00:00:00"/>
    <s v="EJECUTADO"/>
    <n v="10080"/>
    <m/>
    <m/>
    <m/>
  </r>
  <r>
    <x v="0"/>
    <s v="MANTENIMIENTO DE LA VÍA EL CISNE - AMBOCAS L=24 km."/>
    <s v="MANTENIMIENTO DE LA VÍA EL CISNE - AMBOCAS L=24 km."/>
    <x v="3"/>
    <s v="LOJA"/>
    <s v="EL CISNE"/>
    <s v="AD. DIRECTA"/>
    <s v="VIALSUR"/>
    <m/>
    <n v="7.64"/>
    <n v="0"/>
    <s v="Rasanteo de la via"/>
    <s v="m2"/>
    <n v="6.8093799999999996E-2"/>
    <n v="42000"/>
    <d v="2014-09-01T00:00:00"/>
    <d v="2014-09-30T00:00:00"/>
    <s v="EJECUTADO"/>
    <n v="2859.94"/>
    <m/>
    <m/>
    <n v="3579.94"/>
  </r>
  <r>
    <x v="0"/>
    <m/>
    <s v="MANTENIMIENTO DE LA VÍA EL CISNE - AMBOCAS L=24 km."/>
    <x v="3"/>
    <s v="LOJA"/>
    <s v="EL CISNE"/>
    <s v="AD. DIRECTA"/>
    <s v="VIALSUR"/>
    <m/>
    <n v="1.1000000000000001"/>
    <n v="0"/>
    <s v="Reconformación de la vía con tractor, corrección de pendiente y rasanteo de la calzada"/>
    <s v="m2"/>
    <n v="0.12"/>
    <n v="6000"/>
    <d v="2014-09-01T00:00:00"/>
    <d v="2014-09-30T00:00:00"/>
    <s v="EJECUTADO"/>
    <n v="720"/>
    <m/>
    <m/>
    <m/>
  </r>
  <r>
    <x v="0"/>
    <s v="RESANTEO DE LA VIA TUMIANUMA QUINARA"/>
    <s v="RESANTEO DE LA VIA TUMIANUMA QUINARA"/>
    <x v="3"/>
    <s v="LOJA"/>
    <s v="QUINARA"/>
    <s v="AD. DIRECTA"/>
    <s v="VIALSUR"/>
    <m/>
    <n v="9.1"/>
    <n v="0"/>
    <s v="Rasanteo de la via"/>
    <s v="m2"/>
    <n v="6.8093799999999996E-2"/>
    <n v="50000"/>
    <d v="2014-09-01T00:00:00"/>
    <d v="2014-09-30T00:00:00"/>
    <s v="EJECUTADO"/>
    <n v="3404.69"/>
    <m/>
    <m/>
    <n v="3404.69"/>
  </r>
  <r>
    <x v="0"/>
    <s v="ADECUACION DEL COLEGIO LA SALLE"/>
    <s v="ADECUACION DEL COLEGIO LA SALLE"/>
    <x v="3"/>
    <s v="LOJA"/>
    <s v="LOJA"/>
    <s v="AD. DIRECTA"/>
    <s v="VIALSUR"/>
    <m/>
    <n v="1.46"/>
    <n v="0"/>
    <s v="Rasanteo de la via"/>
    <s v="m2"/>
    <n v="6.8093799999999996E-2"/>
    <n v="8000"/>
    <d v="2014-09-01T00:00:00"/>
    <d v="2014-09-30T00:00:00"/>
    <s v="EJECUTADO"/>
    <n v="544.75"/>
    <m/>
    <m/>
    <n v="2344.75"/>
  </r>
  <r>
    <x v="0"/>
    <m/>
    <s v="ADECUACION DEL COLEGIO LA SALLE"/>
    <x v="3"/>
    <s v="LOJA"/>
    <s v="LOJA"/>
    <s v="AD. DIRECTA"/>
    <s v="VIALSUR"/>
    <m/>
    <m/>
    <n v="0"/>
    <s v="Desalojo de Material de escombros"/>
    <s v="m3"/>
    <n v="0.6"/>
    <n v="600"/>
    <d v="2014-09-01T00:00:00"/>
    <d v="2014-09-30T00:00:00"/>
    <s v="EJECUTADO"/>
    <n v="360"/>
    <m/>
    <m/>
    <m/>
  </r>
  <r>
    <x v="0"/>
    <m/>
    <s v="ADECUACION DEL COLEGIO LA SALLE"/>
    <x v="3"/>
    <s v="LOJA"/>
    <s v="LOJA"/>
    <s v="AD. DIRECTA"/>
    <s v="VIALSUR"/>
    <m/>
    <m/>
    <n v="0"/>
    <s v="Transporte de mateial mayor a 5 km"/>
    <s v="M3-KM"/>
    <n v="0.3"/>
    <n v="4800"/>
    <d v="2014-09-01T00:00:00"/>
    <d v="2014-09-30T00:00:00"/>
    <s v="EJECUTADO"/>
    <n v="1440"/>
    <m/>
    <m/>
    <m/>
  </r>
  <r>
    <x v="0"/>
    <s v="VIA JIMBILLA LA CHONTA"/>
    <s v="VIA JIMBILLA LA CHONTA"/>
    <x v="3"/>
    <s v="LOJA"/>
    <s v="JIMBILLA"/>
    <s v="AD. DIRECTA"/>
    <s v="VIALSUR"/>
    <m/>
    <n v="7.64"/>
    <n v="0"/>
    <s v="Rasanteo de la via CON TRACTOR"/>
    <s v="m2"/>
    <n v="0.12"/>
    <n v="42000"/>
    <d v="2014-07-01T00:00:00"/>
    <d v="2014-07-31T00:00:00"/>
    <s v="EJECUTADO"/>
    <n v="5040"/>
    <m/>
    <m/>
    <n v="9420"/>
  </r>
  <r>
    <x v="0"/>
    <m/>
    <s v="VIA JIMBILLA LA CHONTA"/>
    <x v="3"/>
    <s v="LOJA"/>
    <s v="JIMBILLA"/>
    <s v="AD. DIRECTA"/>
    <s v="VIALSUR"/>
    <m/>
    <m/>
    <n v="0"/>
    <s v="Limpieza de derrumbes"/>
    <s v="m3"/>
    <n v="1.46"/>
    <n v="3000"/>
    <d v="2014-07-01T00:00:00"/>
    <d v="2014-07-31T00:00:00"/>
    <s v="EJECUTADO"/>
    <n v="4380"/>
    <m/>
    <m/>
    <m/>
  </r>
  <r>
    <x v="0"/>
    <s v="MANTENIMIENTO DE LAS VIAS DE VILCABAMBA (CONTRATO)"/>
    <s v="MANTENIMIENTO DE LAS VIAS DE VILCABAMBA (CONTRATO)"/>
    <x v="3"/>
    <s v="LOJA"/>
    <s v="VILCABAMBA "/>
    <s v="AD. DIRECTA"/>
    <s v="VIALSUR"/>
    <m/>
    <n v="24"/>
    <n v="0"/>
    <s v="Reconformacion de la razante existente"/>
    <s v="m2"/>
    <n v="0.08"/>
    <n v="132000"/>
    <d v="2014-11-01T00:00:00"/>
    <d v="2014-11-30T00:00:00"/>
    <s v="EN EJECUCION"/>
    <n v="10560"/>
    <m/>
    <m/>
    <n v="10560"/>
  </r>
  <r>
    <x v="0"/>
    <s v="MANTENIMIENTO DE LAS VIAS DE MALACATOS  (CONTRATO)"/>
    <s v="MANTENIMIENTO DE LAS VIAS DE MALACATOS  (CONTRATO)"/>
    <x v="3"/>
    <s v="LOJA"/>
    <s v="MALACATOS"/>
    <s v="AD. DIRECTA"/>
    <s v="VIALSUR"/>
    <m/>
    <n v="15.459999999999999"/>
    <n v="0"/>
    <s v="Reconformacion de la razante existente"/>
    <s v="m2"/>
    <n v="0.08"/>
    <n v="85000"/>
    <d v="2014-11-01T00:00:00"/>
    <d v="2014-11-30T00:00:00"/>
    <s v="EN EJECUCION"/>
    <n v="6800"/>
    <m/>
    <m/>
    <n v="6800"/>
  </r>
  <r>
    <x v="0"/>
    <s v="MANTENIMIENTO DE LAS VIA PUNZARA LA ARGENTINA  (CONTRATO)"/>
    <s v="MANTENIMIENTO DE LAS VIA PUNZARA LA ARGENTINA  (CONTRATO)"/>
    <x v="3"/>
    <s v="LOJA"/>
    <s v="MALACATOS"/>
    <s v="AD. DIRECTA"/>
    <s v="VIALSUR"/>
    <m/>
    <n v="9.1"/>
    <n v="0"/>
    <s v="Reconformacion de la razante existente"/>
    <s v="m2"/>
    <n v="0.12"/>
    <n v="50000"/>
    <d v="2014-11-01T00:00:00"/>
    <d v="2014-11-30T00:00:00"/>
    <s v="EN EJECUCION"/>
    <n v="6000"/>
    <m/>
    <m/>
    <n v="6000"/>
  </r>
  <r>
    <x v="0"/>
    <s v="MANTENIMIENTO DE LA VIA SELVA ALEGRE - SAN LUIS"/>
    <s v="MANTENIMIENTO DE LA VIA SELVA ALEGRE - SAN LUIS"/>
    <x v="3"/>
    <s v="SARAGURO"/>
    <s v="SELVAALEGRE"/>
    <s v="AD. DIRECTA"/>
    <s v="VIALSUR"/>
    <m/>
    <n v="21.1"/>
    <n v="0"/>
    <s v="reconformación de la razante"/>
    <s v="m2"/>
    <n v="0.25"/>
    <n v="116000"/>
    <d v="2014-11-01T00:00:00"/>
    <d v="2014-12-20T00:00:00"/>
    <s v="EN EJECUCION"/>
    <n v="29000"/>
    <m/>
    <m/>
    <n v="63084"/>
  </r>
  <r>
    <x v="0"/>
    <m/>
    <s v="MANTENIMIENTO DE LA VIA SELVA ALEGRE - SAN LUIS"/>
    <x v="3"/>
    <s v="SARAGURO"/>
    <s v="SELVAALEGRE"/>
    <s v="AD. DIRECTA"/>
    <s v="VIALSUR"/>
    <m/>
    <m/>
    <n v="0"/>
    <s v="Desalojo de Material de escombros"/>
    <s v="m3"/>
    <n v="0.6"/>
    <n v="1500"/>
    <d v="2014-11-01T00:00:00"/>
    <d v="2014-12-20T00:00:00"/>
    <s v="EN EJECUCION"/>
    <n v="900"/>
    <m/>
    <m/>
    <m/>
  </r>
  <r>
    <x v="0"/>
    <m/>
    <s v="MANTENIMIENTO DE LA VIA SELVA ALEGRE - SAN LUIS"/>
    <x v="3"/>
    <s v="SARAGURO"/>
    <s v="SELVAALEGRE"/>
    <s v="AD. DIRECTA"/>
    <s v="VIALSUR"/>
    <m/>
    <n v="2.76"/>
    <n v="0"/>
    <s v="Mejoramiento de la subrasante con suelo seleccionado s/t h=20 cm incluye explotada"/>
    <s v="m3"/>
    <n v="5.2"/>
    <n v="3040"/>
    <d v="2014-11-01T00:00:00"/>
    <d v="2014-12-20T00:00:00"/>
    <s v="EN EJECUCION"/>
    <n v="15808"/>
    <m/>
    <m/>
    <m/>
  </r>
  <r>
    <x v="0"/>
    <m/>
    <s v="MANTENIMIENTO DE LA VIA SELVA ALEGRE - SAN LUIS"/>
    <x v="3"/>
    <s v="SARAGURO"/>
    <s v="SELVAALEGRE"/>
    <s v="AD. DIRECTA"/>
    <s v="VIALSUR"/>
    <m/>
    <m/>
    <n v="0"/>
    <s v="Transporte de mateial mayor a 5 km"/>
    <s v="M3-KM"/>
    <n v="0.3"/>
    <n v="57920"/>
    <d v="2014-11-01T00:00:00"/>
    <d v="2014-12-20T00:00:00"/>
    <s v="EN EJECUCION"/>
    <n v="17376"/>
    <m/>
    <m/>
    <m/>
  </r>
  <r>
    <x v="0"/>
    <s v="MANTENIMIENTO DE LA VIA EL CISNE - GUALEL"/>
    <s v="MANTENIMIENTO DE LA VIA EL CISNE - GUALEL"/>
    <x v="3"/>
    <s v="LOJA"/>
    <s v="EL CISNE"/>
    <s v="AD. DIRECTA"/>
    <s v="VIALSUR"/>
    <m/>
    <m/>
    <n v="0"/>
    <s v="Reconformacion de la razante existente"/>
    <s v="m2"/>
    <n v="0.08"/>
    <n v="85000"/>
    <d v="2014-12-01T00:00:00"/>
    <d v="2014-12-20T00:00:00"/>
    <s v="EN EJECUCION"/>
    <n v="6800"/>
    <m/>
    <m/>
    <n v="6800"/>
  </r>
  <r>
    <x v="0"/>
    <s v="MANTENIMIENTO DE LA VIA CHUQUIRIBAMBA-YEE DE PORDEL-GONZABAL"/>
    <s v="MANTENIMIENTO DE LA VIA CHUQUIRIBAMBA-YEE DE PORDEL-GONZABAL"/>
    <x v="3"/>
    <s v="LOJA"/>
    <s v="EL CISNE"/>
    <s v="AD. DIRECTA"/>
    <s v="VIALSUR"/>
    <m/>
    <m/>
    <n v="0"/>
    <s v="Acabado de la obra básica existente"/>
    <s v="m2"/>
    <n v="0.3"/>
    <n v="35750"/>
    <d v="2014-12-01T00:00:00"/>
    <d v="2014-12-20T00:00:00"/>
    <s v="EN EJECUCION"/>
    <n v="10725"/>
    <m/>
    <m/>
    <n v="10725"/>
  </r>
  <r>
    <x v="0"/>
    <s v="MANTENIMIENTO DE LA VIA CHUQUIRIBAMBA-YEE DE PORDEL-GONZABAL"/>
    <s v="MANTENIMIENTO DE LA VIA CHUQUIRIBAMBA-YEE DE PORDEL-GONZABAL"/>
    <x v="3"/>
    <s v="LOJA"/>
    <s v="EL CISNE"/>
    <s v="AD. DIRECTA"/>
    <s v="VIALSUR"/>
    <m/>
    <m/>
    <n v="0"/>
    <s v="Limpieza de derrumbes"/>
    <s v="m3"/>
    <n v="1.18"/>
    <n v="300"/>
    <d v="2014-12-01T00:00:00"/>
    <d v="2014-12-20T00:00:00"/>
    <s v="EN EJECUCION"/>
    <n v="354"/>
    <m/>
    <m/>
    <n v="354"/>
  </r>
  <r>
    <x v="0"/>
    <s v="MANTENIMIENTO DE LA VIA CHUQUIRIBAMBA-YEE DE PORDEL-GONZABAL"/>
    <s v="MANTENIMIENTO DE LA VIA CHUQUIRIBAMBA-YEE DE PORDEL-GONZABAL"/>
    <x v="3"/>
    <s v="LOJA"/>
    <s v="EL CISNE"/>
    <s v="AD. DIRECTA"/>
    <s v="VIALSUR"/>
    <m/>
    <m/>
    <n v="0"/>
    <s v="Transporte de material mayor a 5 Km"/>
    <s v="m3"/>
    <n v="0.27"/>
    <n v="10500"/>
    <d v="2014-12-01T00:00:00"/>
    <d v="2014-12-20T00:00:00"/>
    <s v="EN EJECUCION"/>
    <n v="2835"/>
    <m/>
    <m/>
    <n v="2835"/>
  </r>
  <r>
    <x v="0"/>
    <s v="MANTENIMIENTO DE LA VIA CHUQUIRIBAMBA-YEE DE PORDEL-GONZABAL"/>
    <s v="MANTENIMIENTO DE LA VIA CHUQUIRIBAMBA-YEE DE PORDEL-GONZABAL"/>
    <x v="3"/>
    <s v="LOJA"/>
    <s v="EL CISNE"/>
    <s v="AD. DIRECTA"/>
    <s v="VIALSUR"/>
    <m/>
    <m/>
    <n v="0"/>
    <s v="Mejoramiento de la subrasante con suelo eleccionado, s/t h= 20 cm incluye explotada, cargada, tendida, hidratada, y compactada, no incluye transporte"/>
    <s v="M3-KM"/>
    <n v="4.43"/>
    <n v="2100"/>
    <d v="2014-12-01T00:00:00"/>
    <d v="2014-12-20T00:00:00"/>
    <s v="EN EJECUCION"/>
    <n v="9303"/>
    <m/>
    <m/>
    <n v="9303"/>
  </r>
  <r>
    <x v="5"/>
    <s v="ESTUDIOS DE IMPACTO AMBIENTAL EN LA PROVINCIA"/>
    <s v="ESTUDIOS DE IMPACTO AMBIENTAL EN LA PROVINCIA"/>
    <x v="3"/>
    <s v="LOJA"/>
    <s v="LOJA"/>
    <s v="AD. DIRECTA"/>
    <s v="VIALSUR"/>
    <m/>
    <m/>
    <n v="0"/>
    <s v="Estudios De Impacto Ambiental De Minas Y Canteras De Materiales"/>
    <s v="GBL"/>
    <n v="1"/>
    <n v="35214.21"/>
    <d v="2014-01-01T00:00:00"/>
    <d v="2014-05-01T00:00:00"/>
    <s v="EJECUTADO"/>
    <n v="35214.21"/>
    <m/>
    <m/>
    <n v="35214.21"/>
  </r>
  <r>
    <x v="5"/>
    <s v="ESTUDIO DE LA VIA CHAQUIRCUÑA 75 % DE AVANCE"/>
    <s v="ESTUDIO DE LA VIA CHAQUIRCUÑA 75 % DE AVANCE"/>
    <x v="2"/>
    <s v="CATAMAYO"/>
    <s v="SAN PEDRO DE LA BENDITA"/>
    <s v="AD. DIRECTA"/>
    <s v="VIALSUR"/>
    <m/>
    <n v="6.7"/>
    <n v="0"/>
    <s v="DISEÑO VIAL"/>
    <s v="GBL"/>
    <n v="7000"/>
    <n v="6.7"/>
    <d v="2014-01-01T00:00:00"/>
    <d v="2014-05-01T00:00:00"/>
    <s v="EJECUTADO"/>
    <n v="46900"/>
    <m/>
    <m/>
    <n v="46900"/>
  </r>
  <r>
    <x v="5"/>
    <s v="ESTUDIO DE LA VIA SOLAMAR JIMBILLA 90 % DE AVANCE"/>
    <s v="ESTUDIO DE LA VIA SOLAMAR JIMBILLA 90 % DE AVANCE"/>
    <x v="3"/>
    <s v="LOJA"/>
    <s v="JIMBILLA"/>
    <s v="AD. DIRECTA"/>
    <s v="VIALSUR"/>
    <m/>
    <n v="6.6"/>
    <n v="0"/>
    <s v="DISEÑO VIAL, ESTUDIO HIDROLOGICO ESTUDIO GEOLOGICO, IMPACTO AMBIENTAL, ESTUDIO GEOTECNICO"/>
    <s v="GBL"/>
    <n v="9500"/>
    <n v="6.6"/>
    <d v="2014-01-01T00:00:00"/>
    <d v="2014-05-01T00:00:00"/>
    <s v="EJECUTADO"/>
    <n v="62700"/>
    <m/>
    <m/>
    <n v="62700"/>
  </r>
  <r>
    <x v="5"/>
    <s v="ESTUDIO DE LA VIA EL TAMBO SANTODOMINGO 95 % DE AVANCE"/>
    <s v="ESTUDIO DE LA VIA EL TAMBO SANTODOMINGO 95 % DE AVANCE"/>
    <x v="2"/>
    <s v="CATAMAYO"/>
    <s v="EL TAMBO"/>
    <s v="AD. DIRECTA"/>
    <s v="VIALSUR"/>
    <m/>
    <n v="17.329999999999998"/>
    <n v="0"/>
    <s v="DISEÑO VIAL, ESTUDIO HIDROLOGICO ESTUDIO GEOLOGICO, IMPACTO AMBIENTAL, ESTUDIO GEOTECNICO"/>
    <s v="GBL"/>
    <n v="11000"/>
    <n v="17.329999999999998"/>
    <d v="2014-01-01T00:00:00"/>
    <d v="2014-05-01T00:00:00"/>
    <s v="EJECUTADO"/>
    <n v="190630"/>
    <m/>
    <m/>
    <n v="190630"/>
  </r>
  <r>
    <x v="5"/>
    <s v="DISEÑO DE ALCANTARILLA CON MULTIPLICA SOBRE LA Q. IGUILA EN LA VIA CRIAMANGA EL LUCERO"/>
    <s v="DISEÑO DE ALCANTARILLA CON MULTIPLICA SOBRE LA Q. IGUILA EN LA VIA CRIAMANGA EL LUCERO"/>
    <x v="0"/>
    <s v="CALVAS"/>
    <s v="EL LUCERO"/>
    <s v="AD. DIRECTA"/>
    <s v="VIALSUR"/>
    <m/>
    <m/>
    <n v="0"/>
    <s v="DISEÑO DE MUROS DE APOYO, ESTUDIO HIDROLOGICO "/>
    <s v="GBL"/>
    <n v="500"/>
    <n v="12.5"/>
    <d v="2014-01-01T00:00:00"/>
    <d v="2014-05-01T00:00:00"/>
    <s v="EJECUTADO"/>
    <n v="6250"/>
    <m/>
    <m/>
    <n v="6250"/>
  </r>
  <r>
    <x v="5"/>
    <s v="ESTUDIO DE PUENTE SANTIAGO"/>
    <s v="ESTUDIO DE PUENTE SANTIAGO"/>
    <x v="3"/>
    <s v="LOJA"/>
    <s v="SANTIAGO"/>
    <s v="AD. DIRECTA"/>
    <s v="VIALSUR"/>
    <m/>
    <m/>
    <n v="0"/>
    <s v="DISEÑO DE MUROS DE APOYO, Y SUPERESTRUCTURA DEL PUENTE, ESTUDIO HIDROLOGICO "/>
    <s v="GBL"/>
    <n v="500"/>
    <n v="10"/>
    <d v="2014-04-01T00:00:00"/>
    <d v="2014-11-30T00:00:00"/>
    <s v="EN EJECUCION"/>
    <n v="5000"/>
    <m/>
    <m/>
    <n v="5000"/>
  </r>
  <r>
    <x v="5"/>
    <s v="ESTUDIO DE PUENTE BERDUN"/>
    <s v="ESTUDIO DE PUENTE BERDUN"/>
    <x v="2"/>
    <s v="CATAMAYO"/>
    <s v="EL TAMBO"/>
    <s v="AD. DIRECTA"/>
    <s v="VIALSUR"/>
    <m/>
    <m/>
    <n v="0"/>
    <s v="DISEÑO DE MUROS DE APOYO, Y SUPERESTRUCTURA DEL PUENTE, ESTUDIO HIDROLOGICO "/>
    <s v="GBL"/>
    <n v="800"/>
    <n v="12"/>
    <d v="2014-04-01T00:00:00"/>
    <d v="2014-11-30T00:00:00"/>
    <s v="EN EJECUCION"/>
    <n v="9600"/>
    <m/>
    <m/>
    <n v="9600"/>
  </r>
  <r>
    <x v="5"/>
    <s v="ESTUDIO DE PUENTE QUEBRADA LINUMA"/>
    <s v="ESTUDIO DE PUENTE QUEBRADA LINUMA"/>
    <x v="2"/>
    <s v="PALTAS"/>
    <s v="GUACHANAMA"/>
    <s v="AD. DIRECTA"/>
    <s v="VIALSUR"/>
    <m/>
    <m/>
    <n v="0"/>
    <s v="DISEÑO DE MUROS DE APOYO, Y SUPERESTRUCTURA DEL PUENTE, ESTUDIO HIDROLOGICO "/>
    <s v="GBL"/>
    <n v="800"/>
    <n v="14"/>
    <d v="2014-04-01T00:00:00"/>
    <d v="2014-11-30T00:00:00"/>
    <s v="EN EJECUCION"/>
    <n v="11200"/>
    <m/>
    <m/>
    <n v="11200"/>
  </r>
  <r>
    <x v="5"/>
    <s v="ESTUDIO DE OBRAS DE ARTE DE LA VIA LA HOYADA EL LIMO"/>
    <s v="ESTUDIO DE OBRAS DE ARTE DE LA VIA LA HOYADA EL LIMO"/>
    <x v="1"/>
    <s v="PUYANGO"/>
    <s v="ELLIMO"/>
    <s v="AD. DIRECTA"/>
    <s v="VIALSUR"/>
    <m/>
    <m/>
    <n v="0"/>
    <s v="DISEÑO DE MUROS DE APOYO,  ESTUDIO HIDROLOGICO "/>
    <s v="GBL"/>
    <n v="400"/>
    <n v="16"/>
    <d v="2014-04-01T00:00:00"/>
    <d v="2014-11-30T00:00:00"/>
    <s v="EN EJECUCION"/>
    <n v="6400"/>
    <m/>
    <m/>
    <n v="6400"/>
  </r>
  <r>
    <x v="4"/>
    <s v="CONSTRUCCION DE PUENTES Y PASARELAS"/>
    <s v="CONSTRUCCION DE PUENTES Y PASARELAS"/>
    <x v="3"/>
    <s v="LOJA"/>
    <s v="SAN LUCAS"/>
    <s v="CONTRATO"/>
    <s v="VIALSUR"/>
    <m/>
    <m/>
    <n v="0"/>
    <s v="CONSTRUCCION DE PUENTE SANTIAGO"/>
    <s v="GBL"/>
    <n v="1"/>
    <n v="16019"/>
    <d v="2014-04-01T00:00:00"/>
    <d v="2014-11-30T00:00:00"/>
    <s v="EN EJECUCION"/>
    <n v="16019"/>
    <m/>
    <m/>
    <n v="16019"/>
  </r>
  <r>
    <x v="0"/>
    <s v="MANTENIMIENTO RUTINARIO DE LA VIA LOJA SOLAMAR SAN LUCAS (MICROEMPRESA LOS ANDES)"/>
    <s v="MANTENIMIENTO RUTINARIO DE LA VIA LOJA SOLAMAR SAN LUCAS (MICROEMPRESA LOS ANDES)"/>
    <x v="3"/>
    <s v="LOJA"/>
    <s v="SAN LUCAS"/>
    <s v="CONTRATO"/>
    <s v="VIALSUR"/>
    <n v="32"/>
    <n v="32"/>
    <n v="288"/>
    <s v="MANTENIMIENTO RUTINARIO"/>
    <s v="GBL"/>
    <n v="1"/>
    <n v="21405.81"/>
    <d v="2014-04-01T00:00:00"/>
    <d v="2014-11-30T00:00:00"/>
    <s v="EN EJECUCION"/>
    <n v="21405.81"/>
    <m/>
    <m/>
    <n v="21405.81"/>
  </r>
  <r>
    <x v="6"/>
    <s v="MEJORAMIENTO A NIVEL DE DOBLE TRATAMIENTO SUPERFICIAL BITUMINOSO DE LA VIA SARAGURO TENTA L= 6.17 KM.ABSC (4+044.69 - 10+210.55) CONVENIO NRO.120 - DPS -2013 GPL - VIALSUR.EP"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n v="6.17"/>
    <m/>
    <n v="17667"/>
    <s v="REPLANTEO Y NIVELACION CON APARATOS (VIAS)"/>
    <s v="Km"/>
    <n v="705.7"/>
    <n v="6.17"/>
    <d v="2014-01-01T00:00:00"/>
    <d v="2014-11-20T00:00:00"/>
    <s v="EJECUTADO"/>
    <n v="4354.17"/>
    <m/>
    <m/>
    <n v="1205907.27"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ROZA A MANO"/>
    <s v="Ha"/>
    <n v="1744.8"/>
    <n v="2.66"/>
    <d v="2014-01-01T00:00:00"/>
    <d v="2014-11-20T00:00:00"/>
    <s v="EJECUTADO"/>
    <n v="4641.17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REMOCIÓN DE ALCANTARILLAS DE TUBO (INCLUYE DESALOJO)"/>
    <s v="M"/>
    <n v="6.86"/>
    <n v="25"/>
    <d v="2014-01-01T00:00:00"/>
    <d v="2014-11-20T00:00:00"/>
    <s v="EJECUTADO"/>
    <n v="171.5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REMOCION DE HORMIGON"/>
    <s v="m³"/>
    <n v="41.84"/>
    <n v="2.2200000000000002"/>
    <d v="2014-01-01T00:00:00"/>
    <d v="2014-11-20T00:00:00"/>
    <s v="EJECUTADO"/>
    <n v="92.88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EXCAVACION EN PLATAFORMA SUELO SIN CLASIFICAR, A MAQUINA"/>
    <s v="m³"/>
    <n v="1.58"/>
    <n v="42267.29"/>
    <d v="2014-01-01T00:00:00"/>
    <d v="2014-11-20T00:00:00"/>
    <s v="EJECUTADO"/>
    <n v="66782.320000000007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EXCAVACION EN ROCA"/>
    <s v="m³"/>
    <n v="6.78"/>
    <n v="3479.06"/>
    <d v="2014-01-01T00:00:00"/>
    <d v="2014-11-20T00:00:00"/>
    <s v="EJECUTADO"/>
    <n v="23588.03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Reconformación de la rasante"/>
    <s v="M²"/>
    <n v="0.35"/>
    <n v="34507.57"/>
    <d v="2014-01-01T00:00:00"/>
    <d v="2014-11-20T00:00:00"/>
    <s v="EJECUTADO"/>
    <n v="12077.65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LIMPIEZA DE DERRUMBES"/>
    <s v="M²"/>
    <n v="1.45"/>
    <n v="3416.92"/>
    <d v="2014-01-01T00:00:00"/>
    <d v="2014-11-20T00:00:00"/>
    <s v="EJECUTADO"/>
    <n v="4954.53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TRAN. MAT. PETREOS, BASE, SUB-BASE, MAT. TRITU, DE PRÉSTAMO Y OTROS D/L=0.5Km"/>
    <s v="M³-Km"/>
    <n v="0.3"/>
    <n v="233679.96"/>
    <d v="2014-01-01T00:00:00"/>
    <d v="2014-11-20T00:00:00"/>
    <s v="EJECUTADO"/>
    <n v="70103.990000000005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ESTABILIZACIÓN DE TALUDES MEDIANTE LA CONFORMACIÓN DE TERRAZAS"/>
    <s v="m³"/>
    <n v="1.1599999999999999"/>
    <n v="32375.75"/>
    <d v="2014-01-01T00:00:00"/>
    <d v="2014-11-20T00:00:00"/>
    <s v="EJECUTADO"/>
    <n v="37555.870000000003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Excavación en marginal"/>
    <s v="m3"/>
    <n v="1.99"/>
    <n v="2833.41"/>
    <d v="2014-01-01T00:00:00"/>
    <d v="2014-11-20T00:00:00"/>
    <s v="EJECUTADO"/>
    <n v="5638.49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TRAN. MAT. PETREOS, BASE, SUB-BASE, MAT. TRITU, DE PRÉSTAMO Y OTROS, D/L=0.5Km"/>
    <s v="M³-Km"/>
    <n v="0.3"/>
    <n v="400547.11"/>
    <d v="2014-01-01T00:00:00"/>
    <d v="2014-11-20T00:00:00"/>
    <s v="EJECUTADO"/>
    <n v="120164.13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Mejoramiento de la subrasante con suelo seleccionado"/>
    <s v="m³"/>
    <n v="5.88"/>
    <n v="13428.07"/>
    <d v="2014-01-01T00:00:00"/>
    <d v="2014-11-20T00:00:00"/>
    <s v="EJECUTADO"/>
    <n v="78957.05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SUBBASE CLASE 2"/>
    <s v="m³"/>
    <n v="9.32"/>
    <m/>
    <d v="2014-01-01T00:00:00"/>
    <d v="2014-11-20T00:00:00"/>
    <s v="EJECUTADO"/>
    <n v="0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BASE CLASE 2"/>
    <s v="m³"/>
    <n v="19.100000000000001"/>
    <n v="11697.06"/>
    <d v="2014-01-01T00:00:00"/>
    <d v="2014-11-20T00:00:00"/>
    <s v="EJECUTADO"/>
    <n v="223413.85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Doble tratamiento superficial bituminoso"/>
    <s v="m2"/>
    <n v="3.47"/>
    <n v="38990.230000000003"/>
    <d v="2014-01-01T00:00:00"/>
    <d v="2014-11-20T00:00:00"/>
    <s v="EJECUTADO"/>
    <n v="135296.1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n v="6.17"/>
    <n v="0"/>
    <s v="Asfalto para riego de imprimación"/>
    <s v="Lit."/>
    <n v="0.97"/>
    <n v="189540"/>
    <d v="2014-01-01T00:00:00"/>
    <d v="2014-11-20T00:00:00"/>
    <s v="EJECUTADO"/>
    <n v="183853.8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Letretro de señalizacion vial en aluminio de 0.75x0.75 m"/>
    <s v="U"/>
    <n v="175.16"/>
    <n v="10"/>
    <d v="2014-01-01T00:00:00"/>
    <d v="2014-11-20T00:00:00"/>
    <s v="EJECUTADO"/>
    <n v="1751.6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Hormigon simple F´c 180 Kg / cm 2"/>
    <s v="m3"/>
    <n v="178.13"/>
    <m/>
    <d v="2014-01-01T00:00:00"/>
    <d v="2014-11-20T00:00:00"/>
    <s v="EJECUTADO"/>
    <n v="0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Hormigón Ciclópeo 60% de H°S° de F'c=180 Kg/cm2 + 40% de piedra"/>
    <s v="m3"/>
    <n v="141.97999999999999"/>
    <n v="27.63"/>
    <d v="2014-01-01T00:00:00"/>
    <d v="2014-11-20T00:00:00"/>
    <s v="EJECUTADO"/>
    <n v="3922.91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LIMPIEZA DE ALCANTARILLA"/>
    <s v="m³"/>
    <n v="10.87"/>
    <n v="36.85"/>
    <d v="2014-01-01T00:00:00"/>
    <d v="2014-11-20T00:00:00"/>
    <s v="EJECUTADO"/>
    <n v="400.56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EXCAVACIÓN DE ZANJAS A MÁQUINA EN SUELO SIN CLASIFICAR"/>
    <s v="m³"/>
    <n v="1.57"/>
    <n v="1526.09"/>
    <d v="2014-01-01T00:00:00"/>
    <d v="2014-11-20T00:00:00"/>
    <s v="EJECUTADO"/>
    <n v="2395.96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EXCAVACIÓN PARA CUNETAS Y ENCAUZAMIENTOS, A MÁQUINA D/L=200M"/>
    <s v="m³"/>
    <n v="1.73"/>
    <n v="432"/>
    <d v="2014-01-01T00:00:00"/>
    <d v="2014-11-20T00:00:00"/>
    <s v="EJECUTADO"/>
    <n v="747.36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ALCANTARILLA METALICA GALVANZADA CORRUGADA PP-68 D=1.20 e= 2MM"/>
    <s v="ml"/>
    <n v="206.62"/>
    <n v="91.58"/>
    <d v="2014-01-01T00:00:00"/>
    <d v="2014-11-20T00:00:00"/>
    <s v="EJECUTADO"/>
    <n v="18922.259999999998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TUBERÍA CORRUGADA Y PERFORADA PARA SUBDRENES PVC D=200 MM"/>
    <s v="M"/>
    <n v="19.16"/>
    <n v="995.6"/>
    <d v="2014-01-01T00:00:00"/>
    <d v="2014-11-20T00:00:00"/>
    <s v="EJECUTADO"/>
    <n v="19075.7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MEMBRANA DE FIBRA SINTETICA NT-1600"/>
    <s v="M²"/>
    <n v="1.91"/>
    <n v="3982.4"/>
    <d v="2014-01-01T00:00:00"/>
    <d v="2014-11-20T00:00:00"/>
    <s v="EJECUTADO"/>
    <n v="7606.38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MATERIAL FILTRANTE PARA SUB-DREN S/T"/>
    <s v="m³"/>
    <n v="8.1999999999999993"/>
    <n v="157.87"/>
    <d v="2014-01-01T00:00:00"/>
    <d v="2014-11-20T00:00:00"/>
    <s v="EJECUTADO"/>
    <n v="1294.53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TRAN. MAT. PETREOS, BASE, SUB-BASE, MAT. TRITU, DE PRÉSTAMO Y OTROS, D/L=0.5Km"/>
    <s v="M³-Km"/>
    <n v="0.3"/>
    <n v="62275.6"/>
    <d v="2014-01-01T00:00:00"/>
    <d v="2014-11-20T00:00:00"/>
    <s v="EJECUTADO"/>
    <n v="18682.68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TRAMPA PARA GRASAS Y ACEITES"/>
    <s v="U"/>
    <n v="1040.57"/>
    <n v="1"/>
    <d v="2014-01-01T00:00:00"/>
    <d v="2014-11-20T00:00:00"/>
    <s v="EJECUTADO"/>
    <n v="1040.57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LETRINA SANITARIA SIN ARRASTRE DE AGUA"/>
    <s v="U"/>
    <n v="664.56"/>
    <n v="2"/>
    <d v="2014-01-01T00:00:00"/>
    <d v="2014-11-20T00:00:00"/>
    <s v="EJECUTADO"/>
    <n v="1329.12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ESCOMBRERAS"/>
    <s v="m³"/>
    <n v="0.42"/>
    <n v="178265.91"/>
    <d v="2014-01-01T00:00:00"/>
    <d v="2014-11-20T00:00:00"/>
    <s v="EJECUTADO"/>
    <n v="74871.679999999993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INSTALACION DE TRITURADORA"/>
    <s v="GBL"/>
    <n v="78920.429999999993"/>
    <n v="1"/>
    <d v="2014-01-01T00:00:00"/>
    <d v="2014-11-20T00:00:00"/>
    <s v="EJECUTADO"/>
    <n v="78920.429999999993"/>
    <m/>
    <m/>
    <m/>
  </r>
  <r>
    <x v="6"/>
    <m/>
    <s v="MEJORAMIENTO A NIVEL DE DOBLE TRATAMIENTO SUPERFICIAL BITUMINOSO DE LA VIA SARAGURO TENTA L= 6.17 KM.ABSC (4+044.69 - 10+210.55) CONVENIO NRO.120 - DPS -2013 GPL - VIALSUR.EP"/>
    <x v="4"/>
    <s v="SARAGURO"/>
    <s v="SARAGURO"/>
    <s v="CONVENIO"/>
    <s v="UNIDAD DE NEGOCIOS"/>
    <m/>
    <m/>
    <n v="0"/>
    <s v="EQUIPO DE PROTECCIÓN PERSONAL"/>
    <s v="U"/>
    <n v="300"/>
    <n v="11"/>
    <d v="2014-01-01T00:00:00"/>
    <d v="2014-11-20T00:00:00"/>
    <s v="EJECUTADO"/>
    <n v="330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showDrill="0" itemPrintTitles="1" mergeItem="1" createdVersion="4" indent="0" compact="0" compactData="0" gridDropZones="1" multipleFieldFilters="0">
  <location ref="A7:D19" firstHeaderRow="2" firstDataRow="2" firstDataCol="3"/>
  <pivotFields count="22"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items count="132">
        <item x="27"/>
        <item x="39"/>
        <item x="112"/>
        <item x="92"/>
        <item x="62"/>
        <item x="61"/>
        <item x="3"/>
        <item x="59"/>
        <item x="48"/>
        <item x="123"/>
        <item x="41"/>
        <item x="8"/>
        <item x="15"/>
        <item x="7"/>
        <item x="6"/>
        <item x="4"/>
        <item x="14"/>
        <item x="5"/>
        <item x="56"/>
        <item x="113"/>
        <item x="44"/>
        <item x="40"/>
        <item x="42"/>
        <item m="1" x="129"/>
        <item x="38"/>
        <item x="117"/>
        <item x="116"/>
        <item x="107"/>
        <item x="60"/>
        <item x="122"/>
        <item x="124"/>
        <item x="115"/>
        <item x="126"/>
        <item x="108"/>
        <item x="125"/>
        <item x="120"/>
        <item x="106"/>
        <item x="109"/>
        <item x="105"/>
        <item x="31"/>
        <item x="32"/>
        <item x="119"/>
        <item x="127"/>
        <item x="50"/>
        <item x="49"/>
        <item x="118"/>
        <item x="111"/>
        <item x="110"/>
        <item x="128"/>
        <item x="43"/>
        <item x="45"/>
        <item x="29"/>
        <item x="28"/>
        <item x="46"/>
        <item x="81"/>
        <item x="2"/>
        <item x="37"/>
        <item x="17"/>
        <item x="19"/>
        <item x="18"/>
        <item x="16"/>
        <item x="20"/>
        <item x="22"/>
        <item x="121"/>
        <item x="58"/>
        <item x="57"/>
        <item x="13"/>
        <item x="11"/>
        <item x="12"/>
        <item x="10"/>
        <item x="9"/>
        <item x="0"/>
        <item x="114"/>
        <item x="30"/>
        <item x="26"/>
        <item x="73"/>
        <item x="53"/>
        <item x="66"/>
        <item m="1" x="130"/>
        <item x="55"/>
        <item x="54"/>
        <item x="91"/>
        <item x="52"/>
        <item x="101"/>
        <item x="75"/>
        <item x="67"/>
        <item x="64"/>
        <item x="68"/>
        <item x="78"/>
        <item x="65"/>
        <item x="63"/>
        <item x="76"/>
        <item x="71"/>
        <item x="72"/>
        <item x="70"/>
        <item x="69"/>
        <item x="95"/>
        <item x="102"/>
        <item x="80"/>
        <item x="93"/>
        <item x="89"/>
        <item x="97"/>
        <item x="98"/>
        <item x="99"/>
        <item x="74"/>
        <item x="77"/>
        <item x="104"/>
        <item x="100"/>
        <item x="96"/>
        <item x="79"/>
        <item x="94"/>
        <item x="1"/>
        <item x="21"/>
        <item x="23"/>
        <item x="24"/>
        <item x="25"/>
        <item x="33"/>
        <item x="34"/>
        <item x="35"/>
        <item x="36"/>
        <item x="47"/>
        <item x="51"/>
        <item x="82"/>
        <item x="83"/>
        <item x="84"/>
        <item x="85"/>
        <item x="86"/>
        <item x="87"/>
        <item x="88"/>
        <item x="90"/>
        <item x="10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DETALLE DE PROYECTOS EJECUTADOS" axis="axisRow" compact="0" outline="0" showAll="0" defaultSubtotal="0">
      <items count="118">
        <item x="22"/>
        <item x="30"/>
        <item x="99"/>
        <item x="80"/>
        <item x="57"/>
        <item x="56"/>
        <item x="2"/>
        <item x="54"/>
        <item x="43"/>
        <item x="110"/>
        <item x="32"/>
        <item x="7"/>
        <item x="14"/>
        <item x="6"/>
        <item x="5"/>
        <item x="3"/>
        <item x="13"/>
        <item x="4"/>
        <item x="51"/>
        <item x="100"/>
        <item x="36"/>
        <item x="31"/>
        <item x="33"/>
        <item m="1" x="116"/>
        <item x="29"/>
        <item x="104"/>
        <item x="103"/>
        <item x="94"/>
        <item x="55"/>
        <item x="109"/>
        <item x="111"/>
        <item x="102"/>
        <item x="113"/>
        <item x="95"/>
        <item x="112"/>
        <item x="107"/>
        <item x="93"/>
        <item x="96"/>
        <item x="92"/>
        <item x="26"/>
        <item x="27"/>
        <item x="106"/>
        <item x="114"/>
        <item x="45"/>
        <item x="44"/>
        <item x="105"/>
        <item x="98"/>
        <item x="97"/>
        <item x="115"/>
        <item x="35"/>
        <item x="37"/>
        <item x="24"/>
        <item x="23"/>
        <item x="38"/>
        <item x="76"/>
        <item x="1"/>
        <item x="28"/>
        <item x="16"/>
        <item x="18"/>
        <item x="17"/>
        <item x="15"/>
        <item x="19"/>
        <item x="20"/>
        <item x="108"/>
        <item x="53"/>
        <item x="52"/>
        <item x="12"/>
        <item x="10"/>
        <item x="11"/>
        <item x="9"/>
        <item x="8"/>
        <item x="0"/>
        <item x="101"/>
        <item x="25"/>
        <item x="21"/>
        <item x="68"/>
        <item x="48"/>
        <item x="61"/>
        <item m="1" x="117"/>
        <item x="50"/>
        <item x="49"/>
        <item x="79"/>
        <item x="47"/>
        <item x="89"/>
        <item x="70"/>
        <item x="62"/>
        <item x="59"/>
        <item x="63"/>
        <item x="73"/>
        <item x="60"/>
        <item x="58"/>
        <item x="71"/>
        <item x="66"/>
        <item x="67"/>
        <item x="65"/>
        <item x="64"/>
        <item x="83"/>
        <item x="90"/>
        <item x="75"/>
        <item x="81"/>
        <item x="77"/>
        <item x="85"/>
        <item x="86"/>
        <item x="87"/>
        <item x="69"/>
        <item x="72"/>
        <item x="91"/>
        <item x="88"/>
        <item x="84"/>
        <item x="74"/>
        <item x="82"/>
        <item x="34"/>
        <item x="39"/>
        <item x="40"/>
        <item x="41"/>
        <item x="42"/>
        <item x="46"/>
        <item x="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subtotalCaption="SUBTOTAL ?" compact="0" outline="0" showAll="0" insertBlankRow="1">
      <items count="19">
        <item h="1" x="3"/>
        <item h="1" x="6"/>
        <item h="1" x="12"/>
        <item x="8"/>
        <item h="1" x="13"/>
        <item h="1" x="2"/>
        <item h="1" x="0"/>
        <item h="1" x="17"/>
        <item x="9"/>
        <item h="1" x="15"/>
        <item h="1" x="14"/>
        <item h="1" x="10"/>
        <item h="1" x="7"/>
        <item h="1" x="1"/>
        <item h="1" x="16"/>
        <item h="1" x="4"/>
        <item h="1" x="11"/>
        <item h="1"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insertBlankRow="1">
      <items count="60">
        <item x="6"/>
        <item x="38"/>
        <item x="27"/>
        <item x="37"/>
        <item x="29"/>
        <item x="46"/>
        <item x="1"/>
        <item x="53"/>
        <item x="54"/>
        <item x="23"/>
        <item x="12"/>
        <item h="1" x="30"/>
        <item x="55"/>
        <item x="5"/>
        <item x="18"/>
        <item x="34"/>
        <item x="45"/>
        <item x="36"/>
        <item x="31"/>
        <item x="22"/>
        <item x="28"/>
        <item x="15"/>
        <item m="1" x="58"/>
        <item x="33"/>
        <item x="57"/>
        <item x="44"/>
        <item x="41"/>
        <item x="50"/>
        <item x="49"/>
        <item x="25"/>
        <item x="47"/>
        <item x="4"/>
        <item x="17"/>
        <item x="40"/>
        <item x="26"/>
        <item x="24"/>
        <item x="0"/>
        <item x="2"/>
        <item x="3"/>
        <item x="56"/>
        <item x="35"/>
        <item x="43"/>
        <item x="11"/>
        <item x="13"/>
        <item x="51"/>
        <item x="14"/>
        <item x="52"/>
        <item x="21"/>
        <item x="42"/>
        <item x="48"/>
        <item x="32"/>
        <item x="19"/>
        <item x="7"/>
        <item x="8"/>
        <item x="9"/>
        <item x="39"/>
        <item x="10"/>
        <item x="16"/>
        <item x="2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7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6"/>
    <field x="7"/>
    <field x="4"/>
  </rowFields>
  <rowItems count="11">
    <i>
      <x v="3"/>
      <x v="35"/>
      <x v="65"/>
    </i>
    <i t="default" r="1">
      <x v="35"/>
    </i>
    <i t="blank" r="1">
      <x v="35"/>
    </i>
    <i t="default">
      <x v="3"/>
    </i>
    <i t="blank">
      <x v="3"/>
    </i>
    <i>
      <x v="8"/>
      <x v="29"/>
      <x v="64"/>
    </i>
    <i t="default" r="1">
      <x v="29"/>
    </i>
    <i t="blank" r="1">
      <x v="29"/>
    </i>
    <i t="default">
      <x v="8"/>
    </i>
    <i t="blank">
      <x v="8"/>
    </i>
    <i t="grand">
      <x/>
    </i>
  </rowItems>
  <colItems count="1">
    <i/>
  </colItems>
  <dataFields count="1">
    <dataField name="Suma de MONTO INVERSION GPL / VIALSUR" fld="21" baseField="0" baseItem="0"/>
  </dataFields>
  <formats count="397">
    <format dxfId="1062">
      <pivotArea outline="0" collapsedLevelsAreSubtotals="1" fieldPosition="0"/>
    </format>
    <format dxfId="1061">
      <pivotArea dataOnly="0" labelOnly="1" outline="0" axis="axisValues" fieldPosition="0"/>
    </format>
    <format dxfId="1060">
      <pivotArea field="6" type="button" dataOnly="0" labelOnly="1" outline="0" axis="axisRow" fieldPosition="0"/>
    </format>
    <format dxfId="1059">
      <pivotArea field="6" type="button" dataOnly="0" labelOnly="1" outline="0" axis="axisRow" fieldPosition="0"/>
    </format>
    <format dxfId="1058">
      <pivotArea dataOnly="0" labelOnly="1" outline="0" axis="axisValues" fieldPosition="0"/>
    </format>
    <format dxfId="1057">
      <pivotArea dataOnly="0" labelOnly="1" outline="0" axis="axisValues" fieldPosition="0"/>
    </format>
    <format dxfId="1056">
      <pivotArea dataOnly="0" labelOnly="1" fieldPosition="0">
        <references count="2">
          <reference field="6" count="1" selected="0">
            <x v="0"/>
          </reference>
          <reference field="7" count="48">
            <x v="0"/>
            <x v="1"/>
            <x v="3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055">
      <pivotArea outline="0" collapsedLevelsAreSubtotals="1" fieldPosition="0"/>
    </format>
    <format dxfId="1054">
      <pivotArea dataOnly="0" labelOnly="1" outline="0" axis="axisValues" fieldPosition="0"/>
    </format>
    <format dxfId="1053">
      <pivotArea outline="0" collapsedLevelsAreSubtotals="1" fieldPosition="0"/>
    </format>
    <format dxfId="1052">
      <pivotArea dataOnly="0" labelOnly="1" outline="0" axis="axisValues" fieldPosition="0"/>
    </format>
    <format dxfId="1051">
      <pivotArea field="6" type="button" dataOnly="0" labelOnly="1" outline="0" axis="axisRow" fieldPosition="0"/>
    </format>
    <format dxfId="1050">
      <pivotArea dataOnly="0" labelOnly="1" fieldPosition="0">
        <references count="1">
          <reference field="6" count="0"/>
        </references>
      </pivotArea>
    </format>
    <format dxfId="1049">
      <pivotArea dataOnly="0" labelOnly="1" fieldPosition="0">
        <references count="2">
          <reference field="6" count="1" selected="0">
            <x v="0"/>
          </reference>
          <reference field="7" count="49">
            <x v="0"/>
            <x v="1"/>
            <x v="3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1048">
      <pivotArea dataOnly="0" labelOnly="1" fieldPosition="0">
        <references count="2">
          <reference field="6" count="1" selected="0">
            <x v="16"/>
          </reference>
          <reference field="7" count="3">
            <x v="2"/>
            <x v="4"/>
            <x v="20"/>
          </reference>
        </references>
      </pivotArea>
    </format>
    <format dxfId="1047">
      <pivotArea field="6" type="button" dataOnly="0" labelOnly="1" outline="0" axis="axisRow" fieldPosition="0"/>
    </format>
    <format dxfId="1046">
      <pivotArea dataOnly="0" labelOnly="1" fieldPosition="0">
        <references count="1">
          <reference field="6" count="0"/>
        </references>
      </pivotArea>
    </format>
    <format dxfId="1045">
      <pivotArea dataOnly="0" labelOnly="1" fieldPosition="0">
        <references count="2">
          <reference field="6" count="1" selected="0">
            <x v="0"/>
          </reference>
          <reference field="7" count="49">
            <x v="0"/>
            <x v="1"/>
            <x v="3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1044">
      <pivotArea dataOnly="0" labelOnly="1" fieldPosition="0">
        <references count="2">
          <reference field="6" count="1" selected="0">
            <x v="16"/>
          </reference>
          <reference field="7" count="3">
            <x v="2"/>
            <x v="4"/>
            <x v="20"/>
          </reference>
        </references>
      </pivotArea>
    </format>
    <format dxfId="1043">
      <pivotArea collapsedLevelsAreSubtotals="1" fieldPosition="0">
        <references count="1">
          <reference field="6" count="1">
            <x v="0"/>
          </reference>
        </references>
      </pivotArea>
    </format>
    <format dxfId="1042">
      <pivotArea collapsedLevelsAreSubtotals="1" fieldPosition="0">
        <references count="2">
          <reference field="6" count="1" selected="0">
            <x v="0"/>
          </reference>
          <reference field="7" count="1">
            <x v="10"/>
          </reference>
        </references>
      </pivotArea>
    </format>
    <format dxfId="1041">
      <pivotArea collapsedLevelsAreSubtotals="1" fieldPosition="0">
        <references count="2">
          <reference field="6" count="1" selected="0">
            <x v="0"/>
          </reference>
          <reference field="7" count="1">
            <x v="43"/>
          </reference>
        </references>
      </pivotArea>
    </format>
    <format dxfId="1040">
      <pivotArea collapsedLevelsAreSubtotals="1" fieldPosition="0">
        <references count="2">
          <reference field="6" count="1" selected="0">
            <x v="0"/>
          </reference>
          <reference field="7" count="1">
            <x v="51"/>
          </reference>
        </references>
      </pivotArea>
    </format>
    <format dxfId="1039">
      <pivotArea collapsedLevelsAreSubtotals="1" fieldPosition="0">
        <references count="1">
          <reference field="6" count="1">
            <x v="1"/>
          </reference>
        </references>
      </pivotArea>
    </format>
    <format dxfId="1038">
      <pivotArea collapsedLevelsAreSubtotals="1" fieldPosition="0">
        <references count="2">
          <reference field="6" count="1" selected="0">
            <x v="1"/>
          </reference>
          <reference field="7" count="1">
            <x v="14"/>
          </reference>
        </references>
      </pivotArea>
    </format>
    <format dxfId="1037">
      <pivotArea collapsedLevelsAreSubtotals="1" fieldPosition="0">
        <references count="1">
          <reference field="6" count="1">
            <x v="2"/>
          </reference>
        </references>
      </pivotArea>
    </format>
    <format dxfId="1036">
      <pivotArea collapsedLevelsAreSubtotals="1" fieldPosition="0">
        <references count="2">
          <reference field="6" count="1" selected="0">
            <x v="2"/>
          </reference>
          <reference field="7" count="1">
            <x v="17"/>
          </reference>
        </references>
      </pivotArea>
    </format>
    <format dxfId="1035">
      <pivotArea collapsedLevelsAreSubtotals="1" fieldPosition="0">
        <references count="2">
          <reference field="6" count="1" selected="0">
            <x v="2"/>
          </reference>
          <reference field="7" count="1">
            <x v="23"/>
          </reference>
        </references>
      </pivotArea>
    </format>
    <format dxfId="1034">
      <pivotArea collapsedLevelsAreSubtotals="1" fieldPosition="0">
        <references count="2">
          <reference field="6" count="1" selected="0">
            <x v="2"/>
          </reference>
          <reference field="7" count="1">
            <x v="40"/>
          </reference>
        </references>
      </pivotArea>
    </format>
    <format dxfId="1033">
      <pivotArea collapsedLevelsAreSubtotals="1" fieldPosition="0">
        <references count="2">
          <reference field="6" count="1" selected="0">
            <x v="2"/>
          </reference>
          <reference field="7" count="1">
            <x v="50"/>
          </reference>
        </references>
      </pivotArea>
    </format>
    <format dxfId="1032">
      <pivotArea collapsedLevelsAreSubtotals="1" fieldPosition="0">
        <references count="1">
          <reference field="6" count="1">
            <x v="3"/>
          </reference>
        </references>
      </pivotArea>
    </format>
    <format dxfId="1031">
      <pivotArea collapsedLevelsAreSubtotals="1" fieldPosition="0">
        <references count="2">
          <reference field="6" count="1" selected="0">
            <x v="3"/>
          </reference>
          <reference field="7" count="1">
            <x v="11"/>
          </reference>
        </references>
      </pivotArea>
    </format>
    <format dxfId="1030">
      <pivotArea collapsedLevelsAreSubtotals="1" fieldPosition="0">
        <references count="2">
          <reference field="6" count="1" selected="0">
            <x v="3"/>
          </reference>
          <reference field="7" count="1">
            <x v="35"/>
          </reference>
        </references>
      </pivotArea>
    </format>
    <format dxfId="1029">
      <pivotArea collapsedLevelsAreSubtotals="1" fieldPosition="0">
        <references count="1">
          <reference field="6" count="1">
            <x v="4"/>
          </reference>
        </references>
      </pivotArea>
    </format>
    <format dxfId="1028">
      <pivotArea collapsedLevelsAreSubtotals="1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1027">
      <pivotArea collapsedLevelsAreSubtotals="1" fieldPosition="0">
        <references count="2">
          <reference field="6" count="1" selected="0">
            <x v="4"/>
          </reference>
          <reference field="7" count="1">
            <x v="3"/>
          </reference>
        </references>
      </pivotArea>
    </format>
    <format dxfId="1026">
      <pivotArea collapsedLevelsAreSubtotals="1" fieldPosition="0">
        <references count="2">
          <reference field="6" count="1" selected="0">
            <x v="4"/>
          </reference>
          <reference field="7" count="1">
            <x v="15"/>
          </reference>
        </references>
      </pivotArea>
    </format>
    <format dxfId="1025">
      <pivotArea collapsedLevelsAreSubtotals="1" fieldPosition="0">
        <references count="1">
          <reference field="6" count="1">
            <x v="5"/>
          </reference>
        </references>
      </pivotArea>
    </format>
    <format dxfId="1024">
      <pivotArea collapsedLevelsAreSubtotals="1" fieldPosition="0">
        <references count="2">
          <reference field="6" count="1" selected="0">
            <x v="5"/>
          </reference>
          <reference field="7" count="1">
            <x v="0"/>
          </reference>
        </references>
      </pivotArea>
    </format>
    <format dxfId="1023">
      <pivotArea collapsedLevelsAreSubtotals="1" fieldPosition="0">
        <references count="2">
          <reference field="6" count="1" selected="0">
            <x v="5"/>
          </reference>
          <reference field="7" count="1">
            <x v="13"/>
          </reference>
        </references>
      </pivotArea>
    </format>
    <format dxfId="1022">
      <pivotArea collapsedLevelsAreSubtotals="1" fieldPosition="0">
        <references count="1">
          <reference field="6" count="1">
            <x v="6"/>
          </reference>
        </references>
      </pivotArea>
    </format>
    <format dxfId="1021">
      <pivotArea collapsedLevelsAreSubtotals="1" fieldPosition="0">
        <references count="2">
          <reference field="6" count="1" selected="0">
            <x v="6"/>
          </reference>
          <reference field="7" count="1">
            <x v="6"/>
          </reference>
        </references>
      </pivotArea>
    </format>
    <format dxfId="1020">
      <pivotArea collapsedLevelsAreSubtotals="1" fieldPosition="0">
        <references count="2">
          <reference field="6" count="1" selected="0">
            <x v="6"/>
          </reference>
          <reference field="7" count="1">
            <x v="21"/>
          </reference>
        </references>
      </pivotArea>
    </format>
    <format dxfId="1019">
      <pivotArea collapsedLevelsAreSubtotals="1" fieldPosition="0">
        <references count="2">
          <reference field="6" count="1" selected="0">
            <x v="6"/>
          </reference>
          <reference field="7" count="1">
            <x v="31"/>
          </reference>
        </references>
      </pivotArea>
    </format>
    <format dxfId="1018">
      <pivotArea collapsedLevelsAreSubtotals="1" fieldPosition="0">
        <references count="2">
          <reference field="6" count="1" selected="0">
            <x v="6"/>
          </reference>
          <reference field="7" count="1">
            <x v="36"/>
          </reference>
        </references>
      </pivotArea>
    </format>
    <format dxfId="1017">
      <pivotArea collapsedLevelsAreSubtotals="1" fieldPosition="0">
        <references count="2">
          <reference field="6" count="1" selected="0">
            <x v="6"/>
          </reference>
          <reference field="7" count="1">
            <x v="38"/>
          </reference>
        </references>
      </pivotArea>
    </format>
    <format dxfId="1016">
      <pivotArea collapsedLevelsAreSubtotals="1" fieldPosition="0">
        <references count="1">
          <reference field="6" count="1">
            <x v="7"/>
          </reference>
        </references>
      </pivotArea>
    </format>
    <format dxfId="1015">
      <pivotArea collapsedLevelsAreSubtotals="1" fieldPosition="0">
        <references count="2">
          <reference field="6" count="1" selected="0">
            <x v="7"/>
          </reference>
          <reference field="7" count="1">
            <x v="7"/>
          </reference>
        </references>
      </pivotArea>
    </format>
    <format dxfId="1014">
      <pivotArea collapsedLevelsAreSubtotals="1" fieldPosition="0">
        <references count="2">
          <reference field="6" count="1" selected="0">
            <x v="7"/>
          </reference>
          <reference field="7" count="1">
            <x v="8"/>
          </reference>
        </references>
      </pivotArea>
    </format>
    <format dxfId="1013">
      <pivotArea collapsedLevelsAreSubtotals="1" fieldPosition="0">
        <references count="2">
          <reference field="6" count="1" selected="0">
            <x v="7"/>
          </reference>
          <reference field="7" count="1">
            <x v="12"/>
          </reference>
        </references>
      </pivotArea>
    </format>
    <format dxfId="1012">
      <pivotArea collapsedLevelsAreSubtotals="1" fieldPosition="0">
        <references count="2">
          <reference field="6" count="1" selected="0">
            <x v="7"/>
          </reference>
          <reference field="7" count="1">
            <x v="24"/>
          </reference>
        </references>
      </pivotArea>
    </format>
    <format dxfId="1011">
      <pivotArea collapsedLevelsAreSubtotals="1" fieldPosition="0">
        <references count="2">
          <reference field="6" count="1" selected="0">
            <x v="7"/>
          </reference>
          <reference field="7" count="1">
            <x v="28"/>
          </reference>
        </references>
      </pivotArea>
    </format>
    <format dxfId="1010">
      <pivotArea collapsedLevelsAreSubtotals="1" fieldPosition="0">
        <references count="2">
          <reference field="6" count="1" selected="0">
            <x v="7"/>
          </reference>
          <reference field="7" count="1">
            <x v="30"/>
          </reference>
        </references>
      </pivotArea>
    </format>
    <format dxfId="1009">
      <pivotArea collapsedLevelsAreSubtotals="1" fieldPosition="0">
        <references count="2">
          <reference field="6" count="1" selected="0">
            <x v="7"/>
          </reference>
          <reference field="7" count="1">
            <x v="39"/>
          </reference>
        </references>
      </pivotArea>
    </format>
    <format dxfId="1008">
      <pivotArea collapsedLevelsAreSubtotals="1" fieldPosition="0">
        <references count="2">
          <reference field="6" count="1" selected="0">
            <x v="7"/>
          </reference>
          <reference field="7" count="1">
            <x v="46"/>
          </reference>
        </references>
      </pivotArea>
    </format>
    <format dxfId="1007">
      <pivotArea collapsedLevelsAreSubtotals="1" fieldPosition="0">
        <references count="2">
          <reference field="6" count="1" selected="0">
            <x v="7"/>
          </reference>
          <reference field="7" count="1">
            <x v="49"/>
          </reference>
        </references>
      </pivotArea>
    </format>
    <format dxfId="1006">
      <pivotArea collapsedLevelsAreSubtotals="1" fieldPosition="0">
        <references count="1">
          <reference field="6" count="1">
            <x v="8"/>
          </reference>
        </references>
      </pivotArea>
    </format>
    <format dxfId="1005">
      <pivotArea collapsedLevelsAreSubtotals="1" fieldPosition="0">
        <references count="2">
          <reference field="6" count="1" selected="0">
            <x v="8"/>
          </reference>
          <reference field="7" count="1">
            <x v="29"/>
          </reference>
        </references>
      </pivotArea>
    </format>
    <format dxfId="1004">
      <pivotArea collapsedLevelsAreSubtotals="1" fieldPosition="0">
        <references count="1">
          <reference field="6" count="1">
            <x v="9"/>
          </reference>
        </references>
      </pivotArea>
    </format>
    <format dxfId="1003">
      <pivotArea collapsedLevelsAreSubtotals="1" fieldPosition="0">
        <references count="2">
          <reference field="6" count="1" selected="0">
            <x v="9"/>
          </reference>
          <reference field="7" count="1">
            <x v="25"/>
          </reference>
        </references>
      </pivotArea>
    </format>
    <format dxfId="1002">
      <pivotArea collapsedLevelsAreSubtotals="1" fieldPosition="0">
        <references count="1">
          <reference field="6" count="1">
            <x v="10"/>
          </reference>
        </references>
      </pivotArea>
    </format>
    <format dxfId="1001">
      <pivotArea collapsedLevelsAreSubtotals="1" fieldPosition="0">
        <references count="2">
          <reference field="6" count="1" selected="0">
            <x v="10"/>
          </reference>
          <reference field="7" count="1">
            <x v="22"/>
          </reference>
        </references>
      </pivotArea>
    </format>
    <format dxfId="1000">
      <pivotArea collapsedLevelsAreSubtotals="1" fieldPosition="0">
        <references count="2">
          <reference field="6" count="1" selected="0">
            <x v="10"/>
          </reference>
          <reference field="7" count="1">
            <x v="26"/>
          </reference>
        </references>
      </pivotArea>
    </format>
    <format dxfId="999">
      <pivotArea collapsedLevelsAreSubtotals="1" fieldPosition="0">
        <references count="2">
          <reference field="6" count="1" selected="0">
            <x v="10"/>
          </reference>
          <reference field="7" count="1">
            <x v="33"/>
          </reference>
        </references>
      </pivotArea>
    </format>
    <format dxfId="998">
      <pivotArea collapsedLevelsAreSubtotals="1" fieldPosition="0">
        <references count="2">
          <reference field="6" count="1" selected="0">
            <x v="10"/>
          </reference>
          <reference field="7" count="1">
            <x v="41"/>
          </reference>
        </references>
      </pivotArea>
    </format>
    <format dxfId="997">
      <pivotArea collapsedLevelsAreSubtotals="1" fieldPosition="0">
        <references count="2">
          <reference field="6" count="1" selected="0">
            <x v="10"/>
          </reference>
          <reference field="7" count="1">
            <x v="48"/>
          </reference>
        </references>
      </pivotArea>
    </format>
    <format dxfId="996">
      <pivotArea collapsedLevelsAreSubtotals="1" fieldPosition="0">
        <references count="1">
          <reference field="6" count="1">
            <x v="11"/>
          </reference>
        </references>
      </pivotArea>
    </format>
    <format dxfId="995">
      <pivotArea collapsedLevelsAreSubtotals="1" fieldPosition="0">
        <references count="2">
          <reference field="6" count="1" selected="0">
            <x v="11"/>
          </reference>
          <reference field="7" count="1">
            <x v="34"/>
          </reference>
        </references>
      </pivotArea>
    </format>
    <format dxfId="994">
      <pivotArea collapsedLevelsAreSubtotals="1" fieldPosition="0">
        <references count="1">
          <reference field="6" count="1">
            <x v="12"/>
          </reference>
        </references>
      </pivotArea>
    </format>
    <format dxfId="993">
      <pivotArea collapsedLevelsAreSubtotals="1" fieldPosition="0">
        <references count="2">
          <reference field="6" count="1" selected="0">
            <x v="12"/>
          </reference>
          <reference field="7" count="1">
            <x v="9"/>
          </reference>
        </references>
      </pivotArea>
    </format>
    <format dxfId="992">
      <pivotArea collapsedLevelsAreSubtotals="1" fieldPosition="0">
        <references count="2">
          <reference field="6" count="1" selected="0">
            <x v="12"/>
          </reference>
          <reference field="7" count="1">
            <x v="18"/>
          </reference>
        </references>
      </pivotArea>
    </format>
    <format dxfId="991">
      <pivotArea collapsedLevelsAreSubtotals="1" fieldPosition="0">
        <references count="2">
          <reference field="6" count="1" selected="0">
            <x v="12"/>
          </reference>
          <reference field="7" count="1">
            <x v="19"/>
          </reference>
        </references>
      </pivotArea>
    </format>
    <format dxfId="990">
      <pivotArea collapsedLevelsAreSubtotals="1" fieldPosition="0">
        <references count="2">
          <reference field="6" count="1" selected="0">
            <x v="12"/>
          </reference>
          <reference field="7" count="1">
            <x v="47"/>
          </reference>
        </references>
      </pivotArea>
    </format>
    <format dxfId="989">
      <pivotArea collapsedLevelsAreSubtotals="1" fieldPosition="0">
        <references count="1">
          <reference field="6" count="1">
            <x v="13"/>
          </reference>
        </references>
      </pivotArea>
    </format>
    <format dxfId="988">
      <pivotArea collapsedLevelsAreSubtotals="1" fieldPosition="0">
        <references count="2">
          <reference field="6" count="1" selected="0">
            <x v="13"/>
          </reference>
          <reference field="7" count="1">
            <x v="37"/>
          </reference>
        </references>
      </pivotArea>
    </format>
    <format dxfId="987">
      <pivotArea collapsedLevelsAreSubtotals="1" fieldPosition="0">
        <references count="2">
          <reference field="6" count="1" selected="0">
            <x v="13"/>
          </reference>
          <reference field="7" count="1">
            <x v="42"/>
          </reference>
        </references>
      </pivotArea>
    </format>
    <format dxfId="986">
      <pivotArea collapsedLevelsAreSubtotals="1" fieldPosition="0">
        <references count="1">
          <reference field="6" count="1">
            <x v="14"/>
          </reference>
        </references>
      </pivotArea>
    </format>
    <format dxfId="985">
      <pivotArea collapsedLevelsAreSubtotals="1" fieldPosition="0">
        <references count="2">
          <reference field="6" count="1" selected="0">
            <x v="14"/>
          </reference>
          <reference field="7" count="1">
            <x v="5"/>
          </reference>
        </references>
      </pivotArea>
    </format>
    <format dxfId="984">
      <pivotArea collapsedLevelsAreSubtotals="1" fieldPosition="0">
        <references count="2">
          <reference field="6" count="1" selected="0">
            <x v="14"/>
          </reference>
          <reference field="7" count="1">
            <x v="16"/>
          </reference>
        </references>
      </pivotArea>
    </format>
    <format dxfId="983">
      <pivotArea collapsedLevelsAreSubtotals="1" fieldPosition="0">
        <references count="2">
          <reference field="6" count="1" selected="0">
            <x v="14"/>
          </reference>
          <reference field="7" count="1">
            <x v="27"/>
          </reference>
        </references>
      </pivotArea>
    </format>
    <format dxfId="982">
      <pivotArea collapsedLevelsAreSubtotals="1" fieldPosition="0">
        <references count="2">
          <reference field="6" count="1" selected="0">
            <x v="14"/>
          </reference>
          <reference field="7" count="1">
            <x v="44"/>
          </reference>
        </references>
      </pivotArea>
    </format>
    <format dxfId="981">
      <pivotArea collapsedLevelsAreSubtotals="1" fieldPosition="0">
        <references count="1">
          <reference field="6" count="1">
            <x v="15"/>
          </reference>
        </references>
      </pivotArea>
    </format>
    <format dxfId="980">
      <pivotArea collapsedLevelsAreSubtotals="1" fieldPosition="0">
        <references count="2">
          <reference field="6" count="1" selected="0">
            <x v="15"/>
          </reference>
          <reference field="7" count="1">
            <x v="32"/>
          </reference>
        </references>
      </pivotArea>
    </format>
    <format dxfId="979">
      <pivotArea collapsedLevelsAreSubtotals="1" fieldPosition="0">
        <references count="2">
          <reference field="6" count="1" selected="0">
            <x v="15"/>
          </reference>
          <reference field="7" count="1">
            <x v="45"/>
          </reference>
        </references>
      </pivotArea>
    </format>
    <format dxfId="978">
      <pivotArea collapsedLevelsAreSubtotals="1" fieldPosition="0">
        <references count="1">
          <reference field="6" count="1">
            <x v="16"/>
          </reference>
        </references>
      </pivotArea>
    </format>
    <format dxfId="977">
      <pivotArea collapsedLevelsAreSubtotals="1" fieldPosition="0">
        <references count="2">
          <reference field="6" count="1" selected="0">
            <x v="16"/>
          </reference>
          <reference field="7" count="1">
            <x v="2"/>
          </reference>
        </references>
      </pivotArea>
    </format>
    <format dxfId="976">
      <pivotArea collapsedLevelsAreSubtotals="1" fieldPosition="0">
        <references count="2">
          <reference field="6" count="1" selected="0">
            <x v="16"/>
          </reference>
          <reference field="7" count="1">
            <x v="4"/>
          </reference>
        </references>
      </pivotArea>
    </format>
    <format dxfId="975">
      <pivotArea collapsedLevelsAreSubtotals="1" fieldPosition="0">
        <references count="2">
          <reference field="6" count="1" selected="0">
            <x v="16"/>
          </reference>
          <reference field="7" count="1">
            <x v="20"/>
          </reference>
        </references>
      </pivotArea>
    </format>
    <format dxfId="974">
      <pivotArea dataOnly="0" labelOnly="1" fieldPosition="0">
        <references count="1">
          <reference field="6" count="0"/>
        </references>
      </pivotArea>
    </format>
    <format dxfId="973">
      <pivotArea dataOnly="0" labelOnly="1" fieldPosition="0">
        <references count="2">
          <reference field="6" count="1" selected="0">
            <x v="0"/>
          </reference>
          <reference field="7" count="49">
            <x v="0"/>
            <x v="1"/>
            <x v="3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972">
      <pivotArea dataOnly="0" labelOnly="1" fieldPosition="0">
        <references count="2">
          <reference field="6" count="1" selected="0">
            <x v="16"/>
          </reference>
          <reference field="7" count="3">
            <x v="2"/>
            <x v="4"/>
            <x v="20"/>
          </reference>
        </references>
      </pivotArea>
    </format>
    <format dxfId="971">
      <pivotArea field="6" type="button" dataOnly="0" labelOnly="1" outline="0" axis="axisRow" fieldPosition="0"/>
    </format>
    <format dxfId="970">
      <pivotArea dataOnly="0" labelOnly="1" outline="0" axis="axisValues" fieldPosition="0"/>
    </format>
    <format dxfId="969">
      <pivotArea dataOnly="0" labelOnly="1" fieldPosition="0">
        <references count="1">
          <reference field="6" count="0"/>
        </references>
      </pivotArea>
    </format>
    <format dxfId="968">
      <pivotArea dataOnly="0" labelOnly="1" grandRow="1" outline="0" fieldPosition="0"/>
    </format>
    <format dxfId="967">
      <pivotArea dataOnly="0" labelOnly="1" fieldPosition="0">
        <references count="2">
          <reference field="6" count="1" selected="0">
            <x v="0"/>
          </reference>
          <reference field="7" count="24">
            <x v="0"/>
            <x v="1"/>
            <x v="3"/>
            <x v="6"/>
            <x v="7"/>
            <x v="8"/>
            <x v="10"/>
            <x v="11"/>
            <x v="12"/>
            <x v="13"/>
            <x v="14"/>
            <x v="15"/>
            <x v="17"/>
            <x v="21"/>
            <x v="23"/>
            <x v="24"/>
            <x v="31"/>
            <x v="35"/>
            <x v="36"/>
            <x v="38"/>
            <x v="40"/>
            <x v="43"/>
            <x v="50"/>
            <x v="51"/>
          </reference>
        </references>
      </pivotArea>
    </format>
    <format dxfId="966">
      <pivotArea dataOnly="0" labelOnly="1" fieldPosition="0">
        <references count="2">
          <reference field="6" count="1" selected="0">
            <x v="7"/>
          </reference>
          <reference field="7" count="25">
            <x v="5"/>
            <x v="9"/>
            <x v="16"/>
            <x v="18"/>
            <x v="19"/>
            <x v="22"/>
            <x v="25"/>
            <x v="26"/>
            <x v="27"/>
            <x v="28"/>
            <x v="29"/>
            <x v="30"/>
            <x v="32"/>
            <x v="33"/>
            <x v="34"/>
            <x v="37"/>
            <x v="39"/>
            <x v="41"/>
            <x v="42"/>
            <x v="44"/>
            <x v="45"/>
            <x v="46"/>
            <x v="47"/>
            <x v="48"/>
            <x v="49"/>
          </reference>
        </references>
      </pivotArea>
    </format>
    <format dxfId="965">
      <pivotArea dataOnly="0" labelOnly="1" fieldPosition="0">
        <references count="2">
          <reference field="6" count="1" selected="0">
            <x v="16"/>
          </reference>
          <reference field="7" count="3">
            <x v="2"/>
            <x v="4"/>
            <x v="20"/>
          </reference>
        </references>
      </pivotArea>
    </format>
    <format dxfId="964">
      <pivotArea type="all" dataOnly="0" outline="0" fieldPosition="0"/>
    </format>
    <format dxfId="963">
      <pivotArea dataOnly="0" labelOnly="1" outline="0" fieldPosition="0">
        <references count="1">
          <reference field="6" count="1">
            <x v="0"/>
          </reference>
        </references>
      </pivotArea>
    </format>
    <format dxfId="962">
      <pivotArea dataOnly="0" labelOnly="1" outline="0" fieldPosition="0">
        <references count="1">
          <reference field="6" count="1">
            <x v="1"/>
          </reference>
        </references>
      </pivotArea>
    </format>
    <format dxfId="961">
      <pivotArea dataOnly="0" labelOnly="1" outline="0" fieldPosition="0">
        <references count="1">
          <reference field="6" count="1">
            <x v="2"/>
          </reference>
        </references>
      </pivotArea>
    </format>
    <format dxfId="960">
      <pivotArea dataOnly="0" labelOnly="1" outline="0" fieldPosition="0">
        <references count="1">
          <reference field="6" count="1">
            <x v="3"/>
          </reference>
        </references>
      </pivotArea>
    </format>
    <format dxfId="959">
      <pivotArea dataOnly="0" labelOnly="1" outline="0" fieldPosition="0">
        <references count="1">
          <reference field="6" count="1">
            <x v="4"/>
          </reference>
        </references>
      </pivotArea>
    </format>
    <format dxfId="958">
      <pivotArea dataOnly="0" labelOnly="1" outline="0" fieldPosition="0">
        <references count="1">
          <reference field="6" count="1">
            <x v="5"/>
          </reference>
        </references>
      </pivotArea>
    </format>
    <format dxfId="957">
      <pivotArea dataOnly="0" labelOnly="1" outline="0" fieldPosition="0">
        <references count="1">
          <reference field="6" count="1">
            <x v="6"/>
          </reference>
        </references>
      </pivotArea>
    </format>
    <format dxfId="956">
      <pivotArea dataOnly="0" labelOnly="1" outline="0" fieldPosition="0">
        <references count="1">
          <reference field="6" count="1">
            <x v="7"/>
          </reference>
        </references>
      </pivotArea>
    </format>
    <format dxfId="955">
      <pivotArea dataOnly="0" labelOnly="1" outline="0" fieldPosition="0">
        <references count="1">
          <reference field="6" count="1">
            <x v="8"/>
          </reference>
        </references>
      </pivotArea>
    </format>
    <format dxfId="954">
      <pivotArea dataOnly="0" labelOnly="1" outline="0" fieldPosition="0">
        <references count="1">
          <reference field="6" count="1">
            <x v="9"/>
          </reference>
        </references>
      </pivotArea>
    </format>
    <format dxfId="953">
      <pivotArea dataOnly="0" labelOnly="1" outline="0" fieldPosition="0">
        <references count="1">
          <reference field="6" count="1">
            <x v="10"/>
          </reference>
        </references>
      </pivotArea>
    </format>
    <format dxfId="952">
      <pivotArea dataOnly="0" labelOnly="1" outline="0" fieldPosition="0">
        <references count="1">
          <reference field="6" count="1">
            <x v="11"/>
          </reference>
        </references>
      </pivotArea>
    </format>
    <format dxfId="951">
      <pivotArea dataOnly="0" labelOnly="1" outline="0" fieldPosition="0">
        <references count="1">
          <reference field="6" count="1">
            <x v="12"/>
          </reference>
        </references>
      </pivotArea>
    </format>
    <format dxfId="950">
      <pivotArea dataOnly="0" labelOnly="1" outline="0" fieldPosition="0">
        <references count="1">
          <reference field="6" count="1">
            <x v="13"/>
          </reference>
        </references>
      </pivotArea>
    </format>
    <format dxfId="949">
      <pivotArea dataOnly="0" labelOnly="1" outline="0" fieldPosition="0">
        <references count="1">
          <reference field="6" count="1">
            <x v="14"/>
          </reference>
        </references>
      </pivotArea>
    </format>
    <format dxfId="948">
      <pivotArea dataOnly="0" labelOnly="1" outline="0" fieldPosition="0">
        <references count="1">
          <reference field="6" count="1">
            <x v="15"/>
          </reference>
        </references>
      </pivotArea>
    </format>
    <format dxfId="947">
      <pivotArea dataOnly="0" labelOnly="1" outline="0" fieldPosition="0">
        <references count="1">
          <reference field="6" count="1">
            <x v="16"/>
          </reference>
        </references>
      </pivotArea>
    </format>
    <format dxfId="946">
      <pivotArea dataOnly="0" labelOnly="1" grandRow="1" outline="0" fieldPosition="0"/>
    </format>
    <format dxfId="945">
      <pivotArea dataOnly="0" labelOnly="1" outline="0" fieldPosition="0">
        <references count="2">
          <reference field="6" count="1" selected="0">
            <x v="0"/>
          </reference>
          <reference field="7" count="1">
            <x v="10"/>
          </reference>
        </references>
      </pivotArea>
    </format>
    <format dxfId="944">
      <pivotArea dataOnly="0" labelOnly="1" outline="0" fieldPosition="0">
        <references count="2">
          <reference field="6" count="1" selected="0">
            <x v="0"/>
          </reference>
          <reference field="7" count="1">
            <x v="43"/>
          </reference>
        </references>
      </pivotArea>
    </format>
    <format dxfId="943">
      <pivotArea dataOnly="0" labelOnly="1" outline="0" fieldPosition="0">
        <references count="2">
          <reference field="6" count="1" selected="0">
            <x v="0"/>
          </reference>
          <reference field="7" count="1">
            <x v="51"/>
          </reference>
        </references>
      </pivotArea>
    </format>
    <format dxfId="942">
      <pivotArea dataOnly="0" labelOnly="1" outline="0" fieldPosition="0">
        <references count="2">
          <reference field="6" count="1" selected="0">
            <x v="1"/>
          </reference>
          <reference field="7" count="1">
            <x v="14"/>
          </reference>
        </references>
      </pivotArea>
    </format>
    <format dxfId="941">
      <pivotArea dataOnly="0" labelOnly="1" outline="0" fieldPosition="0">
        <references count="2">
          <reference field="6" count="1" selected="0">
            <x v="2"/>
          </reference>
          <reference field="7" count="1">
            <x v="17"/>
          </reference>
        </references>
      </pivotArea>
    </format>
    <format dxfId="940">
      <pivotArea dataOnly="0" labelOnly="1" outline="0" fieldPosition="0">
        <references count="2">
          <reference field="6" count="1" selected="0">
            <x v="2"/>
          </reference>
          <reference field="7" count="1">
            <x v="23"/>
          </reference>
        </references>
      </pivotArea>
    </format>
    <format dxfId="939">
      <pivotArea dataOnly="0" labelOnly="1" outline="0" fieldPosition="0">
        <references count="2">
          <reference field="6" count="1" selected="0">
            <x v="2"/>
          </reference>
          <reference field="7" count="1">
            <x v="40"/>
          </reference>
        </references>
      </pivotArea>
    </format>
    <format dxfId="938">
      <pivotArea dataOnly="0" labelOnly="1" outline="0" fieldPosition="0">
        <references count="2">
          <reference field="6" count="1" selected="0">
            <x v="2"/>
          </reference>
          <reference field="7" count="1">
            <x v="50"/>
          </reference>
        </references>
      </pivotArea>
    </format>
    <format dxfId="937">
      <pivotArea dataOnly="0" labelOnly="1" outline="0" fieldPosition="0">
        <references count="2">
          <reference field="6" count="1" selected="0">
            <x v="3"/>
          </reference>
          <reference field="7" count="1">
            <x v="11"/>
          </reference>
        </references>
      </pivotArea>
    </format>
    <format dxfId="936">
      <pivotArea dataOnly="0" labelOnly="1" outline="0" fieldPosition="0">
        <references count="2">
          <reference field="6" count="1" selected="0">
            <x v="3"/>
          </reference>
          <reference field="7" count="1">
            <x v="35"/>
          </reference>
        </references>
      </pivotArea>
    </format>
    <format dxfId="935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934">
      <pivotArea dataOnly="0" labelOnly="1" outline="0" fieldPosition="0">
        <references count="2">
          <reference field="6" count="1" selected="0">
            <x v="4"/>
          </reference>
          <reference field="7" count="1">
            <x v="3"/>
          </reference>
        </references>
      </pivotArea>
    </format>
    <format dxfId="933">
      <pivotArea dataOnly="0" labelOnly="1" outline="0" fieldPosition="0">
        <references count="2">
          <reference field="6" count="1" selected="0">
            <x v="4"/>
          </reference>
          <reference field="7" count="1">
            <x v="15"/>
          </reference>
        </references>
      </pivotArea>
    </format>
    <format dxfId="932">
      <pivotArea dataOnly="0" labelOnly="1" outline="0" fieldPosition="0">
        <references count="2">
          <reference field="6" count="1" selected="0">
            <x v="5"/>
          </reference>
          <reference field="7" count="1">
            <x v="0"/>
          </reference>
        </references>
      </pivotArea>
    </format>
    <format dxfId="931">
      <pivotArea dataOnly="0" labelOnly="1" outline="0" fieldPosition="0">
        <references count="2">
          <reference field="6" count="1" selected="0">
            <x v="5"/>
          </reference>
          <reference field="7" count="1">
            <x v="13"/>
          </reference>
        </references>
      </pivotArea>
    </format>
    <format dxfId="930">
      <pivotArea dataOnly="0" labelOnly="1" outline="0" fieldPosition="0">
        <references count="2">
          <reference field="6" count="1" selected="0">
            <x v="6"/>
          </reference>
          <reference field="7" count="1">
            <x v="6"/>
          </reference>
        </references>
      </pivotArea>
    </format>
    <format dxfId="929">
      <pivotArea dataOnly="0" labelOnly="1" outline="0" fieldPosition="0">
        <references count="2">
          <reference field="6" count="1" selected="0">
            <x v="6"/>
          </reference>
          <reference field="7" count="1">
            <x v="21"/>
          </reference>
        </references>
      </pivotArea>
    </format>
    <format dxfId="928">
      <pivotArea dataOnly="0" labelOnly="1" outline="0" fieldPosition="0">
        <references count="2">
          <reference field="6" count="1" selected="0">
            <x v="6"/>
          </reference>
          <reference field="7" count="1">
            <x v="31"/>
          </reference>
        </references>
      </pivotArea>
    </format>
    <format dxfId="927">
      <pivotArea dataOnly="0" labelOnly="1" outline="0" fieldPosition="0">
        <references count="2">
          <reference field="6" count="1" selected="0">
            <x v="6"/>
          </reference>
          <reference field="7" count="1">
            <x v="36"/>
          </reference>
        </references>
      </pivotArea>
    </format>
    <format dxfId="926">
      <pivotArea dataOnly="0" labelOnly="1" outline="0" fieldPosition="0">
        <references count="2">
          <reference field="6" count="1" selected="0">
            <x v="6"/>
          </reference>
          <reference field="7" count="1">
            <x v="38"/>
          </reference>
        </references>
      </pivotArea>
    </format>
    <format dxfId="925">
      <pivotArea dataOnly="0" labelOnly="1" outline="0" fieldPosition="0">
        <references count="2">
          <reference field="6" count="1" selected="0">
            <x v="7"/>
          </reference>
          <reference field="7" count="1">
            <x v="7"/>
          </reference>
        </references>
      </pivotArea>
    </format>
    <format dxfId="924">
      <pivotArea dataOnly="0" labelOnly="1" outline="0" fieldPosition="0">
        <references count="2">
          <reference field="6" count="1" selected="0">
            <x v="7"/>
          </reference>
          <reference field="7" count="1">
            <x v="8"/>
          </reference>
        </references>
      </pivotArea>
    </format>
    <format dxfId="923">
      <pivotArea dataOnly="0" labelOnly="1" outline="0" fieldPosition="0">
        <references count="2">
          <reference field="6" count="1" selected="0">
            <x v="7"/>
          </reference>
          <reference field="7" count="1">
            <x v="12"/>
          </reference>
        </references>
      </pivotArea>
    </format>
    <format dxfId="922">
      <pivotArea dataOnly="0" labelOnly="1" outline="0" fieldPosition="0">
        <references count="2">
          <reference field="6" count="1" selected="0">
            <x v="7"/>
          </reference>
          <reference field="7" count="1">
            <x v="24"/>
          </reference>
        </references>
      </pivotArea>
    </format>
    <format dxfId="921">
      <pivotArea dataOnly="0" labelOnly="1" outline="0" fieldPosition="0">
        <references count="2">
          <reference field="6" count="1" selected="0">
            <x v="7"/>
          </reference>
          <reference field="7" count="1">
            <x v="28"/>
          </reference>
        </references>
      </pivotArea>
    </format>
    <format dxfId="920">
      <pivotArea dataOnly="0" labelOnly="1" outline="0" fieldPosition="0">
        <references count="2">
          <reference field="6" count="1" selected="0">
            <x v="7"/>
          </reference>
          <reference field="7" count="1">
            <x v="30"/>
          </reference>
        </references>
      </pivotArea>
    </format>
    <format dxfId="919">
      <pivotArea dataOnly="0" labelOnly="1" outline="0" fieldPosition="0">
        <references count="2">
          <reference field="6" count="1" selected="0">
            <x v="7"/>
          </reference>
          <reference field="7" count="1">
            <x v="39"/>
          </reference>
        </references>
      </pivotArea>
    </format>
    <format dxfId="918">
      <pivotArea dataOnly="0" labelOnly="1" outline="0" fieldPosition="0">
        <references count="2">
          <reference field="6" count="1" selected="0">
            <x v="7"/>
          </reference>
          <reference field="7" count="1">
            <x v="46"/>
          </reference>
        </references>
      </pivotArea>
    </format>
    <format dxfId="917">
      <pivotArea dataOnly="0" labelOnly="1" outline="0" fieldPosition="0">
        <references count="2">
          <reference field="6" count="1" selected="0">
            <x v="7"/>
          </reference>
          <reference field="7" count="1">
            <x v="49"/>
          </reference>
        </references>
      </pivotArea>
    </format>
    <format dxfId="916">
      <pivotArea dataOnly="0" labelOnly="1" outline="0" fieldPosition="0">
        <references count="2">
          <reference field="6" count="1" selected="0">
            <x v="8"/>
          </reference>
          <reference field="7" count="1">
            <x v="29"/>
          </reference>
        </references>
      </pivotArea>
    </format>
    <format dxfId="915">
      <pivotArea dataOnly="0" labelOnly="1" outline="0" fieldPosition="0">
        <references count="2">
          <reference field="6" count="1" selected="0">
            <x v="9"/>
          </reference>
          <reference field="7" count="1">
            <x v="25"/>
          </reference>
        </references>
      </pivotArea>
    </format>
    <format dxfId="914">
      <pivotArea dataOnly="0" labelOnly="1" outline="0" fieldPosition="0">
        <references count="2">
          <reference field="6" count="1" selected="0">
            <x v="10"/>
          </reference>
          <reference field="7" count="1">
            <x v="22"/>
          </reference>
        </references>
      </pivotArea>
    </format>
    <format dxfId="913">
      <pivotArea dataOnly="0" labelOnly="1" outline="0" fieldPosition="0">
        <references count="2">
          <reference field="6" count="1" selected="0">
            <x v="10"/>
          </reference>
          <reference field="7" count="1">
            <x v="26"/>
          </reference>
        </references>
      </pivotArea>
    </format>
    <format dxfId="912">
      <pivotArea dataOnly="0" labelOnly="1" outline="0" fieldPosition="0">
        <references count="2">
          <reference field="6" count="1" selected="0">
            <x v="10"/>
          </reference>
          <reference field="7" count="1">
            <x v="33"/>
          </reference>
        </references>
      </pivotArea>
    </format>
    <format dxfId="911">
      <pivotArea dataOnly="0" labelOnly="1" outline="0" fieldPosition="0">
        <references count="2">
          <reference field="6" count="1" selected="0">
            <x v="10"/>
          </reference>
          <reference field="7" count="1">
            <x v="41"/>
          </reference>
        </references>
      </pivotArea>
    </format>
    <format dxfId="910">
      <pivotArea dataOnly="0" labelOnly="1" outline="0" fieldPosition="0">
        <references count="2">
          <reference field="6" count="1" selected="0">
            <x v="10"/>
          </reference>
          <reference field="7" count="1">
            <x v="48"/>
          </reference>
        </references>
      </pivotArea>
    </format>
    <format dxfId="909">
      <pivotArea dataOnly="0" labelOnly="1" outline="0" fieldPosition="0">
        <references count="2">
          <reference field="6" count="1" selected="0">
            <x v="11"/>
          </reference>
          <reference field="7" count="1">
            <x v="34"/>
          </reference>
        </references>
      </pivotArea>
    </format>
    <format dxfId="908">
      <pivotArea dataOnly="0" labelOnly="1" outline="0" fieldPosition="0">
        <references count="2">
          <reference field="6" count="1" selected="0">
            <x v="12"/>
          </reference>
          <reference field="7" count="1">
            <x v="9"/>
          </reference>
        </references>
      </pivotArea>
    </format>
    <format dxfId="907">
      <pivotArea dataOnly="0" labelOnly="1" outline="0" fieldPosition="0">
        <references count="2">
          <reference field="6" count="1" selected="0">
            <x v="12"/>
          </reference>
          <reference field="7" count="1">
            <x v="18"/>
          </reference>
        </references>
      </pivotArea>
    </format>
    <format dxfId="906">
      <pivotArea dataOnly="0" labelOnly="1" outline="0" fieldPosition="0">
        <references count="2">
          <reference field="6" count="1" selected="0">
            <x v="12"/>
          </reference>
          <reference field="7" count="1">
            <x v="19"/>
          </reference>
        </references>
      </pivotArea>
    </format>
    <format dxfId="905">
      <pivotArea dataOnly="0" labelOnly="1" outline="0" fieldPosition="0">
        <references count="2">
          <reference field="6" count="1" selected="0">
            <x v="12"/>
          </reference>
          <reference field="7" count="1">
            <x v="47"/>
          </reference>
        </references>
      </pivotArea>
    </format>
    <format dxfId="904">
      <pivotArea dataOnly="0" labelOnly="1" outline="0" fieldPosition="0">
        <references count="2">
          <reference field="6" count="1" selected="0">
            <x v="13"/>
          </reference>
          <reference field="7" count="1">
            <x v="37"/>
          </reference>
        </references>
      </pivotArea>
    </format>
    <format dxfId="903">
      <pivotArea dataOnly="0" labelOnly="1" outline="0" fieldPosition="0">
        <references count="2">
          <reference field="6" count="1" selected="0">
            <x v="13"/>
          </reference>
          <reference field="7" count="1">
            <x v="42"/>
          </reference>
        </references>
      </pivotArea>
    </format>
    <format dxfId="902">
      <pivotArea dataOnly="0" labelOnly="1" outline="0" fieldPosition="0">
        <references count="2">
          <reference field="6" count="1" selected="0">
            <x v="14"/>
          </reference>
          <reference field="7" count="1">
            <x v="5"/>
          </reference>
        </references>
      </pivotArea>
    </format>
    <format dxfId="901">
      <pivotArea dataOnly="0" labelOnly="1" outline="0" fieldPosition="0">
        <references count="2">
          <reference field="6" count="1" selected="0">
            <x v="14"/>
          </reference>
          <reference field="7" count="1">
            <x v="16"/>
          </reference>
        </references>
      </pivotArea>
    </format>
    <format dxfId="900">
      <pivotArea dataOnly="0" labelOnly="1" outline="0" fieldPosition="0">
        <references count="2">
          <reference field="6" count="1" selected="0">
            <x v="14"/>
          </reference>
          <reference field="7" count="1">
            <x v="27"/>
          </reference>
        </references>
      </pivotArea>
    </format>
    <format dxfId="899">
      <pivotArea dataOnly="0" labelOnly="1" outline="0" fieldPosition="0">
        <references count="2">
          <reference field="6" count="1" selected="0">
            <x v="14"/>
          </reference>
          <reference field="7" count="1">
            <x v="44"/>
          </reference>
        </references>
      </pivotArea>
    </format>
    <format dxfId="898">
      <pivotArea dataOnly="0" labelOnly="1" outline="0" fieldPosition="0">
        <references count="2">
          <reference field="6" count="1" selected="0">
            <x v="15"/>
          </reference>
          <reference field="7" count="1">
            <x v="32"/>
          </reference>
        </references>
      </pivotArea>
    </format>
    <format dxfId="897">
      <pivotArea dataOnly="0" labelOnly="1" outline="0" fieldPosition="0">
        <references count="2">
          <reference field="6" count="1" selected="0">
            <x v="15"/>
          </reference>
          <reference field="7" count="1">
            <x v="45"/>
          </reference>
        </references>
      </pivotArea>
    </format>
    <format dxfId="896">
      <pivotArea dataOnly="0" labelOnly="1" outline="0" fieldPosition="0">
        <references count="2">
          <reference field="6" count="1" selected="0">
            <x v="16"/>
          </reference>
          <reference field="7" count="1">
            <x v="2"/>
          </reference>
        </references>
      </pivotArea>
    </format>
    <format dxfId="895">
      <pivotArea dataOnly="0" labelOnly="1" outline="0" fieldPosition="0">
        <references count="2">
          <reference field="6" count="1" selected="0">
            <x v="16"/>
          </reference>
          <reference field="7" count="1">
            <x v="4"/>
          </reference>
        </references>
      </pivotArea>
    </format>
    <format dxfId="894">
      <pivotArea dataOnly="0" labelOnly="1" outline="0" fieldPosition="0">
        <references count="2">
          <reference field="6" count="1" selected="0">
            <x v="16"/>
          </reference>
          <reference field="7" count="1">
            <x v="20"/>
          </reference>
        </references>
      </pivotArea>
    </format>
    <format dxfId="893">
      <pivotArea type="all" dataOnly="0" outline="0" fieldPosition="0"/>
    </format>
    <format dxfId="892">
      <pivotArea field="6" type="button" dataOnly="0" labelOnly="1" outline="0" axis="axisRow" fieldPosition="0"/>
    </format>
    <format dxfId="891">
      <pivotArea field="7" type="button" dataOnly="0" labelOnly="1" outline="0" axis="axisRow" fieldPosition="1"/>
    </format>
    <format dxfId="890">
      <pivotArea dataOnly="0" labelOnly="1" outline="0" axis="axisValues" fieldPosition="0"/>
    </format>
    <format dxfId="889">
      <pivotArea field="6" type="button" dataOnly="0" labelOnly="1" outline="0" axis="axisRow" fieldPosition="0"/>
    </format>
    <format dxfId="888">
      <pivotArea field="7" type="button" dataOnly="0" labelOnly="1" outline="0" axis="axisRow" fieldPosition="1"/>
    </format>
    <format dxfId="887">
      <pivotArea dataOnly="0" labelOnly="1" outline="0" axis="axisValues" fieldPosition="0"/>
    </format>
    <format dxfId="886">
      <pivotArea outline="0" collapsedLevelsAreSubtotals="1" fieldPosition="0"/>
    </format>
    <format dxfId="885">
      <pivotArea field="6" type="button" dataOnly="0" labelOnly="1" outline="0" axis="axisRow" fieldPosition="0"/>
    </format>
    <format dxfId="884">
      <pivotArea field="7" type="button" dataOnly="0" labelOnly="1" outline="0" axis="axisRow" fieldPosition="1"/>
    </format>
    <format dxfId="883">
      <pivotArea dataOnly="0" labelOnly="1" outline="0" fieldPosition="0">
        <references count="1">
          <reference field="6" count="0"/>
        </references>
      </pivotArea>
    </format>
    <format dxfId="882">
      <pivotArea dataOnly="0" labelOnly="1" outline="0" fieldPosition="0">
        <references count="1">
          <reference field="6" count="0" defaultSubtotal="1"/>
        </references>
      </pivotArea>
    </format>
    <format dxfId="881">
      <pivotArea dataOnly="0" labelOnly="1" grandRow="1" outline="0" fieldPosition="0"/>
    </format>
    <format dxfId="880">
      <pivotArea dataOnly="0" labelOnly="1" outline="0" fieldPosition="0">
        <references count="2">
          <reference field="6" count="1" selected="0">
            <x v="0"/>
          </reference>
          <reference field="7" count="3">
            <x v="10"/>
            <x v="43"/>
            <x v="51"/>
          </reference>
        </references>
      </pivotArea>
    </format>
    <format dxfId="879">
      <pivotArea dataOnly="0" labelOnly="1" outline="0" fieldPosition="0">
        <references count="2">
          <reference field="6" count="1" selected="0">
            <x v="0"/>
          </reference>
          <reference field="7" count="3" defaultSubtotal="1">
            <x v="10"/>
            <x v="43"/>
            <x v="51"/>
          </reference>
        </references>
      </pivotArea>
    </format>
    <format dxfId="878">
      <pivotArea dataOnly="0" labelOnly="1" outline="0" fieldPosition="0">
        <references count="2">
          <reference field="6" count="1" selected="0">
            <x v="1"/>
          </reference>
          <reference field="7" count="1">
            <x v="14"/>
          </reference>
        </references>
      </pivotArea>
    </format>
    <format dxfId="877">
      <pivotArea dataOnly="0" labelOnly="1" outline="0" fieldPosition="0">
        <references count="2">
          <reference field="6" count="1" selected="0">
            <x v="1"/>
          </reference>
          <reference field="7" count="1" defaultSubtotal="1">
            <x v="14"/>
          </reference>
        </references>
      </pivotArea>
    </format>
    <format dxfId="876">
      <pivotArea dataOnly="0" labelOnly="1" outline="0" fieldPosition="0">
        <references count="2">
          <reference field="6" count="1" selected="0">
            <x v="2"/>
          </reference>
          <reference field="7" count="4">
            <x v="17"/>
            <x v="23"/>
            <x v="40"/>
            <x v="50"/>
          </reference>
        </references>
      </pivotArea>
    </format>
    <format dxfId="875">
      <pivotArea dataOnly="0" labelOnly="1" outline="0" fieldPosition="0">
        <references count="2">
          <reference field="6" count="1" selected="0">
            <x v="2"/>
          </reference>
          <reference field="7" count="4" defaultSubtotal="1">
            <x v="17"/>
            <x v="23"/>
            <x v="40"/>
            <x v="50"/>
          </reference>
        </references>
      </pivotArea>
    </format>
    <format dxfId="874">
      <pivotArea dataOnly="0" labelOnly="1" outline="0" fieldPosition="0">
        <references count="2">
          <reference field="6" count="1" selected="0">
            <x v="3"/>
          </reference>
          <reference field="7" count="2">
            <x v="11"/>
            <x v="35"/>
          </reference>
        </references>
      </pivotArea>
    </format>
    <format dxfId="873">
      <pivotArea dataOnly="0" labelOnly="1" outline="0" fieldPosition="0">
        <references count="2">
          <reference field="6" count="1" selected="0">
            <x v="3"/>
          </reference>
          <reference field="7" count="2" defaultSubtotal="1">
            <x v="11"/>
            <x v="35"/>
          </reference>
        </references>
      </pivotArea>
    </format>
    <format dxfId="872">
      <pivotArea dataOnly="0" labelOnly="1" outline="0" fieldPosition="0">
        <references count="2">
          <reference field="6" count="1" selected="0">
            <x v="4"/>
          </reference>
          <reference field="7" count="3">
            <x v="1"/>
            <x v="3"/>
            <x v="15"/>
          </reference>
        </references>
      </pivotArea>
    </format>
    <format dxfId="871">
      <pivotArea dataOnly="0" labelOnly="1" outline="0" fieldPosition="0">
        <references count="2">
          <reference field="6" count="1" selected="0">
            <x v="4"/>
          </reference>
          <reference field="7" count="3" defaultSubtotal="1">
            <x v="1"/>
            <x v="3"/>
            <x v="15"/>
          </reference>
        </references>
      </pivotArea>
    </format>
    <format dxfId="870">
      <pivotArea dataOnly="0" labelOnly="1" outline="0" fieldPosition="0">
        <references count="2">
          <reference field="6" count="1" selected="0">
            <x v="5"/>
          </reference>
          <reference field="7" count="2">
            <x v="0"/>
            <x v="13"/>
          </reference>
        </references>
      </pivotArea>
    </format>
    <format dxfId="869">
      <pivotArea dataOnly="0" labelOnly="1" outline="0" fieldPosition="0">
        <references count="2">
          <reference field="6" count="1" selected="0">
            <x v="5"/>
          </reference>
          <reference field="7" count="2" defaultSubtotal="1">
            <x v="0"/>
            <x v="13"/>
          </reference>
        </references>
      </pivotArea>
    </format>
    <format dxfId="868">
      <pivotArea dataOnly="0" labelOnly="1" outline="0" fieldPosition="0">
        <references count="2">
          <reference field="6" count="1" selected="0">
            <x v="6"/>
          </reference>
          <reference field="7" count="5">
            <x v="6"/>
            <x v="21"/>
            <x v="31"/>
            <x v="36"/>
            <x v="38"/>
          </reference>
        </references>
      </pivotArea>
    </format>
    <format dxfId="867">
      <pivotArea dataOnly="0" labelOnly="1" outline="0" fieldPosition="0">
        <references count="2">
          <reference field="6" count="1" selected="0">
            <x v="6"/>
          </reference>
          <reference field="7" count="5" defaultSubtotal="1">
            <x v="6"/>
            <x v="21"/>
            <x v="31"/>
            <x v="36"/>
            <x v="38"/>
          </reference>
        </references>
      </pivotArea>
    </format>
    <format dxfId="866">
      <pivotArea dataOnly="0" labelOnly="1" outline="0" fieldPosition="0">
        <references count="2">
          <reference field="6" count="1" selected="0">
            <x v="7"/>
          </reference>
          <reference field="7" count="9">
            <x v="7"/>
            <x v="8"/>
            <x v="12"/>
            <x v="24"/>
            <x v="28"/>
            <x v="30"/>
            <x v="39"/>
            <x v="46"/>
            <x v="49"/>
          </reference>
        </references>
      </pivotArea>
    </format>
    <format dxfId="865">
      <pivotArea dataOnly="0" labelOnly="1" outline="0" fieldPosition="0">
        <references count="2">
          <reference field="6" count="1" selected="0">
            <x v="7"/>
          </reference>
          <reference field="7" count="9" defaultSubtotal="1">
            <x v="7"/>
            <x v="8"/>
            <x v="12"/>
            <x v="24"/>
            <x v="28"/>
            <x v="30"/>
            <x v="39"/>
            <x v="46"/>
            <x v="49"/>
          </reference>
        </references>
      </pivotArea>
    </format>
    <format dxfId="864">
      <pivotArea dataOnly="0" labelOnly="1" outline="0" fieldPosition="0">
        <references count="2">
          <reference field="6" count="1" selected="0">
            <x v="8"/>
          </reference>
          <reference field="7" count="1">
            <x v="29"/>
          </reference>
        </references>
      </pivotArea>
    </format>
    <format dxfId="863">
      <pivotArea dataOnly="0" labelOnly="1" outline="0" fieldPosition="0">
        <references count="2">
          <reference field="6" count="1" selected="0">
            <x v="8"/>
          </reference>
          <reference field="7" count="1" defaultSubtotal="1">
            <x v="29"/>
          </reference>
        </references>
      </pivotArea>
    </format>
    <format dxfId="862">
      <pivotArea dataOnly="0" labelOnly="1" outline="0" fieldPosition="0">
        <references count="2">
          <reference field="6" count="1" selected="0">
            <x v="9"/>
          </reference>
          <reference field="7" count="1">
            <x v="25"/>
          </reference>
        </references>
      </pivotArea>
    </format>
    <format dxfId="861">
      <pivotArea dataOnly="0" labelOnly="1" outline="0" fieldPosition="0">
        <references count="2">
          <reference field="6" count="1" selected="0">
            <x v="9"/>
          </reference>
          <reference field="7" count="1" defaultSubtotal="1">
            <x v="25"/>
          </reference>
        </references>
      </pivotArea>
    </format>
    <format dxfId="860">
      <pivotArea dataOnly="0" labelOnly="1" outline="0" fieldPosition="0">
        <references count="2">
          <reference field="6" count="1" selected="0">
            <x v="10"/>
          </reference>
          <reference field="7" count="5">
            <x v="22"/>
            <x v="26"/>
            <x v="33"/>
            <x v="41"/>
            <x v="48"/>
          </reference>
        </references>
      </pivotArea>
    </format>
    <format dxfId="859">
      <pivotArea dataOnly="0" labelOnly="1" outline="0" fieldPosition="0">
        <references count="2">
          <reference field="6" count="1" selected="0">
            <x v="10"/>
          </reference>
          <reference field="7" count="5" defaultSubtotal="1">
            <x v="22"/>
            <x v="26"/>
            <x v="33"/>
            <x v="41"/>
            <x v="48"/>
          </reference>
        </references>
      </pivotArea>
    </format>
    <format dxfId="858">
      <pivotArea dataOnly="0" labelOnly="1" outline="0" fieldPosition="0">
        <references count="2">
          <reference field="6" count="1" selected="0">
            <x v="11"/>
          </reference>
          <reference field="7" count="1">
            <x v="34"/>
          </reference>
        </references>
      </pivotArea>
    </format>
    <format dxfId="857">
      <pivotArea dataOnly="0" labelOnly="1" outline="0" fieldPosition="0">
        <references count="2">
          <reference field="6" count="1" selected="0">
            <x v="11"/>
          </reference>
          <reference field="7" count="1" defaultSubtotal="1">
            <x v="34"/>
          </reference>
        </references>
      </pivotArea>
    </format>
    <format dxfId="856">
      <pivotArea dataOnly="0" labelOnly="1" outline="0" fieldPosition="0">
        <references count="2">
          <reference field="6" count="1" selected="0">
            <x v="12"/>
          </reference>
          <reference field="7" count="4">
            <x v="9"/>
            <x v="18"/>
            <x v="19"/>
            <x v="47"/>
          </reference>
        </references>
      </pivotArea>
    </format>
    <format dxfId="855">
      <pivotArea dataOnly="0" labelOnly="1" outline="0" fieldPosition="0">
        <references count="2">
          <reference field="6" count="1" selected="0">
            <x v="12"/>
          </reference>
          <reference field="7" count="4" defaultSubtotal="1">
            <x v="9"/>
            <x v="18"/>
            <x v="19"/>
            <x v="47"/>
          </reference>
        </references>
      </pivotArea>
    </format>
    <format dxfId="854">
      <pivotArea dataOnly="0" labelOnly="1" outline="0" fieldPosition="0">
        <references count="2">
          <reference field="6" count="1" selected="0">
            <x v="13"/>
          </reference>
          <reference field="7" count="2">
            <x v="37"/>
            <x v="42"/>
          </reference>
        </references>
      </pivotArea>
    </format>
    <format dxfId="853">
      <pivotArea dataOnly="0" labelOnly="1" outline="0" fieldPosition="0">
        <references count="2">
          <reference field="6" count="1" selected="0">
            <x v="13"/>
          </reference>
          <reference field="7" count="2" defaultSubtotal="1">
            <x v="37"/>
            <x v="42"/>
          </reference>
        </references>
      </pivotArea>
    </format>
    <format dxfId="852">
      <pivotArea dataOnly="0" labelOnly="1" outline="0" fieldPosition="0">
        <references count="2">
          <reference field="6" count="1" selected="0">
            <x v="14"/>
          </reference>
          <reference field="7" count="4">
            <x v="5"/>
            <x v="16"/>
            <x v="27"/>
            <x v="44"/>
          </reference>
        </references>
      </pivotArea>
    </format>
    <format dxfId="851">
      <pivotArea dataOnly="0" labelOnly="1" outline="0" fieldPosition="0">
        <references count="2">
          <reference field="6" count="1" selected="0">
            <x v="14"/>
          </reference>
          <reference field="7" count="4" defaultSubtotal="1">
            <x v="5"/>
            <x v="16"/>
            <x v="27"/>
            <x v="44"/>
          </reference>
        </references>
      </pivotArea>
    </format>
    <format dxfId="850">
      <pivotArea dataOnly="0" labelOnly="1" outline="0" fieldPosition="0">
        <references count="2">
          <reference field="6" count="1" selected="0">
            <x v="15"/>
          </reference>
          <reference field="7" count="2">
            <x v="32"/>
            <x v="45"/>
          </reference>
        </references>
      </pivotArea>
    </format>
    <format dxfId="849">
      <pivotArea dataOnly="0" labelOnly="1" outline="0" fieldPosition="0">
        <references count="2">
          <reference field="6" count="1" selected="0">
            <x v="15"/>
          </reference>
          <reference field="7" count="2" defaultSubtotal="1">
            <x v="32"/>
            <x v="45"/>
          </reference>
        </references>
      </pivotArea>
    </format>
    <format dxfId="848">
      <pivotArea dataOnly="0" labelOnly="1" outline="0" fieldPosition="0">
        <references count="2">
          <reference field="6" count="1" selected="0">
            <x v="16"/>
          </reference>
          <reference field="7" count="3">
            <x v="2"/>
            <x v="4"/>
            <x v="20"/>
          </reference>
        </references>
      </pivotArea>
    </format>
    <format dxfId="847">
      <pivotArea dataOnly="0" labelOnly="1" outline="0" fieldPosition="0">
        <references count="2">
          <reference field="6" count="1" selected="0">
            <x v="16"/>
          </reference>
          <reference field="7" count="3" defaultSubtotal="1">
            <x v="2"/>
            <x v="4"/>
            <x v="20"/>
          </reference>
        </references>
      </pivotArea>
    </format>
    <format dxfId="846">
      <pivotArea dataOnly="0" labelOnly="1" outline="0" fieldPosition="0">
        <references count="1">
          <reference field="6" count="1" defaultSubtotal="1">
            <x v="0"/>
          </reference>
        </references>
      </pivotArea>
    </format>
    <format dxfId="845">
      <pivotArea dataOnly="0" labelOnly="1" outline="0" fieldPosition="0">
        <references count="1">
          <reference field="6" count="1" defaultSubtotal="1">
            <x v="1"/>
          </reference>
        </references>
      </pivotArea>
    </format>
    <format dxfId="844">
      <pivotArea dataOnly="0" labelOnly="1" outline="0" fieldPosition="0">
        <references count="1">
          <reference field="6" count="1" defaultSubtotal="1">
            <x v="2"/>
          </reference>
        </references>
      </pivotArea>
    </format>
    <format dxfId="843">
      <pivotArea dataOnly="0" labelOnly="1" outline="0" fieldPosition="0">
        <references count="1">
          <reference field="6" count="1" defaultSubtotal="1">
            <x v="3"/>
          </reference>
        </references>
      </pivotArea>
    </format>
    <format dxfId="842">
      <pivotArea dataOnly="0" labelOnly="1" outline="0" fieldPosition="0">
        <references count="1">
          <reference field="6" count="1" defaultSubtotal="1">
            <x v="4"/>
          </reference>
        </references>
      </pivotArea>
    </format>
    <format dxfId="841">
      <pivotArea dataOnly="0" labelOnly="1" outline="0" fieldPosition="0">
        <references count="1">
          <reference field="6" count="1" defaultSubtotal="1">
            <x v="5"/>
          </reference>
        </references>
      </pivotArea>
    </format>
    <format dxfId="840">
      <pivotArea dataOnly="0" labelOnly="1" outline="0" fieldPosition="0">
        <references count="1">
          <reference field="6" count="1" defaultSubtotal="1">
            <x v="6"/>
          </reference>
        </references>
      </pivotArea>
    </format>
    <format dxfId="839">
      <pivotArea dataOnly="0" labelOnly="1" outline="0" fieldPosition="0">
        <references count="1">
          <reference field="6" count="1" defaultSubtotal="1">
            <x v="7"/>
          </reference>
        </references>
      </pivotArea>
    </format>
    <format dxfId="838">
      <pivotArea dataOnly="0" labelOnly="1" outline="0" fieldPosition="0">
        <references count="1">
          <reference field="6" count="1" defaultSubtotal="1">
            <x v="8"/>
          </reference>
        </references>
      </pivotArea>
    </format>
    <format dxfId="837">
      <pivotArea dataOnly="0" labelOnly="1" outline="0" fieldPosition="0">
        <references count="1">
          <reference field="6" count="1" defaultSubtotal="1">
            <x v="9"/>
          </reference>
        </references>
      </pivotArea>
    </format>
    <format dxfId="836">
      <pivotArea dataOnly="0" labelOnly="1" outline="0" fieldPosition="0">
        <references count="1">
          <reference field="6" count="1" defaultSubtotal="1">
            <x v="10"/>
          </reference>
        </references>
      </pivotArea>
    </format>
    <format dxfId="835">
      <pivotArea dataOnly="0" labelOnly="1" outline="0" fieldPosition="0">
        <references count="1">
          <reference field="6" count="1" defaultSubtotal="1">
            <x v="11"/>
          </reference>
        </references>
      </pivotArea>
    </format>
    <format dxfId="834">
      <pivotArea dataOnly="0" labelOnly="1" outline="0" fieldPosition="0">
        <references count="1">
          <reference field="6" count="1" defaultSubtotal="1">
            <x v="12"/>
          </reference>
        </references>
      </pivotArea>
    </format>
    <format dxfId="833">
      <pivotArea dataOnly="0" labelOnly="1" outline="0" fieldPosition="0">
        <references count="1">
          <reference field="6" count="1" defaultSubtotal="1">
            <x v="13"/>
          </reference>
        </references>
      </pivotArea>
    </format>
    <format dxfId="832">
      <pivotArea dataOnly="0" labelOnly="1" outline="0" fieldPosition="0">
        <references count="1">
          <reference field="6" count="1" defaultSubtotal="1">
            <x v="14"/>
          </reference>
        </references>
      </pivotArea>
    </format>
    <format dxfId="831">
      <pivotArea dataOnly="0" labelOnly="1" outline="0" fieldPosition="0">
        <references count="1">
          <reference field="6" count="1" defaultSubtotal="1">
            <x v="15"/>
          </reference>
        </references>
      </pivotArea>
    </format>
    <format dxfId="830">
      <pivotArea dataOnly="0" labelOnly="1" outline="0" fieldPosition="0">
        <references count="1">
          <reference field="6" count="1" defaultSubtotal="1">
            <x v="16"/>
          </reference>
        </references>
      </pivotArea>
    </format>
    <format dxfId="829">
      <pivotArea dataOnly="0" labelOnly="1" grandRow="1" outline="0" fieldPosition="0"/>
    </format>
    <format dxfId="828">
      <pivotArea dataOnly="0" labelOnly="1" outline="0" fieldPosition="0">
        <references count="2">
          <reference field="6" count="1" selected="0">
            <x v="0"/>
          </reference>
          <reference field="7" count="1" defaultSubtotal="1">
            <x v="10"/>
          </reference>
        </references>
      </pivotArea>
    </format>
    <format dxfId="827">
      <pivotArea dataOnly="0" labelOnly="1" outline="0" fieldPosition="0">
        <references count="2"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826">
      <pivotArea dataOnly="0" labelOnly="1" outline="0" fieldPosition="0">
        <references count="2">
          <reference field="6" count="1" selected="0">
            <x v="0"/>
          </reference>
          <reference field="7" count="1" defaultSubtotal="1">
            <x v="51"/>
          </reference>
        </references>
      </pivotArea>
    </format>
    <format dxfId="825">
      <pivotArea dataOnly="0" labelOnly="1" outline="0" fieldPosition="0">
        <references count="2">
          <reference field="6" count="1" selected="0">
            <x v="1"/>
          </reference>
          <reference field="7" count="1" defaultSubtotal="1">
            <x v="14"/>
          </reference>
        </references>
      </pivotArea>
    </format>
    <format dxfId="824">
      <pivotArea dataOnly="0" labelOnly="1" outline="0" fieldPosition="0">
        <references count="2">
          <reference field="6" count="1" selected="0">
            <x v="2"/>
          </reference>
          <reference field="7" count="1" defaultSubtotal="1">
            <x v="17"/>
          </reference>
        </references>
      </pivotArea>
    </format>
    <format dxfId="823">
      <pivotArea dataOnly="0" labelOnly="1" outline="0" fieldPosition="0">
        <references count="2">
          <reference field="6" count="1" selected="0">
            <x v="2"/>
          </reference>
          <reference field="7" count="1" defaultSubtotal="1">
            <x v="23"/>
          </reference>
        </references>
      </pivotArea>
    </format>
    <format dxfId="822">
      <pivotArea dataOnly="0" labelOnly="1" outline="0" fieldPosition="0">
        <references count="2">
          <reference field="6" count="1" selected="0">
            <x v="2"/>
          </reference>
          <reference field="7" count="1" defaultSubtotal="1">
            <x v="40"/>
          </reference>
        </references>
      </pivotArea>
    </format>
    <format dxfId="821">
      <pivotArea dataOnly="0" labelOnly="1" outline="0" fieldPosition="0">
        <references count="2">
          <reference field="6" count="1" selected="0">
            <x v="2"/>
          </reference>
          <reference field="7" count="1" defaultSubtotal="1">
            <x v="50"/>
          </reference>
        </references>
      </pivotArea>
    </format>
    <format dxfId="820">
      <pivotArea dataOnly="0" labelOnly="1" outline="0" fieldPosition="0">
        <references count="2">
          <reference field="6" count="1" selected="0">
            <x v="3"/>
          </reference>
          <reference field="7" count="1" defaultSubtotal="1">
            <x v="11"/>
          </reference>
        </references>
      </pivotArea>
    </format>
    <format dxfId="819">
      <pivotArea dataOnly="0" labelOnly="1" outline="0" fieldPosition="0">
        <references count="2">
          <reference field="6" count="1" selected="0">
            <x v="3"/>
          </reference>
          <reference field="7" count="1" defaultSubtotal="1">
            <x v="35"/>
          </reference>
        </references>
      </pivotArea>
    </format>
    <format dxfId="818">
      <pivotArea dataOnly="0" labelOnly="1" outline="0" fieldPosition="0">
        <references count="2">
          <reference field="6" count="1" selected="0">
            <x v="4"/>
          </reference>
          <reference field="7" count="1" defaultSubtotal="1">
            <x v="1"/>
          </reference>
        </references>
      </pivotArea>
    </format>
    <format dxfId="817">
      <pivotArea dataOnly="0" labelOnly="1" outline="0" fieldPosition="0">
        <references count="2">
          <reference field="6" count="1" selected="0">
            <x v="4"/>
          </reference>
          <reference field="7" count="1" defaultSubtotal="1">
            <x v="3"/>
          </reference>
        </references>
      </pivotArea>
    </format>
    <format dxfId="816">
      <pivotArea dataOnly="0" labelOnly="1" outline="0" fieldPosition="0">
        <references count="2">
          <reference field="6" count="1" selected="0">
            <x v="4"/>
          </reference>
          <reference field="7" count="1" defaultSubtotal="1">
            <x v="15"/>
          </reference>
        </references>
      </pivotArea>
    </format>
    <format dxfId="815">
      <pivotArea dataOnly="0" labelOnly="1" outline="0" fieldPosition="0">
        <references count="2">
          <reference field="6" count="1" selected="0">
            <x v="5"/>
          </reference>
          <reference field="7" count="1" defaultSubtotal="1">
            <x v="0"/>
          </reference>
        </references>
      </pivotArea>
    </format>
    <format dxfId="814">
      <pivotArea dataOnly="0" labelOnly="1" outline="0" fieldPosition="0">
        <references count="2">
          <reference field="6" count="1" selected="0">
            <x v="5"/>
          </reference>
          <reference field="7" count="1" defaultSubtotal="1">
            <x v="13"/>
          </reference>
        </references>
      </pivotArea>
    </format>
    <format dxfId="813">
      <pivotArea dataOnly="0" labelOnly="1" outline="0" fieldPosition="0">
        <references count="2">
          <reference field="6" count="1" selected="0">
            <x v="6"/>
          </reference>
          <reference field="7" count="1" defaultSubtotal="1">
            <x v="6"/>
          </reference>
        </references>
      </pivotArea>
    </format>
    <format dxfId="812">
      <pivotArea dataOnly="0" labelOnly="1" outline="0" fieldPosition="0">
        <references count="2">
          <reference field="6" count="1" selected="0">
            <x v="6"/>
          </reference>
          <reference field="7" count="1" defaultSubtotal="1">
            <x v="21"/>
          </reference>
        </references>
      </pivotArea>
    </format>
    <format dxfId="811">
      <pivotArea dataOnly="0" labelOnly="1" outline="0" fieldPosition="0">
        <references count="2">
          <reference field="6" count="1" selected="0">
            <x v="6"/>
          </reference>
          <reference field="7" count="1" defaultSubtotal="1">
            <x v="31"/>
          </reference>
        </references>
      </pivotArea>
    </format>
    <format dxfId="810">
      <pivotArea dataOnly="0" labelOnly="1" outline="0" fieldPosition="0">
        <references count="2">
          <reference field="6" count="1" selected="0">
            <x v="6"/>
          </reference>
          <reference field="7" count="1" defaultSubtotal="1">
            <x v="36"/>
          </reference>
        </references>
      </pivotArea>
    </format>
    <format dxfId="809">
      <pivotArea dataOnly="0" labelOnly="1" outline="0" fieldPosition="0">
        <references count="2">
          <reference field="6" count="1" selected="0">
            <x v="6"/>
          </reference>
          <reference field="7" count="1" defaultSubtotal="1">
            <x v="38"/>
          </reference>
        </references>
      </pivotArea>
    </format>
    <format dxfId="808">
      <pivotArea dataOnly="0" labelOnly="1" outline="0" fieldPosition="0">
        <references count="2">
          <reference field="6" count="1" selected="0">
            <x v="7"/>
          </reference>
          <reference field="7" count="1" defaultSubtotal="1">
            <x v="7"/>
          </reference>
        </references>
      </pivotArea>
    </format>
    <format dxfId="807">
      <pivotArea dataOnly="0" labelOnly="1" outline="0" fieldPosition="0">
        <references count="2">
          <reference field="6" count="1" selected="0">
            <x v="7"/>
          </reference>
          <reference field="7" count="1" defaultSubtotal="1">
            <x v="8"/>
          </reference>
        </references>
      </pivotArea>
    </format>
    <format dxfId="806">
      <pivotArea dataOnly="0" labelOnly="1" outline="0" fieldPosition="0">
        <references count="2">
          <reference field="6" count="1" selected="0">
            <x v="7"/>
          </reference>
          <reference field="7" count="1" defaultSubtotal="1">
            <x v="12"/>
          </reference>
        </references>
      </pivotArea>
    </format>
    <format dxfId="805">
      <pivotArea dataOnly="0" labelOnly="1" outline="0" fieldPosition="0">
        <references count="2">
          <reference field="6" count="1" selected="0">
            <x v="7"/>
          </reference>
          <reference field="7" count="1" defaultSubtotal="1">
            <x v="24"/>
          </reference>
        </references>
      </pivotArea>
    </format>
    <format dxfId="804">
      <pivotArea dataOnly="0" labelOnly="1" outline="0" fieldPosition="0">
        <references count="2">
          <reference field="6" count="1" selected="0">
            <x v="7"/>
          </reference>
          <reference field="7" count="1" defaultSubtotal="1">
            <x v="28"/>
          </reference>
        </references>
      </pivotArea>
    </format>
    <format dxfId="803">
      <pivotArea dataOnly="0" labelOnly="1" outline="0" fieldPosition="0">
        <references count="2">
          <reference field="6" count="1" selected="0">
            <x v="7"/>
          </reference>
          <reference field="7" count="1" defaultSubtotal="1">
            <x v="30"/>
          </reference>
        </references>
      </pivotArea>
    </format>
    <format dxfId="802">
      <pivotArea dataOnly="0" labelOnly="1" outline="0" fieldPosition="0">
        <references count="2">
          <reference field="6" count="1" selected="0">
            <x v="7"/>
          </reference>
          <reference field="7" count="1" defaultSubtotal="1">
            <x v="39"/>
          </reference>
        </references>
      </pivotArea>
    </format>
    <format dxfId="801">
      <pivotArea dataOnly="0" labelOnly="1" outline="0" fieldPosition="0">
        <references count="2">
          <reference field="6" count="1" selected="0">
            <x v="7"/>
          </reference>
          <reference field="7" count="1" defaultSubtotal="1">
            <x v="46"/>
          </reference>
        </references>
      </pivotArea>
    </format>
    <format dxfId="800">
      <pivotArea dataOnly="0" labelOnly="1" outline="0" fieldPosition="0">
        <references count="2">
          <reference field="6" count="1" selected="0">
            <x v="7"/>
          </reference>
          <reference field="7" count="1" defaultSubtotal="1">
            <x v="49"/>
          </reference>
        </references>
      </pivotArea>
    </format>
    <format dxfId="799">
      <pivotArea dataOnly="0" labelOnly="1" outline="0" fieldPosition="0">
        <references count="2">
          <reference field="6" count="1" selected="0">
            <x v="8"/>
          </reference>
          <reference field="7" count="1" defaultSubtotal="1">
            <x v="29"/>
          </reference>
        </references>
      </pivotArea>
    </format>
    <format dxfId="798">
      <pivotArea dataOnly="0" labelOnly="1" outline="0" fieldPosition="0">
        <references count="2">
          <reference field="6" count="1" selected="0">
            <x v="9"/>
          </reference>
          <reference field="7" count="1" defaultSubtotal="1">
            <x v="25"/>
          </reference>
        </references>
      </pivotArea>
    </format>
    <format dxfId="797">
      <pivotArea dataOnly="0" labelOnly="1" outline="0" fieldPosition="0">
        <references count="2">
          <reference field="6" count="1" selected="0">
            <x v="10"/>
          </reference>
          <reference field="7" count="1" defaultSubtotal="1">
            <x v="22"/>
          </reference>
        </references>
      </pivotArea>
    </format>
    <format dxfId="796">
      <pivotArea dataOnly="0" labelOnly="1" outline="0" fieldPosition="0">
        <references count="2">
          <reference field="6" count="1" selected="0">
            <x v="10"/>
          </reference>
          <reference field="7" count="1" defaultSubtotal="1">
            <x v="26"/>
          </reference>
        </references>
      </pivotArea>
    </format>
    <format dxfId="795">
      <pivotArea dataOnly="0" labelOnly="1" outline="0" fieldPosition="0">
        <references count="2">
          <reference field="6" count="1" selected="0">
            <x v="10"/>
          </reference>
          <reference field="7" count="1" defaultSubtotal="1">
            <x v="33"/>
          </reference>
        </references>
      </pivotArea>
    </format>
    <format dxfId="794">
      <pivotArea dataOnly="0" labelOnly="1" outline="0" fieldPosition="0">
        <references count="2">
          <reference field="6" count="1" selected="0">
            <x v="10"/>
          </reference>
          <reference field="7" count="1" defaultSubtotal="1">
            <x v="41"/>
          </reference>
        </references>
      </pivotArea>
    </format>
    <format dxfId="793">
      <pivotArea dataOnly="0" labelOnly="1" outline="0" fieldPosition="0">
        <references count="2">
          <reference field="6" count="1" selected="0">
            <x v="10"/>
          </reference>
          <reference field="7" count="1" defaultSubtotal="1">
            <x v="48"/>
          </reference>
        </references>
      </pivotArea>
    </format>
    <format dxfId="792">
      <pivotArea dataOnly="0" labelOnly="1" outline="0" fieldPosition="0">
        <references count="2">
          <reference field="6" count="1" selected="0">
            <x v="11"/>
          </reference>
          <reference field="7" count="1" defaultSubtotal="1">
            <x v="34"/>
          </reference>
        </references>
      </pivotArea>
    </format>
    <format dxfId="791">
      <pivotArea dataOnly="0" labelOnly="1" outline="0" fieldPosition="0">
        <references count="2">
          <reference field="6" count="1" selected="0">
            <x v="12"/>
          </reference>
          <reference field="7" count="1" defaultSubtotal="1">
            <x v="9"/>
          </reference>
        </references>
      </pivotArea>
    </format>
    <format dxfId="790">
      <pivotArea dataOnly="0" labelOnly="1" outline="0" fieldPosition="0">
        <references count="2">
          <reference field="6" count="1" selected="0">
            <x v="12"/>
          </reference>
          <reference field="7" count="1" defaultSubtotal="1">
            <x v="18"/>
          </reference>
        </references>
      </pivotArea>
    </format>
    <format dxfId="789">
      <pivotArea dataOnly="0" labelOnly="1" outline="0" fieldPosition="0">
        <references count="2">
          <reference field="6" count="1" selected="0">
            <x v="12"/>
          </reference>
          <reference field="7" count="1" defaultSubtotal="1">
            <x v="19"/>
          </reference>
        </references>
      </pivotArea>
    </format>
    <format dxfId="788">
      <pivotArea dataOnly="0" labelOnly="1" outline="0" fieldPosition="0">
        <references count="2">
          <reference field="6" count="1" selected="0">
            <x v="12"/>
          </reference>
          <reference field="7" count="1" defaultSubtotal="1">
            <x v="47"/>
          </reference>
        </references>
      </pivotArea>
    </format>
    <format dxfId="787">
      <pivotArea dataOnly="0" labelOnly="1" outline="0" fieldPosition="0">
        <references count="2">
          <reference field="6" count="1" selected="0">
            <x v="13"/>
          </reference>
          <reference field="7" count="1" defaultSubtotal="1">
            <x v="37"/>
          </reference>
        </references>
      </pivotArea>
    </format>
    <format dxfId="786">
      <pivotArea dataOnly="0" labelOnly="1" outline="0" fieldPosition="0">
        <references count="2">
          <reference field="6" count="1" selected="0">
            <x v="13"/>
          </reference>
          <reference field="7" count="1" defaultSubtotal="1">
            <x v="42"/>
          </reference>
        </references>
      </pivotArea>
    </format>
    <format dxfId="785">
      <pivotArea dataOnly="0" labelOnly="1" outline="0" fieldPosition="0">
        <references count="2">
          <reference field="6" count="1" selected="0">
            <x v="14"/>
          </reference>
          <reference field="7" count="1" defaultSubtotal="1">
            <x v="5"/>
          </reference>
        </references>
      </pivotArea>
    </format>
    <format dxfId="784">
      <pivotArea dataOnly="0" labelOnly="1" outline="0" fieldPosition="0">
        <references count="2">
          <reference field="6" count="1" selected="0">
            <x v="14"/>
          </reference>
          <reference field="7" count="1" defaultSubtotal="1">
            <x v="16"/>
          </reference>
        </references>
      </pivotArea>
    </format>
    <format dxfId="783">
      <pivotArea dataOnly="0" labelOnly="1" outline="0" fieldPosition="0">
        <references count="2">
          <reference field="6" count="1" selected="0">
            <x v="14"/>
          </reference>
          <reference field="7" count="1" defaultSubtotal="1">
            <x v="27"/>
          </reference>
        </references>
      </pivotArea>
    </format>
    <format dxfId="782">
      <pivotArea dataOnly="0" labelOnly="1" outline="0" fieldPosition="0">
        <references count="2">
          <reference field="6" count="1" selected="0">
            <x v="14"/>
          </reference>
          <reference field="7" count="1" defaultSubtotal="1">
            <x v="44"/>
          </reference>
        </references>
      </pivotArea>
    </format>
    <format dxfId="781">
      <pivotArea dataOnly="0" labelOnly="1" outline="0" fieldPosition="0">
        <references count="2">
          <reference field="6" count="1" selected="0">
            <x v="15"/>
          </reference>
          <reference field="7" count="1" defaultSubtotal="1">
            <x v="32"/>
          </reference>
        </references>
      </pivotArea>
    </format>
    <format dxfId="780">
      <pivotArea dataOnly="0" labelOnly="1" outline="0" fieldPosition="0">
        <references count="2">
          <reference field="6" count="1" selected="0">
            <x v="15"/>
          </reference>
          <reference field="7" count="1" defaultSubtotal="1">
            <x v="45"/>
          </reference>
        </references>
      </pivotArea>
    </format>
    <format dxfId="779">
      <pivotArea dataOnly="0" labelOnly="1" outline="0" fieldPosition="0">
        <references count="2">
          <reference field="6" count="1" selected="0">
            <x v="16"/>
          </reference>
          <reference field="7" count="1" defaultSubtotal="1">
            <x v="2"/>
          </reference>
        </references>
      </pivotArea>
    </format>
    <format dxfId="778">
      <pivotArea dataOnly="0" labelOnly="1" outline="0" fieldPosition="0">
        <references count="2">
          <reference field="6" count="1" selected="0">
            <x v="16"/>
          </reference>
          <reference field="7" count="1" defaultSubtotal="1">
            <x v="4"/>
          </reference>
        </references>
      </pivotArea>
    </format>
    <format dxfId="777">
      <pivotArea dataOnly="0" labelOnly="1" outline="0" fieldPosition="0">
        <references count="2">
          <reference field="6" count="1" selected="0">
            <x v="16"/>
          </reference>
          <reference field="7" count="1" defaultSubtotal="1">
            <x v="20"/>
          </reference>
        </references>
      </pivotArea>
    </format>
    <format dxfId="776">
      <pivotArea type="origin" dataOnly="0" labelOnly="1" outline="0" fieldPosition="0"/>
    </format>
    <format dxfId="775">
      <pivotArea type="all" dataOnly="0" outline="0" fieldPosition="0"/>
    </format>
    <format dxfId="774">
      <pivotArea field="6" type="button" dataOnly="0" labelOnly="1" outline="0" axis="axisRow" fieldPosition="0"/>
    </format>
    <format dxfId="773">
      <pivotArea field="7" type="button" dataOnly="0" labelOnly="1" outline="0" axis="axisRow" fieldPosition="1"/>
    </format>
    <format dxfId="772">
      <pivotArea dataOnly="0" labelOnly="1" grandCol="1" outline="0" fieldPosition="0"/>
    </format>
    <format dxfId="771">
      <pivotArea dataOnly="0" labelOnly="1" grandCol="1" outline="0" fieldPosition="0"/>
    </format>
    <format dxfId="770">
      <pivotArea dataOnly="0" labelOnly="1" grandCol="1" outline="0" fieldPosition="0"/>
    </format>
    <format dxfId="769">
      <pivotArea field="6" type="button" dataOnly="0" labelOnly="1" outline="0" axis="axisRow" fieldPosition="0"/>
    </format>
    <format dxfId="768">
      <pivotArea field="7" type="button" dataOnly="0" labelOnly="1" outline="0" axis="axisRow" fieldPosition="1"/>
    </format>
    <format dxfId="767">
      <pivotArea field="3" type="button" dataOnly="0" labelOnly="1" outline="0"/>
    </format>
    <format dxfId="766">
      <pivotArea dataOnly="0" labelOnly="1" grandCol="1" outline="0" fieldPosition="0"/>
    </format>
    <format dxfId="765">
      <pivotArea field="6" type="button" dataOnly="0" labelOnly="1" outline="0" axis="axisRow" fieldPosition="0"/>
    </format>
    <format dxfId="764">
      <pivotArea field="7" type="button" dataOnly="0" labelOnly="1" outline="0" axis="axisRow" fieldPosition="1"/>
    </format>
    <format dxfId="763">
      <pivotArea field="3" type="button" dataOnly="0" labelOnly="1" outline="0"/>
    </format>
    <format dxfId="762">
      <pivotArea dataOnly="0" labelOnly="1" grandCol="1" outline="0" fieldPosition="0"/>
    </format>
    <format dxfId="761">
      <pivotArea dataOnly="0" labelOnly="1" outline="0" fieldPosition="0">
        <references count="1">
          <reference field="6" count="0"/>
        </references>
      </pivotArea>
    </format>
    <format dxfId="760">
      <pivotArea dataOnly="0" labelOnly="1" outline="0" fieldPosition="0">
        <references count="1">
          <reference field="6" count="16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759">
      <pivotArea dataOnly="0" labelOnly="1" outline="0" fieldPosition="0">
        <references count="2">
          <reference field="6" count="1" selected="0">
            <x v="0"/>
          </reference>
          <reference field="7" count="3">
            <x v="10"/>
            <x v="43"/>
            <x v="51"/>
          </reference>
        </references>
      </pivotArea>
    </format>
    <format dxfId="758">
      <pivotArea dataOnly="0" labelOnly="1" outline="0" fieldPosition="0">
        <references count="2">
          <reference field="6" count="1" selected="0">
            <x v="0"/>
          </reference>
          <reference field="7" count="3" defaultSubtotal="1">
            <x v="10"/>
            <x v="43"/>
            <x v="51"/>
          </reference>
        </references>
      </pivotArea>
    </format>
    <format dxfId="757">
      <pivotArea dataOnly="0" labelOnly="1" outline="0" fieldPosition="0">
        <references count="2">
          <reference field="6" count="1" selected="0">
            <x v="1"/>
          </reference>
          <reference field="7" count="1">
            <x v="14"/>
          </reference>
        </references>
      </pivotArea>
    </format>
    <format dxfId="756">
      <pivotArea dataOnly="0" labelOnly="1" outline="0" fieldPosition="0">
        <references count="2">
          <reference field="6" count="1" selected="0">
            <x v="1"/>
          </reference>
          <reference field="7" count="1" defaultSubtotal="1">
            <x v="14"/>
          </reference>
        </references>
      </pivotArea>
    </format>
    <format dxfId="755">
      <pivotArea dataOnly="0" labelOnly="1" outline="0" fieldPosition="0">
        <references count="2">
          <reference field="6" count="1" selected="0">
            <x v="2"/>
          </reference>
          <reference field="7" count="4">
            <x v="17"/>
            <x v="23"/>
            <x v="40"/>
            <x v="50"/>
          </reference>
        </references>
      </pivotArea>
    </format>
    <format dxfId="754">
      <pivotArea dataOnly="0" labelOnly="1" outline="0" fieldPosition="0">
        <references count="2">
          <reference field="6" count="1" selected="0">
            <x v="2"/>
          </reference>
          <reference field="7" count="4" defaultSubtotal="1">
            <x v="17"/>
            <x v="23"/>
            <x v="40"/>
            <x v="50"/>
          </reference>
        </references>
      </pivotArea>
    </format>
    <format dxfId="753">
      <pivotArea dataOnly="0" labelOnly="1" outline="0" fieldPosition="0">
        <references count="2">
          <reference field="6" count="1" selected="0">
            <x v="3"/>
          </reference>
          <reference field="7" count="2">
            <x v="11"/>
            <x v="35"/>
          </reference>
        </references>
      </pivotArea>
    </format>
    <format dxfId="752">
      <pivotArea dataOnly="0" labelOnly="1" outline="0" fieldPosition="0">
        <references count="2">
          <reference field="6" count="1" selected="0">
            <x v="3"/>
          </reference>
          <reference field="7" count="2" defaultSubtotal="1">
            <x v="11"/>
            <x v="35"/>
          </reference>
        </references>
      </pivotArea>
    </format>
    <format dxfId="751">
      <pivotArea dataOnly="0" labelOnly="1" outline="0" fieldPosition="0">
        <references count="2">
          <reference field="6" count="1" selected="0">
            <x v="4"/>
          </reference>
          <reference field="7" count="4">
            <x v="1"/>
            <x v="3"/>
            <x v="15"/>
            <x v="55"/>
          </reference>
        </references>
      </pivotArea>
    </format>
    <format dxfId="750">
      <pivotArea dataOnly="0" labelOnly="1" outline="0" fieldPosition="0">
        <references count="2">
          <reference field="6" count="1" selected="0">
            <x v="4"/>
          </reference>
          <reference field="7" count="4" defaultSubtotal="1">
            <x v="1"/>
            <x v="3"/>
            <x v="15"/>
            <x v="55"/>
          </reference>
        </references>
      </pivotArea>
    </format>
    <format dxfId="749">
      <pivotArea dataOnly="0" labelOnly="1" outline="0" fieldPosition="0">
        <references count="2">
          <reference field="6" count="1" selected="0">
            <x v="5"/>
          </reference>
          <reference field="7" count="6">
            <x v="0"/>
            <x v="10"/>
            <x v="13"/>
            <x v="52"/>
            <x v="53"/>
            <x v="54"/>
          </reference>
        </references>
      </pivotArea>
    </format>
    <format dxfId="748">
      <pivotArea dataOnly="0" labelOnly="1" outline="0" fieldPosition="0">
        <references count="2">
          <reference field="6" count="1" selected="0">
            <x v="5"/>
          </reference>
          <reference field="7" count="6" defaultSubtotal="1">
            <x v="0"/>
            <x v="10"/>
            <x v="13"/>
            <x v="52"/>
            <x v="53"/>
            <x v="54"/>
          </reference>
        </references>
      </pivotArea>
    </format>
    <format dxfId="747">
      <pivotArea dataOnly="0" labelOnly="1" outline="0" fieldPosition="0">
        <references count="2">
          <reference field="6" count="1" selected="0">
            <x v="6"/>
          </reference>
          <reference field="7" count="5">
            <x v="6"/>
            <x v="21"/>
            <x v="31"/>
            <x v="36"/>
            <x v="38"/>
          </reference>
        </references>
      </pivotArea>
    </format>
    <format dxfId="746">
      <pivotArea dataOnly="0" labelOnly="1" outline="0" fieldPosition="0">
        <references count="2">
          <reference field="6" count="1" selected="0">
            <x v="6"/>
          </reference>
          <reference field="7" count="5" defaultSubtotal="1">
            <x v="6"/>
            <x v="21"/>
            <x v="31"/>
            <x v="36"/>
            <x v="38"/>
          </reference>
        </references>
      </pivotArea>
    </format>
    <format dxfId="745">
      <pivotArea dataOnly="0" labelOnly="1" outline="0" fieldPosition="0">
        <references count="2">
          <reference field="6" count="1" selected="0">
            <x v="7"/>
          </reference>
          <reference field="7" count="9">
            <x v="7"/>
            <x v="8"/>
            <x v="12"/>
            <x v="24"/>
            <x v="28"/>
            <x v="30"/>
            <x v="39"/>
            <x v="46"/>
            <x v="49"/>
          </reference>
        </references>
      </pivotArea>
    </format>
    <format dxfId="744">
      <pivotArea dataOnly="0" labelOnly="1" outline="0" fieldPosition="0">
        <references count="2">
          <reference field="6" count="1" selected="0">
            <x v="7"/>
          </reference>
          <reference field="7" count="9" defaultSubtotal="1">
            <x v="7"/>
            <x v="8"/>
            <x v="12"/>
            <x v="24"/>
            <x v="28"/>
            <x v="30"/>
            <x v="39"/>
            <x v="46"/>
            <x v="49"/>
          </reference>
        </references>
      </pivotArea>
    </format>
    <format dxfId="743">
      <pivotArea dataOnly="0" labelOnly="1" outline="0" fieldPosition="0">
        <references count="2">
          <reference field="6" count="1" selected="0">
            <x v="8"/>
          </reference>
          <reference field="7" count="1">
            <x v="29"/>
          </reference>
        </references>
      </pivotArea>
    </format>
    <format dxfId="742">
      <pivotArea dataOnly="0" labelOnly="1" outline="0" fieldPosition="0">
        <references count="2">
          <reference field="6" count="1" selected="0">
            <x v="8"/>
          </reference>
          <reference field="7" count="1" defaultSubtotal="1">
            <x v="29"/>
          </reference>
        </references>
      </pivotArea>
    </format>
    <format dxfId="741">
      <pivotArea dataOnly="0" labelOnly="1" outline="0" fieldPosition="0">
        <references count="2">
          <reference field="6" count="1" selected="0">
            <x v="9"/>
          </reference>
          <reference field="7" count="1">
            <x v="25"/>
          </reference>
        </references>
      </pivotArea>
    </format>
    <format dxfId="740">
      <pivotArea dataOnly="0" labelOnly="1" outline="0" fieldPosition="0">
        <references count="2">
          <reference field="6" count="1" selected="0">
            <x v="9"/>
          </reference>
          <reference field="7" count="1" defaultSubtotal="1">
            <x v="25"/>
          </reference>
        </references>
      </pivotArea>
    </format>
    <format dxfId="739">
      <pivotArea dataOnly="0" labelOnly="1" outline="0" fieldPosition="0">
        <references count="2">
          <reference field="6" count="1" selected="0">
            <x v="10"/>
          </reference>
          <reference field="7" count="5">
            <x v="22"/>
            <x v="26"/>
            <x v="33"/>
            <x v="41"/>
            <x v="48"/>
          </reference>
        </references>
      </pivotArea>
    </format>
    <format dxfId="738">
      <pivotArea dataOnly="0" labelOnly="1" outline="0" fieldPosition="0">
        <references count="2">
          <reference field="6" count="1" selected="0">
            <x v="10"/>
          </reference>
          <reference field="7" count="5" defaultSubtotal="1">
            <x v="22"/>
            <x v="26"/>
            <x v="33"/>
            <x v="41"/>
            <x v="48"/>
          </reference>
        </references>
      </pivotArea>
    </format>
    <format dxfId="737">
      <pivotArea dataOnly="0" labelOnly="1" outline="0" fieldPosition="0">
        <references count="2">
          <reference field="6" count="1" selected="0">
            <x v="11"/>
          </reference>
          <reference field="7" count="1">
            <x v="34"/>
          </reference>
        </references>
      </pivotArea>
    </format>
    <format dxfId="736">
      <pivotArea dataOnly="0" labelOnly="1" outline="0" fieldPosition="0">
        <references count="2">
          <reference field="6" count="1" selected="0">
            <x v="11"/>
          </reference>
          <reference field="7" count="1" defaultSubtotal="1">
            <x v="34"/>
          </reference>
        </references>
      </pivotArea>
    </format>
    <format dxfId="735">
      <pivotArea dataOnly="0" labelOnly="1" outline="0" fieldPosition="0">
        <references count="2">
          <reference field="6" count="1" selected="0">
            <x v="12"/>
          </reference>
          <reference field="7" count="4">
            <x v="9"/>
            <x v="18"/>
            <x v="19"/>
            <x v="47"/>
          </reference>
        </references>
      </pivotArea>
    </format>
    <format dxfId="734">
      <pivotArea dataOnly="0" labelOnly="1" outline="0" fieldPosition="0">
        <references count="2">
          <reference field="6" count="1" selected="0">
            <x v="12"/>
          </reference>
          <reference field="7" count="4" defaultSubtotal="1">
            <x v="9"/>
            <x v="18"/>
            <x v="19"/>
            <x v="47"/>
          </reference>
        </references>
      </pivotArea>
    </format>
    <format dxfId="733">
      <pivotArea dataOnly="0" labelOnly="1" outline="0" fieldPosition="0">
        <references count="2">
          <reference field="6" count="1" selected="0">
            <x v="13"/>
          </reference>
          <reference field="7" count="2">
            <x v="37"/>
            <x v="42"/>
          </reference>
        </references>
      </pivotArea>
    </format>
    <format dxfId="732">
      <pivotArea dataOnly="0" labelOnly="1" outline="0" fieldPosition="0">
        <references count="2">
          <reference field="6" count="1" selected="0">
            <x v="13"/>
          </reference>
          <reference field="7" count="2" defaultSubtotal="1">
            <x v="37"/>
            <x v="42"/>
          </reference>
        </references>
      </pivotArea>
    </format>
    <format dxfId="731">
      <pivotArea dataOnly="0" labelOnly="1" outline="0" fieldPosition="0">
        <references count="2">
          <reference field="6" count="1" selected="0">
            <x v="14"/>
          </reference>
          <reference field="7" count="4">
            <x v="5"/>
            <x v="16"/>
            <x v="27"/>
            <x v="44"/>
          </reference>
        </references>
      </pivotArea>
    </format>
    <format dxfId="730">
      <pivotArea dataOnly="0" labelOnly="1" outline="0" fieldPosition="0">
        <references count="2">
          <reference field="6" count="1" selected="0">
            <x v="14"/>
          </reference>
          <reference field="7" count="4" defaultSubtotal="1">
            <x v="5"/>
            <x v="16"/>
            <x v="27"/>
            <x v="44"/>
          </reference>
        </references>
      </pivotArea>
    </format>
    <format dxfId="729">
      <pivotArea dataOnly="0" labelOnly="1" outline="0" fieldPosition="0">
        <references count="2">
          <reference field="6" count="1" selected="0">
            <x v="15"/>
          </reference>
          <reference field="7" count="2">
            <x v="32"/>
            <x v="45"/>
          </reference>
        </references>
      </pivotArea>
    </format>
    <format dxfId="728">
      <pivotArea dataOnly="0" labelOnly="1" outline="0" fieldPosition="0">
        <references count="2">
          <reference field="6" count="1" selected="0">
            <x v="15"/>
          </reference>
          <reference field="7" count="2" defaultSubtotal="1">
            <x v="32"/>
            <x v="45"/>
          </reference>
        </references>
      </pivotArea>
    </format>
    <format dxfId="727">
      <pivotArea dataOnly="0" labelOnly="1" outline="0" fieldPosition="0">
        <references count="2">
          <reference field="6" count="1" selected="0">
            <x v="16"/>
          </reference>
          <reference field="7" count="3">
            <x v="2"/>
            <x v="4"/>
            <x v="20"/>
          </reference>
        </references>
      </pivotArea>
    </format>
    <format dxfId="726">
      <pivotArea dataOnly="0" labelOnly="1" outline="0" fieldPosition="0">
        <references count="2">
          <reference field="6" count="1" selected="0">
            <x v="16"/>
          </reference>
          <reference field="7" count="3" defaultSubtotal="1">
            <x v="2"/>
            <x v="4"/>
            <x v="20"/>
          </reference>
        </references>
      </pivotArea>
    </format>
    <format dxfId="725">
      <pivotArea dataOnly="0" labelOnly="1" outline="0" fieldPosition="0">
        <references count="3">
          <reference field="4" count="1">
            <x v="24"/>
          </reference>
          <reference field="6" count="1" selected="0">
            <x v="0"/>
          </reference>
          <reference field="7" count="1" selected="0">
            <x v="10"/>
          </reference>
        </references>
      </pivotArea>
    </format>
    <format dxfId="724">
      <pivotArea dataOnly="0" labelOnly="1" outline="0" fieldPosition="0">
        <references count="3">
          <reference field="4" count="6">
            <x v="1"/>
            <x v="22"/>
            <x v="23"/>
            <x v="49"/>
            <x v="50"/>
            <x v="53"/>
          </reference>
          <reference field="6" count="1" selected="0">
            <x v="0"/>
          </reference>
          <reference field="7" count="1" selected="0">
            <x v="43"/>
          </reference>
        </references>
      </pivotArea>
    </format>
    <format dxfId="723">
      <pivotArea dataOnly="0" labelOnly="1" outline="0" fieldPosition="0">
        <references count="3">
          <reference field="4" count="1">
            <x v="43"/>
          </reference>
          <reference field="6" count="1" selected="0">
            <x v="0"/>
          </reference>
          <reference field="7" count="1" selected="0">
            <x v="51"/>
          </reference>
        </references>
      </pivotArea>
    </format>
    <format dxfId="722">
      <pivotArea dataOnly="0" labelOnly="1" outline="0" fieldPosition="0">
        <references count="3">
          <reference field="4" count="1">
            <x v="44"/>
          </reference>
          <reference field="6" count="1" selected="0">
            <x v="1"/>
          </reference>
          <reference field="7" count="1" selected="0">
            <x v="14"/>
          </reference>
        </references>
      </pivotArea>
    </format>
    <format dxfId="721">
      <pivotArea dataOnly="0" labelOnly="1" outline="0" fieldPosition="0">
        <references count="3">
          <reference field="4" count="6">
            <x v="75"/>
            <x v="92"/>
            <x v="93"/>
            <x v="94"/>
            <x v="95"/>
            <x v="104"/>
          </reference>
          <reference field="6" count="1" selected="0">
            <x v="2"/>
          </reference>
          <reference field="7" count="1" selected="0">
            <x v="17"/>
          </reference>
        </references>
      </pivotArea>
    </format>
    <format dxfId="720">
      <pivotArea dataOnly="0" labelOnly="1" outline="0" fieldPosition="0">
        <references count="3">
          <reference field="4" count="3">
            <x v="86"/>
            <x v="89"/>
            <x v="90"/>
          </reference>
          <reference field="6" count="1" selected="0">
            <x v="2"/>
          </reference>
          <reference field="7" count="1" selected="0">
            <x v="23"/>
          </reference>
        </references>
      </pivotArea>
    </format>
    <format dxfId="719">
      <pivotArea dataOnly="0" labelOnly="1" outline="0" fieldPosition="0">
        <references count="3">
          <reference field="4" count="1">
            <x v="87"/>
          </reference>
          <reference field="6" count="1" selected="0">
            <x v="2"/>
          </reference>
          <reference field="7" count="1" selected="0">
            <x v="40"/>
          </reference>
        </references>
      </pivotArea>
    </format>
    <format dxfId="718">
      <pivotArea dataOnly="0" labelOnly="1" outline="0" fieldPosition="0">
        <references count="3">
          <reference field="4" count="3">
            <x v="77"/>
            <x v="85"/>
            <x v="90"/>
          </reference>
          <reference field="6" count="1" selected="0">
            <x v="2"/>
          </reference>
          <reference field="7" count="1" selected="0">
            <x v="50"/>
          </reference>
        </references>
      </pivotArea>
    </format>
    <format dxfId="717">
      <pivotArea dataOnly="0" labelOnly="1" outline="0" fieldPosition="0">
        <references count="3">
          <reference field="4" count="1">
            <x v="7"/>
          </reference>
          <reference field="6" count="1" selected="0">
            <x v="3"/>
          </reference>
          <reference field="7" count="1" selected="0">
            <x v="11"/>
          </reference>
        </references>
      </pivotArea>
    </format>
    <format dxfId="716">
      <pivotArea dataOnly="0" labelOnly="1" outline="0" fieldPosition="0">
        <references count="3">
          <reference field="4" count="1">
            <x v="65"/>
          </reference>
          <reference field="6" count="1" selected="0">
            <x v="3"/>
          </reference>
          <reference field="7" count="1" selected="0">
            <x v="35"/>
          </reference>
        </references>
      </pivotArea>
    </format>
    <format dxfId="715">
      <pivotArea dataOnly="0" labelOnly="1" outline="0" fieldPosition="0">
        <references count="3">
          <reference field="4" count="1">
            <x v="88"/>
          </reference>
          <reference field="6" count="1" selected="0">
            <x v="4"/>
          </reference>
          <reference field="7" count="1" selected="0">
            <x v="1"/>
          </reference>
        </references>
      </pivotArea>
    </format>
    <format dxfId="714">
      <pivotArea dataOnly="0" labelOnly="1" outline="0" fieldPosition="0">
        <references count="3">
          <reference field="4" count="2">
            <x v="105"/>
            <x v="109"/>
          </reference>
          <reference field="6" count="1" selected="0">
            <x v="4"/>
          </reference>
          <reference field="7" count="1" selected="0">
            <x v="3"/>
          </reference>
        </references>
      </pivotArea>
    </format>
    <format dxfId="713">
      <pivotArea dataOnly="0" labelOnly="1" outline="0" fieldPosition="0">
        <references count="3">
          <reference field="4" count="3">
            <x v="84"/>
            <x v="90"/>
            <x v="91"/>
          </reference>
          <reference field="6" count="1" selected="0">
            <x v="4"/>
          </reference>
          <reference field="7" count="1" selected="0">
            <x v="15"/>
          </reference>
        </references>
      </pivotArea>
    </format>
    <format dxfId="712">
      <pivotArea dataOnly="0" labelOnly="1" outline="0" fieldPosition="0">
        <references count="3">
          <reference field="4" count="2">
            <x v="54"/>
            <x v="98"/>
          </reference>
          <reference field="6" count="1" selected="0">
            <x v="4"/>
          </reference>
          <reference field="7" count="1" selected="0">
            <x v="55"/>
          </reference>
        </references>
      </pivotArea>
    </format>
    <format dxfId="711">
      <pivotArea dataOnly="0" labelOnly="1" outline="0" fieldPosition="0">
        <references count="3">
          <reference field="4" count="2">
            <x v="51"/>
            <x v="52"/>
          </reference>
          <reference field="6" count="1" selected="0">
            <x v="5"/>
          </reference>
          <reference field="7" count="1" selected="0">
            <x v="0"/>
          </reference>
        </references>
      </pivotArea>
    </format>
    <format dxfId="710">
      <pivotArea dataOnly="0" labelOnly="1" outline="0" fieldPosition="0">
        <references count="3">
          <reference field="4" count="1">
            <x v="20"/>
          </reference>
          <reference field="6" count="1" selected="0">
            <x v="5"/>
          </reference>
          <reference field="7" count="1" selected="0">
            <x v="10"/>
          </reference>
        </references>
      </pivotArea>
    </format>
    <format dxfId="709">
      <pivotArea dataOnly="0" labelOnly="1" outline="0" fieldPosition="0">
        <references count="3">
          <reference field="4" count="2">
            <x v="0"/>
            <x v="74"/>
          </reference>
          <reference field="6" count="1" selected="0">
            <x v="5"/>
          </reference>
          <reference field="7" count="1" selected="0">
            <x v="13"/>
          </reference>
        </references>
      </pivotArea>
    </format>
    <format dxfId="708">
      <pivotArea dataOnly="0" labelOnly="1" outline="0" fieldPosition="0">
        <references count="3">
          <reference field="4" count="1">
            <x v="73"/>
          </reference>
          <reference field="6" count="1" selected="0">
            <x v="5"/>
          </reference>
          <reference field="7" count="1" selected="0">
            <x v="52"/>
          </reference>
        </references>
      </pivotArea>
    </format>
    <format dxfId="707">
      <pivotArea dataOnly="0" labelOnly="1" outline="0" fieldPosition="0">
        <references count="3">
          <reference field="4" count="1">
            <x v="39"/>
          </reference>
          <reference field="6" count="1" selected="0">
            <x v="5"/>
          </reference>
          <reference field="7" count="1" selected="0">
            <x v="53"/>
          </reference>
        </references>
      </pivotArea>
    </format>
    <format dxfId="706">
      <pivotArea dataOnly="0" labelOnly="1" outline="0" fieldPosition="0">
        <references count="3">
          <reference field="4" count="1">
            <x v="40"/>
          </reference>
          <reference field="6" count="1" selected="0">
            <x v="5"/>
          </reference>
          <reference field="7" count="1" selected="0">
            <x v="54"/>
          </reference>
        </references>
      </pivotArea>
    </format>
    <format dxfId="705">
      <pivotArea dataOnly="0" labelOnly="1" outline="0" fieldPosition="0">
        <references count="3">
          <reference field="4" count="4">
            <x v="6"/>
            <x v="12"/>
            <x v="13"/>
            <x v="60"/>
          </reference>
          <reference field="6" count="1" selected="0">
            <x v="6"/>
          </reference>
          <reference field="7" count="1" selected="0">
            <x v="6"/>
          </reference>
        </references>
      </pivotArea>
    </format>
    <format dxfId="704">
      <pivotArea dataOnly="0" labelOnly="1" outline="0" fieldPosition="0">
        <references count="3">
          <reference field="4" count="1">
            <x v="10"/>
          </reference>
          <reference field="6" count="1" selected="0">
            <x v="6"/>
          </reference>
          <reference field="7" count="1" selected="0">
            <x v="21"/>
          </reference>
        </references>
      </pivotArea>
    </format>
    <format dxfId="703">
      <pivotArea dataOnly="0" labelOnly="1" outline="0" fieldPosition="0">
        <references count="3">
          <reference field="4" count="9">
            <x v="57"/>
            <x v="58"/>
            <x v="59"/>
            <x v="61"/>
            <x v="66"/>
            <x v="67"/>
            <x v="68"/>
            <x v="69"/>
            <x v="70"/>
          </reference>
          <reference field="6" count="1" selected="0">
            <x v="6"/>
          </reference>
          <reference field="7" count="1" selected="0">
            <x v="31"/>
          </reference>
        </references>
      </pivotArea>
    </format>
    <format dxfId="702">
      <pivotArea dataOnly="0" labelOnly="1" outline="0" fieldPosition="0">
        <references count="3">
          <reference field="4" count="2">
            <x v="55"/>
            <x v="71"/>
          </reference>
          <reference field="6" count="1" selected="0">
            <x v="6"/>
          </reference>
          <reference field="7" count="1" selected="0">
            <x v="36"/>
          </reference>
        </references>
      </pivotArea>
    </format>
    <format dxfId="701">
      <pivotArea dataOnly="0" labelOnly="1" outline="0" fieldPosition="0">
        <references count="3">
          <reference field="4" count="3">
            <x v="11"/>
            <x v="16"/>
            <x v="62"/>
          </reference>
          <reference field="6" count="1" selected="0">
            <x v="6"/>
          </reference>
          <reference field="7" count="1" selected="0">
            <x v="38"/>
          </reference>
        </references>
      </pivotArea>
    </format>
    <format dxfId="700">
      <pivotArea dataOnly="0" labelOnly="1" outline="0" fieldPosition="0">
        <references count="3">
          <reference field="4" count="1">
            <x v="35"/>
          </reference>
          <reference field="6" count="1" selected="0">
            <x v="7"/>
          </reference>
          <reference field="7" count="1" selected="0">
            <x v="7"/>
          </reference>
        </references>
      </pivotArea>
    </format>
    <format dxfId="699">
      <pivotArea dataOnly="0" labelOnly="1" outline="0" fieldPosition="0">
        <references count="3">
          <reference field="4" count="1">
            <x v="35"/>
          </reference>
          <reference field="6" count="1" selected="0">
            <x v="7"/>
          </reference>
          <reference field="7" count="1" selected="0">
            <x v="8"/>
          </reference>
        </references>
      </pivotArea>
    </format>
    <format dxfId="698">
      <pivotArea dataOnly="0" labelOnly="1" outline="0" fieldPosition="0">
        <references count="3">
          <reference field="4" count="1">
            <x v="63"/>
          </reference>
          <reference field="6" count="1" selected="0">
            <x v="7"/>
          </reference>
          <reference field="7" count="1" selected="0">
            <x v="12"/>
          </reference>
        </references>
      </pivotArea>
    </format>
    <format dxfId="697">
      <pivotArea dataOnly="0" labelOnly="1" outline="0" fieldPosition="0">
        <references count="3">
          <reference field="4" count="1">
            <x v="32"/>
          </reference>
          <reference field="6" count="1" selected="0">
            <x v="7"/>
          </reference>
          <reference field="7" count="1" selected="0">
            <x v="24"/>
          </reference>
        </references>
      </pivotArea>
    </format>
    <format dxfId="696">
      <pivotArea dataOnly="0" labelOnly="1" outline="0" fieldPosition="0">
        <references count="3">
          <reference field="4" count="11">
            <x v="9"/>
            <x v="25"/>
            <x v="26"/>
            <x v="30"/>
            <x v="34"/>
            <x v="41"/>
            <x v="42"/>
            <x v="45"/>
            <x v="46"/>
            <x v="47"/>
            <x v="72"/>
          </reference>
          <reference field="6" count="1" selected="0">
            <x v="7"/>
          </reference>
          <reference field="7" count="1" selected="0">
            <x v="28"/>
          </reference>
        </references>
      </pivotArea>
    </format>
    <format dxfId="695">
      <pivotArea dataOnly="0" labelOnly="1" outline="0" fieldPosition="0">
        <references count="3">
          <reference field="4" count="3">
            <x v="2"/>
            <x v="27"/>
            <x v="33"/>
          </reference>
          <reference field="6" count="1" selected="0">
            <x v="7"/>
          </reference>
          <reference field="7" count="1" selected="0">
            <x v="30"/>
          </reference>
        </references>
      </pivotArea>
    </format>
    <format dxfId="694">
      <pivotArea dataOnly="0" labelOnly="1" outline="0" fieldPosition="0">
        <references count="3">
          <reference field="4" count="1">
            <x v="29"/>
          </reference>
          <reference field="6" count="1" selected="0">
            <x v="7"/>
          </reference>
          <reference field="7" count="1" selected="0">
            <x v="39"/>
          </reference>
        </references>
      </pivotArea>
    </format>
    <format dxfId="693">
      <pivotArea dataOnly="0" labelOnly="1" outline="0" fieldPosition="0">
        <references count="3">
          <reference field="4" count="1">
            <x v="35"/>
          </reference>
          <reference field="6" count="1" selected="0">
            <x v="7"/>
          </reference>
          <reference field="7" count="1" selected="0">
            <x v="46"/>
          </reference>
        </references>
      </pivotArea>
    </format>
    <format dxfId="692">
      <pivotArea dataOnly="0" labelOnly="1" outline="0" fieldPosition="0">
        <references count="3">
          <reference field="4" count="1">
            <x v="37"/>
          </reference>
          <reference field="6" count="1" selected="0">
            <x v="7"/>
          </reference>
          <reference field="7" count="1" selected="0">
            <x v="49"/>
          </reference>
        </references>
      </pivotArea>
    </format>
    <format dxfId="691">
      <pivotArea dataOnly="0" labelOnly="1" outline="0" fieldPosition="0">
        <references count="3">
          <reference field="4" count="1">
            <x v="64"/>
          </reference>
          <reference field="6" count="1" selected="0">
            <x v="8"/>
          </reference>
          <reference field="7" count="1" selected="0">
            <x v="29"/>
          </reference>
        </references>
      </pivotArea>
    </format>
    <format dxfId="690">
      <pivotArea dataOnly="0" labelOnly="1" outline="0" fieldPosition="0">
        <references count="3">
          <reference field="4" count="2">
            <x v="83"/>
            <x v="97"/>
          </reference>
          <reference field="6" count="1" selected="0">
            <x v="9"/>
          </reference>
          <reference field="7" count="1" selected="0">
            <x v="25"/>
          </reference>
        </references>
      </pivotArea>
    </format>
    <format dxfId="689">
      <pivotArea dataOnly="0" labelOnly="1" outline="0" fieldPosition="0">
        <references count="3">
          <reference field="4" count="1">
            <x v="78"/>
          </reference>
          <reference field="6" count="1" selected="0">
            <x v="10"/>
          </reference>
          <reference field="7" count="1" selected="0">
            <x v="22"/>
          </reference>
        </references>
      </pivotArea>
    </format>
    <format dxfId="688">
      <pivotArea dataOnly="0" labelOnly="1" outline="0" fieldPosition="0">
        <references count="3">
          <reference field="4" count="1">
            <x v="96"/>
          </reference>
          <reference field="6" count="1" selected="0">
            <x v="10"/>
          </reference>
          <reference field="7" count="1" selected="0">
            <x v="26"/>
          </reference>
        </references>
      </pivotArea>
    </format>
    <format dxfId="687">
      <pivotArea dataOnly="0" labelOnly="1" outline="0" fieldPosition="0">
        <references count="3">
          <reference field="4" count="5">
            <x v="3"/>
            <x v="81"/>
            <x v="99"/>
            <x v="100"/>
            <x v="110"/>
          </reference>
          <reference field="6" count="1" selected="0">
            <x v="10"/>
          </reference>
          <reference field="7" count="1" selected="0">
            <x v="33"/>
          </reference>
        </references>
      </pivotArea>
    </format>
    <format dxfId="686">
      <pivotArea dataOnly="0" labelOnly="1" outline="0" fieldPosition="0">
        <references count="3">
          <reference field="4" count="4">
            <x v="102"/>
            <x v="103"/>
            <x v="106"/>
            <x v="107"/>
          </reference>
          <reference field="6" count="1" selected="0">
            <x v="10"/>
          </reference>
          <reference field="7" count="1" selected="0">
            <x v="41"/>
          </reference>
        </references>
      </pivotArea>
    </format>
    <format dxfId="685">
      <pivotArea dataOnly="0" labelOnly="1" outline="0" fieldPosition="0">
        <references count="3">
          <reference field="4" count="2">
            <x v="101"/>
            <x v="108"/>
          </reference>
          <reference field="6" count="1" selected="0">
            <x v="10"/>
          </reference>
          <reference field="7" count="1" selected="0">
            <x v="48"/>
          </reference>
        </references>
      </pivotArea>
    </format>
    <format dxfId="684">
      <pivotArea dataOnly="0" labelOnly="1" outline="0" fieldPosition="0">
        <references count="3">
          <reference field="4" count="1">
            <x v="7"/>
          </reference>
          <reference field="6" count="1" selected="0">
            <x v="11"/>
          </reference>
          <reference field="7" count="1" selected="0">
            <x v="34"/>
          </reference>
        </references>
      </pivotArea>
    </format>
    <format dxfId="683">
      <pivotArea dataOnly="0" labelOnly="1" outline="0" fieldPosition="0">
        <references count="3">
          <reference field="4" count="2">
            <x v="4"/>
            <x v="18"/>
          </reference>
          <reference field="6" count="1" selected="0">
            <x v="12"/>
          </reference>
          <reference field="7" count="1" selected="0">
            <x v="9"/>
          </reference>
        </references>
      </pivotArea>
    </format>
    <format dxfId="682">
      <pivotArea dataOnly="0" labelOnly="1" outline="0" fieldPosition="0">
        <references count="3">
          <reference field="4" count="1">
            <x v="5"/>
          </reference>
          <reference field="6" count="1" selected="0">
            <x v="12"/>
          </reference>
          <reference field="7" count="1" selected="0">
            <x v="18"/>
          </reference>
        </references>
      </pivotArea>
    </format>
    <format dxfId="681">
      <pivotArea dataOnly="0" labelOnly="1" outline="0" fieldPosition="0">
        <references count="3">
          <reference field="4" count="2">
            <x v="7"/>
            <x v="80"/>
          </reference>
          <reference field="6" count="1" selected="0">
            <x v="12"/>
          </reference>
          <reference field="7" count="1" selected="0">
            <x v="19"/>
          </reference>
        </references>
      </pivotArea>
    </format>
    <format dxfId="680">
      <pivotArea dataOnly="0" labelOnly="1" outline="0" fieldPosition="0">
        <references count="3">
          <reference field="4" count="2">
            <x v="76"/>
            <x v="79"/>
          </reference>
          <reference field="6" count="1" selected="0">
            <x v="12"/>
          </reference>
          <reference field="7" count="1" selected="0">
            <x v="47"/>
          </reference>
        </references>
      </pivotArea>
    </format>
    <format dxfId="679">
      <pivotArea dataOnly="0" labelOnly="1" outline="0" fieldPosition="0">
        <references count="3">
          <reference field="4" count="3">
            <x v="14"/>
            <x v="15"/>
            <x v="17"/>
          </reference>
          <reference field="6" count="1" selected="0">
            <x v="13"/>
          </reference>
          <reference field="7" count="1" selected="0">
            <x v="37"/>
          </reference>
        </references>
      </pivotArea>
    </format>
    <format dxfId="678">
      <pivotArea dataOnly="0" labelOnly="1" outline="0" fieldPosition="0">
        <references count="3">
          <reference field="4" count="1">
            <x v="56"/>
          </reference>
          <reference field="6" count="1" selected="0">
            <x v="13"/>
          </reference>
          <reference field="7" count="1" selected="0">
            <x v="42"/>
          </reference>
        </references>
      </pivotArea>
    </format>
    <format dxfId="677">
      <pivotArea dataOnly="0" labelOnly="1" outline="0" fieldPosition="0">
        <references count="3">
          <reference field="4" count="1">
            <x v="36"/>
          </reference>
          <reference field="6" count="1" selected="0">
            <x v="14"/>
          </reference>
          <reference field="7" count="1" selected="0">
            <x v="5"/>
          </reference>
        </references>
      </pivotArea>
    </format>
    <format dxfId="676">
      <pivotArea dataOnly="0" labelOnly="1" outline="0" fieldPosition="0">
        <references count="3">
          <reference field="4" count="1">
            <x v="38"/>
          </reference>
          <reference field="6" count="1" selected="0">
            <x v="14"/>
          </reference>
          <reference field="7" count="1" selected="0">
            <x v="16"/>
          </reference>
        </references>
      </pivotArea>
    </format>
    <format dxfId="675">
      <pivotArea dataOnly="0" labelOnly="1" outline="0" fieldPosition="0">
        <references count="3">
          <reference field="4" count="1">
            <x v="19"/>
          </reference>
          <reference field="6" count="1" selected="0">
            <x v="14"/>
          </reference>
          <reference field="7" count="1" selected="0">
            <x v="27"/>
          </reference>
        </references>
      </pivotArea>
    </format>
    <format dxfId="674">
      <pivotArea dataOnly="0" labelOnly="1" outline="0" fieldPosition="0">
        <references count="3">
          <reference field="4" count="2">
            <x v="31"/>
            <x v="48"/>
          </reference>
          <reference field="6" count="1" selected="0">
            <x v="14"/>
          </reference>
          <reference field="7" count="1" selected="0">
            <x v="44"/>
          </reference>
        </references>
      </pivotArea>
    </format>
    <format dxfId="673">
      <pivotArea dataOnly="0" labelOnly="1" outline="0" fieldPosition="0">
        <references count="3">
          <reference field="4" count="1">
            <x v="8"/>
          </reference>
          <reference field="6" count="1" selected="0">
            <x v="15"/>
          </reference>
          <reference field="7" count="1" selected="0">
            <x v="32"/>
          </reference>
        </references>
      </pivotArea>
    </format>
    <format dxfId="672">
      <pivotArea dataOnly="0" labelOnly="1" outline="0" fieldPosition="0">
        <references count="3">
          <reference field="4" count="2">
            <x v="21"/>
            <x v="82"/>
          </reference>
          <reference field="6" count="1" selected="0">
            <x v="15"/>
          </reference>
          <reference field="7" count="1" selected="0">
            <x v="45"/>
          </reference>
        </references>
      </pivotArea>
    </format>
    <format dxfId="671">
      <pivotArea dataOnly="0" labelOnly="1" outline="0" fieldPosition="0">
        <references count="3">
          <reference field="4" count="1">
            <x v="7"/>
          </reference>
          <reference field="6" count="1" selected="0">
            <x v="16"/>
          </reference>
          <reference field="7" count="1" selected="0">
            <x v="2"/>
          </reference>
        </references>
      </pivotArea>
    </format>
    <format dxfId="670">
      <pivotArea dataOnly="0" labelOnly="1" outline="0" fieldPosition="0">
        <references count="3">
          <reference field="4" count="2">
            <x v="7"/>
            <x v="28"/>
          </reference>
          <reference field="6" count="1" selected="0">
            <x v="16"/>
          </reference>
          <reference field="7" count="1" selected="0">
            <x v="4"/>
          </reference>
        </references>
      </pivotArea>
    </format>
    <format dxfId="669">
      <pivotArea dataOnly="0" labelOnly="1" outline="0" fieldPosition="0">
        <references count="3">
          <reference field="4" count="1">
            <x v="7"/>
          </reference>
          <reference field="6" count="1" selected="0">
            <x v="16"/>
          </reference>
          <reference field="7" count="1" selected="0">
            <x v="20"/>
          </reference>
        </references>
      </pivotArea>
    </format>
    <format dxfId="668">
      <pivotArea field="4" type="button" dataOnly="0" labelOnly="1" outline="0" axis="axisRow" fieldPosition="2"/>
    </format>
    <format dxfId="667">
      <pivotArea field="4" type="button" dataOnly="0" labelOnly="1" outline="0" axis="axisRow" fieldPosition="2"/>
    </format>
    <format dxfId="666">
      <pivotArea type="all" dataOnly="0" outline="0" fieldPosition="0"/>
    </format>
  </formats>
  <pivotTableStyleInfo name="PivotStyleLight22" showRowHeaders="0" showColHeaders="0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altText="PROYECTOS E INVERSION POR PARROQUIAS DURANTE EL AÑO 2014" hideValuesRow="1"/>
    </ext>
  </extLst>
</pivotTableDefinition>
</file>

<file path=xl/pivotTables/pivotTable2.xml><?xml version="1.0" encoding="utf-8"?>
<pivotTableDefinition xmlns="http://schemas.openxmlformats.org/spreadsheetml/2006/main" name="Tabla dinámica1" cacheId="9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9">
  <location ref="A4:I6" firstHeaderRow="1" firstDataRow="2" firstDataCol="1"/>
  <pivotFields count="22">
    <pivotField axis="axisCol" showAll="0">
      <items count="10">
        <item m="1" x="7"/>
        <item x="0"/>
        <item m="1" x="8"/>
        <item x="4"/>
        <item x="5"/>
        <item x="2"/>
        <item x="3"/>
        <item x="6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showAll="0"/>
    <pivotField showAll="0"/>
    <pivotField showAll="0"/>
  </pivotFields>
  <rowItems count="1">
    <i/>
  </rowItems>
  <colFields count="1">
    <field x="0"/>
  </colFields>
  <colItems count="8">
    <i>
      <x v="1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KM INTERVENIDOS" fld="9" baseField="0" baseItem="5"/>
  </dataFields>
  <formats count="4">
    <format dxfId="588">
      <pivotArea type="all" dataOnly="0" outline="0" fieldPosition="0"/>
    </format>
    <format dxfId="587">
      <pivotArea outline="0" collapsedLevelsAreSubtotals="1" fieldPosition="0">
        <references count="1">
          <reference field="0" count="4" selected="0">
            <x v="1"/>
            <x v="2"/>
            <x v="3"/>
            <x v="4"/>
          </reference>
        </references>
      </pivotArea>
    </format>
    <format dxfId="586">
      <pivotArea grandCol="1" outline="0" collapsedLevelsAreSubtotals="1" fieldPosition="0"/>
    </format>
    <format dxfId="585">
      <pivotArea outline="0" collapsedLevelsAreSubtotals="1" fieldPosition="0">
        <references count="1">
          <reference field="0" count="3" selected="0">
            <x v="6"/>
            <x v="7"/>
            <x v="8"/>
          </reference>
        </references>
      </pivotArea>
    </format>
  </formats>
  <chartFormats count="37">
    <chartFormat chart="9" format="38" series="1">
      <pivotArea type="data" outline="0" fieldPosition="0">
        <references count="1">
          <reference field="0" count="1" selected="0">
            <x v="0"/>
          </reference>
        </references>
      </pivotArea>
    </chartFormat>
    <chartFormat chart="9" format="41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9" format="42" series="1">
      <pivotArea type="data" outline="0" fieldPosition="0">
        <references count="1">
          <reference field="0" count="1" selected="0">
            <x v="2"/>
          </reference>
        </references>
      </pivotArea>
    </chartFormat>
    <chartFormat chart="9" format="43" series="1">
      <pivotArea type="data" outline="0" fieldPosition="0">
        <references count="1">
          <reference field="0" count="1" selected="0">
            <x v="3"/>
          </reference>
        </references>
      </pivotArea>
    </chartFormat>
    <chartFormat chart="9" format="45" series="1">
      <pivotArea type="data" outline="0" fieldPosition="0">
        <references count="1">
          <reference field="0" count="1" selected="0">
            <x v="4"/>
          </reference>
        </references>
      </pivotArea>
    </chartFormat>
    <chartFormat chart="9" format="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9" format="4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9" format="49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9" format="5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9" format="5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9" format="5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9" format="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9" format="55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9" format="56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9" format="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9" format="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9" format="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5" format="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5" format="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5" format="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5" format="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5" format="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5" format="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5" format="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5" format="67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5" format="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5" format="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26" format="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6" format="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6" format="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6" format="7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6" format="7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6" format="7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6" format="7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6" format="77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6" format="7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6" format="7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1" cacheId="9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18">
  <location ref="A4:I6" firstHeaderRow="1" firstDataRow="2" firstDataCol="1"/>
  <pivotFields count="22">
    <pivotField axis="axisCol" showAll="0">
      <items count="10">
        <item m="1" x="7"/>
        <item x="0"/>
        <item m="1" x="8"/>
        <item x="4"/>
        <item x="5"/>
        <item x="2"/>
        <item x="3"/>
        <item x="6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7" showAll="0"/>
    <pivotField showAll="0"/>
    <pivotField showAll="0"/>
    <pivotField showAll="0"/>
  </pivotFields>
  <rowItems count="1">
    <i/>
  </rowItems>
  <colFields count="1">
    <field x="0"/>
  </colFields>
  <colItems count="8">
    <i>
      <x v="1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MONTO INVERSION GPL / VIALSUR" fld="18" baseField="0" baseItem="0"/>
  </dataFields>
  <formats count="1">
    <format dxfId="584">
      <pivotArea type="all" dataOnly="0" outline="0" fieldPosition="0"/>
    </format>
  </formats>
  <chartFormats count="1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18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19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20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1" cacheId="9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15">
  <location ref="A4:I11" firstHeaderRow="1" firstDataRow="2" firstDataCol="1"/>
  <pivotFields count="22">
    <pivotField axis="axisCol" showAll="0">
      <items count="10">
        <item m="1" x="7"/>
        <item x="0"/>
        <item m="1" x="8"/>
        <item x="4"/>
        <item x="5"/>
        <item x="2"/>
        <item x="3"/>
        <item x="6"/>
        <item x="1"/>
        <item t="default"/>
      </items>
    </pivotField>
    <pivotField showAll="0"/>
    <pivotField showAll="0"/>
    <pivotField axis="axisRow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7" showAll="0"/>
    <pivotField showAll="0"/>
    <pivotField showAll="0"/>
    <pivotField showAll="0"/>
  </pivotFields>
  <rowFields count="1">
    <field x="3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8">
    <i>
      <x v="1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MONTO INVERSION GPL / VIALSUR" fld="18" baseField="0" baseItem="0"/>
  </dataFields>
  <formats count="16">
    <format dxfId="583">
      <pivotArea type="all" dataOnly="0" outline="0" fieldPosition="0"/>
    </format>
    <format dxfId="582">
      <pivotArea outline="0" collapsedLevelsAreSubtotals="1" fieldPosition="0">
        <references count="1">
          <reference field="0" count="1" selected="0">
            <x v="0"/>
          </reference>
        </references>
      </pivotArea>
    </format>
    <format dxfId="581">
      <pivotArea outline="0" collapsedLevelsAreSubtotals="1" fieldPosition="0"/>
    </format>
    <format dxfId="580">
      <pivotArea dataOnly="0" labelOnly="1" fieldPosition="0">
        <references count="1">
          <reference field="0" count="0"/>
        </references>
      </pivotArea>
    </format>
    <format dxfId="579">
      <pivotArea dataOnly="0" labelOnly="1" grandCol="1" outline="0" fieldPosition="0"/>
    </format>
    <format dxfId="578">
      <pivotArea type="origin" dataOnly="0" labelOnly="1" outline="0" fieldPosition="0"/>
    </format>
    <format dxfId="577">
      <pivotArea type="origin" dataOnly="0" labelOnly="1" outline="0" fieldPosition="0"/>
    </format>
    <format dxfId="576">
      <pivotArea type="origin" dataOnly="0" labelOnly="1" outline="0" fieldPosition="0"/>
    </format>
    <format dxfId="575">
      <pivotArea dataOnly="0" labelOnly="1" fieldPosition="0">
        <references count="1">
          <reference field="0" count="1">
            <x v="1"/>
          </reference>
        </references>
      </pivotArea>
    </format>
    <format dxfId="574">
      <pivotArea dataOnly="0" labelOnly="1" fieldPosition="0">
        <references count="1">
          <reference field="0" count="1">
            <x v="6"/>
          </reference>
        </references>
      </pivotArea>
    </format>
    <format dxfId="573">
      <pivotArea dataOnly="0" labelOnly="1" fieldPosition="0">
        <references count="1">
          <reference field="0" count="1">
            <x v="7"/>
          </reference>
        </references>
      </pivotArea>
    </format>
    <format dxfId="572">
      <pivotArea dataOnly="0" labelOnly="1" fieldPosition="0">
        <references count="1">
          <reference field="0" count="1">
            <x v="8"/>
          </reference>
        </references>
      </pivotArea>
    </format>
    <format dxfId="571">
      <pivotArea field="3" type="button" dataOnly="0" labelOnly="1" outline="0" axis="axisRow" fieldPosition="0"/>
    </format>
    <format dxfId="570">
      <pivotArea dataOnly="0" labelOnly="1" fieldPosition="0">
        <references count="1">
          <reference field="0" count="0"/>
        </references>
      </pivotArea>
    </format>
    <format dxfId="569">
      <pivotArea dataOnly="0" labelOnly="1" grandCol="1" outline="0" fieldPosition="0"/>
    </format>
    <format dxfId="568">
      <pivotArea type="all" dataOnly="0" outline="0" fieldPosition="0"/>
    </format>
  </formats>
  <chartFormats count="1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3" cacheId="8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8">
  <location ref="A3:B8" firstHeaderRow="1" firstDataRow="1" firstDataCol="1" rowPageCount="1" colPageCount="1"/>
  <pivotFields count="24">
    <pivotField showAll="0"/>
    <pivotField showAll="0"/>
    <pivotField axis="axisPage" multipleItemSelectionAllowed="1" showAll="0">
      <items count="10">
        <item h="1" x="3"/>
        <item h="1" x="8"/>
        <item h="1" x="4"/>
        <item h="1" x="7"/>
        <item x="1"/>
        <item x="0"/>
        <item h="1" x="2"/>
        <item h="1" x="6"/>
        <item h="1" x="5"/>
        <item t="default"/>
      </items>
    </pivotField>
    <pivotField showAll="0"/>
    <pivotField showAll="0"/>
    <pivotField axis="axisRow" showAll="0">
      <items count="6">
        <item x="0"/>
        <item x="1"/>
        <item x="2"/>
        <item x="3"/>
        <item x="4"/>
        <item t="default"/>
      </items>
    </pivotField>
    <pivotField showAll="0">
      <items count="17">
        <item x="3"/>
        <item x="10"/>
        <item x="8"/>
        <item x="11"/>
        <item x="2"/>
        <item x="0"/>
        <item x="15"/>
        <item x="6"/>
        <item x="13"/>
        <item x="12"/>
        <item x="7"/>
        <item x="5"/>
        <item x="1"/>
        <item x="14"/>
        <item x="4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7" showAll="0"/>
    <pivotField showAll="0"/>
    <pivotField showAll="0"/>
    <pivotField showAll="0"/>
  </pivotFields>
  <rowFields count="1">
    <field x="5"/>
  </rowFields>
  <rowItems count="5">
    <i>
      <x/>
    </i>
    <i>
      <x v="1"/>
    </i>
    <i>
      <x v="2"/>
    </i>
    <i>
      <x v="3"/>
    </i>
    <i t="grand">
      <x/>
    </i>
  </rowItems>
  <colItems count="1">
    <i/>
  </colItems>
  <pageFields count="1">
    <pageField fld="2" hier="-1"/>
  </pageFields>
  <dataFields count="1">
    <dataField name="Suma de MONTO INVERSION GPL / VIALSUR" fld="20" baseField="0" baseItem="0" numFmtId="194"/>
  </dataFields>
  <formats count="2">
    <format dxfId="567">
      <pivotArea outline="0" collapsedLevelsAreSubtotals="1" fieldPosition="0"/>
    </format>
    <format dxfId="566">
      <pivotArea dataOnly="0" labelOnly="1" outline="0" axis="axisValues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 dinámica1" cacheId="6" dataPosition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55" rowHeaderCaption="ITEM">
  <location ref="A15:B19" firstHeaderRow="1" firstDataRow="1" firstDataCol="1" rowPageCount="1" colPageCount="1"/>
  <pivotFields count="26">
    <pivotField showAll="0" defaultSubtotal="0"/>
    <pivotField showAll="0" defaultSubtotal="0"/>
    <pivotField axis="axisPage" multipleItemSelectionAllowed="1" showAll="0">
      <items count="9">
        <item x="4"/>
        <item h="1" x="1"/>
        <item h="1" x="0"/>
        <item h="1" x="5"/>
        <item h="1" x="2"/>
        <item h="1" x="3"/>
        <item h="1" x="6"/>
        <item m="1" x="7"/>
        <item t="default"/>
      </items>
    </pivotField>
    <pivotField showAll="0"/>
    <pivotField showAll="0" defaultSubtotal="0"/>
    <pivotField axis="axisRow" showAll="0">
      <items count="7">
        <item x="0"/>
        <item x="1"/>
        <item x="2"/>
        <item x="3"/>
        <item x="4"/>
        <item m="1" x="5"/>
        <item t="default"/>
      </items>
    </pivotField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dataField="1" showAll="0" defaultSubtotal="0"/>
    <pivotField showAll="0" defaultSubtotal="0"/>
    <pivotField numFmtId="167" showAll="0" defaultSubtotal="0"/>
    <pivotField showAll="0"/>
    <pivotField showAll="0"/>
  </pivotFields>
  <rowFields count="1">
    <field x="5"/>
  </rowFields>
  <rowItems count="4">
    <i>
      <x v="1"/>
    </i>
    <i>
      <x v="3"/>
    </i>
    <i>
      <x v="4"/>
    </i>
    <i t="grand">
      <x/>
    </i>
  </rowItems>
  <colItems count="1">
    <i/>
  </colItems>
  <pageFields count="1">
    <pageField fld="2" hier="-1"/>
  </pageFields>
  <dataFields count="1">
    <dataField name="Suma de MONTO INVERSION GPL / VIALSUR" fld="21" baseField="0" baseItem="0"/>
  </dataFields>
  <formats count="9">
    <format dxfId="409">
      <pivotArea field="2" type="button" dataOnly="0" labelOnly="1" outline="0" axis="axisPage" fieldPosition="0"/>
    </format>
    <format dxfId="408">
      <pivotArea field="2" type="button" dataOnly="0" labelOnly="1" outline="0" axis="axisPage" fieldPosition="0"/>
    </format>
    <format dxfId="407">
      <pivotArea field="2" type="button" dataOnly="0" labelOnly="1" outline="0" axis="axisPage" fieldPosition="0"/>
    </format>
    <format dxfId="406">
      <pivotArea dataOnly="0" labelOnly="1" outline="0" fieldPosition="0">
        <references count="1">
          <reference field="2" count="0"/>
        </references>
      </pivotArea>
    </format>
    <format dxfId="405">
      <pivotArea dataOnly="0" labelOnly="1" outline="0" axis="axisValues" fieldPosition="0"/>
    </format>
    <format dxfId="404">
      <pivotArea outline="0" collapsedLevelsAreSubtotals="1" fieldPosition="0"/>
    </format>
    <format dxfId="403">
      <pivotArea dataOnly="0" labelOnly="1" outline="0" fieldPosition="0">
        <references count="1">
          <reference field="2" count="0"/>
        </references>
      </pivotArea>
    </format>
    <format dxfId="402">
      <pivotArea dataOnly="0" labelOnly="1" outline="0" axis="axisValues" fieldPosition="0"/>
    </format>
    <format dxfId="401">
      <pivotArea type="all" dataOnly="0" outline="0" fieldPosition="0"/>
    </format>
  </formats>
  <chartFormats count="1">
    <chartFormat chart="12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 dinámica2" cacheId="6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5" rowHeaderCaption="ITEM">
  <location ref="A39:B47" firstHeaderRow="1" firstDataRow="1" firstDataCol="1"/>
  <pivotFields count="26">
    <pivotField showAll="0" defaultSubtotal="0"/>
    <pivotField showAll="0" defaultSubtotal="0"/>
    <pivotField axis="axisRow" multipleItemSelectionAllowed="1" showAll="0">
      <items count="9">
        <item x="4"/>
        <item x="1"/>
        <item x="0"/>
        <item x="5"/>
        <item x="2"/>
        <item x="3"/>
        <item x="6"/>
        <item m="1" x="7"/>
        <item t="default"/>
      </items>
    </pivotField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dataField="1" showAll="0" defaultSubtotal="0"/>
    <pivotField showAll="0" defaultSubtotal="0"/>
    <pivotField numFmtId="167" showAll="0" defaultSubtotal="0"/>
    <pivotField showAll="0"/>
    <pivotField showAll="0"/>
  </pivotFields>
  <rowFields count="1">
    <field x="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MONTO INVERSION GPL / VIALSUR" fld="21" baseField="0" baseItem="0"/>
  </dataFields>
  <formats count="8">
    <format dxfId="417">
      <pivotArea field="2" type="button" dataOnly="0" labelOnly="1" outline="0" axis="axisRow" fieldPosition="0"/>
    </format>
    <format dxfId="416">
      <pivotArea field="2" type="button" dataOnly="0" labelOnly="1" outline="0" axis="axisRow" fieldPosition="0"/>
    </format>
    <format dxfId="415">
      <pivotArea field="2" type="button" dataOnly="0" labelOnly="1" outline="0" axis="axisRow" fieldPosition="0"/>
    </format>
    <format dxfId="414">
      <pivotArea dataOnly="0" labelOnly="1" outline="0" axis="axisValues" fieldPosition="0"/>
    </format>
    <format dxfId="413">
      <pivotArea grandRow="1" outline="0" collapsedLevelsAreSubtotals="1" fieldPosition="0"/>
    </format>
    <format dxfId="412">
      <pivotArea outline="0" collapsedLevelsAreSubtotals="1" fieldPosition="0"/>
    </format>
    <format dxfId="411">
      <pivotArea dataOnly="0" labelOnly="1" outline="0" axis="axisValues" fieldPosition="0"/>
    </format>
    <format dxfId="410">
      <pivotArea type="all" dataOnly="0" outline="0" fieldPosition="0"/>
    </format>
  </formats>
  <chartFormats count="1">
    <chartFormat chart="11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 dinámica2" cacheId="6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2:C10" firstHeaderRow="0" firstDataRow="1" firstDataCol="1"/>
  <pivotFields count="26">
    <pivotField showAll="0"/>
    <pivotField showAll="0"/>
    <pivotField axis="axisRow" showAll="0">
      <items count="9">
        <item x="6"/>
        <item x="4"/>
        <item x="2"/>
        <item x="1"/>
        <item x="0"/>
        <item x="5"/>
        <item x="3"/>
        <item h="1" m="1" x="7"/>
        <item t="default"/>
      </items>
    </pivotField>
    <pivotField showAll="0"/>
    <pivotField showAll="0" defaultSubtota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7" showAll="0"/>
    <pivotField showAll="0" defaultSubtotal="0"/>
    <pivotField numFmtId="167" showAll="0" defaultSubtotal="0"/>
    <pivotField showAll="0" defaultSubtotal="0"/>
    <pivotField showAll="0" defaultSubtotal="0"/>
  </pivotFields>
  <rowFields count="1">
    <field x="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KM INTERVENIDOS" fld="11" baseField="2" baseItem="3"/>
    <dataField name="Suma de MONTO INVERSION GPL / VIALSUR" fld="21" baseField="2" baseItem="0"/>
  </dataFields>
  <formats count="2">
    <format dxfId="400">
      <pivotArea outline="0" collapsedLevelsAreSubtotals="1" fieldPosition="0"/>
    </format>
    <format dxfId="39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 dinámica1" cacheId="7" applyNumberFormats="0" applyBorderFormats="0" applyFontFormats="0" applyPatternFormats="0" applyAlignmentFormats="0" applyWidthHeightFormats="1" dataCaption="Valores" updatedVersion="4" minRefreshableVersion="3" showDrill="0" itemPrintTitles="1" mergeItem="1" createdVersion="4" indent="0" compact="0" compactData="0" gridDropZones="1" multipleFieldFilters="0">
  <location ref="A7:D21" firstHeaderRow="2" firstDataRow="2" firstDataCol="3"/>
  <pivotFields count="22"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items count="136">
        <item x="27"/>
        <item x="39"/>
        <item x="111"/>
        <item x="91"/>
        <item x="61"/>
        <item x="60"/>
        <item x="3"/>
        <item x="58"/>
        <item x="48"/>
        <item x="123"/>
        <item x="41"/>
        <item x="8"/>
        <item x="15"/>
        <item x="7"/>
        <item x="6"/>
        <item x="4"/>
        <item x="14"/>
        <item x="5"/>
        <item x="55"/>
        <item x="112"/>
        <item x="44"/>
        <item x="40"/>
        <item x="42"/>
        <item m="1" x="130"/>
        <item x="38"/>
        <item x="116"/>
        <item x="115"/>
        <item x="106"/>
        <item x="59"/>
        <item x="122"/>
        <item x="124"/>
        <item x="114"/>
        <item x="120"/>
        <item x="107"/>
        <item m="1" x="134"/>
        <item x="118"/>
        <item x="105"/>
        <item x="108"/>
        <item x="104"/>
        <item x="31"/>
        <item x="32"/>
        <item x="117"/>
        <item x="121"/>
        <item m="1" x="132"/>
        <item x="49"/>
        <item m="1" x="133"/>
        <item x="110"/>
        <item x="109"/>
        <item x="129"/>
        <item x="43"/>
        <item x="45"/>
        <item x="29"/>
        <item x="28"/>
        <item x="46"/>
        <item x="80"/>
        <item x="2"/>
        <item x="37"/>
        <item x="17"/>
        <item x="19"/>
        <item x="18"/>
        <item x="16"/>
        <item x="20"/>
        <item x="22"/>
        <item x="119"/>
        <item x="57"/>
        <item x="56"/>
        <item x="13"/>
        <item x="11"/>
        <item x="12"/>
        <item x="10"/>
        <item x="9"/>
        <item x="0"/>
        <item x="113"/>
        <item x="30"/>
        <item x="26"/>
        <item x="72"/>
        <item x="52"/>
        <item x="65"/>
        <item m="1" x="131"/>
        <item x="54"/>
        <item x="53"/>
        <item x="90"/>
        <item x="51"/>
        <item x="100"/>
        <item x="74"/>
        <item x="66"/>
        <item x="63"/>
        <item x="67"/>
        <item x="77"/>
        <item x="64"/>
        <item x="62"/>
        <item x="75"/>
        <item x="70"/>
        <item x="71"/>
        <item x="69"/>
        <item x="68"/>
        <item x="94"/>
        <item x="101"/>
        <item x="79"/>
        <item x="92"/>
        <item x="88"/>
        <item x="96"/>
        <item x="97"/>
        <item x="98"/>
        <item x="73"/>
        <item x="76"/>
        <item x="103"/>
        <item x="99"/>
        <item x="95"/>
        <item x="78"/>
        <item x="93"/>
        <item x="1"/>
        <item x="21"/>
        <item x="23"/>
        <item x="24"/>
        <item x="25"/>
        <item x="33"/>
        <item x="34"/>
        <item x="35"/>
        <item x="36"/>
        <item x="47"/>
        <item x="50"/>
        <item x="81"/>
        <item x="82"/>
        <item x="83"/>
        <item x="84"/>
        <item x="85"/>
        <item x="86"/>
        <item x="87"/>
        <item x="89"/>
        <item x="102"/>
        <item x="125"/>
        <item x="126"/>
        <item x="127"/>
        <item x="12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DETALLE DE PROYECTOS EJECUTADOS" axis="axisRow" compact="0" outline="0" showAll="0" defaultSubtotal="0">
      <items count="138">
        <item x="26"/>
        <item x="38"/>
        <item x="109"/>
        <item x="89"/>
        <item x="60"/>
        <item x="59"/>
        <item x="2"/>
        <item x="57"/>
        <item x="47"/>
        <item x="121"/>
        <item x="40"/>
        <item x="7"/>
        <item x="14"/>
        <item x="6"/>
        <item x="5"/>
        <item x="3"/>
        <item x="13"/>
        <item x="4"/>
        <item x="54"/>
        <item x="110"/>
        <item x="43"/>
        <item x="39"/>
        <item x="41"/>
        <item m="1" x="129"/>
        <item x="37"/>
        <item x="114"/>
        <item x="113"/>
        <item x="104"/>
        <item x="58"/>
        <item x="120"/>
        <item x="122"/>
        <item x="112"/>
        <item x="118"/>
        <item x="105"/>
        <item m="1" x="135"/>
        <item x="116"/>
        <item x="103"/>
        <item x="106"/>
        <item x="102"/>
        <item x="30"/>
        <item x="31"/>
        <item x="115"/>
        <item x="119"/>
        <item m="1" x="131"/>
        <item x="48"/>
        <item m="1" x="134"/>
        <item x="108"/>
        <item x="107"/>
        <item x="127"/>
        <item x="42"/>
        <item x="44"/>
        <item x="28"/>
        <item x="27"/>
        <item x="45"/>
        <item x="79"/>
        <item x="1"/>
        <item x="36"/>
        <item x="16"/>
        <item x="18"/>
        <item x="17"/>
        <item x="15"/>
        <item x="19"/>
        <item x="21"/>
        <item x="117"/>
        <item x="56"/>
        <item x="55"/>
        <item x="12"/>
        <item x="10"/>
        <item x="11"/>
        <item x="9"/>
        <item x="8"/>
        <item x="0"/>
        <item x="111"/>
        <item x="29"/>
        <item x="25"/>
        <item x="71"/>
        <item x="51"/>
        <item x="64"/>
        <item m="1" x="130"/>
        <item x="53"/>
        <item x="52"/>
        <item x="88"/>
        <item x="50"/>
        <item x="98"/>
        <item x="73"/>
        <item x="65"/>
        <item x="62"/>
        <item x="66"/>
        <item x="76"/>
        <item x="63"/>
        <item x="61"/>
        <item x="74"/>
        <item x="69"/>
        <item x="70"/>
        <item x="68"/>
        <item x="67"/>
        <item x="92"/>
        <item x="99"/>
        <item x="78"/>
        <item x="90"/>
        <item x="86"/>
        <item x="94"/>
        <item x="95"/>
        <item x="96"/>
        <item x="72"/>
        <item x="75"/>
        <item x="101"/>
        <item x="97"/>
        <item x="93"/>
        <item x="77"/>
        <item x="91"/>
        <item m="1" x="128"/>
        <item m="1" x="132"/>
        <item m="1" x="137"/>
        <item m="1" x="133"/>
        <item m="1" x="136"/>
        <item x="49"/>
        <item x="87"/>
        <item x="20"/>
        <item x="22"/>
        <item x="23"/>
        <item x="24"/>
        <item x="32"/>
        <item x="33"/>
        <item x="34"/>
        <item x="35"/>
        <item x="46"/>
        <item x="80"/>
        <item x="81"/>
        <item x="82"/>
        <item x="83"/>
        <item x="84"/>
        <item x="85"/>
        <item x="100"/>
        <item x="123"/>
        <item x="124"/>
        <item x="125"/>
        <item x="12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subtotalCaption="SUBTOTAL ?" compact="0" outline="0" showAll="0" insertBlankRow="1">
      <items count="19">
        <item h="1" x="3"/>
        <item h="1" m="1" x="17"/>
        <item h="1" x="10"/>
        <item h="1" x="7"/>
        <item h="1" x="11"/>
        <item h="1" x="2"/>
        <item x="0"/>
        <item h="1" x="15"/>
        <item h="1" x="8"/>
        <item h="1" x="13"/>
        <item h="1" x="12"/>
        <item h="1" x="6"/>
        <item h="1" x="5"/>
        <item h="1" x="1"/>
        <item h="1" x="14"/>
        <item h="1" x="4"/>
        <item h="1" x="9"/>
        <item h="1" m="1" x="1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insertBlankRow="1">
      <items count="67">
        <item h="1" x="6"/>
        <item h="1" x="38"/>
        <item h="1" x="27"/>
        <item h="1" x="37"/>
        <item h="1" x="29"/>
        <item h="1" x="46"/>
        <item h="1" x="1"/>
        <item h="1" x="54"/>
        <item h="1" x="55"/>
        <item h="1" x="23"/>
        <item h="1" x="12"/>
        <item h="1" x="30"/>
        <item h="1" x="56"/>
        <item h="1" x="5"/>
        <item h="1" m="1" x="65"/>
        <item h="1" x="34"/>
        <item h="1" x="45"/>
        <item h="1" x="36"/>
        <item h="1" x="31"/>
        <item h="1" x="22"/>
        <item h="1" x="28"/>
        <item h="1" x="15"/>
        <item h="1" m="1" x="64"/>
        <item h="1" x="33"/>
        <item h="1" x="57"/>
        <item h="1" x="44"/>
        <item h="1" x="41"/>
        <item h="1" x="50"/>
        <item h="1" x="49"/>
        <item h="1" x="26"/>
        <item h="1" x="47"/>
        <item h="1" x="4"/>
        <item h="1" x="16"/>
        <item h="1" x="40"/>
        <item h="1" x="24"/>
        <item h="1" x="25"/>
        <item h="1" x="0"/>
        <item h="1" x="2"/>
        <item x="3"/>
        <item h="1" x="58"/>
        <item h="1" x="35"/>
        <item h="1" x="43"/>
        <item h="1" x="11"/>
        <item h="1" x="13"/>
        <item h="1" x="52"/>
        <item h="1" x="14"/>
        <item h="1" x="53"/>
        <item h="1" x="21"/>
        <item h="1" x="42"/>
        <item h="1" x="48"/>
        <item h="1" x="32"/>
        <item h="1" m="1" x="63"/>
        <item h="1" x="7"/>
        <item h="1" x="8"/>
        <item h="1" x="9"/>
        <item h="1" x="39"/>
        <item h="1" x="10"/>
        <item h="1" m="1" x="62"/>
        <item h="1" x="20"/>
        <item h="1" x="17"/>
        <item h="1" x="18"/>
        <item h="1" x="19"/>
        <item h="1" x="51"/>
        <item h="1" x="59"/>
        <item h="1" x="60"/>
        <item h="1" x="6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7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6"/>
    <field x="7"/>
    <field x="4"/>
  </rowFields>
  <rowItems count="13">
    <i>
      <x v="6"/>
      <x v="38"/>
      <x v="11"/>
    </i>
    <i r="2">
      <x v="16"/>
    </i>
    <i r="2">
      <x v="44"/>
    </i>
    <i r="2">
      <x v="62"/>
    </i>
    <i r="2">
      <x v="118"/>
    </i>
    <i r="2">
      <x v="119"/>
    </i>
    <i r="2">
      <x v="120"/>
    </i>
    <i r="2">
      <x v="121"/>
    </i>
    <i t="default" r="1">
      <x v="38"/>
    </i>
    <i t="blank" r="1">
      <x v="38"/>
    </i>
    <i t="default">
      <x v="6"/>
    </i>
    <i t="blank">
      <x v="6"/>
    </i>
    <i t="grand">
      <x/>
    </i>
  </rowItems>
  <colItems count="1">
    <i/>
  </colItems>
  <dataFields count="1">
    <dataField name="Suma de MONTO INVERSION GPL / VIALSUR" fld="21" baseField="0" baseItem="0"/>
  </dataFields>
  <formats count="399">
    <format dxfId="398">
      <pivotArea outline="0" collapsedLevelsAreSubtotals="1" fieldPosition="0"/>
    </format>
    <format dxfId="397">
      <pivotArea dataOnly="0" labelOnly="1" outline="0" axis="axisValues" fieldPosition="0"/>
    </format>
    <format dxfId="396">
      <pivotArea field="6" type="button" dataOnly="0" labelOnly="1" outline="0" axis="axisRow" fieldPosition="0"/>
    </format>
    <format dxfId="395">
      <pivotArea field="6" type="button" dataOnly="0" labelOnly="1" outline="0" axis="axisRow" fieldPosition="0"/>
    </format>
    <format dxfId="394">
      <pivotArea dataOnly="0" labelOnly="1" outline="0" axis="axisValues" fieldPosition="0"/>
    </format>
    <format dxfId="393">
      <pivotArea dataOnly="0" labelOnly="1" outline="0" axis="axisValues" fieldPosition="0"/>
    </format>
    <format dxfId="392">
      <pivotArea dataOnly="0" labelOnly="1" fieldPosition="0">
        <references count="2">
          <reference field="6" count="1" selected="0">
            <x v="0"/>
          </reference>
          <reference field="7" count="48">
            <x v="0"/>
            <x v="1"/>
            <x v="3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391">
      <pivotArea outline="0" collapsedLevelsAreSubtotals="1" fieldPosition="0"/>
    </format>
    <format dxfId="390">
      <pivotArea dataOnly="0" labelOnly="1" outline="0" axis="axisValues" fieldPosition="0"/>
    </format>
    <format dxfId="389">
      <pivotArea outline="0" collapsedLevelsAreSubtotals="1" fieldPosition="0"/>
    </format>
    <format dxfId="388">
      <pivotArea dataOnly="0" labelOnly="1" outline="0" axis="axisValues" fieldPosition="0"/>
    </format>
    <format dxfId="387">
      <pivotArea field="6" type="button" dataOnly="0" labelOnly="1" outline="0" axis="axisRow" fieldPosition="0"/>
    </format>
    <format dxfId="386">
      <pivotArea dataOnly="0" labelOnly="1" fieldPosition="0">
        <references count="1">
          <reference field="6" count="0"/>
        </references>
      </pivotArea>
    </format>
    <format dxfId="385">
      <pivotArea dataOnly="0" labelOnly="1" fieldPosition="0">
        <references count="2">
          <reference field="6" count="1" selected="0">
            <x v="0"/>
          </reference>
          <reference field="7" count="49">
            <x v="0"/>
            <x v="1"/>
            <x v="3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384">
      <pivotArea dataOnly="0" labelOnly="1" fieldPosition="0">
        <references count="2">
          <reference field="6" count="1" selected="0">
            <x v="16"/>
          </reference>
          <reference field="7" count="3">
            <x v="2"/>
            <x v="4"/>
            <x v="20"/>
          </reference>
        </references>
      </pivotArea>
    </format>
    <format dxfId="383">
      <pivotArea field="6" type="button" dataOnly="0" labelOnly="1" outline="0" axis="axisRow" fieldPosition="0"/>
    </format>
    <format dxfId="382">
      <pivotArea dataOnly="0" labelOnly="1" fieldPosition="0">
        <references count="1">
          <reference field="6" count="0"/>
        </references>
      </pivotArea>
    </format>
    <format dxfId="381">
      <pivotArea dataOnly="0" labelOnly="1" fieldPosition="0">
        <references count="2">
          <reference field="6" count="1" selected="0">
            <x v="0"/>
          </reference>
          <reference field="7" count="49">
            <x v="0"/>
            <x v="1"/>
            <x v="3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380">
      <pivotArea dataOnly="0" labelOnly="1" fieldPosition="0">
        <references count="2">
          <reference field="6" count="1" selected="0">
            <x v="16"/>
          </reference>
          <reference field="7" count="3">
            <x v="2"/>
            <x v="4"/>
            <x v="20"/>
          </reference>
        </references>
      </pivotArea>
    </format>
    <format dxfId="379">
      <pivotArea collapsedLevelsAreSubtotals="1" fieldPosition="0">
        <references count="1">
          <reference field="6" count="1">
            <x v="0"/>
          </reference>
        </references>
      </pivotArea>
    </format>
    <format dxfId="378">
      <pivotArea collapsedLevelsAreSubtotals="1" fieldPosition="0">
        <references count="2">
          <reference field="6" count="1" selected="0">
            <x v="0"/>
          </reference>
          <reference field="7" count="1">
            <x v="10"/>
          </reference>
        </references>
      </pivotArea>
    </format>
    <format dxfId="377">
      <pivotArea collapsedLevelsAreSubtotals="1" fieldPosition="0">
        <references count="2">
          <reference field="6" count="1" selected="0">
            <x v="0"/>
          </reference>
          <reference field="7" count="1">
            <x v="43"/>
          </reference>
        </references>
      </pivotArea>
    </format>
    <format dxfId="376">
      <pivotArea collapsedLevelsAreSubtotals="1" fieldPosition="0">
        <references count="2">
          <reference field="6" count="1" selected="0">
            <x v="0"/>
          </reference>
          <reference field="7" count="1">
            <x v="51"/>
          </reference>
        </references>
      </pivotArea>
    </format>
    <format dxfId="375">
      <pivotArea collapsedLevelsAreSubtotals="1" fieldPosition="0">
        <references count="1">
          <reference field="6" count="1">
            <x v="1"/>
          </reference>
        </references>
      </pivotArea>
    </format>
    <format dxfId="374">
      <pivotArea collapsedLevelsAreSubtotals="1" fieldPosition="0">
        <references count="2">
          <reference field="6" count="1" selected="0">
            <x v="1"/>
          </reference>
          <reference field="7" count="1">
            <x v="14"/>
          </reference>
        </references>
      </pivotArea>
    </format>
    <format dxfId="373">
      <pivotArea collapsedLevelsAreSubtotals="1" fieldPosition="0">
        <references count="1">
          <reference field="6" count="1">
            <x v="2"/>
          </reference>
        </references>
      </pivotArea>
    </format>
    <format dxfId="372">
      <pivotArea collapsedLevelsAreSubtotals="1" fieldPosition="0">
        <references count="2">
          <reference field="6" count="1" selected="0">
            <x v="2"/>
          </reference>
          <reference field="7" count="1">
            <x v="17"/>
          </reference>
        </references>
      </pivotArea>
    </format>
    <format dxfId="371">
      <pivotArea collapsedLevelsAreSubtotals="1" fieldPosition="0">
        <references count="2">
          <reference field="6" count="1" selected="0">
            <x v="2"/>
          </reference>
          <reference field="7" count="1">
            <x v="23"/>
          </reference>
        </references>
      </pivotArea>
    </format>
    <format dxfId="370">
      <pivotArea collapsedLevelsAreSubtotals="1" fieldPosition="0">
        <references count="2">
          <reference field="6" count="1" selected="0">
            <x v="2"/>
          </reference>
          <reference field="7" count="1">
            <x v="40"/>
          </reference>
        </references>
      </pivotArea>
    </format>
    <format dxfId="369">
      <pivotArea collapsedLevelsAreSubtotals="1" fieldPosition="0">
        <references count="2">
          <reference field="6" count="1" selected="0">
            <x v="2"/>
          </reference>
          <reference field="7" count="1">
            <x v="50"/>
          </reference>
        </references>
      </pivotArea>
    </format>
    <format dxfId="368">
      <pivotArea collapsedLevelsAreSubtotals="1" fieldPosition="0">
        <references count="1">
          <reference field="6" count="1">
            <x v="3"/>
          </reference>
        </references>
      </pivotArea>
    </format>
    <format dxfId="367">
      <pivotArea collapsedLevelsAreSubtotals="1" fieldPosition="0">
        <references count="2">
          <reference field="6" count="1" selected="0">
            <x v="3"/>
          </reference>
          <reference field="7" count="1">
            <x v="11"/>
          </reference>
        </references>
      </pivotArea>
    </format>
    <format dxfId="366">
      <pivotArea collapsedLevelsAreSubtotals="1" fieldPosition="0">
        <references count="2">
          <reference field="6" count="1" selected="0">
            <x v="3"/>
          </reference>
          <reference field="7" count="1">
            <x v="35"/>
          </reference>
        </references>
      </pivotArea>
    </format>
    <format dxfId="365">
      <pivotArea collapsedLevelsAreSubtotals="1" fieldPosition="0">
        <references count="1">
          <reference field="6" count="1">
            <x v="4"/>
          </reference>
        </references>
      </pivotArea>
    </format>
    <format dxfId="364">
      <pivotArea collapsedLevelsAreSubtotals="1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363">
      <pivotArea collapsedLevelsAreSubtotals="1" fieldPosition="0">
        <references count="2">
          <reference field="6" count="1" selected="0">
            <x v="4"/>
          </reference>
          <reference field="7" count="1">
            <x v="3"/>
          </reference>
        </references>
      </pivotArea>
    </format>
    <format dxfId="362">
      <pivotArea collapsedLevelsAreSubtotals="1" fieldPosition="0">
        <references count="2">
          <reference field="6" count="1" selected="0">
            <x v="4"/>
          </reference>
          <reference field="7" count="1">
            <x v="15"/>
          </reference>
        </references>
      </pivotArea>
    </format>
    <format dxfId="361">
      <pivotArea collapsedLevelsAreSubtotals="1" fieldPosition="0">
        <references count="1">
          <reference field="6" count="1">
            <x v="5"/>
          </reference>
        </references>
      </pivotArea>
    </format>
    <format dxfId="360">
      <pivotArea collapsedLevelsAreSubtotals="1" fieldPosition="0">
        <references count="2">
          <reference field="6" count="1" selected="0">
            <x v="5"/>
          </reference>
          <reference field="7" count="1">
            <x v="0"/>
          </reference>
        </references>
      </pivotArea>
    </format>
    <format dxfId="359">
      <pivotArea collapsedLevelsAreSubtotals="1" fieldPosition="0">
        <references count="2">
          <reference field="6" count="1" selected="0">
            <x v="5"/>
          </reference>
          <reference field="7" count="1">
            <x v="13"/>
          </reference>
        </references>
      </pivotArea>
    </format>
    <format dxfId="358">
      <pivotArea collapsedLevelsAreSubtotals="1" fieldPosition="0">
        <references count="1">
          <reference field="6" count="1">
            <x v="6"/>
          </reference>
        </references>
      </pivotArea>
    </format>
    <format dxfId="357">
      <pivotArea collapsedLevelsAreSubtotals="1" fieldPosition="0">
        <references count="2">
          <reference field="6" count="1" selected="0">
            <x v="6"/>
          </reference>
          <reference field="7" count="1">
            <x v="6"/>
          </reference>
        </references>
      </pivotArea>
    </format>
    <format dxfId="356">
      <pivotArea collapsedLevelsAreSubtotals="1" fieldPosition="0">
        <references count="2">
          <reference field="6" count="1" selected="0">
            <x v="6"/>
          </reference>
          <reference field="7" count="1">
            <x v="21"/>
          </reference>
        </references>
      </pivotArea>
    </format>
    <format dxfId="355">
      <pivotArea collapsedLevelsAreSubtotals="1" fieldPosition="0">
        <references count="2">
          <reference field="6" count="1" selected="0">
            <x v="6"/>
          </reference>
          <reference field="7" count="1">
            <x v="31"/>
          </reference>
        </references>
      </pivotArea>
    </format>
    <format dxfId="354">
      <pivotArea collapsedLevelsAreSubtotals="1" fieldPosition="0">
        <references count="2">
          <reference field="6" count="1" selected="0">
            <x v="6"/>
          </reference>
          <reference field="7" count="1">
            <x v="36"/>
          </reference>
        </references>
      </pivotArea>
    </format>
    <format dxfId="353">
      <pivotArea collapsedLevelsAreSubtotals="1" fieldPosition="0">
        <references count="2">
          <reference field="6" count="1" selected="0">
            <x v="6"/>
          </reference>
          <reference field="7" count="1">
            <x v="38"/>
          </reference>
        </references>
      </pivotArea>
    </format>
    <format dxfId="352">
      <pivotArea collapsedLevelsAreSubtotals="1" fieldPosition="0">
        <references count="1">
          <reference field="6" count="1">
            <x v="7"/>
          </reference>
        </references>
      </pivotArea>
    </format>
    <format dxfId="351">
      <pivotArea collapsedLevelsAreSubtotals="1" fieldPosition="0">
        <references count="2">
          <reference field="6" count="1" selected="0">
            <x v="7"/>
          </reference>
          <reference field="7" count="1">
            <x v="7"/>
          </reference>
        </references>
      </pivotArea>
    </format>
    <format dxfId="350">
      <pivotArea collapsedLevelsAreSubtotals="1" fieldPosition="0">
        <references count="2">
          <reference field="6" count="1" selected="0">
            <x v="7"/>
          </reference>
          <reference field="7" count="1">
            <x v="8"/>
          </reference>
        </references>
      </pivotArea>
    </format>
    <format dxfId="349">
      <pivotArea collapsedLevelsAreSubtotals="1" fieldPosition="0">
        <references count="2">
          <reference field="6" count="1" selected="0">
            <x v="7"/>
          </reference>
          <reference field="7" count="1">
            <x v="12"/>
          </reference>
        </references>
      </pivotArea>
    </format>
    <format dxfId="348">
      <pivotArea collapsedLevelsAreSubtotals="1" fieldPosition="0">
        <references count="2">
          <reference field="6" count="1" selected="0">
            <x v="7"/>
          </reference>
          <reference field="7" count="1">
            <x v="24"/>
          </reference>
        </references>
      </pivotArea>
    </format>
    <format dxfId="347">
      <pivotArea collapsedLevelsAreSubtotals="1" fieldPosition="0">
        <references count="2">
          <reference field="6" count="1" selected="0">
            <x v="7"/>
          </reference>
          <reference field="7" count="1">
            <x v="28"/>
          </reference>
        </references>
      </pivotArea>
    </format>
    <format dxfId="346">
      <pivotArea collapsedLevelsAreSubtotals="1" fieldPosition="0">
        <references count="2">
          <reference field="6" count="1" selected="0">
            <x v="7"/>
          </reference>
          <reference field="7" count="1">
            <x v="30"/>
          </reference>
        </references>
      </pivotArea>
    </format>
    <format dxfId="345">
      <pivotArea collapsedLevelsAreSubtotals="1" fieldPosition="0">
        <references count="2">
          <reference field="6" count="1" selected="0">
            <x v="7"/>
          </reference>
          <reference field="7" count="1">
            <x v="39"/>
          </reference>
        </references>
      </pivotArea>
    </format>
    <format dxfId="344">
      <pivotArea collapsedLevelsAreSubtotals="1" fieldPosition="0">
        <references count="2">
          <reference field="6" count="1" selected="0">
            <x v="7"/>
          </reference>
          <reference field="7" count="1">
            <x v="46"/>
          </reference>
        </references>
      </pivotArea>
    </format>
    <format dxfId="343">
      <pivotArea collapsedLevelsAreSubtotals="1" fieldPosition="0">
        <references count="2">
          <reference field="6" count="1" selected="0">
            <x v="7"/>
          </reference>
          <reference field="7" count="1">
            <x v="49"/>
          </reference>
        </references>
      </pivotArea>
    </format>
    <format dxfId="342">
      <pivotArea collapsedLevelsAreSubtotals="1" fieldPosition="0">
        <references count="1">
          <reference field="6" count="1">
            <x v="8"/>
          </reference>
        </references>
      </pivotArea>
    </format>
    <format dxfId="341">
      <pivotArea collapsedLevelsAreSubtotals="1" fieldPosition="0">
        <references count="2">
          <reference field="6" count="1" selected="0">
            <x v="8"/>
          </reference>
          <reference field="7" count="1">
            <x v="29"/>
          </reference>
        </references>
      </pivotArea>
    </format>
    <format dxfId="340">
      <pivotArea collapsedLevelsAreSubtotals="1" fieldPosition="0">
        <references count="1">
          <reference field="6" count="1">
            <x v="9"/>
          </reference>
        </references>
      </pivotArea>
    </format>
    <format dxfId="339">
      <pivotArea collapsedLevelsAreSubtotals="1" fieldPosition="0">
        <references count="2">
          <reference field="6" count="1" selected="0">
            <x v="9"/>
          </reference>
          <reference field="7" count="1">
            <x v="25"/>
          </reference>
        </references>
      </pivotArea>
    </format>
    <format dxfId="338">
      <pivotArea collapsedLevelsAreSubtotals="1" fieldPosition="0">
        <references count="1">
          <reference field="6" count="1">
            <x v="10"/>
          </reference>
        </references>
      </pivotArea>
    </format>
    <format dxfId="337">
      <pivotArea collapsedLevelsAreSubtotals="1" fieldPosition="0">
        <references count="2">
          <reference field="6" count="1" selected="0">
            <x v="10"/>
          </reference>
          <reference field="7" count="1">
            <x v="22"/>
          </reference>
        </references>
      </pivotArea>
    </format>
    <format dxfId="336">
      <pivotArea collapsedLevelsAreSubtotals="1" fieldPosition="0">
        <references count="2">
          <reference field="6" count="1" selected="0">
            <x v="10"/>
          </reference>
          <reference field="7" count="1">
            <x v="26"/>
          </reference>
        </references>
      </pivotArea>
    </format>
    <format dxfId="335">
      <pivotArea collapsedLevelsAreSubtotals="1" fieldPosition="0">
        <references count="2">
          <reference field="6" count="1" selected="0">
            <x v="10"/>
          </reference>
          <reference field="7" count="1">
            <x v="33"/>
          </reference>
        </references>
      </pivotArea>
    </format>
    <format dxfId="334">
      <pivotArea collapsedLevelsAreSubtotals="1" fieldPosition="0">
        <references count="2">
          <reference field="6" count="1" selected="0">
            <x v="10"/>
          </reference>
          <reference field="7" count="1">
            <x v="41"/>
          </reference>
        </references>
      </pivotArea>
    </format>
    <format dxfId="333">
      <pivotArea collapsedLevelsAreSubtotals="1" fieldPosition="0">
        <references count="2">
          <reference field="6" count="1" selected="0">
            <x v="10"/>
          </reference>
          <reference field="7" count="1">
            <x v="48"/>
          </reference>
        </references>
      </pivotArea>
    </format>
    <format dxfId="332">
      <pivotArea collapsedLevelsAreSubtotals="1" fieldPosition="0">
        <references count="1">
          <reference field="6" count="1">
            <x v="11"/>
          </reference>
        </references>
      </pivotArea>
    </format>
    <format dxfId="331">
      <pivotArea collapsedLevelsAreSubtotals="1" fieldPosition="0">
        <references count="2">
          <reference field="6" count="1" selected="0">
            <x v="11"/>
          </reference>
          <reference field="7" count="1">
            <x v="34"/>
          </reference>
        </references>
      </pivotArea>
    </format>
    <format dxfId="330">
      <pivotArea collapsedLevelsAreSubtotals="1" fieldPosition="0">
        <references count="1">
          <reference field="6" count="1">
            <x v="12"/>
          </reference>
        </references>
      </pivotArea>
    </format>
    <format dxfId="329">
      <pivotArea collapsedLevelsAreSubtotals="1" fieldPosition="0">
        <references count="2">
          <reference field="6" count="1" selected="0">
            <x v="12"/>
          </reference>
          <reference field="7" count="1">
            <x v="9"/>
          </reference>
        </references>
      </pivotArea>
    </format>
    <format dxfId="328">
      <pivotArea collapsedLevelsAreSubtotals="1" fieldPosition="0">
        <references count="2">
          <reference field="6" count="1" selected="0">
            <x v="12"/>
          </reference>
          <reference field="7" count="1">
            <x v="18"/>
          </reference>
        </references>
      </pivotArea>
    </format>
    <format dxfId="327">
      <pivotArea collapsedLevelsAreSubtotals="1" fieldPosition="0">
        <references count="2">
          <reference field="6" count="1" selected="0">
            <x v="12"/>
          </reference>
          <reference field="7" count="1">
            <x v="19"/>
          </reference>
        </references>
      </pivotArea>
    </format>
    <format dxfId="326">
      <pivotArea collapsedLevelsAreSubtotals="1" fieldPosition="0">
        <references count="2">
          <reference field="6" count="1" selected="0">
            <x v="12"/>
          </reference>
          <reference field="7" count="1">
            <x v="47"/>
          </reference>
        </references>
      </pivotArea>
    </format>
    <format dxfId="325">
      <pivotArea collapsedLevelsAreSubtotals="1" fieldPosition="0">
        <references count="1">
          <reference field="6" count="1">
            <x v="13"/>
          </reference>
        </references>
      </pivotArea>
    </format>
    <format dxfId="324">
      <pivotArea collapsedLevelsAreSubtotals="1" fieldPosition="0">
        <references count="2">
          <reference field="6" count="1" selected="0">
            <x v="13"/>
          </reference>
          <reference field="7" count="1">
            <x v="37"/>
          </reference>
        </references>
      </pivotArea>
    </format>
    <format dxfId="323">
      <pivotArea collapsedLevelsAreSubtotals="1" fieldPosition="0">
        <references count="2">
          <reference field="6" count="1" selected="0">
            <x v="13"/>
          </reference>
          <reference field="7" count="1">
            <x v="42"/>
          </reference>
        </references>
      </pivotArea>
    </format>
    <format dxfId="322">
      <pivotArea collapsedLevelsAreSubtotals="1" fieldPosition="0">
        <references count="1">
          <reference field="6" count="1">
            <x v="14"/>
          </reference>
        </references>
      </pivotArea>
    </format>
    <format dxfId="321">
      <pivotArea collapsedLevelsAreSubtotals="1" fieldPosition="0">
        <references count="2">
          <reference field="6" count="1" selected="0">
            <x v="14"/>
          </reference>
          <reference field="7" count="1">
            <x v="5"/>
          </reference>
        </references>
      </pivotArea>
    </format>
    <format dxfId="320">
      <pivotArea collapsedLevelsAreSubtotals="1" fieldPosition="0">
        <references count="2">
          <reference field="6" count="1" selected="0">
            <x v="14"/>
          </reference>
          <reference field="7" count="1">
            <x v="16"/>
          </reference>
        </references>
      </pivotArea>
    </format>
    <format dxfId="319">
      <pivotArea collapsedLevelsAreSubtotals="1" fieldPosition="0">
        <references count="2">
          <reference field="6" count="1" selected="0">
            <x v="14"/>
          </reference>
          <reference field="7" count="1">
            <x v="27"/>
          </reference>
        </references>
      </pivotArea>
    </format>
    <format dxfId="318">
      <pivotArea collapsedLevelsAreSubtotals="1" fieldPosition="0">
        <references count="2">
          <reference field="6" count="1" selected="0">
            <x v="14"/>
          </reference>
          <reference field="7" count="1">
            <x v="44"/>
          </reference>
        </references>
      </pivotArea>
    </format>
    <format dxfId="317">
      <pivotArea collapsedLevelsAreSubtotals="1" fieldPosition="0">
        <references count="1">
          <reference field="6" count="1">
            <x v="15"/>
          </reference>
        </references>
      </pivotArea>
    </format>
    <format dxfId="316">
      <pivotArea collapsedLevelsAreSubtotals="1" fieldPosition="0">
        <references count="2">
          <reference field="6" count="1" selected="0">
            <x v="15"/>
          </reference>
          <reference field="7" count="1">
            <x v="32"/>
          </reference>
        </references>
      </pivotArea>
    </format>
    <format dxfId="315">
      <pivotArea collapsedLevelsAreSubtotals="1" fieldPosition="0">
        <references count="2">
          <reference field="6" count="1" selected="0">
            <x v="15"/>
          </reference>
          <reference field="7" count="1">
            <x v="45"/>
          </reference>
        </references>
      </pivotArea>
    </format>
    <format dxfId="314">
      <pivotArea collapsedLevelsAreSubtotals="1" fieldPosition="0">
        <references count="1">
          <reference field="6" count="1">
            <x v="16"/>
          </reference>
        </references>
      </pivotArea>
    </format>
    <format dxfId="313">
      <pivotArea collapsedLevelsAreSubtotals="1" fieldPosition="0">
        <references count="2">
          <reference field="6" count="1" selected="0">
            <x v="16"/>
          </reference>
          <reference field="7" count="1">
            <x v="2"/>
          </reference>
        </references>
      </pivotArea>
    </format>
    <format dxfId="312">
      <pivotArea collapsedLevelsAreSubtotals="1" fieldPosition="0">
        <references count="2">
          <reference field="6" count="1" selected="0">
            <x v="16"/>
          </reference>
          <reference field="7" count="1">
            <x v="4"/>
          </reference>
        </references>
      </pivotArea>
    </format>
    <format dxfId="311">
      <pivotArea collapsedLevelsAreSubtotals="1" fieldPosition="0">
        <references count="2">
          <reference field="6" count="1" selected="0">
            <x v="16"/>
          </reference>
          <reference field="7" count="1">
            <x v="20"/>
          </reference>
        </references>
      </pivotArea>
    </format>
    <format dxfId="310">
      <pivotArea dataOnly="0" labelOnly="1" fieldPosition="0">
        <references count="1">
          <reference field="6" count="0"/>
        </references>
      </pivotArea>
    </format>
    <format dxfId="309">
      <pivotArea dataOnly="0" labelOnly="1" fieldPosition="0">
        <references count="2">
          <reference field="6" count="1" selected="0">
            <x v="0"/>
          </reference>
          <reference field="7" count="49">
            <x v="0"/>
            <x v="1"/>
            <x v="3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308">
      <pivotArea dataOnly="0" labelOnly="1" fieldPosition="0">
        <references count="2">
          <reference field="6" count="1" selected="0">
            <x v="16"/>
          </reference>
          <reference field="7" count="3">
            <x v="2"/>
            <x v="4"/>
            <x v="20"/>
          </reference>
        </references>
      </pivotArea>
    </format>
    <format dxfId="307">
      <pivotArea field="6" type="button" dataOnly="0" labelOnly="1" outline="0" axis="axisRow" fieldPosition="0"/>
    </format>
    <format dxfId="306">
      <pivotArea dataOnly="0" labelOnly="1" outline="0" axis="axisValues" fieldPosition="0"/>
    </format>
    <format dxfId="305">
      <pivotArea dataOnly="0" labelOnly="1" fieldPosition="0">
        <references count="1">
          <reference field="6" count="0"/>
        </references>
      </pivotArea>
    </format>
    <format dxfId="304">
      <pivotArea dataOnly="0" labelOnly="1" grandRow="1" outline="0" fieldPosition="0"/>
    </format>
    <format dxfId="303">
      <pivotArea dataOnly="0" labelOnly="1" fieldPosition="0">
        <references count="2">
          <reference field="6" count="1" selected="0">
            <x v="0"/>
          </reference>
          <reference field="7" count="24">
            <x v="0"/>
            <x v="1"/>
            <x v="3"/>
            <x v="6"/>
            <x v="7"/>
            <x v="8"/>
            <x v="10"/>
            <x v="11"/>
            <x v="12"/>
            <x v="13"/>
            <x v="14"/>
            <x v="15"/>
            <x v="17"/>
            <x v="21"/>
            <x v="23"/>
            <x v="24"/>
            <x v="31"/>
            <x v="35"/>
            <x v="36"/>
            <x v="38"/>
            <x v="40"/>
            <x v="43"/>
            <x v="50"/>
            <x v="51"/>
          </reference>
        </references>
      </pivotArea>
    </format>
    <format dxfId="302">
      <pivotArea dataOnly="0" labelOnly="1" fieldPosition="0">
        <references count="2">
          <reference field="6" count="1" selected="0">
            <x v="7"/>
          </reference>
          <reference field="7" count="25">
            <x v="5"/>
            <x v="9"/>
            <x v="16"/>
            <x v="18"/>
            <x v="19"/>
            <x v="22"/>
            <x v="25"/>
            <x v="26"/>
            <x v="27"/>
            <x v="28"/>
            <x v="29"/>
            <x v="30"/>
            <x v="32"/>
            <x v="33"/>
            <x v="34"/>
            <x v="37"/>
            <x v="39"/>
            <x v="41"/>
            <x v="42"/>
            <x v="44"/>
            <x v="45"/>
            <x v="46"/>
            <x v="47"/>
            <x v="48"/>
            <x v="49"/>
          </reference>
        </references>
      </pivotArea>
    </format>
    <format dxfId="301">
      <pivotArea dataOnly="0" labelOnly="1" fieldPosition="0">
        <references count="2">
          <reference field="6" count="1" selected="0">
            <x v="16"/>
          </reference>
          <reference field="7" count="3">
            <x v="2"/>
            <x v="4"/>
            <x v="20"/>
          </reference>
        </references>
      </pivotArea>
    </format>
    <format dxfId="300">
      <pivotArea type="all" dataOnly="0" outline="0" fieldPosition="0"/>
    </format>
    <format dxfId="299">
      <pivotArea dataOnly="0" labelOnly="1" outline="0" fieldPosition="0">
        <references count="1">
          <reference field="6" count="1">
            <x v="0"/>
          </reference>
        </references>
      </pivotArea>
    </format>
    <format dxfId="298">
      <pivotArea dataOnly="0" labelOnly="1" outline="0" fieldPosition="0">
        <references count="1">
          <reference field="6" count="1">
            <x v="1"/>
          </reference>
        </references>
      </pivotArea>
    </format>
    <format dxfId="297">
      <pivotArea dataOnly="0" labelOnly="1" outline="0" fieldPosition="0">
        <references count="1">
          <reference field="6" count="1">
            <x v="2"/>
          </reference>
        </references>
      </pivotArea>
    </format>
    <format dxfId="296">
      <pivotArea dataOnly="0" labelOnly="1" outline="0" fieldPosition="0">
        <references count="1">
          <reference field="6" count="1">
            <x v="3"/>
          </reference>
        </references>
      </pivotArea>
    </format>
    <format dxfId="295">
      <pivotArea dataOnly="0" labelOnly="1" outline="0" fieldPosition="0">
        <references count="1">
          <reference field="6" count="1">
            <x v="4"/>
          </reference>
        </references>
      </pivotArea>
    </format>
    <format dxfId="294">
      <pivotArea dataOnly="0" labelOnly="1" outline="0" fieldPosition="0">
        <references count="1">
          <reference field="6" count="1">
            <x v="5"/>
          </reference>
        </references>
      </pivotArea>
    </format>
    <format dxfId="293">
      <pivotArea dataOnly="0" labelOnly="1" outline="0" fieldPosition="0">
        <references count="1">
          <reference field="6" count="1">
            <x v="6"/>
          </reference>
        </references>
      </pivotArea>
    </format>
    <format dxfId="292">
      <pivotArea dataOnly="0" labelOnly="1" outline="0" fieldPosition="0">
        <references count="1">
          <reference field="6" count="1">
            <x v="7"/>
          </reference>
        </references>
      </pivotArea>
    </format>
    <format dxfId="291">
      <pivotArea dataOnly="0" labelOnly="1" outline="0" fieldPosition="0">
        <references count="1">
          <reference field="6" count="1">
            <x v="8"/>
          </reference>
        </references>
      </pivotArea>
    </format>
    <format dxfId="290">
      <pivotArea dataOnly="0" labelOnly="1" outline="0" fieldPosition="0">
        <references count="1">
          <reference field="6" count="1">
            <x v="9"/>
          </reference>
        </references>
      </pivotArea>
    </format>
    <format dxfId="289">
      <pivotArea dataOnly="0" labelOnly="1" outline="0" fieldPosition="0">
        <references count="1">
          <reference field="6" count="1">
            <x v="10"/>
          </reference>
        </references>
      </pivotArea>
    </format>
    <format dxfId="288">
      <pivotArea dataOnly="0" labelOnly="1" outline="0" fieldPosition="0">
        <references count="1">
          <reference field="6" count="1">
            <x v="11"/>
          </reference>
        </references>
      </pivotArea>
    </format>
    <format dxfId="287">
      <pivotArea dataOnly="0" labelOnly="1" outline="0" fieldPosition="0">
        <references count="1">
          <reference field="6" count="1">
            <x v="12"/>
          </reference>
        </references>
      </pivotArea>
    </format>
    <format dxfId="286">
      <pivotArea dataOnly="0" labelOnly="1" outline="0" fieldPosition="0">
        <references count="1">
          <reference field="6" count="1">
            <x v="13"/>
          </reference>
        </references>
      </pivotArea>
    </format>
    <format dxfId="285">
      <pivotArea dataOnly="0" labelOnly="1" outline="0" fieldPosition="0">
        <references count="1">
          <reference field="6" count="1">
            <x v="14"/>
          </reference>
        </references>
      </pivotArea>
    </format>
    <format dxfId="284">
      <pivotArea dataOnly="0" labelOnly="1" outline="0" fieldPosition="0">
        <references count="1">
          <reference field="6" count="1">
            <x v="15"/>
          </reference>
        </references>
      </pivotArea>
    </format>
    <format dxfId="283">
      <pivotArea dataOnly="0" labelOnly="1" outline="0" fieldPosition="0">
        <references count="1">
          <reference field="6" count="1">
            <x v="16"/>
          </reference>
        </references>
      </pivotArea>
    </format>
    <format dxfId="282">
      <pivotArea dataOnly="0" labelOnly="1" grandRow="1" outline="0" fieldPosition="0"/>
    </format>
    <format dxfId="281">
      <pivotArea dataOnly="0" labelOnly="1" outline="0" fieldPosition="0">
        <references count="2">
          <reference field="6" count="1" selected="0">
            <x v="0"/>
          </reference>
          <reference field="7" count="1">
            <x v="10"/>
          </reference>
        </references>
      </pivotArea>
    </format>
    <format dxfId="280">
      <pivotArea dataOnly="0" labelOnly="1" outline="0" fieldPosition="0">
        <references count="2">
          <reference field="6" count="1" selected="0">
            <x v="0"/>
          </reference>
          <reference field="7" count="1">
            <x v="43"/>
          </reference>
        </references>
      </pivotArea>
    </format>
    <format dxfId="279">
      <pivotArea dataOnly="0" labelOnly="1" outline="0" fieldPosition="0">
        <references count="2">
          <reference field="6" count="1" selected="0">
            <x v="0"/>
          </reference>
          <reference field="7" count="1">
            <x v="51"/>
          </reference>
        </references>
      </pivotArea>
    </format>
    <format dxfId="278">
      <pivotArea dataOnly="0" labelOnly="1" outline="0" fieldPosition="0">
        <references count="2">
          <reference field="6" count="1" selected="0">
            <x v="1"/>
          </reference>
          <reference field="7" count="1">
            <x v="14"/>
          </reference>
        </references>
      </pivotArea>
    </format>
    <format dxfId="277">
      <pivotArea dataOnly="0" labelOnly="1" outline="0" fieldPosition="0">
        <references count="2">
          <reference field="6" count="1" selected="0">
            <x v="2"/>
          </reference>
          <reference field="7" count="1">
            <x v="17"/>
          </reference>
        </references>
      </pivotArea>
    </format>
    <format dxfId="276">
      <pivotArea dataOnly="0" labelOnly="1" outline="0" fieldPosition="0">
        <references count="2">
          <reference field="6" count="1" selected="0">
            <x v="2"/>
          </reference>
          <reference field="7" count="1">
            <x v="23"/>
          </reference>
        </references>
      </pivotArea>
    </format>
    <format dxfId="275">
      <pivotArea dataOnly="0" labelOnly="1" outline="0" fieldPosition="0">
        <references count="2">
          <reference field="6" count="1" selected="0">
            <x v="2"/>
          </reference>
          <reference field="7" count="1">
            <x v="40"/>
          </reference>
        </references>
      </pivotArea>
    </format>
    <format dxfId="274">
      <pivotArea dataOnly="0" labelOnly="1" outline="0" fieldPosition="0">
        <references count="2">
          <reference field="6" count="1" selected="0">
            <x v="2"/>
          </reference>
          <reference field="7" count="1">
            <x v="50"/>
          </reference>
        </references>
      </pivotArea>
    </format>
    <format dxfId="273">
      <pivotArea dataOnly="0" labelOnly="1" outline="0" fieldPosition="0">
        <references count="2">
          <reference field="6" count="1" selected="0">
            <x v="3"/>
          </reference>
          <reference field="7" count="1">
            <x v="11"/>
          </reference>
        </references>
      </pivotArea>
    </format>
    <format dxfId="272">
      <pivotArea dataOnly="0" labelOnly="1" outline="0" fieldPosition="0">
        <references count="2">
          <reference field="6" count="1" selected="0">
            <x v="3"/>
          </reference>
          <reference field="7" count="1">
            <x v="35"/>
          </reference>
        </references>
      </pivotArea>
    </format>
    <format dxfId="271">
      <pivotArea dataOnly="0" labelOnly="1" outline="0" fieldPosition="0">
        <references count="2">
          <reference field="6" count="1" selected="0">
            <x v="4"/>
          </reference>
          <reference field="7" count="1">
            <x v="1"/>
          </reference>
        </references>
      </pivotArea>
    </format>
    <format dxfId="270">
      <pivotArea dataOnly="0" labelOnly="1" outline="0" fieldPosition="0">
        <references count="2">
          <reference field="6" count="1" selected="0">
            <x v="4"/>
          </reference>
          <reference field="7" count="1">
            <x v="3"/>
          </reference>
        </references>
      </pivotArea>
    </format>
    <format dxfId="269">
      <pivotArea dataOnly="0" labelOnly="1" outline="0" fieldPosition="0">
        <references count="2">
          <reference field="6" count="1" selected="0">
            <x v="4"/>
          </reference>
          <reference field="7" count="1">
            <x v="15"/>
          </reference>
        </references>
      </pivotArea>
    </format>
    <format dxfId="268">
      <pivotArea dataOnly="0" labelOnly="1" outline="0" fieldPosition="0">
        <references count="2">
          <reference field="6" count="1" selected="0">
            <x v="5"/>
          </reference>
          <reference field="7" count="1">
            <x v="0"/>
          </reference>
        </references>
      </pivotArea>
    </format>
    <format dxfId="267">
      <pivotArea dataOnly="0" labelOnly="1" outline="0" fieldPosition="0">
        <references count="2">
          <reference field="6" count="1" selected="0">
            <x v="5"/>
          </reference>
          <reference field="7" count="1">
            <x v="13"/>
          </reference>
        </references>
      </pivotArea>
    </format>
    <format dxfId="266">
      <pivotArea dataOnly="0" labelOnly="1" outline="0" fieldPosition="0">
        <references count="2">
          <reference field="6" count="1" selected="0">
            <x v="6"/>
          </reference>
          <reference field="7" count="1">
            <x v="6"/>
          </reference>
        </references>
      </pivotArea>
    </format>
    <format dxfId="265">
      <pivotArea dataOnly="0" labelOnly="1" outline="0" fieldPosition="0">
        <references count="2">
          <reference field="6" count="1" selected="0">
            <x v="6"/>
          </reference>
          <reference field="7" count="1">
            <x v="21"/>
          </reference>
        </references>
      </pivotArea>
    </format>
    <format dxfId="264">
      <pivotArea dataOnly="0" labelOnly="1" outline="0" fieldPosition="0">
        <references count="2">
          <reference field="6" count="1" selected="0">
            <x v="6"/>
          </reference>
          <reference field="7" count="1">
            <x v="31"/>
          </reference>
        </references>
      </pivotArea>
    </format>
    <format dxfId="263">
      <pivotArea dataOnly="0" labelOnly="1" outline="0" fieldPosition="0">
        <references count="2">
          <reference field="6" count="1" selected="0">
            <x v="6"/>
          </reference>
          <reference field="7" count="1">
            <x v="36"/>
          </reference>
        </references>
      </pivotArea>
    </format>
    <format dxfId="262">
      <pivotArea dataOnly="0" labelOnly="1" outline="0" fieldPosition="0">
        <references count="2">
          <reference field="6" count="1" selected="0">
            <x v="6"/>
          </reference>
          <reference field="7" count="1">
            <x v="38"/>
          </reference>
        </references>
      </pivotArea>
    </format>
    <format dxfId="261">
      <pivotArea dataOnly="0" labelOnly="1" outline="0" fieldPosition="0">
        <references count="2">
          <reference field="6" count="1" selected="0">
            <x v="7"/>
          </reference>
          <reference field="7" count="1">
            <x v="7"/>
          </reference>
        </references>
      </pivotArea>
    </format>
    <format dxfId="260">
      <pivotArea dataOnly="0" labelOnly="1" outline="0" fieldPosition="0">
        <references count="2">
          <reference field="6" count="1" selected="0">
            <x v="7"/>
          </reference>
          <reference field="7" count="1">
            <x v="8"/>
          </reference>
        </references>
      </pivotArea>
    </format>
    <format dxfId="259">
      <pivotArea dataOnly="0" labelOnly="1" outline="0" fieldPosition="0">
        <references count="2">
          <reference field="6" count="1" selected="0">
            <x v="7"/>
          </reference>
          <reference field="7" count="1">
            <x v="12"/>
          </reference>
        </references>
      </pivotArea>
    </format>
    <format dxfId="258">
      <pivotArea dataOnly="0" labelOnly="1" outline="0" fieldPosition="0">
        <references count="2">
          <reference field="6" count="1" selected="0">
            <x v="7"/>
          </reference>
          <reference field="7" count="1">
            <x v="24"/>
          </reference>
        </references>
      </pivotArea>
    </format>
    <format dxfId="257">
      <pivotArea dataOnly="0" labelOnly="1" outline="0" fieldPosition="0">
        <references count="2">
          <reference field="6" count="1" selected="0">
            <x v="7"/>
          </reference>
          <reference field="7" count="1">
            <x v="28"/>
          </reference>
        </references>
      </pivotArea>
    </format>
    <format dxfId="256">
      <pivotArea dataOnly="0" labelOnly="1" outline="0" fieldPosition="0">
        <references count="2">
          <reference field="6" count="1" selected="0">
            <x v="7"/>
          </reference>
          <reference field="7" count="1">
            <x v="30"/>
          </reference>
        </references>
      </pivotArea>
    </format>
    <format dxfId="255">
      <pivotArea dataOnly="0" labelOnly="1" outline="0" fieldPosition="0">
        <references count="2">
          <reference field="6" count="1" selected="0">
            <x v="7"/>
          </reference>
          <reference field="7" count="1">
            <x v="39"/>
          </reference>
        </references>
      </pivotArea>
    </format>
    <format dxfId="254">
      <pivotArea dataOnly="0" labelOnly="1" outline="0" fieldPosition="0">
        <references count="2">
          <reference field="6" count="1" selected="0">
            <x v="7"/>
          </reference>
          <reference field="7" count="1">
            <x v="46"/>
          </reference>
        </references>
      </pivotArea>
    </format>
    <format dxfId="253">
      <pivotArea dataOnly="0" labelOnly="1" outline="0" fieldPosition="0">
        <references count="2">
          <reference field="6" count="1" selected="0">
            <x v="7"/>
          </reference>
          <reference field="7" count="1">
            <x v="49"/>
          </reference>
        </references>
      </pivotArea>
    </format>
    <format dxfId="252">
      <pivotArea dataOnly="0" labelOnly="1" outline="0" fieldPosition="0">
        <references count="2">
          <reference field="6" count="1" selected="0">
            <x v="8"/>
          </reference>
          <reference field="7" count="1">
            <x v="29"/>
          </reference>
        </references>
      </pivotArea>
    </format>
    <format dxfId="251">
      <pivotArea dataOnly="0" labelOnly="1" outline="0" fieldPosition="0">
        <references count="2">
          <reference field="6" count="1" selected="0">
            <x v="9"/>
          </reference>
          <reference field="7" count="1">
            <x v="25"/>
          </reference>
        </references>
      </pivotArea>
    </format>
    <format dxfId="250">
      <pivotArea dataOnly="0" labelOnly="1" outline="0" fieldPosition="0">
        <references count="2">
          <reference field="6" count="1" selected="0">
            <x v="10"/>
          </reference>
          <reference field="7" count="1">
            <x v="22"/>
          </reference>
        </references>
      </pivotArea>
    </format>
    <format dxfId="249">
      <pivotArea dataOnly="0" labelOnly="1" outline="0" fieldPosition="0">
        <references count="2">
          <reference field="6" count="1" selected="0">
            <x v="10"/>
          </reference>
          <reference field="7" count="1">
            <x v="26"/>
          </reference>
        </references>
      </pivotArea>
    </format>
    <format dxfId="248">
      <pivotArea dataOnly="0" labelOnly="1" outline="0" fieldPosition="0">
        <references count="2">
          <reference field="6" count="1" selected="0">
            <x v="10"/>
          </reference>
          <reference field="7" count="1">
            <x v="33"/>
          </reference>
        </references>
      </pivotArea>
    </format>
    <format dxfId="247">
      <pivotArea dataOnly="0" labelOnly="1" outline="0" fieldPosition="0">
        <references count="2">
          <reference field="6" count="1" selected="0">
            <x v="10"/>
          </reference>
          <reference field="7" count="1">
            <x v="41"/>
          </reference>
        </references>
      </pivotArea>
    </format>
    <format dxfId="246">
      <pivotArea dataOnly="0" labelOnly="1" outline="0" fieldPosition="0">
        <references count="2">
          <reference field="6" count="1" selected="0">
            <x v="10"/>
          </reference>
          <reference field="7" count="1">
            <x v="48"/>
          </reference>
        </references>
      </pivotArea>
    </format>
    <format dxfId="245">
      <pivotArea dataOnly="0" labelOnly="1" outline="0" fieldPosition="0">
        <references count="2">
          <reference field="6" count="1" selected="0">
            <x v="11"/>
          </reference>
          <reference field="7" count="1">
            <x v="34"/>
          </reference>
        </references>
      </pivotArea>
    </format>
    <format dxfId="244">
      <pivotArea dataOnly="0" labelOnly="1" outline="0" fieldPosition="0">
        <references count="2">
          <reference field="6" count="1" selected="0">
            <x v="12"/>
          </reference>
          <reference field="7" count="1">
            <x v="9"/>
          </reference>
        </references>
      </pivotArea>
    </format>
    <format dxfId="243">
      <pivotArea dataOnly="0" labelOnly="1" outline="0" fieldPosition="0">
        <references count="2">
          <reference field="6" count="1" selected="0">
            <x v="12"/>
          </reference>
          <reference field="7" count="1">
            <x v="18"/>
          </reference>
        </references>
      </pivotArea>
    </format>
    <format dxfId="242">
      <pivotArea dataOnly="0" labelOnly="1" outline="0" fieldPosition="0">
        <references count="2">
          <reference field="6" count="1" selected="0">
            <x v="12"/>
          </reference>
          <reference field="7" count="1">
            <x v="19"/>
          </reference>
        </references>
      </pivotArea>
    </format>
    <format dxfId="241">
      <pivotArea dataOnly="0" labelOnly="1" outline="0" fieldPosition="0">
        <references count="2">
          <reference field="6" count="1" selected="0">
            <x v="12"/>
          </reference>
          <reference field="7" count="1">
            <x v="47"/>
          </reference>
        </references>
      </pivotArea>
    </format>
    <format dxfId="240">
      <pivotArea dataOnly="0" labelOnly="1" outline="0" fieldPosition="0">
        <references count="2">
          <reference field="6" count="1" selected="0">
            <x v="13"/>
          </reference>
          <reference field="7" count="1">
            <x v="37"/>
          </reference>
        </references>
      </pivotArea>
    </format>
    <format dxfId="239">
      <pivotArea dataOnly="0" labelOnly="1" outline="0" fieldPosition="0">
        <references count="2">
          <reference field="6" count="1" selected="0">
            <x v="13"/>
          </reference>
          <reference field="7" count="1">
            <x v="42"/>
          </reference>
        </references>
      </pivotArea>
    </format>
    <format dxfId="238">
      <pivotArea dataOnly="0" labelOnly="1" outline="0" fieldPosition="0">
        <references count="2">
          <reference field="6" count="1" selected="0">
            <x v="14"/>
          </reference>
          <reference field="7" count="1">
            <x v="5"/>
          </reference>
        </references>
      </pivotArea>
    </format>
    <format dxfId="237">
      <pivotArea dataOnly="0" labelOnly="1" outline="0" fieldPosition="0">
        <references count="2">
          <reference field="6" count="1" selected="0">
            <x v="14"/>
          </reference>
          <reference field="7" count="1">
            <x v="16"/>
          </reference>
        </references>
      </pivotArea>
    </format>
    <format dxfId="236">
      <pivotArea dataOnly="0" labelOnly="1" outline="0" fieldPosition="0">
        <references count="2">
          <reference field="6" count="1" selected="0">
            <x v="14"/>
          </reference>
          <reference field="7" count="1">
            <x v="27"/>
          </reference>
        </references>
      </pivotArea>
    </format>
    <format dxfId="235">
      <pivotArea dataOnly="0" labelOnly="1" outline="0" fieldPosition="0">
        <references count="2">
          <reference field="6" count="1" selected="0">
            <x v="14"/>
          </reference>
          <reference field="7" count="1">
            <x v="44"/>
          </reference>
        </references>
      </pivotArea>
    </format>
    <format dxfId="234">
      <pivotArea dataOnly="0" labelOnly="1" outline="0" fieldPosition="0">
        <references count="2">
          <reference field="6" count="1" selected="0">
            <x v="15"/>
          </reference>
          <reference field="7" count="1">
            <x v="32"/>
          </reference>
        </references>
      </pivotArea>
    </format>
    <format dxfId="233">
      <pivotArea dataOnly="0" labelOnly="1" outline="0" fieldPosition="0">
        <references count="2">
          <reference field="6" count="1" selected="0">
            <x v="15"/>
          </reference>
          <reference field="7" count="1">
            <x v="45"/>
          </reference>
        </references>
      </pivotArea>
    </format>
    <format dxfId="232">
      <pivotArea dataOnly="0" labelOnly="1" outline="0" fieldPosition="0">
        <references count="2">
          <reference field="6" count="1" selected="0">
            <x v="16"/>
          </reference>
          <reference field="7" count="1">
            <x v="2"/>
          </reference>
        </references>
      </pivotArea>
    </format>
    <format dxfId="231">
      <pivotArea dataOnly="0" labelOnly="1" outline="0" fieldPosition="0">
        <references count="2">
          <reference field="6" count="1" selected="0">
            <x v="16"/>
          </reference>
          <reference field="7" count="1">
            <x v="4"/>
          </reference>
        </references>
      </pivotArea>
    </format>
    <format dxfId="230">
      <pivotArea dataOnly="0" labelOnly="1" outline="0" fieldPosition="0">
        <references count="2">
          <reference field="6" count="1" selected="0">
            <x v="16"/>
          </reference>
          <reference field="7" count="1">
            <x v="20"/>
          </reference>
        </references>
      </pivotArea>
    </format>
    <format dxfId="229">
      <pivotArea type="all" dataOnly="0" outline="0" fieldPosition="0"/>
    </format>
    <format dxfId="228">
      <pivotArea field="6" type="button" dataOnly="0" labelOnly="1" outline="0" axis="axisRow" fieldPosition="0"/>
    </format>
    <format dxfId="227">
      <pivotArea field="7" type="button" dataOnly="0" labelOnly="1" outline="0" axis="axisRow" fieldPosition="1"/>
    </format>
    <format dxfId="226">
      <pivotArea dataOnly="0" labelOnly="1" outline="0" axis="axisValues" fieldPosition="0"/>
    </format>
    <format dxfId="225">
      <pivotArea field="6" type="button" dataOnly="0" labelOnly="1" outline="0" axis="axisRow" fieldPosition="0"/>
    </format>
    <format dxfId="224">
      <pivotArea field="7" type="button" dataOnly="0" labelOnly="1" outline="0" axis="axisRow" fieldPosition="1"/>
    </format>
    <format dxfId="223">
      <pivotArea dataOnly="0" labelOnly="1" outline="0" axis="axisValues" fieldPosition="0"/>
    </format>
    <format dxfId="222">
      <pivotArea outline="0" collapsedLevelsAreSubtotals="1" fieldPosition="0"/>
    </format>
    <format dxfId="221">
      <pivotArea field="6" type="button" dataOnly="0" labelOnly="1" outline="0" axis="axisRow" fieldPosition="0"/>
    </format>
    <format dxfId="220">
      <pivotArea field="7" type="button" dataOnly="0" labelOnly="1" outline="0" axis="axisRow" fieldPosition="1"/>
    </format>
    <format dxfId="219">
      <pivotArea dataOnly="0" labelOnly="1" outline="0" fieldPosition="0">
        <references count="1">
          <reference field="6" count="0"/>
        </references>
      </pivotArea>
    </format>
    <format dxfId="218">
      <pivotArea dataOnly="0" labelOnly="1" outline="0" fieldPosition="0">
        <references count="1">
          <reference field="6" count="0" defaultSubtotal="1"/>
        </references>
      </pivotArea>
    </format>
    <format dxfId="217">
      <pivotArea dataOnly="0" labelOnly="1" grandRow="1" outline="0" fieldPosition="0"/>
    </format>
    <format dxfId="216">
      <pivotArea dataOnly="0" labelOnly="1" outline="0" fieldPosition="0">
        <references count="2">
          <reference field="6" count="1" selected="0">
            <x v="0"/>
          </reference>
          <reference field="7" count="3">
            <x v="10"/>
            <x v="43"/>
            <x v="51"/>
          </reference>
        </references>
      </pivotArea>
    </format>
    <format dxfId="215">
      <pivotArea dataOnly="0" labelOnly="1" outline="0" fieldPosition="0">
        <references count="2">
          <reference field="6" count="1" selected="0">
            <x v="0"/>
          </reference>
          <reference field="7" count="3" defaultSubtotal="1">
            <x v="10"/>
            <x v="43"/>
            <x v="51"/>
          </reference>
        </references>
      </pivotArea>
    </format>
    <format dxfId="214">
      <pivotArea dataOnly="0" labelOnly="1" outline="0" fieldPosition="0">
        <references count="2">
          <reference field="6" count="1" selected="0">
            <x v="1"/>
          </reference>
          <reference field="7" count="1">
            <x v="14"/>
          </reference>
        </references>
      </pivotArea>
    </format>
    <format dxfId="213">
      <pivotArea dataOnly="0" labelOnly="1" outline="0" fieldPosition="0">
        <references count="2">
          <reference field="6" count="1" selected="0">
            <x v="1"/>
          </reference>
          <reference field="7" count="1" defaultSubtotal="1">
            <x v="14"/>
          </reference>
        </references>
      </pivotArea>
    </format>
    <format dxfId="212">
      <pivotArea dataOnly="0" labelOnly="1" outline="0" fieldPosition="0">
        <references count="2">
          <reference field="6" count="1" selected="0">
            <x v="2"/>
          </reference>
          <reference field="7" count="4">
            <x v="17"/>
            <x v="23"/>
            <x v="40"/>
            <x v="50"/>
          </reference>
        </references>
      </pivotArea>
    </format>
    <format dxfId="211">
      <pivotArea dataOnly="0" labelOnly="1" outline="0" fieldPosition="0">
        <references count="2">
          <reference field="6" count="1" selected="0">
            <x v="2"/>
          </reference>
          <reference field="7" count="4" defaultSubtotal="1">
            <x v="17"/>
            <x v="23"/>
            <x v="40"/>
            <x v="50"/>
          </reference>
        </references>
      </pivotArea>
    </format>
    <format dxfId="210">
      <pivotArea dataOnly="0" labelOnly="1" outline="0" fieldPosition="0">
        <references count="2">
          <reference field="6" count="1" selected="0">
            <x v="3"/>
          </reference>
          <reference field="7" count="2">
            <x v="11"/>
            <x v="35"/>
          </reference>
        </references>
      </pivotArea>
    </format>
    <format dxfId="209">
      <pivotArea dataOnly="0" labelOnly="1" outline="0" fieldPosition="0">
        <references count="2">
          <reference field="6" count="1" selected="0">
            <x v="3"/>
          </reference>
          <reference field="7" count="2" defaultSubtotal="1">
            <x v="11"/>
            <x v="35"/>
          </reference>
        </references>
      </pivotArea>
    </format>
    <format dxfId="208">
      <pivotArea dataOnly="0" labelOnly="1" outline="0" fieldPosition="0">
        <references count="2">
          <reference field="6" count="1" selected="0">
            <x v="4"/>
          </reference>
          <reference field="7" count="3">
            <x v="1"/>
            <x v="3"/>
            <x v="15"/>
          </reference>
        </references>
      </pivotArea>
    </format>
    <format dxfId="207">
      <pivotArea dataOnly="0" labelOnly="1" outline="0" fieldPosition="0">
        <references count="2">
          <reference field="6" count="1" selected="0">
            <x v="4"/>
          </reference>
          <reference field="7" count="3" defaultSubtotal="1">
            <x v="1"/>
            <x v="3"/>
            <x v="15"/>
          </reference>
        </references>
      </pivotArea>
    </format>
    <format dxfId="206">
      <pivotArea dataOnly="0" labelOnly="1" outline="0" fieldPosition="0">
        <references count="2">
          <reference field="6" count="1" selected="0">
            <x v="5"/>
          </reference>
          <reference field="7" count="2">
            <x v="0"/>
            <x v="13"/>
          </reference>
        </references>
      </pivotArea>
    </format>
    <format dxfId="205">
      <pivotArea dataOnly="0" labelOnly="1" outline="0" fieldPosition="0">
        <references count="2">
          <reference field="6" count="1" selected="0">
            <x v="5"/>
          </reference>
          <reference field="7" count="2" defaultSubtotal="1">
            <x v="0"/>
            <x v="13"/>
          </reference>
        </references>
      </pivotArea>
    </format>
    <format dxfId="204">
      <pivotArea dataOnly="0" labelOnly="1" outline="0" fieldPosition="0">
        <references count="2">
          <reference field="6" count="1" selected="0">
            <x v="6"/>
          </reference>
          <reference field="7" count="5">
            <x v="6"/>
            <x v="21"/>
            <x v="31"/>
            <x v="36"/>
            <x v="38"/>
          </reference>
        </references>
      </pivotArea>
    </format>
    <format dxfId="203">
      <pivotArea dataOnly="0" labelOnly="1" outline="0" fieldPosition="0">
        <references count="2">
          <reference field="6" count="1" selected="0">
            <x v="6"/>
          </reference>
          <reference field="7" count="5" defaultSubtotal="1">
            <x v="6"/>
            <x v="21"/>
            <x v="31"/>
            <x v="36"/>
            <x v="38"/>
          </reference>
        </references>
      </pivotArea>
    </format>
    <format dxfId="202">
      <pivotArea dataOnly="0" labelOnly="1" outline="0" fieldPosition="0">
        <references count="2">
          <reference field="6" count="1" selected="0">
            <x v="7"/>
          </reference>
          <reference field="7" count="9">
            <x v="7"/>
            <x v="8"/>
            <x v="12"/>
            <x v="24"/>
            <x v="28"/>
            <x v="30"/>
            <x v="39"/>
            <x v="46"/>
            <x v="49"/>
          </reference>
        </references>
      </pivotArea>
    </format>
    <format dxfId="201">
      <pivotArea dataOnly="0" labelOnly="1" outline="0" fieldPosition="0">
        <references count="2">
          <reference field="6" count="1" selected="0">
            <x v="7"/>
          </reference>
          <reference field="7" count="9" defaultSubtotal="1">
            <x v="7"/>
            <x v="8"/>
            <x v="12"/>
            <x v="24"/>
            <x v="28"/>
            <x v="30"/>
            <x v="39"/>
            <x v="46"/>
            <x v="49"/>
          </reference>
        </references>
      </pivotArea>
    </format>
    <format dxfId="200">
      <pivotArea dataOnly="0" labelOnly="1" outline="0" fieldPosition="0">
        <references count="2">
          <reference field="6" count="1" selected="0">
            <x v="8"/>
          </reference>
          <reference field="7" count="1">
            <x v="29"/>
          </reference>
        </references>
      </pivotArea>
    </format>
    <format dxfId="199">
      <pivotArea dataOnly="0" labelOnly="1" outline="0" fieldPosition="0">
        <references count="2">
          <reference field="6" count="1" selected="0">
            <x v="8"/>
          </reference>
          <reference field="7" count="1" defaultSubtotal="1">
            <x v="29"/>
          </reference>
        </references>
      </pivotArea>
    </format>
    <format dxfId="198">
      <pivotArea dataOnly="0" labelOnly="1" outline="0" fieldPosition="0">
        <references count="2">
          <reference field="6" count="1" selected="0">
            <x v="9"/>
          </reference>
          <reference field="7" count="1">
            <x v="25"/>
          </reference>
        </references>
      </pivotArea>
    </format>
    <format dxfId="197">
      <pivotArea dataOnly="0" labelOnly="1" outline="0" fieldPosition="0">
        <references count="2">
          <reference field="6" count="1" selected="0">
            <x v="9"/>
          </reference>
          <reference field="7" count="1" defaultSubtotal="1">
            <x v="25"/>
          </reference>
        </references>
      </pivotArea>
    </format>
    <format dxfId="196">
      <pivotArea dataOnly="0" labelOnly="1" outline="0" fieldPosition="0">
        <references count="2">
          <reference field="6" count="1" selected="0">
            <x v="10"/>
          </reference>
          <reference field="7" count="5">
            <x v="22"/>
            <x v="26"/>
            <x v="33"/>
            <x v="41"/>
            <x v="48"/>
          </reference>
        </references>
      </pivotArea>
    </format>
    <format dxfId="195">
      <pivotArea dataOnly="0" labelOnly="1" outline="0" fieldPosition="0">
        <references count="2">
          <reference field="6" count="1" selected="0">
            <x v="10"/>
          </reference>
          <reference field="7" count="5" defaultSubtotal="1">
            <x v="22"/>
            <x v="26"/>
            <x v="33"/>
            <x v="41"/>
            <x v="48"/>
          </reference>
        </references>
      </pivotArea>
    </format>
    <format dxfId="194">
      <pivotArea dataOnly="0" labelOnly="1" outline="0" fieldPosition="0">
        <references count="2">
          <reference field="6" count="1" selected="0">
            <x v="11"/>
          </reference>
          <reference field="7" count="1">
            <x v="34"/>
          </reference>
        </references>
      </pivotArea>
    </format>
    <format dxfId="193">
      <pivotArea dataOnly="0" labelOnly="1" outline="0" fieldPosition="0">
        <references count="2">
          <reference field="6" count="1" selected="0">
            <x v="11"/>
          </reference>
          <reference field="7" count="1" defaultSubtotal="1">
            <x v="34"/>
          </reference>
        </references>
      </pivotArea>
    </format>
    <format dxfId="192">
      <pivotArea dataOnly="0" labelOnly="1" outline="0" fieldPosition="0">
        <references count="2">
          <reference field="6" count="1" selected="0">
            <x v="12"/>
          </reference>
          <reference field="7" count="4">
            <x v="9"/>
            <x v="18"/>
            <x v="19"/>
            <x v="47"/>
          </reference>
        </references>
      </pivotArea>
    </format>
    <format dxfId="191">
      <pivotArea dataOnly="0" labelOnly="1" outline="0" fieldPosition="0">
        <references count="2">
          <reference field="6" count="1" selected="0">
            <x v="12"/>
          </reference>
          <reference field="7" count="4" defaultSubtotal="1">
            <x v="9"/>
            <x v="18"/>
            <x v="19"/>
            <x v="47"/>
          </reference>
        </references>
      </pivotArea>
    </format>
    <format dxfId="190">
      <pivotArea dataOnly="0" labelOnly="1" outline="0" fieldPosition="0">
        <references count="2">
          <reference field="6" count="1" selected="0">
            <x v="13"/>
          </reference>
          <reference field="7" count="2">
            <x v="37"/>
            <x v="42"/>
          </reference>
        </references>
      </pivotArea>
    </format>
    <format dxfId="189">
      <pivotArea dataOnly="0" labelOnly="1" outline="0" fieldPosition="0">
        <references count="2">
          <reference field="6" count="1" selected="0">
            <x v="13"/>
          </reference>
          <reference field="7" count="2" defaultSubtotal="1">
            <x v="37"/>
            <x v="42"/>
          </reference>
        </references>
      </pivotArea>
    </format>
    <format dxfId="188">
      <pivotArea dataOnly="0" labelOnly="1" outline="0" fieldPosition="0">
        <references count="2">
          <reference field="6" count="1" selected="0">
            <x v="14"/>
          </reference>
          <reference field="7" count="4">
            <x v="5"/>
            <x v="16"/>
            <x v="27"/>
            <x v="44"/>
          </reference>
        </references>
      </pivotArea>
    </format>
    <format dxfId="187">
      <pivotArea dataOnly="0" labelOnly="1" outline="0" fieldPosition="0">
        <references count="2">
          <reference field="6" count="1" selected="0">
            <x v="14"/>
          </reference>
          <reference field="7" count="4" defaultSubtotal="1">
            <x v="5"/>
            <x v="16"/>
            <x v="27"/>
            <x v="44"/>
          </reference>
        </references>
      </pivotArea>
    </format>
    <format dxfId="186">
      <pivotArea dataOnly="0" labelOnly="1" outline="0" fieldPosition="0">
        <references count="2">
          <reference field="6" count="1" selected="0">
            <x v="15"/>
          </reference>
          <reference field="7" count="2">
            <x v="32"/>
            <x v="45"/>
          </reference>
        </references>
      </pivotArea>
    </format>
    <format dxfId="185">
      <pivotArea dataOnly="0" labelOnly="1" outline="0" fieldPosition="0">
        <references count="2">
          <reference field="6" count="1" selected="0">
            <x v="15"/>
          </reference>
          <reference field="7" count="2" defaultSubtotal="1">
            <x v="32"/>
            <x v="45"/>
          </reference>
        </references>
      </pivotArea>
    </format>
    <format dxfId="184">
      <pivotArea dataOnly="0" labelOnly="1" outline="0" fieldPosition="0">
        <references count="2">
          <reference field="6" count="1" selected="0">
            <x v="16"/>
          </reference>
          <reference field="7" count="3">
            <x v="2"/>
            <x v="4"/>
            <x v="20"/>
          </reference>
        </references>
      </pivotArea>
    </format>
    <format dxfId="183">
      <pivotArea dataOnly="0" labelOnly="1" outline="0" fieldPosition="0">
        <references count="2">
          <reference field="6" count="1" selected="0">
            <x v="16"/>
          </reference>
          <reference field="7" count="3" defaultSubtotal="1">
            <x v="2"/>
            <x v="4"/>
            <x v="20"/>
          </reference>
        </references>
      </pivotArea>
    </format>
    <format dxfId="182">
      <pivotArea dataOnly="0" labelOnly="1" outline="0" fieldPosition="0">
        <references count="1">
          <reference field="6" count="1" defaultSubtotal="1">
            <x v="0"/>
          </reference>
        </references>
      </pivotArea>
    </format>
    <format dxfId="181">
      <pivotArea dataOnly="0" labelOnly="1" outline="0" fieldPosition="0">
        <references count="1">
          <reference field="6" count="1" defaultSubtotal="1">
            <x v="1"/>
          </reference>
        </references>
      </pivotArea>
    </format>
    <format dxfId="180">
      <pivotArea dataOnly="0" labelOnly="1" outline="0" fieldPosition="0">
        <references count="1">
          <reference field="6" count="1" defaultSubtotal="1">
            <x v="2"/>
          </reference>
        </references>
      </pivotArea>
    </format>
    <format dxfId="179">
      <pivotArea dataOnly="0" labelOnly="1" outline="0" fieldPosition="0">
        <references count="1">
          <reference field="6" count="1" defaultSubtotal="1">
            <x v="3"/>
          </reference>
        </references>
      </pivotArea>
    </format>
    <format dxfId="178">
      <pivotArea dataOnly="0" labelOnly="1" outline="0" fieldPosition="0">
        <references count="1">
          <reference field="6" count="1" defaultSubtotal="1">
            <x v="4"/>
          </reference>
        </references>
      </pivotArea>
    </format>
    <format dxfId="177">
      <pivotArea dataOnly="0" labelOnly="1" outline="0" fieldPosition="0">
        <references count="1">
          <reference field="6" count="1" defaultSubtotal="1">
            <x v="5"/>
          </reference>
        </references>
      </pivotArea>
    </format>
    <format dxfId="176">
      <pivotArea dataOnly="0" labelOnly="1" outline="0" fieldPosition="0">
        <references count="1">
          <reference field="6" count="1" defaultSubtotal="1">
            <x v="6"/>
          </reference>
        </references>
      </pivotArea>
    </format>
    <format dxfId="175">
      <pivotArea dataOnly="0" labelOnly="1" outline="0" fieldPosition="0">
        <references count="1">
          <reference field="6" count="1" defaultSubtotal="1">
            <x v="7"/>
          </reference>
        </references>
      </pivotArea>
    </format>
    <format dxfId="174">
      <pivotArea dataOnly="0" labelOnly="1" outline="0" fieldPosition="0">
        <references count="1">
          <reference field="6" count="1" defaultSubtotal="1">
            <x v="8"/>
          </reference>
        </references>
      </pivotArea>
    </format>
    <format dxfId="173">
      <pivotArea dataOnly="0" labelOnly="1" outline="0" fieldPosition="0">
        <references count="1">
          <reference field="6" count="1" defaultSubtotal="1">
            <x v="9"/>
          </reference>
        </references>
      </pivotArea>
    </format>
    <format dxfId="172">
      <pivotArea dataOnly="0" labelOnly="1" outline="0" fieldPosition="0">
        <references count="1">
          <reference field="6" count="1" defaultSubtotal="1">
            <x v="10"/>
          </reference>
        </references>
      </pivotArea>
    </format>
    <format dxfId="171">
      <pivotArea dataOnly="0" labelOnly="1" outline="0" fieldPosition="0">
        <references count="1">
          <reference field="6" count="1" defaultSubtotal="1">
            <x v="11"/>
          </reference>
        </references>
      </pivotArea>
    </format>
    <format dxfId="170">
      <pivotArea dataOnly="0" labelOnly="1" outline="0" fieldPosition="0">
        <references count="1">
          <reference field="6" count="1" defaultSubtotal="1">
            <x v="12"/>
          </reference>
        </references>
      </pivotArea>
    </format>
    <format dxfId="169">
      <pivotArea dataOnly="0" labelOnly="1" outline="0" fieldPosition="0">
        <references count="1">
          <reference field="6" count="1" defaultSubtotal="1">
            <x v="13"/>
          </reference>
        </references>
      </pivotArea>
    </format>
    <format dxfId="168">
      <pivotArea dataOnly="0" labelOnly="1" outline="0" fieldPosition="0">
        <references count="1">
          <reference field="6" count="1" defaultSubtotal="1">
            <x v="14"/>
          </reference>
        </references>
      </pivotArea>
    </format>
    <format dxfId="167">
      <pivotArea dataOnly="0" labelOnly="1" outline="0" fieldPosition="0">
        <references count="1">
          <reference field="6" count="1" defaultSubtotal="1">
            <x v="15"/>
          </reference>
        </references>
      </pivotArea>
    </format>
    <format dxfId="166">
      <pivotArea dataOnly="0" labelOnly="1" outline="0" fieldPosition="0">
        <references count="1">
          <reference field="6" count="1" defaultSubtotal="1">
            <x v="16"/>
          </reference>
        </references>
      </pivotArea>
    </format>
    <format dxfId="165">
      <pivotArea dataOnly="0" labelOnly="1" grandRow="1" outline="0" fieldPosition="0"/>
    </format>
    <format dxfId="164">
      <pivotArea dataOnly="0" labelOnly="1" outline="0" fieldPosition="0">
        <references count="2">
          <reference field="6" count="1" selected="0">
            <x v="0"/>
          </reference>
          <reference field="7" count="1" defaultSubtotal="1">
            <x v="10"/>
          </reference>
        </references>
      </pivotArea>
    </format>
    <format dxfId="163">
      <pivotArea dataOnly="0" labelOnly="1" outline="0" fieldPosition="0">
        <references count="2"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162">
      <pivotArea dataOnly="0" labelOnly="1" outline="0" fieldPosition="0">
        <references count="2">
          <reference field="6" count="1" selected="0">
            <x v="0"/>
          </reference>
          <reference field="7" count="1" defaultSubtotal="1">
            <x v="51"/>
          </reference>
        </references>
      </pivotArea>
    </format>
    <format dxfId="161">
      <pivotArea dataOnly="0" labelOnly="1" outline="0" fieldPosition="0">
        <references count="2">
          <reference field="6" count="1" selected="0">
            <x v="1"/>
          </reference>
          <reference field="7" count="1" defaultSubtotal="1">
            <x v="14"/>
          </reference>
        </references>
      </pivotArea>
    </format>
    <format dxfId="160">
      <pivotArea dataOnly="0" labelOnly="1" outline="0" fieldPosition="0">
        <references count="2">
          <reference field="6" count="1" selected="0">
            <x v="2"/>
          </reference>
          <reference field="7" count="1" defaultSubtotal="1">
            <x v="17"/>
          </reference>
        </references>
      </pivotArea>
    </format>
    <format dxfId="159">
      <pivotArea dataOnly="0" labelOnly="1" outline="0" fieldPosition="0">
        <references count="2">
          <reference field="6" count="1" selected="0">
            <x v="2"/>
          </reference>
          <reference field="7" count="1" defaultSubtotal="1">
            <x v="23"/>
          </reference>
        </references>
      </pivotArea>
    </format>
    <format dxfId="158">
      <pivotArea dataOnly="0" labelOnly="1" outline="0" fieldPosition="0">
        <references count="2">
          <reference field="6" count="1" selected="0">
            <x v="2"/>
          </reference>
          <reference field="7" count="1" defaultSubtotal="1">
            <x v="40"/>
          </reference>
        </references>
      </pivotArea>
    </format>
    <format dxfId="157">
      <pivotArea dataOnly="0" labelOnly="1" outline="0" fieldPosition="0">
        <references count="2">
          <reference field="6" count="1" selected="0">
            <x v="2"/>
          </reference>
          <reference field="7" count="1" defaultSubtotal="1">
            <x v="50"/>
          </reference>
        </references>
      </pivotArea>
    </format>
    <format dxfId="156">
      <pivotArea dataOnly="0" labelOnly="1" outline="0" fieldPosition="0">
        <references count="2">
          <reference field="6" count="1" selected="0">
            <x v="3"/>
          </reference>
          <reference field="7" count="1" defaultSubtotal="1">
            <x v="11"/>
          </reference>
        </references>
      </pivotArea>
    </format>
    <format dxfId="155">
      <pivotArea dataOnly="0" labelOnly="1" outline="0" fieldPosition="0">
        <references count="2">
          <reference field="6" count="1" selected="0">
            <x v="3"/>
          </reference>
          <reference field="7" count="1" defaultSubtotal="1">
            <x v="35"/>
          </reference>
        </references>
      </pivotArea>
    </format>
    <format dxfId="154">
      <pivotArea dataOnly="0" labelOnly="1" outline="0" fieldPosition="0">
        <references count="2">
          <reference field="6" count="1" selected="0">
            <x v="4"/>
          </reference>
          <reference field="7" count="1" defaultSubtotal="1">
            <x v="1"/>
          </reference>
        </references>
      </pivotArea>
    </format>
    <format dxfId="153">
      <pivotArea dataOnly="0" labelOnly="1" outline="0" fieldPosition="0">
        <references count="2">
          <reference field="6" count="1" selected="0">
            <x v="4"/>
          </reference>
          <reference field="7" count="1" defaultSubtotal="1">
            <x v="3"/>
          </reference>
        </references>
      </pivotArea>
    </format>
    <format dxfId="152">
      <pivotArea dataOnly="0" labelOnly="1" outline="0" fieldPosition="0">
        <references count="2">
          <reference field="6" count="1" selected="0">
            <x v="4"/>
          </reference>
          <reference field="7" count="1" defaultSubtotal="1">
            <x v="15"/>
          </reference>
        </references>
      </pivotArea>
    </format>
    <format dxfId="151">
      <pivotArea dataOnly="0" labelOnly="1" outline="0" fieldPosition="0">
        <references count="2">
          <reference field="6" count="1" selected="0">
            <x v="5"/>
          </reference>
          <reference field="7" count="1" defaultSubtotal="1">
            <x v="0"/>
          </reference>
        </references>
      </pivotArea>
    </format>
    <format dxfId="150">
      <pivotArea dataOnly="0" labelOnly="1" outline="0" fieldPosition="0">
        <references count="2">
          <reference field="6" count="1" selected="0">
            <x v="5"/>
          </reference>
          <reference field="7" count="1" defaultSubtotal="1">
            <x v="13"/>
          </reference>
        </references>
      </pivotArea>
    </format>
    <format dxfId="149">
      <pivotArea dataOnly="0" labelOnly="1" outline="0" fieldPosition="0">
        <references count="2">
          <reference field="6" count="1" selected="0">
            <x v="6"/>
          </reference>
          <reference field="7" count="1" defaultSubtotal="1">
            <x v="6"/>
          </reference>
        </references>
      </pivotArea>
    </format>
    <format dxfId="148">
      <pivotArea dataOnly="0" labelOnly="1" outline="0" fieldPosition="0">
        <references count="2">
          <reference field="6" count="1" selected="0">
            <x v="6"/>
          </reference>
          <reference field="7" count="1" defaultSubtotal="1">
            <x v="21"/>
          </reference>
        </references>
      </pivotArea>
    </format>
    <format dxfId="147">
      <pivotArea dataOnly="0" labelOnly="1" outline="0" fieldPosition="0">
        <references count="2">
          <reference field="6" count="1" selected="0">
            <x v="6"/>
          </reference>
          <reference field="7" count="1" defaultSubtotal="1">
            <x v="31"/>
          </reference>
        </references>
      </pivotArea>
    </format>
    <format dxfId="146">
      <pivotArea dataOnly="0" labelOnly="1" outline="0" fieldPosition="0">
        <references count="2">
          <reference field="6" count="1" selected="0">
            <x v="6"/>
          </reference>
          <reference field="7" count="1" defaultSubtotal="1">
            <x v="36"/>
          </reference>
        </references>
      </pivotArea>
    </format>
    <format dxfId="145">
      <pivotArea dataOnly="0" labelOnly="1" outline="0" fieldPosition="0">
        <references count="2">
          <reference field="6" count="1" selected="0">
            <x v="6"/>
          </reference>
          <reference field="7" count="1" defaultSubtotal="1">
            <x v="38"/>
          </reference>
        </references>
      </pivotArea>
    </format>
    <format dxfId="144">
      <pivotArea dataOnly="0" labelOnly="1" outline="0" fieldPosition="0">
        <references count="2">
          <reference field="6" count="1" selected="0">
            <x v="7"/>
          </reference>
          <reference field="7" count="1" defaultSubtotal="1">
            <x v="7"/>
          </reference>
        </references>
      </pivotArea>
    </format>
    <format dxfId="143">
      <pivotArea dataOnly="0" labelOnly="1" outline="0" fieldPosition="0">
        <references count="2">
          <reference field="6" count="1" selected="0">
            <x v="7"/>
          </reference>
          <reference field="7" count="1" defaultSubtotal="1">
            <x v="8"/>
          </reference>
        </references>
      </pivotArea>
    </format>
    <format dxfId="142">
      <pivotArea dataOnly="0" labelOnly="1" outline="0" fieldPosition="0">
        <references count="2">
          <reference field="6" count="1" selected="0">
            <x v="7"/>
          </reference>
          <reference field="7" count="1" defaultSubtotal="1">
            <x v="12"/>
          </reference>
        </references>
      </pivotArea>
    </format>
    <format dxfId="141">
      <pivotArea dataOnly="0" labelOnly="1" outline="0" fieldPosition="0">
        <references count="2">
          <reference field="6" count="1" selected="0">
            <x v="7"/>
          </reference>
          <reference field="7" count="1" defaultSubtotal="1">
            <x v="24"/>
          </reference>
        </references>
      </pivotArea>
    </format>
    <format dxfId="140">
      <pivotArea dataOnly="0" labelOnly="1" outline="0" fieldPosition="0">
        <references count="2">
          <reference field="6" count="1" selected="0">
            <x v="7"/>
          </reference>
          <reference field="7" count="1" defaultSubtotal="1">
            <x v="28"/>
          </reference>
        </references>
      </pivotArea>
    </format>
    <format dxfId="139">
      <pivotArea dataOnly="0" labelOnly="1" outline="0" fieldPosition="0">
        <references count="2">
          <reference field="6" count="1" selected="0">
            <x v="7"/>
          </reference>
          <reference field="7" count="1" defaultSubtotal="1">
            <x v="30"/>
          </reference>
        </references>
      </pivotArea>
    </format>
    <format dxfId="138">
      <pivotArea dataOnly="0" labelOnly="1" outline="0" fieldPosition="0">
        <references count="2">
          <reference field="6" count="1" selected="0">
            <x v="7"/>
          </reference>
          <reference field="7" count="1" defaultSubtotal="1">
            <x v="39"/>
          </reference>
        </references>
      </pivotArea>
    </format>
    <format dxfId="137">
      <pivotArea dataOnly="0" labelOnly="1" outline="0" fieldPosition="0">
        <references count="2">
          <reference field="6" count="1" selected="0">
            <x v="7"/>
          </reference>
          <reference field="7" count="1" defaultSubtotal="1">
            <x v="46"/>
          </reference>
        </references>
      </pivotArea>
    </format>
    <format dxfId="136">
      <pivotArea dataOnly="0" labelOnly="1" outline="0" fieldPosition="0">
        <references count="2">
          <reference field="6" count="1" selected="0">
            <x v="7"/>
          </reference>
          <reference field="7" count="1" defaultSubtotal="1">
            <x v="49"/>
          </reference>
        </references>
      </pivotArea>
    </format>
    <format dxfId="135">
      <pivotArea dataOnly="0" labelOnly="1" outline="0" fieldPosition="0">
        <references count="2">
          <reference field="6" count="1" selected="0">
            <x v="8"/>
          </reference>
          <reference field="7" count="1" defaultSubtotal="1">
            <x v="29"/>
          </reference>
        </references>
      </pivotArea>
    </format>
    <format dxfId="134">
      <pivotArea dataOnly="0" labelOnly="1" outline="0" fieldPosition="0">
        <references count="2">
          <reference field="6" count="1" selected="0">
            <x v="9"/>
          </reference>
          <reference field="7" count="1" defaultSubtotal="1">
            <x v="25"/>
          </reference>
        </references>
      </pivotArea>
    </format>
    <format dxfId="133">
      <pivotArea dataOnly="0" labelOnly="1" outline="0" fieldPosition="0">
        <references count="2">
          <reference field="6" count="1" selected="0">
            <x v="10"/>
          </reference>
          <reference field="7" count="1" defaultSubtotal="1">
            <x v="22"/>
          </reference>
        </references>
      </pivotArea>
    </format>
    <format dxfId="132">
      <pivotArea dataOnly="0" labelOnly="1" outline="0" fieldPosition="0">
        <references count="2">
          <reference field="6" count="1" selected="0">
            <x v="10"/>
          </reference>
          <reference field="7" count="1" defaultSubtotal="1">
            <x v="26"/>
          </reference>
        </references>
      </pivotArea>
    </format>
    <format dxfId="131">
      <pivotArea dataOnly="0" labelOnly="1" outline="0" fieldPosition="0">
        <references count="2">
          <reference field="6" count="1" selected="0">
            <x v="10"/>
          </reference>
          <reference field="7" count="1" defaultSubtotal="1">
            <x v="33"/>
          </reference>
        </references>
      </pivotArea>
    </format>
    <format dxfId="130">
      <pivotArea dataOnly="0" labelOnly="1" outline="0" fieldPosition="0">
        <references count="2">
          <reference field="6" count="1" selected="0">
            <x v="10"/>
          </reference>
          <reference field="7" count="1" defaultSubtotal="1">
            <x v="41"/>
          </reference>
        </references>
      </pivotArea>
    </format>
    <format dxfId="129">
      <pivotArea dataOnly="0" labelOnly="1" outline="0" fieldPosition="0">
        <references count="2">
          <reference field="6" count="1" selected="0">
            <x v="10"/>
          </reference>
          <reference field="7" count="1" defaultSubtotal="1">
            <x v="48"/>
          </reference>
        </references>
      </pivotArea>
    </format>
    <format dxfId="128">
      <pivotArea dataOnly="0" labelOnly="1" outline="0" fieldPosition="0">
        <references count="2">
          <reference field="6" count="1" selected="0">
            <x v="11"/>
          </reference>
          <reference field="7" count="1" defaultSubtotal="1">
            <x v="34"/>
          </reference>
        </references>
      </pivotArea>
    </format>
    <format dxfId="127">
      <pivotArea dataOnly="0" labelOnly="1" outline="0" fieldPosition="0">
        <references count="2">
          <reference field="6" count="1" selected="0">
            <x v="12"/>
          </reference>
          <reference field="7" count="1" defaultSubtotal="1">
            <x v="9"/>
          </reference>
        </references>
      </pivotArea>
    </format>
    <format dxfId="126">
      <pivotArea dataOnly="0" labelOnly="1" outline="0" fieldPosition="0">
        <references count="2">
          <reference field="6" count="1" selected="0">
            <x v="12"/>
          </reference>
          <reference field="7" count="1" defaultSubtotal="1">
            <x v="18"/>
          </reference>
        </references>
      </pivotArea>
    </format>
    <format dxfId="125">
      <pivotArea dataOnly="0" labelOnly="1" outline="0" fieldPosition="0">
        <references count="2">
          <reference field="6" count="1" selected="0">
            <x v="12"/>
          </reference>
          <reference field="7" count="1" defaultSubtotal="1">
            <x v="19"/>
          </reference>
        </references>
      </pivotArea>
    </format>
    <format dxfId="124">
      <pivotArea dataOnly="0" labelOnly="1" outline="0" fieldPosition="0">
        <references count="2">
          <reference field="6" count="1" selected="0">
            <x v="12"/>
          </reference>
          <reference field="7" count="1" defaultSubtotal="1">
            <x v="47"/>
          </reference>
        </references>
      </pivotArea>
    </format>
    <format dxfId="123">
      <pivotArea dataOnly="0" labelOnly="1" outline="0" fieldPosition="0">
        <references count="2">
          <reference field="6" count="1" selected="0">
            <x v="13"/>
          </reference>
          <reference field="7" count="1" defaultSubtotal="1">
            <x v="37"/>
          </reference>
        </references>
      </pivotArea>
    </format>
    <format dxfId="122">
      <pivotArea dataOnly="0" labelOnly="1" outline="0" fieldPosition="0">
        <references count="2">
          <reference field="6" count="1" selected="0">
            <x v="13"/>
          </reference>
          <reference field="7" count="1" defaultSubtotal="1">
            <x v="42"/>
          </reference>
        </references>
      </pivotArea>
    </format>
    <format dxfId="121">
      <pivotArea dataOnly="0" labelOnly="1" outline="0" fieldPosition="0">
        <references count="2">
          <reference field="6" count="1" selected="0">
            <x v="14"/>
          </reference>
          <reference field="7" count="1" defaultSubtotal="1">
            <x v="5"/>
          </reference>
        </references>
      </pivotArea>
    </format>
    <format dxfId="120">
      <pivotArea dataOnly="0" labelOnly="1" outline="0" fieldPosition="0">
        <references count="2">
          <reference field="6" count="1" selected="0">
            <x v="14"/>
          </reference>
          <reference field="7" count="1" defaultSubtotal="1">
            <x v="16"/>
          </reference>
        </references>
      </pivotArea>
    </format>
    <format dxfId="119">
      <pivotArea dataOnly="0" labelOnly="1" outline="0" fieldPosition="0">
        <references count="2">
          <reference field="6" count="1" selected="0">
            <x v="14"/>
          </reference>
          <reference field="7" count="1" defaultSubtotal="1">
            <x v="27"/>
          </reference>
        </references>
      </pivotArea>
    </format>
    <format dxfId="118">
      <pivotArea dataOnly="0" labelOnly="1" outline="0" fieldPosition="0">
        <references count="2">
          <reference field="6" count="1" selected="0">
            <x v="14"/>
          </reference>
          <reference field="7" count="1" defaultSubtotal="1">
            <x v="44"/>
          </reference>
        </references>
      </pivotArea>
    </format>
    <format dxfId="117">
      <pivotArea dataOnly="0" labelOnly="1" outline="0" fieldPosition="0">
        <references count="2">
          <reference field="6" count="1" selected="0">
            <x v="15"/>
          </reference>
          <reference field="7" count="1" defaultSubtotal="1">
            <x v="32"/>
          </reference>
        </references>
      </pivotArea>
    </format>
    <format dxfId="116">
      <pivotArea dataOnly="0" labelOnly="1" outline="0" fieldPosition="0">
        <references count="2">
          <reference field="6" count="1" selected="0">
            <x v="15"/>
          </reference>
          <reference field="7" count="1" defaultSubtotal="1">
            <x v="45"/>
          </reference>
        </references>
      </pivotArea>
    </format>
    <format dxfId="115">
      <pivotArea dataOnly="0" labelOnly="1" outline="0" fieldPosition="0">
        <references count="2">
          <reference field="6" count="1" selected="0">
            <x v="16"/>
          </reference>
          <reference field="7" count="1" defaultSubtotal="1">
            <x v="2"/>
          </reference>
        </references>
      </pivotArea>
    </format>
    <format dxfId="114">
      <pivotArea dataOnly="0" labelOnly="1" outline="0" fieldPosition="0">
        <references count="2">
          <reference field="6" count="1" selected="0">
            <x v="16"/>
          </reference>
          <reference field="7" count="1" defaultSubtotal="1">
            <x v="4"/>
          </reference>
        </references>
      </pivotArea>
    </format>
    <format dxfId="113">
      <pivotArea dataOnly="0" labelOnly="1" outline="0" fieldPosition="0">
        <references count="2">
          <reference field="6" count="1" selected="0">
            <x v="16"/>
          </reference>
          <reference field="7" count="1" defaultSubtotal="1">
            <x v="20"/>
          </reference>
        </references>
      </pivotArea>
    </format>
    <format dxfId="112">
      <pivotArea type="origin" dataOnly="0" labelOnly="1" outline="0" fieldPosition="0"/>
    </format>
    <format dxfId="111">
      <pivotArea type="all" dataOnly="0" outline="0" fieldPosition="0"/>
    </format>
    <format dxfId="110">
      <pivotArea field="6" type="button" dataOnly="0" labelOnly="1" outline="0" axis="axisRow" fieldPosition="0"/>
    </format>
    <format dxfId="109">
      <pivotArea field="7" type="button" dataOnly="0" labelOnly="1" outline="0" axis="axisRow" fieldPosition="1"/>
    </format>
    <format dxfId="108">
      <pivotArea dataOnly="0" labelOnly="1" grandCol="1" outline="0" fieldPosition="0"/>
    </format>
    <format dxfId="107">
      <pivotArea dataOnly="0" labelOnly="1" grandCol="1" outline="0" fieldPosition="0"/>
    </format>
    <format dxfId="106">
      <pivotArea dataOnly="0" labelOnly="1" grandCol="1" outline="0" fieldPosition="0"/>
    </format>
    <format dxfId="105">
      <pivotArea field="6" type="button" dataOnly="0" labelOnly="1" outline="0" axis="axisRow" fieldPosition="0"/>
    </format>
    <format dxfId="104">
      <pivotArea field="7" type="button" dataOnly="0" labelOnly="1" outline="0" axis="axisRow" fieldPosition="1"/>
    </format>
    <format dxfId="103">
      <pivotArea field="3" type="button" dataOnly="0" labelOnly="1" outline="0"/>
    </format>
    <format dxfId="102">
      <pivotArea dataOnly="0" labelOnly="1" grandCol="1" outline="0" fieldPosition="0"/>
    </format>
    <format dxfId="101">
      <pivotArea field="6" type="button" dataOnly="0" labelOnly="1" outline="0" axis="axisRow" fieldPosition="0"/>
    </format>
    <format dxfId="100">
      <pivotArea field="7" type="button" dataOnly="0" labelOnly="1" outline="0" axis="axisRow" fieldPosition="1"/>
    </format>
    <format dxfId="99">
      <pivotArea field="3" type="button" dataOnly="0" labelOnly="1" outline="0"/>
    </format>
    <format dxfId="98">
      <pivotArea dataOnly="0" labelOnly="1" grandCol="1" outline="0" fieldPosition="0"/>
    </format>
    <format dxfId="97">
      <pivotArea dataOnly="0" labelOnly="1" outline="0" fieldPosition="0">
        <references count="1">
          <reference field="6" count="0"/>
        </references>
      </pivotArea>
    </format>
    <format dxfId="96">
      <pivotArea dataOnly="0" labelOnly="1" outline="0" fieldPosition="0">
        <references count="1">
          <reference field="6" count="16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95">
      <pivotArea dataOnly="0" labelOnly="1" outline="0" fieldPosition="0">
        <references count="2">
          <reference field="6" count="1" selected="0">
            <x v="0"/>
          </reference>
          <reference field="7" count="3">
            <x v="10"/>
            <x v="43"/>
            <x v="51"/>
          </reference>
        </references>
      </pivotArea>
    </format>
    <format dxfId="94">
      <pivotArea dataOnly="0" labelOnly="1" outline="0" fieldPosition="0">
        <references count="2">
          <reference field="6" count="1" selected="0">
            <x v="0"/>
          </reference>
          <reference field="7" count="3" defaultSubtotal="1">
            <x v="10"/>
            <x v="43"/>
            <x v="51"/>
          </reference>
        </references>
      </pivotArea>
    </format>
    <format dxfId="93">
      <pivotArea dataOnly="0" labelOnly="1" outline="0" fieldPosition="0">
        <references count="2">
          <reference field="6" count="1" selected="0">
            <x v="1"/>
          </reference>
          <reference field="7" count="1">
            <x v="14"/>
          </reference>
        </references>
      </pivotArea>
    </format>
    <format dxfId="92">
      <pivotArea dataOnly="0" labelOnly="1" outline="0" fieldPosition="0">
        <references count="2">
          <reference field="6" count="1" selected="0">
            <x v="1"/>
          </reference>
          <reference field="7" count="1" defaultSubtotal="1">
            <x v="14"/>
          </reference>
        </references>
      </pivotArea>
    </format>
    <format dxfId="91">
      <pivotArea dataOnly="0" labelOnly="1" outline="0" fieldPosition="0">
        <references count="2">
          <reference field="6" count="1" selected="0">
            <x v="2"/>
          </reference>
          <reference field="7" count="4">
            <x v="17"/>
            <x v="23"/>
            <x v="40"/>
            <x v="50"/>
          </reference>
        </references>
      </pivotArea>
    </format>
    <format dxfId="90">
      <pivotArea dataOnly="0" labelOnly="1" outline="0" fieldPosition="0">
        <references count="2">
          <reference field="6" count="1" selected="0">
            <x v="2"/>
          </reference>
          <reference field="7" count="4" defaultSubtotal="1">
            <x v="17"/>
            <x v="23"/>
            <x v="40"/>
            <x v="50"/>
          </reference>
        </references>
      </pivotArea>
    </format>
    <format dxfId="89">
      <pivotArea dataOnly="0" labelOnly="1" outline="0" fieldPosition="0">
        <references count="2">
          <reference field="6" count="1" selected="0">
            <x v="3"/>
          </reference>
          <reference field="7" count="2">
            <x v="11"/>
            <x v="35"/>
          </reference>
        </references>
      </pivotArea>
    </format>
    <format dxfId="88">
      <pivotArea dataOnly="0" labelOnly="1" outline="0" fieldPosition="0">
        <references count="2">
          <reference field="6" count="1" selected="0">
            <x v="3"/>
          </reference>
          <reference field="7" count="2" defaultSubtotal="1">
            <x v="11"/>
            <x v="35"/>
          </reference>
        </references>
      </pivotArea>
    </format>
    <format dxfId="87">
      <pivotArea dataOnly="0" labelOnly="1" outline="0" fieldPosition="0">
        <references count="2">
          <reference field="6" count="1" selected="0">
            <x v="4"/>
          </reference>
          <reference field="7" count="4">
            <x v="1"/>
            <x v="3"/>
            <x v="15"/>
            <x v="55"/>
          </reference>
        </references>
      </pivotArea>
    </format>
    <format dxfId="86">
      <pivotArea dataOnly="0" labelOnly="1" outline="0" fieldPosition="0">
        <references count="2">
          <reference field="6" count="1" selected="0">
            <x v="4"/>
          </reference>
          <reference field="7" count="4" defaultSubtotal="1">
            <x v="1"/>
            <x v="3"/>
            <x v="15"/>
            <x v="55"/>
          </reference>
        </references>
      </pivotArea>
    </format>
    <format dxfId="85">
      <pivotArea dataOnly="0" labelOnly="1" outline="0" fieldPosition="0">
        <references count="2">
          <reference field="6" count="1" selected="0">
            <x v="5"/>
          </reference>
          <reference field="7" count="6">
            <x v="0"/>
            <x v="10"/>
            <x v="13"/>
            <x v="52"/>
            <x v="53"/>
            <x v="54"/>
          </reference>
        </references>
      </pivotArea>
    </format>
    <format dxfId="84">
      <pivotArea dataOnly="0" labelOnly="1" outline="0" fieldPosition="0">
        <references count="2">
          <reference field="6" count="1" selected="0">
            <x v="5"/>
          </reference>
          <reference field="7" count="6" defaultSubtotal="1">
            <x v="0"/>
            <x v="10"/>
            <x v="13"/>
            <x v="52"/>
            <x v="53"/>
            <x v="54"/>
          </reference>
        </references>
      </pivotArea>
    </format>
    <format dxfId="83">
      <pivotArea dataOnly="0" labelOnly="1" outline="0" fieldPosition="0">
        <references count="2">
          <reference field="6" count="1" selected="0">
            <x v="6"/>
          </reference>
          <reference field="7" count="5">
            <x v="6"/>
            <x v="21"/>
            <x v="31"/>
            <x v="36"/>
            <x v="38"/>
          </reference>
        </references>
      </pivotArea>
    </format>
    <format dxfId="82">
      <pivotArea dataOnly="0" labelOnly="1" outline="0" fieldPosition="0">
        <references count="2">
          <reference field="6" count="1" selected="0">
            <x v="6"/>
          </reference>
          <reference field="7" count="5" defaultSubtotal="1">
            <x v="6"/>
            <x v="21"/>
            <x v="31"/>
            <x v="36"/>
            <x v="38"/>
          </reference>
        </references>
      </pivotArea>
    </format>
    <format dxfId="81">
      <pivotArea dataOnly="0" labelOnly="1" outline="0" fieldPosition="0">
        <references count="2">
          <reference field="6" count="1" selected="0">
            <x v="7"/>
          </reference>
          <reference field="7" count="9">
            <x v="7"/>
            <x v="8"/>
            <x v="12"/>
            <x v="24"/>
            <x v="28"/>
            <x v="30"/>
            <x v="39"/>
            <x v="46"/>
            <x v="49"/>
          </reference>
        </references>
      </pivotArea>
    </format>
    <format dxfId="80">
      <pivotArea dataOnly="0" labelOnly="1" outline="0" fieldPosition="0">
        <references count="2">
          <reference field="6" count="1" selected="0">
            <x v="7"/>
          </reference>
          <reference field="7" count="9" defaultSubtotal="1">
            <x v="7"/>
            <x v="8"/>
            <x v="12"/>
            <x v="24"/>
            <x v="28"/>
            <x v="30"/>
            <x v="39"/>
            <x v="46"/>
            <x v="49"/>
          </reference>
        </references>
      </pivotArea>
    </format>
    <format dxfId="79">
      <pivotArea dataOnly="0" labelOnly="1" outline="0" fieldPosition="0">
        <references count="2">
          <reference field="6" count="1" selected="0">
            <x v="8"/>
          </reference>
          <reference field="7" count="1">
            <x v="29"/>
          </reference>
        </references>
      </pivotArea>
    </format>
    <format dxfId="78">
      <pivotArea dataOnly="0" labelOnly="1" outline="0" fieldPosition="0">
        <references count="2">
          <reference field="6" count="1" selected="0">
            <x v="8"/>
          </reference>
          <reference field="7" count="1" defaultSubtotal="1">
            <x v="29"/>
          </reference>
        </references>
      </pivotArea>
    </format>
    <format dxfId="77">
      <pivotArea dataOnly="0" labelOnly="1" outline="0" fieldPosition="0">
        <references count="2">
          <reference field="6" count="1" selected="0">
            <x v="9"/>
          </reference>
          <reference field="7" count="1">
            <x v="25"/>
          </reference>
        </references>
      </pivotArea>
    </format>
    <format dxfId="76">
      <pivotArea dataOnly="0" labelOnly="1" outline="0" fieldPosition="0">
        <references count="2">
          <reference field="6" count="1" selected="0">
            <x v="9"/>
          </reference>
          <reference field="7" count="1" defaultSubtotal="1">
            <x v="25"/>
          </reference>
        </references>
      </pivotArea>
    </format>
    <format dxfId="75">
      <pivotArea dataOnly="0" labelOnly="1" outline="0" fieldPosition="0">
        <references count="2">
          <reference field="6" count="1" selected="0">
            <x v="10"/>
          </reference>
          <reference field="7" count="5">
            <x v="22"/>
            <x v="26"/>
            <x v="33"/>
            <x v="41"/>
            <x v="48"/>
          </reference>
        </references>
      </pivotArea>
    </format>
    <format dxfId="74">
      <pivotArea dataOnly="0" labelOnly="1" outline="0" fieldPosition="0">
        <references count="2">
          <reference field="6" count="1" selected="0">
            <x v="10"/>
          </reference>
          <reference field="7" count="5" defaultSubtotal="1">
            <x v="22"/>
            <x v="26"/>
            <x v="33"/>
            <x v="41"/>
            <x v="48"/>
          </reference>
        </references>
      </pivotArea>
    </format>
    <format dxfId="73">
      <pivotArea dataOnly="0" labelOnly="1" outline="0" fieldPosition="0">
        <references count="2">
          <reference field="6" count="1" selected="0">
            <x v="11"/>
          </reference>
          <reference field="7" count="1">
            <x v="34"/>
          </reference>
        </references>
      </pivotArea>
    </format>
    <format dxfId="72">
      <pivotArea dataOnly="0" labelOnly="1" outline="0" fieldPosition="0">
        <references count="2">
          <reference field="6" count="1" selected="0">
            <x v="11"/>
          </reference>
          <reference field="7" count="1" defaultSubtotal="1">
            <x v="34"/>
          </reference>
        </references>
      </pivotArea>
    </format>
    <format dxfId="71">
      <pivotArea dataOnly="0" labelOnly="1" outline="0" fieldPosition="0">
        <references count="2">
          <reference field="6" count="1" selected="0">
            <x v="12"/>
          </reference>
          <reference field="7" count="4">
            <x v="9"/>
            <x v="18"/>
            <x v="19"/>
            <x v="47"/>
          </reference>
        </references>
      </pivotArea>
    </format>
    <format dxfId="70">
      <pivotArea dataOnly="0" labelOnly="1" outline="0" fieldPosition="0">
        <references count="2">
          <reference field="6" count="1" selected="0">
            <x v="12"/>
          </reference>
          <reference field="7" count="4" defaultSubtotal="1">
            <x v="9"/>
            <x v="18"/>
            <x v="19"/>
            <x v="47"/>
          </reference>
        </references>
      </pivotArea>
    </format>
    <format dxfId="69">
      <pivotArea dataOnly="0" labelOnly="1" outline="0" fieldPosition="0">
        <references count="2">
          <reference field="6" count="1" selected="0">
            <x v="13"/>
          </reference>
          <reference field="7" count="2">
            <x v="37"/>
            <x v="42"/>
          </reference>
        </references>
      </pivotArea>
    </format>
    <format dxfId="68">
      <pivotArea dataOnly="0" labelOnly="1" outline="0" fieldPosition="0">
        <references count="2">
          <reference field="6" count="1" selected="0">
            <x v="13"/>
          </reference>
          <reference field="7" count="2" defaultSubtotal="1">
            <x v="37"/>
            <x v="42"/>
          </reference>
        </references>
      </pivotArea>
    </format>
    <format dxfId="67">
      <pivotArea dataOnly="0" labelOnly="1" outline="0" fieldPosition="0">
        <references count="2">
          <reference field="6" count="1" selected="0">
            <x v="14"/>
          </reference>
          <reference field="7" count="4">
            <x v="5"/>
            <x v="16"/>
            <x v="27"/>
            <x v="44"/>
          </reference>
        </references>
      </pivotArea>
    </format>
    <format dxfId="66">
      <pivotArea dataOnly="0" labelOnly="1" outline="0" fieldPosition="0">
        <references count="2">
          <reference field="6" count="1" selected="0">
            <x v="14"/>
          </reference>
          <reference field="7" count="4" defaultSubtotal="1">
            <x v="5"/>
            <x v="16"/>
            <x v="27"/>
            <x v="44"/>
          </reference>
        </references>
      </pivotArea>
    </format>
    <format dxfId="65">
      <pivotArea dataOnly="0" labelOnly="1" outline="0" fieldPosition="0">
        <references count="2">
          <reference field="6" count="1" selected="0">
            <x v="15"/>
          </reference>
          <reference field="7" count="2">
            <x v="32"/>
            <x v="45"/>
          </reference>
        </references>
      </pivotArea>
    </format>
    <format dxfId="64">
      <pivotArea dataOnly="0" labelOnly="1" outline="0" fieldPosition="0">
        <references count="2">
          <reference field="6" count="1" selected="0">
            <x v="15"/>
          </reference>
          <reference field="7" count="2" defaultSubtotal="1">
            <x v="32"/>
            <x v="45"/>
          </reference>
        </references>
      </pivotArea>
    </format>
    <format dxfId="63">
      <pivotArea dataOnly="0" labelOnly="1" outline="0" fieldPosition="0">
        <references count="2">
          <reference field="6" count="1" selected="0">
            <x v="16"/>
          </reference>
          <reference field="7" count="3">
            <x v="2"/>
            <x v="4"/>
            <x v="20"/>
          </reference>
        </references>
      </pivotArea>
    </format>
    <format dxfId="62">
      <pivotArea dataOnly="0" labelOnly="1" outline="0" fieldPosition="0">
        <references count="2">
          <reference field="6" count="1" selected="0">
            <x v="16"/>
          </reference>
          <reference field="7" count="3" defaultSubtotal="1">
            <x v="2"/>
            <x v="4"/>
            <x v="20"/>
          </reference>
        </references>
      </pivotArea>
    </format>
    <format dxfId="61">
      <pivotArea dataOnly="0" labelOnly="1" outline="0" fieldPosition="0">
        <references count="3">
          <reference field="4" count="1">
            <x v="24"/>
          </reference>
          <reference field="6" count="1" selected="0">
            <x v="0"/>
          </reference>
          <reference field="7" count="1" selected="0">
            <x v="10"/>
          </reference>
        </references>
      </pivotArea>
    </format>
    <format dxfId="60">
      <pivotArea dataOnly="0" labelOnly="1" outline="0" fieldPosition="0">
        <references count="3">
          <reference field="4" count="6">
            <x v="1"/>
            <x v="22"/>
            <x v="23"/>
            <x v="49"/>
            <x v="50"/>
            <x v="53"/>
          </reference>
          <reference field="6" count="1" selected="0">
            <x v="0"/>
          </reference>
          <reference field="7" count="1" selected="0">
            <x v="43"/>
          </reference>
        </references>
      </pivotArea>
    </format>
    <format dxfId="59">
      <pivotArea dataOnly="0" labelOnly="1" outline="0" fieldPosition="0">
        <references count="3">
          <reference field="4" count="1">
            <x v="43"/>
          </reference>
          <reference field="6" count="1" selected="0">
            <x v="0"/>
          </reference>
          <reference field="7" count="1" selected="0">
            <x v="51"/>
          </reference>
        </references>
      </pivotArea>
    </format>
    <format dxfId="58">
      <pivotArea dataOnly="0" labelOnly="1" outline="0" fieldPosition="0">
        <references count="3">
          <reference field="4" count="1">
            <x v="44"/>
          </reference>
          <reference field="6" count="1" selected="0">
            <x v="1"/>
          </reference>
          <reference field="7" count="1" selected="0">
            <x v="14"/>
          </reference>
        </references>
      </pivotArea>
    </format>
    <format dxfId="57">
      <pivotArea dataOnly="0" labelOnly="1" outline="0" fieldPosition="0">
        <references count="3">
          <reference field="4" count="6">
            <x v="75"/>
            <x v="92"/>
            <x v="93"/>
            <x v="94"/>
            <x v="95"/>
            <x v="104"/>
          </reference>
          <reference field="6" count="1" selected="0">
            <x v="2"/>
          </reference>
          <reference field="7" count="1" selected="0">
            <x v="17"/>
          </reference>
        </references>
      </pivotArea>
    </format>
    <format dxfId="56">
      <pivotArea dataOnly="0" labelOnly="1" outline="0" fieldPosition="0">
        <references count="3">
          <reference field="4" count="3">
            <x v="86"/>
            <x v="89"/>
            <x v="90"/>
          </reference>
          <reference field="6" count="1" selected="0">
            <x v="2"/>
          </reference>
          <reference field="7" count="1" selected="0">
            <x v="23"/>
          </reference>
        </references>
      </pivotArea>
    </format>
    <format dxfId="55">
      <pivotArea dataOnly="0" labelOnly="1" outline="0" fieldPosition="0">
        <references count="3">
          <reference field="4" count="1">
            <x v="87"/>
          </reference>
          <reference field="6" count="1" selected="0">
            <x v="2"/>
          </reference>
          <reference field="7" count="1" selected="0">
            <x v="40"/>
          </reference>
        </references>
      </pivotArea>
    </format>
    <format dxfId="54">
      <pivotArea dataOnly="0" labelOnly="1" outline="0" fieldPosition="0">
        <references count="3">
          <reference field="4" count="3">
            <x v="77"/>
            <x v="85"/>
            <x v="90"/>
          </reference>
          <reference field="6" count="1" selected="0">
            <x v="2"/>
          </reference>
          <reference field="7" count="1" selected="0">
            <x v="50"/>
          </reference>
        </references>
      </pivotArea>
    </format>
    <format dxfId="53">
      <pivotArea dataOnly="0" labelOnly="1" outline="0" fieldPosition="0">
        <references count="3">
          <reference field="4" count="1">
            <x v="7"/>
          </reference>
          <reference field="6" count="1" selected="0">
            <x v="3"/>
          </reference>
          <reference field="7" count="1" selected="0">
            <x v="11"/>
          </reference>
        </references>
      </pivotArea>
    </format>
    <format dxfId="52">
      <pivotArea dataOnly="0" labelOnly="1" outline="0" fieldPosition="0">
        <references count="3">
          <reference field="4" count="1">
            <x v="65"/>
          </reference>
          <reference field="6" count="1" selected="0">
            <x v="3"/>
          </reference>
          <reference field="7" count="1" selected="0">
            <x v="35"/>
          </reference>
        </references>
      </pivotArea>
    </format>
    <format dxfId="51">
      <pivotArea dataOnly="0" labelOnly="1" outline="0" fieldPosition="0">
        <references count="3">
          <reference field="4" count="1">
            <x v="88"/>
          </reference>
          <reference field="6" count="1" selected="0">
            <x v="4"/>
          </reference>
          <reference field="7" count="1" selected="0">
            <x v="1"/>
          </reference>
        </references>
      </pivotArea>
    </format>
    <format dxfId="50">
      <pivotArea dataOnly="0" labelOnly="1" outline="0" fieldPosition="0">
        <references count="3">
          <reference field="4" count="2">
            <x v="105"/>
            <x v="109"/>
          </reference>
          <reference field="6" count="1" selected="0">
            <x v="4"/>
          </reference>
          <reference field="7" count="1" selected="0">
            <x v="3"/>
          </reference>
        </references>
      </pivotArea>
    </format>
    <format dxfId="49">
      <pivotArea dataOnly="0" labelOnly="1" outline="0" fieldPosition="0">
        <references count="3">
          <reference field="4" count="3">
            <x v="84"/>
            <x v="90"/>
            <x v="91"/>
          </reference>
          <reference field="6" count="1" selected="0">
            <x v="4"/>
          </reference>
          <reference field="7" count="1" selected="0">
            <x v="15"/>
          </reference>
        </references>
      </pivotArea>
    </format>
    <format dxfId="48">
      <pivotArea dataOnly="0" labelOnly="1" outline="0" fieldPosition="0">
        <references count="3">
          <reference field="4" count="2">
            <x v="54"/>
            <x v="98"/>
          </reference>
          <reference field="6" count="1" selected="0">
            <x v="4"/>
          </reference>
          <reference field="7" count="1" selected="0">
            <x v="55"/>
          </reference>
        </references>
      </pivotArea>
    </format>
    <format dxfId="47">
      <pivotArea dataOnly="0" labelOnly="1" outline="0" fieldPosition="0">
        <references count="3">
          <reference field="4" count="2">
            <x v="51"/>
            <x v="52"/>
          </reference>
          <reference field="6" count="1" selected="0">
            <x v="5"/>
          </reference>
          <reference field="7" count="1" selected="0">
            <x v="0"/>
          </reference>
        </references>
      </pivotArea>
    </format>
    <format dxfId="46">
      <pivotArea dataOnly="0" labelOnly="1" outline="0" fieldPosition="0">
        <references count="3">
          <reference field="4" count="1">
            <x v="20"/>
          </reference>
          <reference field="6" count="1" selected="0">
            <x v="5"/>
          </reference>
          <reference field="7" count="1" selected="0">
            <x v="10"/>
          </reference>
        </references>
      </pivotArea>
    </format>
    <format dxfId="45">
      <pivotArea dataOnly="0" labelOnly="1" outline="0" fieldPosition="0">
        <references count="3">
          <reference field="4" count="2">
            <x v="0"/>
            <x v="74"/>
          </reference>
          <reference field="6" count="1" selected="0">
            <x v="5"/>
          </reference>
          <reference field="7" count="1" selected="0">
            <x v="13"/>
          </reference>
        </references>
      </pivotArea>
    </format>
    <format dxfId="44">
      <pivotArea dataOnly="0" labelOnly="1" outline="0" fieldPosition="0">
        <references count="3">
          <reference field="4" count="1">
            <x v="73"/>
          </reference>
          <reference field="6" count="1" selected="0">
            <x v="5"/>
          </reference>
          <reference field="7" count="1" selected="0">
            <x v="52"/>
          </reference>
        </references>
      </pivotArea>
    </format>
    <format dxfId="43">
      <pivotArea dataOnly="0" labelOnly="1" outline="0" fieldPosition="0">
        <references count="3">
          <reference field="4" count="1">
            <x v="39"/>
          </reference>
          <reference field="6" count="1" selected="0">
            <x v="5"/>
          </reference>
          <reference field="7" count="1" selected="0">
            <x v="53"/>
          </reference>
        </references>
      </pivotArea>
    </format>
    <format dxfId="42">
      <pivotArea dataOnly="0" labelOnly="1" outline="0" fieldPosition="0">
        <references count="3">
          <reference field="4" count="1">
            <x v="40"/>
          </reference>
          <reference field="6" count="1" selected="0">
            <x v="5"/>
          </reference>
          <reference field="7" count="1" selected="0">
            <x v="54"/>
          </reference>
        </references>
      </pivotArea>
    </format>
    <format dxfId="41">
      <pivotArea dataOnly="0" labelOnly="1" outline="0" fieldPosition="0">
        <references count="3">
          <reference field="4" count="4">
            <x v="6"/>
            <x v="12"/>
            <x v="13"/>
            <x v="60"/>
          </reference>
          <reference field="6" count="1" selected="0">
            <x v="6"/>
          </reference>
          <reference field="7" count="1" selected="0">
            <x v="6"/>
          </reference>
        </references>
      </pivotArea>
    </format>
    <format dxfId="40">
      <pivotArea dataOnly="0" labelOnly="1" outline="0" fieldPosition="0">
        <references count="3">
          <reference field="4" count="1">
            <x v="10"/>
          </reference>
          <reference field="6" count="1" selected="0">
            <x v="6"/>
          </reference>
          <reference field="7" count="1" selected="0">
            <x v="21"/>
          </reference>
        </references>
      </pivotArea>
    </format>
    <format dxfId="39">
      <pivotArea dataOnly="0" labelOnly="1" outline="0" fieldPosition="0">
        <references count="3">
          <reference field="4" count="9">
            <x v="57"/>
            <x v="58"/>
            <x v="59"/>
            <x v="61"/>
            <x v="66"/>
            <x v="67"/>
            <x v="68"/>
            <x v="69"/>
            <x v="70"/>
          </reference>
          <reference field="6" count="1" selected="0">
            <x v="6"/>
          </reference>
          <reference field="7" count="1" selected="0">
            <x v="31"/>
          </reference>
        </references>
      </pivotArea>
    </format>
    <format dxfId="38">
      <pivotArea dataOnly="0" labelOnly="1" outline="0" fieldPosition="0">
        <references count="3">
          <reference field="4" count="2">
            <x v="55"/>
            <x v="71"/>
          </reference>
          <reference field="6" count="1" selected="0">
            <x v="6"/>
          </reference>
          <reference field="7" count="1" selected="0">
            <x v="36"/>
          </reference>
        </references>
      </pivotArea>
    </format>
    <format dxfId="37">
      <pivotArea dataOnly="0" labelOnly="1" outline="0" fieldPosition="0">
        <references count="3">
          <reference field="4" count="3">
            <x v="11"/>
            <x v="16"/>
            <x v="62"/>
          </reference>
          <reference field="6" count="1" selected="0">
            <x v="6"/>
          </reference>
          <reference field="7" count="1" selected="0">
            <x v="38"/>
          </reference>
        </references>
      </pivotArea>
    </format>
    <format dxfId="36">
      <pivotArea dataOnly="0" labelOnly="1" outline="0" fieldPosition="0">
        <references count="3">
          <reference field="4" count="1">
            <x v="35"/>
          </reference>
          <reference field="6" count="1" selected="0">
            <x v="7"/>
          </reference>
          <reference field="7" count="1" selected="0">
            <x v="7"/>
          </reference>
        </references>
      </pivotArea>
    </format>
    <format dxfId="35">
      <pivotArea dataOnly="0" labelOnly="1" outline="0" fieldPosition="0">
        <references count="3">
          <reference field="4" count="1">
            <x v="35"/>
          </reference>
          <reference field="6" count="1" selected="0">
            <x v="7"/>
          </reference>
          <reference field="7" count="1" selected="0">
            <x v="8"/>
          </reference>
        </references>
      </pivotArea>
    </format>
    <format dxfId="34">
      <pivotArea dataOnly="0" labelOnly="1" outline="0" fieldPosition="0">
        <references count="3">
          <reference field="4" count="1">
            <x v="63"/>
          </reference>
          <reference field="6" count="1" selected="0">
            <x v="7"/>
          </reference>
          <reference field="7" count="1" selected="0">
            <x v="12"/>
          </reference>
        </references>
      </pivotArea>
    </format>
    <format dxfId="33">
      <pivotArea dataOnly="0" labelOnly="1" outline="0" fieldPosition="0">
        <references count="3">
          <reference field="4" count="1">
            <x v="32"/>
          </reference>
          <reference field="6" count="1" selected="0">
            <x v="7"/>
          </reference>
          <reference field="7" count="1" selected="0">
            <x v="24"/>
          </reference>
        </references>
      </pivotArea>
    </format>
    <format dxfId="32">
      <pivotArea dataOnly="0" labelOnly="1" outline="0" fieldPosition="0">
        <references count="3">
          <reference field="4" count="11">
            <x v="9"/>
            <x v="25"/>
            <x v="26"/>
            <x v="30"/>
            <x v="34"/>
            <x v="41"/>
            <x v="42"/>
            <x v="45"/>
            <x v="46"/>
            <x v="47"/>
            <x v="72"/>
          </reference>
          <reference field="6" count="1" selected="0">
            <x v="7"/>
          </reference>
          <reference field="7" count="1" selected="0">
            <x v="28"/>
          </reference>
        </references>
      </pivotArea>
    </format>
    <format dxfId="31">
      <pivotArea dataOnly="0" labelOnly="1" outline="0" fieldPosition="0">
        <references count="3">
          <reference field="4" count="3">
            <x v="2"/>
            <x v="27"/>
            <x v="33"/>
          </reference>
          <reference field="6" count="1" selected="0">
            <x v="7"/>
          </reference>
          <reference field="7" count="1" selected="0">
            <x v="30"/>
          </reference>
        </references>
      </pivotArea>
    </format>
    <format dxfId="30">
      <pivotArea dataOnly="0" labelOnly="1" outline="0" fieldPosition="0">
        <references count="3">
          <reference field="4" count="1">
            <x v="29"/>
          </reference>
          <reference field="6" count="1" selected="0">
            <x v="7"/>
          </reference>
          <reference field="7" count="1" selected="0">
            <x v="39"/>
          </reference>
        </references>
      </pivotArea>
    </format>
    <format dxfId="29">
      <pivotArea dataOnly="0" labelOnly="1" outline="0" fieldPosition="0">
        <references count="3">
          <reference field="4" count="1">
            <x v="35"/>
          </reference>
          <reference field="6" count="1" selected="0">
            <x v="7"/>
          </reference>
          <reference field="7" count="1" selected="0">
            <x v="46"/>
          </reference>
        </references>
      </pivotArea>
    </format>
    <format dxfId="28">
      <pivotArea dataOnly="0" labelOnly="1" outline="0" fieldPosition="0">
        <references count="3">
          <reference field="4" count="1">
            <x v="37"/>
          </reference>
          <reference field="6" count="1" selected="0">
            <x v="7"/>
          </reference>
          <reference field="7" count="1" selected="0">
            <x v="49"/>
          </reference>
        </references>
      </pivotArea>
    </format>
    <format dxfId="27">
      <pivotArea dataOnly="0" labelOnly="1" outline="0" fieldPosition="0">
        <references count="3">
          <reference field="4" count="1">
            <x v="64"/>
          </reference>
          <reference field="6" count="1" selected="0">
            <x v="8"/>
          </reference>
          <reference field="7" count="1" selected="0">
            <x v="29"/>
          </reference>
        </references>
      </pivotArea>
    </format>
    <format dxfId="26">
      <pivotArea dataOnly="0" labelOnly="1" outline="0" fieldPosition="0">
        <references count="3">
          <reference field="4" count="2">
            <x v="83"/>
            <x v="97"/>
          </reference>
          <reference field="6" count="1" selected="0">
            <x v="9"/>
          </reference>
          <reference field="7" count="1" selected="0">
            <x v="25"/>
          </reference>
        </references>
      </pivotArea>
    </format>
    <format dxfId="25">
      <pivotArea dataOnly="0" labelOnly="1" outline="0" fieldPosition="0">
        <references count="3">
          <reference field="4" count="1">
            <x v="78"/>
          </reference>
          <reference field="6" count="1" selected="0">
            <x v="10"/>
          </reference>
          <reference field="7" count="1" selected="0">
            <x v="22"/>
          </reference>
        </references>
      </pivotArea>
    </format>
    <format dxfId="24">
      <pivotArea dataOnly="0" labelOnly="1" outline="0" fieldPosition="0">
        <references count="3">
          <reference field="4" count="1">
            <x v="96"/>
          </reference>
          <reference field="6" count="1" selected="0">
            <x v="10"/>
          </reference>
          <reference field="7" count="1" selected="0">
            <x v="26"/>
          </reference>
        </references>
      </pivotArea>
    </format>
    <format dxfId="23">
      <pivotArea dataOnly="0" labelOnly="1" outline="0" fieldPosition="0">
        <references count="3">
          <reference field="4" count="5">
            <x v="3"/>
            <x v="81"/>
            <x v="99"/>
            <x v="100"/>
            <x v="110"/>
          </reference>
          <reference field="6" count="1" selected="0">
            <x v="10"/>
          </reference>
          <reference field="7" count="1" selected="0">
            <x v="33"/>
          </reference>
        </references>
      </pivotArea>
    </format>
    <format dxfId="22">
      <pivotArea dataOnly="0" labelOnly="1" outline="0" fieldPosition="0">
        <references count="3">
          <reference field="4" count="4">
            <x v="102"/>
            <x v="103"/>
            <x v="106"/>
            <x v="107"/>
          </reference>
          <reference field="6" count="1" selected="0">
            <x v="10"/>
          </reference>
          <reference field="7" count="1" selected="0">
            <x v="41"/>
          </reference>
        </references>
      </pivotArea>
    </format>
    <format dxfId="21">
      <pivotArea dataOnly="0" labelOnly="1" outline="0" fieldPosition="0">
        <references count="3">
          <reference field="4" count="2">
            <x v="101"/>
            <x v="108"/>
          </reference>
          <reference field="6" count="1" selected="0">
            <x v="10"/>
          </reference>
          <reference field="7" count="1" selected="0">
            <x v="48"/>
          </reference>
        </references>
      </pivotArea>
    </format>
    <format dxfId="20">
      <pivotArea dataOnly="0" labelOnly="1" outline="0" fieldPosition="0">
        <references count="3">
          <reference field="4" count="1">
            <x v="7"/>
          </reference>
          <reference field="6" count="1" selected="0">
            <x v="11"/>
          </reference>
          <reference field="7" count="1" selected="0">
            <x v="34"/>
          </reference>
        </references>
      </pivotArea>
    </format>
    <format dxfId="19">
      <pivotArea dataOnly="0" labelOnly="1" outline="0" fieldPosition="0">
        <references count="3">
          <reference field="4" count="2">
            <x v="4"/>
            <x v="18"/>
          </reference>
          <reference field="6" count="1" selected="0">
            <x v="12"/>
          </reference>
          <reference field="7" count="1" selected="0">
            <x v="9"/>
          </reference>
        </references>
      </pivotArea>
    </format>
    <format dxfId="18">
      <pivotArea dataOnly="0" labelOnly="1" outline="0" fieldPosition="0">
        <references count="3">
          <reference field="4" count="1">
            <x v="5"/>
          </reference>
          <reference field="6" count="1" selected="0">
            <x v="12"/>
          </reference>
          <reference field="7" count="1" selected="0">
            <x v="18"/>
          </reference>
        </references>
      </pivotArea>
    </format>
    <format dxfId="17">
      <pivotArea dataOnly="0" labelOnly="1" outline="0" fieldPosition="0">
        <references count="3">
          <reference field="4" count="2">
            <x v="7"/>
            <x v="80"/>
          </reference>
          <reference field="6" count="1" selected="0">
            <x v="12"/>
          </reference>
          <reference field="7" count="1" selected="0">
            <x v="19"/>
          </reference>
        </references>
      </pivotArea>
    </format>
    <format dxfId="16">
      <pivotArea dataOnly="0" labelOnly="1" outline="0" fieldPosition="0">
        <references count="3">
          <reference field="4" count="2">
            <x v="76"/>
            <x v="79"/>
          </reference>
          <reference field="6" count="1" selected="0">
            <x v="12"/>
          </reference>
          <reference field="7" count="1" selected="0">
            <x v="47"/>
          </reference>
        </references>
      </pivotArea>
    </format>
    <format dxfId="15">
      <pivotArea dataOnly="0" labelOnly="1" outline="0" fieldPosition="0">
        <references count="3">
          <reference field="4" count="3">
            <x v="14"/>
            <x v="15"/>
            <x v="17"/>
          </reference>
          <reference field="6" count="1" selected="0">
            <x v="13"/>
          </reference>
          <reference field="7" count="1" selected="0">
            <x v="37"/>
          </reference>
        </references>
      </pivotArea>
    </format>
    <format dxfId="14">
      <pivotArea dataOnly="0" labelOnly="1" outline="0" fieldPosition="0">
        <references count="3">
          <reference field="4" count="1">
            <x v="56"/>
          </reference>
          <reference field="6" count="1" selected="0">
            <x v="13"/>
          </reference>
          <reference field="7" count="1" selected="0">
            <x v="42"/>
          </reference>
        </references>
      </pivotArea>
    </format>
    <format dxfId="13">
      <pivotArea dataOnly="0" labelOnly="1" outline="0" fieldPosition="0">
        <references count="3">
          <reference field="4" count="1">
            <x v="36"/>
          </reference>
          <reference field="6" count="1" selected="0">
            <x v="14"/>
          </reference>
          <reference field="7" count="1" selected="0">
            <x v="5"/>
          </reference>
        </references>
      </pivotArea>
    </format>
    <format dxfId="12">
      <pivotArea dataOnly="0" labelOnly="1" outline="0" fieldPosition="0">
        <references count="3">
          <reference field="4" count="1">
            <x v="38"/>
          </reference>
          <reference field="6" count="1" selected="0">
            <x v="14"/>
          </reference>
          <reference field="7" count="1" selected="0">
            <x v="16"/>
          </reference>
        </references>
      </pivotArea>
    </format>
    <format dxfId="11">
      <pivotArea dataOnly="0" labelOnly="1" outline="0" fieldPosition="0">
        <references count="3">
          <reference field="4" count="1">
            <x v="19"/>
          </reference>
          <reference field="6" count="1" selected="0">
            <x v="14"/>
          </reference>
          <reference field="7" count="1" selected="0">
            <x v="27"/>
          </reference>
        </references>
      </pivotArea>
    </format>
    <format dxfId="10">
      <pivotArea dataOnly="0" labelOnly="1" outline="0" fieldPosition="0">
        <references count="3">
          <reference field="4" count="2">
            <x v="31"/>
            <x v="48"/>
          </reference>
          <reference field="6" count="1" selected="0">
            <x v="14"/>
          </reference>
          <reference field="7" count="1" selected="0">
            <x v="44"/>
          </reference>
        </references>
      </pivotArea>
    </format>
    <format dxfId="9">
      <pivotArea dataOnly="0" labelOnly="1" outline="0" fieldPosition="0">
        <references count="3">
          <reference field="4" count="1">
            <x v="8"/>
          </reference>
          <reference field="6" count="1" selected="0">
            <x v="15"/>
          </reference>
          <reference field="7" count="1" selected="0">
            <x v="32"/>
          </reference>
        </references>
      </pivotArea>
    </format>
    <format dxfId="8">
      <pivotArea dataOnly="0" labelOnly="1" outline="0" fieldPosition="0">
        <references count="3">
          <reference field="4" count="2">
            <x v="21"/>
            <x v="82"/>
          </reference>
          <reference field="6" count="1" selected="0">
            <x v="15"/>
          </reference>
          <reference field="7" count="1" selected="0">
            <x v="45"/>
          </reference>
        </references>
      </pivotArea>
    </format>
    <format dxfId="7">
      <pivotArea dataOnly="0" labelOnly="1" outline="0" fieldPosition="0">
        <references count="3">
          <reference field="4" count="1">
            <x v="7"/>
          </reference>
          <reference field="6" count="1" selected="0">
            <x v="16"/>
          </reference>
          <reference field="7" count="1" selected="0">
            <x v="2"/>
          </reference>
        </references>
      </pivotArea>
    </format>
    <format dxfId="6">
      <pivotArea dataOnly="0" labelOnly="1" outline="0" fieldPosition="0">
        <references count="3">
          <reference field="4" count="2">
            <x v="7"/>
            <x v="28"/>
          </reference>
          <reference field="6" count="1" selected="0">
            <x v="16"/>
          </reference>
          <reference field="7" count="1" selected="0">
            <x v="4"/>
          </reference>
        </references>
      </pivotArea>
    </format>
    <format dxfId="5">
      <pivotArea dataOnly="0" labelOnly="1" outline="0" fieldPosition="0">
        <references count="3">
          <reference field="4" count="1">
            <x v="7"/>
          </reference>
          <reference field="6" count="1" selected="0">
            <x v="16"/>
          </reference>
          <reference field="7" count="1" selected="0">
            <x v="20"/>
          </reference>
        </references>
      </pivotArea>
    </format>
    <format dxfId="4">
      <pivotArea field="4" type="button" dataOnly="0" labelOnly="1" outline="0" axis="axisRow" fieldPosition="2"/>
    </format>
    <format dxfId="3">
      <pivotArea field="4" type="button" dataOnly="0" labelOnly="1" outline="0" axis="axisRow" fieldPosition="2"/>
    </format>
    <format dxfId="2">
      <pivotArea type="all" dataOnly="0" outline="0" fieldPosition="0"/>
    </format>
    <format dxfId="1">
      <pivotArea type="all" dataOnly="0" outline="0" fieldPosition="0"/>
    </format>
    <format dxfId="0">
      <pivotArea dataOnly="0" labelOnly="1" outline="0" fieldPosition="0">
        <references count="3">
          <reference field="4" count="8">
            <x v="11"/>
            <x v="16"/>
            <x v="44"/>
            <x v="62"/>
            <x v="118"/>
            <x v="119"/>
            <x v="120"/>
            <x v="121"/>
          </reference>
          <reference field="6" count="0" selected="0"/>
          <reference field="7" count="0" selected="0"/>
        </references>
      </pivotArea>
    </format>
  </formats>
  <pivotTableStyleInfo name="PivotStyleLight22" showRowHeaders="0" showColHeaders="0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altText="PROYECTOS E INVERSION POR PARROQUIAS DURANTE EL AÑO 2014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7"/>
  <sheetViews>
    <sheetView topLeftCell="A88" workbookViewId="0">
      <selection activeCell="B94" sqref="B94"/>
    </sheetView>
  </sheetViews>
  <sheetFormatPr baseColWidth="10" defaultColWidth="9.140625" defaultRowHeight="15"/>
  <cols>
    <col min="1" max="1" width="18.7109375" style="126" customWidth="1"/>
    <col min="2" max="2" width="36" style="126" customWidth="1"/>
    <col min="3" max="3" width="13.85546875" style="126" bestFit="1" customWidth="1"/>
    <col min="4" max="4" width="11.42578125" style="127" customWidth="1"/>
    <col min="5" max="5" width="11.7109375" style="127" customWidth="1"/>
    <col min="6" max="6" width="10.5703125" style="127" customWidth="1"/>
    <col min="7" max="8" width="9.140625" style="126"/>
    <col min="9" max="9" width="13.85546875" style="126" bestFit="1" customWidth="1"/>
    <col min="10" max="10" width="13.85546875" style="126" customWidth="1"/>
    <col min="11" max="11" width="28.7109375" style="126" bestFit="1" customWidth="1"/>
    <col min="12" max="12" width="9.7109375" style="126" bestFit="1" customWidth="1"/>
    <col min="13" max="13" width="7.28515625" style="126" bestFit="1" customWidth="1"/>
    <col min="14" max="16384" width="9.140625" style="126"/>
  </cols>
  <sheetData>
    <row r="1" spans="1:13">
      <c r="B1" s="126" t="s">
        <v>542</v>
      </c>
    </row>
    <row r="2" spans="1:13">
      <c r="B2" s="126" t="s">
        <v>543</v>
      </c>
    </row>
    <row r="3" spans="1:13">
      <c r="B3" s="126" t="s">
        <v>544</v>
      </c>
    </row>
    <row r="5" spans="1:13" s="128" customFormat="1" ht="45">
      <c r="A5" s="128" t="s">
        <v>545</v>
      </c>
      <c r="B5" s="129" t="s">
        <v>546</v>
      </c>
      <c r="C5" s="128" t="s">
        <v>545</v>
      </c>
      <c r="D5" s="129" t="s">
        <v>547</v>
      </c>
      <c r="E5" s="129" t="s">
        <v>548</v>
      </c>
      <c r="F5" s="129" t="s">
        <v>549</v>
      </c>
    </row>
    <row r="6" spans="1:13">
      <c r="D6" s="127" t="s">
        <v>550</v>
      </c>
      <c r="E6" s="127" t="s">
        <v>551</v>
      </c>
      <c r="F6" s="127" t="s">
        <v>552</v>
      </c>
    </row>
    <row r="7" spans="1:13">
      <c r="A7" s="126" t="s">
        <v>553</v>
      </c>
      <c r="C7" s="126" t="s">
        <v>553</v>
      </c>
      <c r="D7" s="127" t="s">
        <v>554</v>
      </c>
      <c r="E7" s="127" t="s">
        <v>555</v>
      </c>
      <c r="F7" s="127" t="s">
        <v>556</v>
      </c>
    </row>
    <row r="8" spans="1:13">
      <c r="D8" s="127" t="s">
        <v>557</v>
      </c>
      <c r="E8" s="127">
        <v>151.715</v>
      </c>
      <c r="F8" s="127">
        <f>44283*1000</f>
        <v>44283000</v>
      </c>
      <c r="I8" s="130" t="s">
        <v>558</v>
      </c>
      <c r="J8" s="130" t="s">
        <v>559</v>
      </c>
      <c r="K8" s="130" t="s">
        <v>560</v>
      </c>
      <c r="L8" s="130" t="s">
        <v>561</v>
      </c>
      <c r="M8" s="130" t="s">
        <v>562</v>
      </c>
    </row>
    <row r="9" spans="1:13">
      <c r="A9" s="131" t="s">
        <v>272</v>
      </c>
      <c r="B9" s="132" t="s">
        <v>272</v>
      </c>
      <c r="C9" s="131" t="s">
        <v>272</v>
      </c>
      <c r="D9" s="127">
        <v>453</v>
      </c>
      <c r="E9" s="127">
        <v>12524</v>
      </c>
      <c r="F9" s="127">
        <v>27631</v>
      </c>
      <c r="I9" s="133" t="s">
        <v>563</v>
      </c>
      <c r="J9" s="986">
        <f>SUM(L9:L14)</f>
        <v>28185</v>
      </c>
      <c r="K9" s="133" t="s">
        <v>564</v>
      </c>
      <c r="L9" s="133">
        <v>7990</v>
      </c>
      <c r="M9" s="133" t="s">
        <v>565</v>
      </c>
    </row>
    <row r="10" spans="1:13">
      <c r="A10" s="131" t="s">
        <v>272</v>
      </c>
      <c r="B10" s="132" t="s">
        <v>564</v>
      </c>
      <c r="C10" s="131" t="s">
        <v>272</v>
      </c>
      <c r="D10" s="127">
        <v>327</v>
      </c>
      <c r="E10" s="127">
        <v>6793</v>
      </c>
      <c r="F10" s="127">
        <v>20753</v>
      </c>
      <c r="I10" s="133" t="s">
        <v>563</v>
      </c>
      <c r="J10" s="987"/>
      <c r="K10" s="133" t="s">
        <v>564</v>
      </c>
      <c r="L10" s="133">
        <v>13311</v>
      </c>
      <c r="M10" s="133" t="s">
        <v>566</v>
      </c>
    </row>
    <row r="11" spans="1:13">
      <c r="A11" s="131" t="s">
        <v>272</v>
      </c>
      <c r="B11" s="132" t="s">
        <v>243</v>
      </c>
      <c r="C11" s="131" t="s">
        <v>272</v>
      </c>
      <c r="D11" s="127">
        <v>923</v>
      </c>
      <c r="E11" s="127">
        <v>1712</v>
      </c>
      <c r="F11" s="127">
        <v>1854</v>
      </c>
      <c r="I11" s="133" t="s">
        <v>563</v>
      </c>
      <c r="J11" s="987"/>
      <c r="K11" s="133" t="s">
        <v>243</v>
      </c>
      <c r="L11" s="133">
        <v>1854</v>
      </c>
      <c r="M11" s="133" t="s">
        <v>565</v>
      </c>
    </row>
    <row r="12" spans="1:13">
      <c r="A12" s="131" t="s">
        <v>272</v>
      </c>
      <c r="B12" s="830" t="s">
        <v>567</v>
      </c>
      <c r="C12" s="131" t="s">
        <v>272</v>
      </c>
      <c r="D12" s="127">
        <v>690</v>
      </c>
      <c r="E12" s="127">
        <v>1394</v>
      </c>
      <c r="F12" s="127">
        <v>2019</v>
      </c>
      <c r="I12" s="133" t="s">
        <v>563</v>
      </c>
      <c r="J12" s="987"/>
      <c r="K12" s="133" t="s">
        <v>567</v>
      </c>
      <c r="L12" s="133">
        <v>2025</v>
      </c>
      <c r="M12" s="133" t="s">
        <v>565</v>
      </c>
    </row>
    <row r="13" spans="1:13">
      <c r="A13" s="131" t="s">
        <v>272</v>
      </c>
      <c r="B13" s="132" t="s">
        <v>245</v>
      </c>
      <c r="C13" s="131" t="s">
        <v>272</v>
      </c>
      <c r="D13" s="127">
        <v>903</v>
      </c>
      <c r="E13" s="127">
        <v>1506</v>
      </c>
      <c r="F13" s="127">
        <v>1668</v>
      </c>
      <c r="I13" s="133" t="s">
        <v>563</v>
      </c>
      <c r="J13" s="987"/>
      <c r="K13" s="133" t="s">
        <v>568</v>
      </c>
      <c r="L13" s="133">
        <v>1668</v>
      </c>
      <c r="M13" s="133" t="s">
        <v>565</v>
      </c>
    </row>
    <row r="14" spans="1:13">
      <c r="A14" s="131" t="s">
        <v>272</v>
      </c>
      <c r="B14" s="132" t="s">
        <v>569</v>
      </c>
      <c r="C14" s="131" t="s">
        <v>272</v>
      </c>
      <c r="D14" s="127">
        <v>837</v>
      </c>
      <c r="E14" s="127">
        <v>1119</v>
      </c>
      <c r="F14" s="127">
        <v>1337</v>
      </c>
      <c r="I14" s="133" t="s">
        <v>563</v>
      </c>
      <c r="J14" s="988"/>
      <c r="K14" s="133" t="s">
        <v>570</v>
      </c>
      <c r="L14" s="133">
        <v>1337</v>
      </c>
      <c r="M14" s="133" t="s">
        <v>565</v>
      </c>
    </row>
    <row r="15" spans="1:13">
      <c r="A15" s="131" t="s">
        <v>571</v>
      </c>
      <c r="B15" s="132" t="s">
        <v>572</v>
      </c>
      <c r="C15" s="131" t="s">
        <v>571</v>
      </c>
      <c r="D15" s="127">
        <v>282</v>
      </c>
      <c r="E15" s="127">
        <v>8538</v>
      </c>
      <c r="F15" s="127">
        <v>30309</v>
      </c>
      <c r="I15" s="133" t="s">
        <v>573</v>
      </c>
      <c r="J15" s="986">
        <f>SUM(L15:L20)</f>
        <v>30638</v>
      </c>
      <c r="K15" s="133" t="s">
        <v>574</v>
      </c>
      <c r="L15" s="133">
        <v>758</v>
      </c>
      <c r="M15" s="133" t="s">
        <v>565</v>
      </c>
    </row>
    <row r="16" spans="1:13">
      <c r="A16" s="131" t="s">
        <v>571</v>
      </c>
      <c r="B16" s="132" t="s">
        <v>571</v>
      </c>
      <c r="C16" s="131" t="s">
        <v>571</v>
      </c>
      <c r="D16" s="127">
        <v>216</v>
      </c>
      <c r="E16" s="127">
        <v>4996</v>
      </c>
      <c r="F16" s="127">
        <v>23138</v>
      </c>
      <c r="I16" s="133" t="s">
        <v>573</v>
      </c>
      <c r="J16" s="987"/>
      <c r="K16" s="133" t="s">
        <v>574</v>
      </c>
      <c r="L16" s="133">
        <v>22697</v>
      </c>
      <c r="M16" s="133" t="s">
        <v>566</v>
      </c>
    </row>
    <row r="17" spans="1:13">
      <c r="A17" s="131" t="s">
        <v>571</v>
      </c>
      <c r="B17" s="132" t="s">
        <v>355</v>
      </c>
      <c r="C17" s="131" t="s">
        <v>571</v>
      </c>
      <c r="D17" s="127">
        <v>624</v>
      </c>
      <c r="E17" s="127">
        <v>2886</v>
      </c>
      <c r="F17" s="127">
        <v>4628</v>
      </c>
      <c r="I17" s="133" t="s">
        <v>573</v>
      </c>
      <c r="J17" s="987"/>
      <c r="K17" s="133" t="s">
        <v>355</v>
      </c>
      <c r="L17" s="133">
        <v>4630</v>
      </c>
      <c r="M17" s="133" t="s">
        <v>565</v>
      </c>
    </row>
    <row r="18" spans="1:13">
      <c r="A18" s="131" t="s">
        <v>571</v>
      </c>
      <c r="B18" s="132" t="s">
        <v>338</v>
      </c>
      <c r="C18" s="131" t="s">
        <v>571</v>
      </c>
      <c r="D18" s="127">
        <v>376</v>
      </c>
      <c r="E18" s="127">
        <v>144</v>
      </c>
      <c r="F18" s="127">
        <v>383</v>
      </c>
      <c r="I18" s="133" t="s">
        <v>573</v>
      </c>
      <c r="J18" s="987"/>
      <c r="K18" s="133" t="s">
        <v>338</v>
      </c>
      <c r="L18" s="133">
        <v>383</v>
      </c>
      <c r="M18" s="133" t="s">
        <v>565</v>
      </c>
    </row>
    <row r="19" spans="1:13">
      <c r="A19" s="131" t="s">
        <v>571</v>
      </c>
      <c r="B19" s="132" t="s">
        <v>348</v>
      </c>
      <c r="C19" s="131" t="s">
        <v>571</v>
      </c>
      <c r="D19" s="127">
        <v>155</v>
      </c>
      <c r="E19" s="127">
        <v>245</v>
      </c>
      <c r="F19" s="127">
        <v>158</v>
      </c>
      <c r="I19" s="133" t="s">
        <v>573</v>
      </c>
      <c r="J19" s="987"/>
      <c r="K19" s="133" t="s">
        <v>348</v>
      </c>
      <c r="L19" s="133">
        <v>1590</v>
      </c>
      <c r="M19" s="133" t="s">
        <v>565</v>
      </c>
    </row>
    <row r="20" spans="1:13">
      <c r="A20" s="131" t="s">
        <v>571</v>
      </c>
      <c r="B20" s="132" t="s">
        <v>331</v>
      </c>
      <c r="C20" s="131" t="s">
        <v>571</v>
      </c>
      <c r="D20" s="127">
        <v>460</v>
      </c>
      <c r="E20" s="127">
        <v>267</v>
      </c>
      <c r="F20" s="127">
        <v>580</v>
      </c>
      <c r="I20" s="133" t="s">
        <v>573</v>
      </c>
      <c r="J20" s="988"/>
      <c r="K20" s="133" t="s">
        <v>331</v>
      </c>
      <c r="L20" s="133">
        <v>580</v>
      </c>
      <c r="M20" s="133" t="s">
        <v>565</v>
      </c>
    </row>
    <row r="21" spans="1:13">
      <c r="A21" s="131" t="s">
        <v>575</v>
      </c>
      <c r="B21" s="132" t="s">
        <v>576</v>
      </c>
      <c r="C21" s="131" t="s">
        <v>575</v>
      </c>
      <c r="D21" s="127">
        <v>514</v>
      </c>
      <c r="E21" s="127">
        <v>7197</v>
      </c>
      <c r="F21" s="127">
        <v>13997</v>
      </c>
      <c r="I21" s="133" t="s">
        <v>577</v>
      </c>
      <c r="J21" s="986">
        <f>SUM(L21:L26)</f>
        <v>14468</v>
      </c>
      <c r="K21" s="133" t="s">
        <v>575</v>
      </c>
      <c r="L21" s="133">
        <v>2923</v>
      </c>
      <c r="M21" s="133" t="s">
        <v>565</v>
      </c>
    </row>
    <row r="22" spans="1:13">
      <c r="A22" s="131" t="s">
        <v>575</v>
      </c>
      <c r="B22" s="132" t="s">
        <v>575</v>
      </c>
      <c r="C22" s="131" t="s">
        <v>575</v>
      </c>
      <c r="D22" s="127">
        <v>404</v>
      </c>
      <c r="E22" s="127">
        <v>2779</v>
      </c>
      <c r="F22" s="127">
        <v>6876</v>
      </c>
      <c r="I22" s="133" t="s">
        <v>577</v>
      </c>
      <c r="J22" s="987"/>
      <c r="K22" s="133" t="s">
        <v>575</v>
      </c>
      <c r="L22" s="133">
        <v>4400</v>
      </c>
      <c r="M22" s="133" t="s">
        <v>566</v>
      </c>
    </row>
    <row r="23" spans="1:13">
      <c r="A23" s="131" t="s">
        <v>575</v>
      </c>
      <c r="B23" s="132" t="s">
        <v>318</v>
      </c>
      <c r="C23" s="131" t="s">
        <v>575</v>
      </c>
      <c r="D23" s="127">
        <v>607</v>
      </c>
      <c r="E23" s="127">
        <v>661</v>
      </c>
      <c r="F23" s="127">
        <v>1089</v>
      </c>
      <c r="I23" s="133" t="s">
        <v>577</v>
      </c>
      <c r="J23" s="987"/>
      <c r="K23" s="133" t="s">
        <v>578</v>
      </c>
      <c r="L23" s="133">
        <v>1094</v>
      </c>
      <c r="M23" s="133" t="s">
        <v>565</v>
      </c>
    </row>
    <row r="24" spans="1:13">
      <c r="A24" s="131" t="s">
        <v>575</v>
      </c>
      <c r="B24" s="132" t="s">
        <v>295</v>
      </c>
      <c r="C24" s="131" t="s">
        <v>575</v>
      </c>
      <c r="D24" s="127">
        <v>649</v>
      </c>
      <c r="E24" s="127">
        <v>1969</v>
      </c>
      <c r="F24" s="127">
        <v>3035</v>
      </c>
      <c r="I24" s="133" t="s">
        <v>577</v>
      </c>
      <c r="J24" s="987"/>
      <c r="K24" s="133" t="s">
        <v>579</v>
      </c>
      <c r="L24" s="133">
        <v>3035</v>
      </c>
      <c r="M24" s="133" t="s">
        <v>565</v>
      </c>
    </row>
    <row r="25" spans="1:13">
      <c r="A25" s="131" t="s">
        <v>575</v>
      </c>
      <c r="B25" s="132" t="s">
        <v>580</v>
      </c>
      <c r="C25" s="131" t="s">
        <v>575</v>
      </c>
      <c r="D25" s="127">
        <v>602</v>
      </c>
      <c r="E25" s="127">
        <v>1459</v>
      </c>
      <c r="F25" s="127">
        <v>2424</v>
      </c>
      <c r="I25" s="133" t="s">
        <v>577</v>
      </c>
      <c r="J25" s="987"/>
      <c r="K25" s="133" t="s">
        <v>580</v>
      </c>
      <c r="L25" s="133">
        <v>2443</v>
      </c>
      <c r="M25" s="133" t="s">
        <v>565</v>
      </c>
    </row>
    <row r="26" spans="1:13">
      <c r="A26" s="131" t="s">
        <v>575</v>
      </c>
      <c r="B26" s="132" t="s">
        <v>581</v>
      </c>
      <c r="C26" s="131" t="s">
        <v>575</v>
      </c>
      <c r="D26" s="127">
        <v>574</v>
      </c>
      <c r="E26" s="127">
        <v>329</v>
      </c>
      <c r="F26" s="127">
        <v>573</v>
      </c>
      <c r="I26" s="133" t="s">
        <v>577</v>
      </c>
      <c r="J26" s="988"/>
      <c r="K26" s="133" t="s">
        <v>582</v>
      </c>
      <c r="L26" s="133">
        <v>573</v>
      </c>
      <c r="M26" s="133" t="s">
        <v>565</v>
      </c>
    </row>
    <row r="27" spans="1:13">
      <c r="A27" s="131" t="s">
        <v>583</v>
      </c>
      <c r="B27" s="132" t="s">
        <v>583</v>
      </c>
      <c r="C27" s="131" t="s">
        <v>583</v>
      </c>
      <c r="D27" s="127">
        <v>446</v>
      </c>
      <c r="E27" s="127">
        <v>3128</v>
      </c>
      <c r="F27" s="127">
        <v>7011</v>
      </c>
      <c r="I27" s="133" t="s">
        <v>584</v>
      </c>
      <c r="J27" s="986">
        <f>SUM(L27:L32)</f>
        <v>7161</v>
      </c>
      <c r="K27" s="133" t="s">
        <v>381</v>
      </c>
      <c r="L27" s="133">
        <v>663</v>
      </c>
      <c r="M27" s="133" t="s">
        <v>565</v>
      </c>
    </row>
    <row r="28" spans="1:13">
      <c r="A28" s="131" t="s">
        <v>583</v>
      </c>
      <c r="B28" s="132" t="s">
        <v>381</v>
      </c>
      <c r="C28" s="131" t="s">
        <v>583</v>
      </c>
      <c r="D28" s="127">
        <v>529</v>
      </c>
      <c r="E28" s="127">
        <v>350</v>
      </c>
      <c r="F28" s="127">
        <v>662</v>
      </c>
      <c r="I28" s="133" t="s">
        <v>584</v>
      </c>
      <c r="J28" s="987"/>
      <c r="K28" s="133" t="s">
        <v>379</v>
      </c>
      <c r="L28" s="133">
        <v>1214</v>
      </c>
      <c r="M28" s="133" t="s">
        <v>565</v>
      </c>
    </row>
    <row r="29" spans="1:13">
      <c r="A29" s="131" t="s">
        <v>583</v>
      </c>
      <c r="B29" s="132" t="s">
        <v>379</v>
      </c>
      <c r="C29" s="131" t="s">
        <v>583</v>
      </c>
      <c r="D29" s="127">
        <v>398</v>
      </c>
      <c r="E29" s="127">
        <v>483</v>
      </c>
      <c r="F29" s="127">
        <v>1213</v>
      </c>
      <c r="I29" s="133" t="s">
        <v>584</v>
      </c>
      <c r="J29" s="987"/>
      <c r="K29" s="133" t="s">
        <v>583</v>
      </c>
      <c r="L29" s="133">
        <v>1090</v>
      </c>
      <c r="M29" s="133" t="s">
        <v>566</v>
      </c>
    </row>
    <row r="30" spans="1:13">
      <c r="A30" s="131" t="s">
        <v>583</v>
      </c>
      <c r="B30" s="132" t="s">
        <v>583</v>
      </c>
      <c r="C30" s="131" t="s">
        <v>583</v>
      </c>
      <c r="D30" s="127">
        <v>407</v>
      </c>
      <c r="E30" s="127">
        <v>1397</v>
      </c>
      <c r="F30" s="127">
        <v>3433</v>
      </c>
      <c r="I30" s="133" t="s">
        <v>584</v>
      </c>
      <c r="J30" s="987"/>
      <c r="K30" s="133" t="s">
        <v>583</v>
      </c>
      <c r="L30" s="133">
        <v>2489</v>
      </c>
      <c r="M30" s="133" t="s">
        <v>565</v>
      </c>
    </row>
    <row r="31" spans="1:13">
      <c r="A31" s="131" t="s">
        <v>583</v>
      </c>
      <c r="B31" s="132" t="s">
        <v>342</v>
      </c>
      <c r="C31" s="131" t="s">
        <v>583</v>
      </c>
      <c r="D31" s="127">
        <v>404</v>
      </c>
      <c r="E31" s="127">
        <v>200</v>
      </c>
      <c r="F31" s="127">
        <v>495</v>
      </c>
      <c r="I31" s="133" t="s">
        <v>584</v>
      </c>
      <c r="J31" s="987"/>
      <c r="K31" s="133" t="s">
        <v>342</v>
      </c>
      <c r="L31" s="133">
        <v>495</v>
      </c>
      <c r="M31" s="133" t="s">
        <v>565</v>
      </c>
    </row>
    <row r="32" spans="1:13">
      <c r="A32" s="131" t="s">
        <v>583</v>
      </c>
      <c r="B32" s="132" t="s">
        <v>384</v>
      </c>
      <c r="C32" s="131" t="s">
        <v>583</v>
      </c>
      <c r="D32" s="127">
        <v>578</v>
      </c>
      <c r="E32" s="127">
        <v>698</v>
      </c>
      <c r="F32" s="127">
        <v>1208</v>
      </c>
      <c r="I32" s="133" t="s">
        <v>584</v>
      </c>
      <c r="J32" s="988"/>
      <c r="K32" s="133" t="s">
        <v>384</v>
      </c>
      <c r="L32" s="133">
        <v>1210</v>
      </c>
      <c r="M32" s="133" t="s">
        <v>565</v>
      </c>
    </row>
    <row r="33" spans="1:13">
      <c r="A33" s="131" t="s">
        <v>232</v>
      </c>
      <c r="B33" s="132" t="s">
        <v>585</v>
      </c>
      <c r="C33" s="131" t="s">
        <v>232</v>
      </c>
      <c r="D33" s="127">
        <v>673</v>
      </c>
      <c r="E33" s="127">
        <v>9863</v>
      </c>
      <c r="F33" s="127">
        <v>14646</v>
      </c>
      <c r="I33" s="133" t="s">
        <v>586</v>
      </c>
      <c r="J33" s="986">
        <f>SUM(L33:L40)</f>
        <v>14799</v>
      </c>
      <c r="K33" s="133" t="s">
        <v>587</v>
      </c>
      <c r="L33" s="133">
        <v>2086</v>
      </c>
      <c r="M33" s="133" t="s">
        <v>565</v>
      </c>
    </row>
    <row r="34" spans="1:13">
      <c r="A34" s="131" t="s">
        <v>232</v>
      </c>
      <c r="B34" s="132" t="s">
        <v>587</v>
      </c>
      <c r="C34" s="131" t="s">
        <v>232</v>
      </c>
      <c r="D34" s="127">
        <v>547</v>
      </c>
      <c r="E34" s="127">
        <v>1127</v>
      </c>
      <c r="F34" s="127">
        <v>2062</v>
      </c>
      <c r="I34" s="133" t="s">
        <v>586</v>
      </c>
      <c r="J34" s="987"/>
      <c r="K34" s="133" t="s">
        <v>228</v>
      </c>
      <c r="L34" s="133">
        <v>1565</v>
      </c>
      <c r="M34" s="133" t="s">
        <v>566</v>
      </c>
    </row>
    <row r="35" spans="1:13">
      <c r="A35" s="131" t="s">
        <v>232</v>
      </c>
      <c r="B35" s="132" t="s">
        <v>228</v>
      </c>
      <c r="C35" s="131" t="s">
        <v>232</v>
      </c>
      <c r="D35" s="127">
        <v>478</v>
      </c>
      <c r="E35" s="127">
        <v>1612</v>
      </c>
      <c r="F35" s="127">
        <v>3374</v>
      </c>
      <c r="I35" s="133" t="s">
        <v>586</v>
      </c>
      <c r="J35" s="987"/>
      <c r="K35" s="133" t="s">
        <v>228</v>
      </c>
      <c r="L35" s="133">
        <v>1873</v>
      </c>
      <c r="M35" s="133" t="s">
        <v>565</v>
      </c>
    </row>
    <row r="36" spans="1:13">
      <c r="A36" s="131" t="s">
        <v>232</v>
      </c>
      <c r="B36" s="132" t="s">
        <v>236</v>
      </c>
      <c r="C36" s="131" t="s">
        <v>232</v>
      </c>
      <c r="D36" s="127">
        <v>844</v>
      </c>
      <c r="E36" s="127">
        <v>1969</v>
      </c>
      <c r="F36" s="127">
        <v>2332</v>
      </c>
      <c r="I36" s="133" t="s">
        <v>586</v>
      </c>
      <c r="J36" s="987"/>
      <c r="K36" s="133" t="s">
        <v>236</v>
      </c>
      <c r="L36" s="133">
        <v>2335</v>
      </c>
      <c r="M36" s="133" t="s">
        <v>565</v>
      </c>
    </row>
    <row r="37" spans="1:13">
      <c r="A37" s="131" t="s">
        <v>232</v>
      </c>
      <c r="B37" s="132" t="s">
        <v>588</v>
      </c>
      <c r="C37" s="131" t="s">
        <v>232</v>
      </c>
      <c r="D37" s="127">
        <v>749</v>
      </c>
      <c r="E37" s="127">
        <v>747</v>
      </c>
      <c r="F37" s="127">
        <v>997</v>
      </c>
      <c r="I37" s="133" t="s">
        <v>586</v>
      </c>
      <c r="J37" s="987"/>
      <c r="K37" s="133" t="s">
        <v>588</v>
      </c>
      <c r="L37" s="133">
        <v>997</v>
      </c>
      <c r="M37" s="133" t="s">
        <v>565</v>
      </c>
    </row>
    <row r="38" spans="1:13">
      <c r="A38" s="131" t="s">
        <v>232</v>
      </c>
      <c r="B38" s="132" t="s">
        <v>223</v>
      </c>
      <c r="C38" s="131" t="s">
        <v>232</v>
      </c>
      <c r="D38" s="127">
        <v>647</v>
      </c>
      <c r="E38" s="127">
        <v>117</v>
      </c>
      <c r="F38" s="127">
        <v>1809</v>
      </c>
      <c r="I38" s="133" t="s">
        <v>586</v>
      </c>
      <c r="J38" s="987"/>
      <c r="K38" s="133" t="s">
        <v>223</v>
      </c>
      <c r="L38" s="133">
        <v>1871</v>
      </c>
      <c r="M38" s="133" t="s">
        <v>565</v>
      </c>
    </row>
    <row r="39" spans="1:13">
      <c r="A39" s="131" t="s">
        <v>232</v>
      </c>
      <c r="B39" s="132" t="s">
        <v>239</v>
      </c>
      <c r="C39" s="131" t="s">
        <v>232</v>
      </c>
      <c r="D39" s="127">
        <v>836</v>
      </c>
      <c r="E39" s="127">
        <v>1936</v>
      </c>
      <c r="F39" s="127">
        <v>2316</v>
      </c>
      <c r="I39" s="133" t="s">
        <v>586</v>
      </c>
      <c r="J39" s="987"/>
      <c r="K39" s="133" t="s">
        <v>239</v>
      </c>
      <c r="L39" s="133">
        <v>2316</v>
      </c>
      <c r="M39" s="133" t="s">
        <v>565</v>
      </c>
    </row>
    <row r="40" spans="1:13">
      <c r="A40" s="131" t="s">
        <v>232</v>
      </c>
      <c r="B40" s="132" t="s">
        <v>589</v>
      </c>
      <c r="C40" s="131" t="s">
        <v>232</v>
      </c>
      <c r="D40" s="127">
        <v>741</v>
      </c>
      <c r="E40" s="127">
        <v>1302</v>
      </c>
      <c r="F40" s="127">
        <v>1756</v>
      </c>
      <c r="I40" s="133" t="s">
        <v>586</v>
      </c>
      <c r="J40" s="988"/>
      <c r="K40" s="133" t="s">
        <v>589</v>
      </c>
      <c r="L40" s="133">
        <v>1756</v>
      </c>
      <c r="M40" s="133" t="s">
        <v>565</v>
      </c>
    </row>
    <row r="41" spans="1:13">
      <c r="A41" s="131" t="s">
        <v>590</v>
      </c>
      <c r="B41" s="132" t="s">
        <v>250</v>
      </c>
      <c r="C41" s="131" t="s">
        <v>590</v>
      </c>
      <c r="D41" s="127">
        <v>603</v>
      </c>
      <c r="E41" s="127">
        <v>7655</v>
      </c>
      <c r="F41" s="127">
        <v>12688</v>
      </c>
      <c r="I41" s="133" t="s">
        <v>591</v>
      </c>
      <c r="J41" s="986">
        <f>SUM(L41:L46)</f>
        <v>12716</v>
      </c>
      <c r="K41" s="133" t="s">
        <v>592</v>
      </c>
      <c r="L41" s="133">
        <v>2751</v>
      </c>
      <c r="M41" s="133" t="s">
        <v>565</v>
      </c>
    </row>
    <row r="42" spans="1:13">
      <c r="A42" s="131" t="s">
        <v>590</v>
      </c>
      <c r="B42" s="132" t="s">
        <v>189</v>
      </c>
      <c r="C42" s="131" t="s">
        <v>590</v>
      </c>
      <c r="D42" s="127">
        <v>603</v>
      </c>
      <c r="E42" s="127">
        <v>1656</v>
      </c>
      <c r="F42" s="127">
        <v>2748</v>
      </c>
      <c r="I42" s="133" t="s">
        <v>591</v>
      </c>
      <c r="J42" s="987"/>
      <c r="K42" s="133" t="s">
        <v>590</v>
      </c>
      <c r="L42" s="133">
        <v>1109</v>
      </c>
      <c r="M42" s="133" t="s">
        <v>565</v>
      </c>
    </row>
    <row r="43" spans="1:13">
      <c r="A43" s="131" t="s">
        <v>590</v>
      </c>
      <c r="B43" s="132" t="s">
        <v>250</v>
      </c>
      <c r="C43" s="131" t="s">
        <v>590</v>
      </c>
      <c r="D43" s="127">
        <v>276</v>
      </c>
      <c r="E43" s="127">
        <v>690</v>
      </c>
      <c r="F43" s="127">
        <v>2504</v>
      </c>
      <c r="I43" s="133" t="s">
        <v>591</v>
      </c>
      <c r="J43" s="987"/>
      <c r="K43" s="133" t="s">
        <v>590</v>
      </c>
      <c r="L43" s="133">
        <v>1412</v>
      </c>
      <c r="M43" s="133" t="s">
        <v>566</v>
      </c>
    </row>
    <row r="44" spans="1:13">
      <c r="A44" s="131" t="s">
        <v>590</v>
      </c>
      <c r="B44" s="132" t="s">
        <v>207</v>
      </c>
      <c r="C44" s="131" t="s">
        <v>590</v>
      </c>
      <c r="D44" s="127">
        <v>739</v>
      </c>
      <c r="E44" s="127">
        <v>3338</v>
      </c>
      <c r="F44" s="127">
        <v>4515</v>
      </c>
      <c r="I44" s="133" t="s">
        <v>591</v>
      </c>
      <c r="J44" s="987"/>
      <c r="K44" s="133" t="s">
        <v>207</v>
      </c>
      <c r="L44" s="133">
        <v>4520</v>
      </c>
      <c r="M44" s="133" t="s">
        <v>565</v>
      </c>
    </row>
    <row r="45" spans="1:13">
      <c r="A45" s="131" t="s">
        <v>590</v>
      </c>
      <c r="B45" s="132" t="s">
        <v>172</v>
      </c>
      <c r="C45" s="131" t="s">
        <v>590</v>
      </c>
      <c r="D45" s="127">
        <v>653</v>
      </c>
      <c r="E45" s="127">
        <v>494</v>
      </c>
      <c r="F45" s="127">
        <v>756</v>
      </c>
      <c r="I45" s="133" t="s">
        <v>591</v>
      </c>
      <c r="J45" s="987"/>
      <c r="K45" s="133" t="s">
        <v>593</v>
      </c>
      <c r="L45" s="133">
        <v>756</v>
      </c>
      <c r="M45" s="133" t="s">
        <v>565</v>
      </c>
    </row>
    <row r="46" spans="1:13">
      <c r="A46" s="131" t="s">
        <v>590</v>
      </c>
      <c r="B46" s="132" t="s">
        <v>205</v>
      </c>
      <c r="C46" s="131" t="s">
        <v>590</v>
      </c>
      <c r="D46" s="127">
        <v>682</v>
      </c>
      <c r="E46" s="127">
        <v>1477</v>
      </c>
      <c r="F46" s="127">
        <v>2165</v>
      </c>
      <c r="I46" s="133" t="s">
        <v>591</v>
      </c>
      <c r="J46" s="988"/>
      <c r="K46" s="133" t="s">
        <v>205</v>
      </c>
      <c r="L46" s="133">
        <v>2168</v>
      </c>
      <c r="M46" s="133" t="s">
        <v>565</v>
      </c>
    </row>
    <row r="47" spans="1:13">
      <c r="A47" s="131" t="s">
        <v>430</v>
      </c>
      <c r="B47" s="132" t="s">
        <v>594</v>
      </c>
      <c r="C47" s="131" t="s">
        <v>430</v>
      </c>
      <c r="D47" s="127">
        <v>173</v>
      </c>
      <c r="E47" s="127">
        <v>36485</v>
      </c>
      <c r="F47" s="127">
        <v>211373</v>
      </c>
      <c r="I47" s="133" t="s">
        <v>430</v>
      </c>
      <c r="J47" s="986">
        <f>SUM(L47:L62)</f>
        <v>214855</v>
      </c>
      <c r="K47" s="133" t="s">
        <v>478</v>
      </c>
      <c r="L47" s="133">
        <v>1177</v>
      </c>
      <c r="M47" s="133" t="s">
        <v>565</v>
      </c>
    </row>
    <row r="48" spans="1:13">
      <c r="A48" s="131" t="s">
        <v>430</v>
      </c>
      <c r="B48" s="132" t="s">
        <v>478</v>
      </c>
      <c r="C48" s="131" t="s">
        <v>430</v>
      </c>
      <c r="D48" s="127">
        <v>591</v>
      </c>
      <c r="E48" s="127">
        <v>696</v>
      </c>
      <c r="F48" s="127">
        <v>1177</v>
      </c>
      <c r="I48" s="133" t="s">
        <v>430</v>
      </c>
      <c r="J48" s="987"/>
      <c r="K48" s="133" t="s">
        <v>480</v>
      </c>
      <c r="L48" s="133">
        <v>2466</v>
      </c>
      <c r="M48" s="133" t="s">
        <v>565</v>
      </c>
    </row>
    <row r="49" spans="1:13">
      <c r="A49" s="131" t="s">
        <v>430</v>
      </c>
      <c r="B49" s="132" t="s">
        <v>480</v>
      </c>
      <c r="C49" s="131" t="s">
        <v>430</v>
      </c>
      <c r="D49" s="127">
        <v>588</v>
      </c>
      <c r="E49" s="127">
        <v>1446</v>
      </c>
      <c r="F49" s="127">
        <v>2458</v>
      </c>
      <c r="I49" s="133" t="s">
        <v>430</v>
      </c>
      <c r="J49" s="987"/>
      <c r="K49" s="133" t="s">
        <v>484</v>
      </c>
      <c r="L49" s="133">
        <v>1628</v>
      </c>
      <c r="M49" s="133" t="s">
        <v>565</v>
      </c>
    </row>
    <row r="50" spans="1:13">
      <c r="A50" s="131" t="s">
        <v>430</v>
      </c>
      <c r="B50" s="132" t="s">
        <v>484</v>
      </c>
      <c r="C50" s="131" t="s">
        <v>430</v>
      </c>
      <c r="D50" s="127">
        <v>367</v>
      </c>
      <c r="E50" s="127">
        <v>589</v>
      </c>
      <c r="F50" s="127">
        <v>1606</v>
      </c>
      <c r="I50" s="133" t="s">
        <v>430</v>
      </c>
      <c r="J50" s="987"/>
      <c r="K50" s="133" t="s">
        <v>595</v>
      </c>
      <c r="L50" s="133">
        <v>2060</v>
      </c>
      <c r="M50" s="133" t="s">
        <v>565</v>
      </c>
    </row>
    <row r="51" spans="1:13">
      <c r="A51" s="131" t="s">
        <v>430</v>
      </c>
      <c r="B51" s="132" t="s">
        <v>595</v>
      </c>
      <c r="C51" s="131" t="s">
        <v>430</v>
      </c>
      <c r="D51" s="127">
        <v>654</v>
      </c>
      <c r="E51" s="127">
        <v>1347</v>
      </c>
      <c r="F51" s="127">
        <v>206</v>
      </c>
      <c r="I51" s="133" t="s">
        <v>430</v>
      </c>
      <c r="J51" s="987"/>
      <c r="K51" s="133" t="s">
        <v>498</v>
      </c>
      <c r="L51" s="133">
        <v>1114</v>
      </c>
      <c r="M51" s="133" t="s">
        <v>565</v>
      </c>
    </row>
    <row r="52" spans="1:13">
      <c r="A52" s="131" t="s">
        <v>430</v>
      </c>
      <c r="B52" s="132" t="s">
        <v>498</v>
      </c>
      <c r="C52" s="131" t="s">
        <v>430</v>
      </c>
      <c r="D52" s="127">
        <v>484</v>
      </c>
      <c r="E52" s="127">
        <v>539</v>
      </c>
      <c r="F52" s="127">
        <v>1114</v>
      </c>
      <c r="I52" s="133" t="s">
        <v>430</v>
      </c>
      <c r="J52" s="987"/>
      <c r="K52" s="133" t="s">
        <v>430</v>
      </c>
      <c r="L52" s="133">
        <v>10337</v>
      </c>
      <c r="M52" s="133" t="s">
        <v>565</v>
      </c>
    </row>
    <row r="53" spans="1:13">
      <c r="A53" s="131" t="s">
        <v>430</v>
      </c>
      <c r="B53" s="132" t="s">
        <v>430</v>
      </c>
      <c r="C53" s="131" t="s">
        <v>430</v>
      </c>
      <c r="D53" s="127">
        <v>116</v>
      </c>
      <c r="E53" s="127">
        <v>20662</v>
      </c>
      <c r="F53" s="127">
        <v>177534</v>
      </c>
      <c r="I53" s="133" t="s">
        <v>430</v>
      </c>
      <c r="J53" s="987"/>
      <c r="K53" s="133" t="s">
        <v>430</v>
      </c>
      <c r="L53" s="133">
        <v>170280</v>
      </c>
      <c r="M53" s="133" t="s">
        <v>566</v>
      </c>
    </row>
    <row r="54" spans="1:13">
      <c r="A54" s="131" t="s">
        <v>430</v>
      </c>
      <c r="B54" s="132" t="s">
        <v>596</v>
      </c>
      <c r="C54" s="131" t="s">
        <v>596</v>
      </c>
      <c r="E54" s="127">
        <v>151715</v>
      </c>
      <c r="F54" s="127">
        <v>151715</v>
      </c>
      <c r="I54" s="133"/>
      <c r="J54" s="987"/>
      <c r="K54" s="133"/>
      <c r="L54" s="133"/>
      <c r="M54" s="133"/>
    </row>
    <row r="55" spans="1:13">
      <c r="A55" s="131" t="s">
        <v>430</v>
      </c>
      <c r="B55" s="132" t="s">
        <v>425</v>
      </c>
      <c r="C55" s="131" t="s">
        <v>430</v>
      </c>
      <c r="D55" s="127">
        <v>372</v>
      </c>
      <c r="E55" s="127">
        <v>2611</v>
      </c>
      <c r="F55" s="127">
        <v>7019</v>
      </c>
      <c r="I55" s="133" t="s">
        <v>430</v>
      </c>
      <c r="J55" s="987"/>
      <c r="K55" s="133" t="s">
        <v>597</v>
      </c>
      <c r="L55" s="133">
        <v>7114</v>
      </c>
      <c r="M55" s="133" t="s">
        <v>565</v>
      </c>
    </row>
    <row r="56" spans="1:13">
      <c r="A56" s="131" t="s">
        <v>430</v>
      </c>
      <c r="B56" s="132" t="s">
        <v>598</v>
      </c>
      <c r="C56" s="131" t="s">
        <v>430</v>
      </c>
      <c r="D56" s="127">
        <v>317</v>
      </c>
      <c r="E56" s="127">
        <v>439</v>
      </c>
      <c r="F56" s="127">
        <v>1384</v>
      </c>
      <c r="I56" s="133" t="s">
        <v>430</v>
      </c>
      <c r="J56" s="987"/>
      <c r="K56" s="133" t="s">
        <v>598</v>
      </c>
      <c r="L56" s="133">
        <v>1384</v>
      </c>
      <c r="M56" s="133" t="s">
        <v>565</v>
      </c>
    </row>
    <row r="57" spans="1:13">
      <c r="A57" s="131" t="s">
        <v>430</v>
      </c>
      <c r="B57" s="132" t="s">
        <v>488</v>
      </c>
      <c r="C57" s="131" t="s">
        <v>430</v>
      </c>
      <c r="D57" s="127">
        <v>617</v>
      </c>
      <c r="E57" s="127">
        <v>288</v>
      </c>
      <c r="F57" s="127">
        <v>4668</v>
      </c>
      <c r="I57" s="133" t="s">
        <v>430</v>
      </c>
      <c r="J57" s="987"/>
      <c r="K57" s="133" t="s">
        <v>488</v>
      </c>
      <c r="L57" s="133">
        <v>4673</v>
      </c>
      <c r="M57" s="133" t="s">
        <v>565</v>
      </c>
    </row>
    <row r="58" spans="1:13">
      <c r="A58" s="131" t="s">
        <v>430</v>
      </c>
      <c r="B58" s="132" t="s">
        <v>599</v>
      </c>
      <c r="C58" s="131" t="s">
        <v>430</v>
      </c>
      <c r="D58" s="127">
        <v>225</v>
      </c>
      <c r="E58" s="127">
        <v>288</v>
      </c>
      <c r="F58" s="127">
        <v>1282</v>
      </c>
      <c r="I58" s="133" t="s">
        <v>430</v>
      </c>
      <c r="J58" s="987"/>
      <c r="K58" s="133" t="s">
        <v>599</v>
      </c>
      <c r="L58" s="133">
        <v>1289</v>
      </c>
      <c r="M58" s="133" t="s">
        <v>565</v>
      </c>
    </row>
    <row r="59" spans="1:13">
      <c r="A59" s="131" t="s">
        <v>430</v>
      </c>
      <c r="B59" s="132" t="s">
        <v>600</v>
      </c>
      <c r="C59" s="131" t="s">
        <v>430</v>
      </c>
      <c r="D59" s="127">
        <v>610</v>
      </c>
      <c r="E59" s="127">
        <v>838</v>
      </c>
      <c r="F59" s="127">
        <v>1373</v>
      </c>
      <c r="I59" s="133" t="s">
        <v>430</v>
      </c>
      <c r="J59" s="987"/>
      <c r="K59" s="133" t="s">
        <v>600</v>
      </c>
      <c r="L59" s="133">
        <v>1373</v>
      </c>
      <c r="M59" s="133" t="s">
        <v>565</v>
      </c>
    </row>
    <row r="60" spans="1:13">
      <c r="A60" s="131" t="s">
        <v>430</v>
      </c>
      <c r="B60" s="132" t="s">
        <v>477</v>
      </c>
      <c r="C60" s="131" t="s">
        <v>430</v>
      </c>
      <c r="D60" s="127">
        <v>715</v>
      </c>
      <c r="E60" s="127">
        <v>2613</v>
      </c>
      <c r="F60" s="127">
        <v>3654</v>
      </c>
      <c r="I60" s="133" t="s">
        <v>430</v>
      </c>
      <c r="J60" s="987"/>
      <c r="K60" s="133" t="s">
        <v>477</v>
      </c>
      <c r="L60" s="133">
        <v>3663</v>
      </c>
      <c r="M60" s="133" t="s">
        <v>565</v>
      </c>
    </row>
    <row r="61" spans="1:13">
      <c r="A61" s="131" t="s">
        <v>430</v>
      </c>
      <c r="B61" s="132" t="s">
        <v>601</v>
      </c>
      <c r="C61" s="131" t="s">
        <v>430</v>
      </c>
      <c r="D61" s="127">
        <v>235</v>
      </c>
      <c r="E61" s="127">
        <v>1088</v>
      </c>
      <c r="F61" s="127">
        <v>4628</v>
      </c>
      <c r="I61" s="133" t="s">
        <v>430</v>
      </c>
      <c r="J61" s="987"/>
      <c r="K61" s="133" t="s">
        <v>602</v>
      </c>
      <c r="L61" s="133">
        <v>4778</v>
      </c>
      <c r="M61" s="133" t="s">
        <v>565</v>
      </c>
    </row>
    <row r="62" spans="1:13">
      <c r="A62" s="131" t="s">
        <v>430</v>
      </c>
      <c r="B62" s="132" t="s">
        <v>428</v>
      </c>
      <c r="C62" s="131" t="s">
        <v>430</v>
      </c>
      <c r="D62" s="127">
        <v>317</v>
      </c>
      <c r="E62" s="127">
        <v>449</v>
      </c>
      <c r="F62" s="127">
        <v>1416</v>
      </c>
      <c r="I62" s="133" t="s">
        <v>430</v>
      </c>
      <c r="J62" s="988"/>
      <c r="K62" s="133" t="s">
        <v>603</v>
      </c>
      <c r="L62" s="133">
        <v>1519</v>
      </c>
      <c r="M62" s="133" t="s">
        <v>565</v>
      </c>
    </row>
    <row r="63" spans="1:13">
      <c r="A63" s="131" t="s">
        <v>604</v>
      </c>
      <c r="B63" s="132" t="s">
        <v>306</v>
      </c>
      <c r="C63" s="131" t="s">
        <v>604</v>
      </c>
      <c r="D63" s="127">
        <v>354</v>
      </c>
      <c r="E63" s="127">
        <v>6573</v>
      </c>
      <c r="F63" s="127">
        <v>18556</v>
      </c>
      <c r="I63" s="133" t="s">
        <v>605</v>
      </c>
      <c r="J63" s="986">
        <f>SUM(L63:L67)</f>
        <v>19018</v>
      </c>
      <c r="K63" s="133" t="s">
        <v>606</v>
      </c>
      <c r="L63" s="133">
        <v>1557</v>
      </c>
      <c r="M63" s="133" t="s">
        <v>565</v>
      </c>
    </row>
    <row r="64" spans="1:13">
      <c r="A64" s="131" t="s">
        <v>604</v>
      </c>
      <c r="B64" s="132" t="s">
        <v>606</v>
      </c>
      <c r="C64" s="131" t="s">
        <v>604</v>
      </c>
      <c r="D64" s="127">
        <v>692</v>
      </c>
      <c r="E64" s="127">
        <v>1077</v>
      </c>
      <c r="F64" s="127">
        <v>1557</v>
      </c>
      <c r="I64" s="133" t="s">
        <v>605</v>
      </c>
      <c r="J64" s="987"/>
      <c r="K64" s="133" t="s">
        <v>607</v>
      </c>
      <c r="L64" s="133">
        <v>1080</v>
      </c>
      <c r="M64" s="133" t="s">
        <v>565</v>
      </c>
    </row>
    <row r="65" spans="1:13">
      <c r="A65" s="131" t="s">
        <v>604</v>
      </c>
      <c r="B65" s="132" t="s">
        <v>607</v>
      </c>
      <c r="C65" s="131" t="s">
        <v>604</v>
      </c>
      <c r="D65" s="127">
        <v>800</v>
      </c>
      <c r="E65" s="127">
        <v>864</v>
      </c>
      <c r="F65" s="127">
        <v>108</v>
      </c>
      <c r="I65" s="133" t="s">
        <v>605</v>
      </c>
      <c r="J65" s="987"/>
      <c r="K65" s="133" t="s">
        <v>604</v>
      </c>
      <c r="L65" s="133">
        <v>3143</v>
      </c>
      <c r="M65" s="133" t="s">
        <v>565</v>
      </c>
    </row>
    <row r="66" spans="1:13">
      <c r="A66" s="131" t="s">
        <v>604</v>
      </c>
      <c r="B66" s="132" t="s">
        <v>608</v>
      </c>
      <c r="C66" s="131" t="s">
        <v>604</v>
      </c>
      <c r="D66" s="127">
        <v>286</v>
      </c>
      <c r="E66" s="127">
        <v>4367</v>
      </c>
      <c r="F66" s="127">
        <v>15281</v>
      </c>
      <c r="I66" s="133" t="s">
        <v>605</v>
      </c>
      <c r="J66" s="987"/>
      <c r="K66" s="133" t="s">
        <v>604</v>
      </c>
      <c r="L66" s="133">
        <v>12587</v>
      </c>
      <c r="M66" s="133" t="s">
        <v>566</v>
      </c>
    </row>
    <row r="67" spans="1:13">
      <c r="A67" s="131" t="s">
        <v>604</v>
      </c>
      <c r="B67" s="132" t="s">
        <v>609</v>
      </c>
      <c r="C67" s="131" t="s">
        <v>604</v>
      </c>
      <c r="D67" s="127">
        <v>415</v>
      </c>
      <c r="E67" s="127">
        <v>265</v>
      </c>
      <c r="F67" s="127">
        <v>638</v>
      </c>
      <c r="I67" s="133" t="s">
        <v>605</v>
      </c>
      <c r="J67" s="988"/>
      <c r="K67" s="133" t="s">
        <v>610</v>
      </c>
      <c r="L67" s="133">
        <v>651</v>
      </c>
      <c r="M67" s="133" t="s">
        <v>565</v>
      </c>
    </row>
    <row r="68" spans="1:13">
      <c r="A68" s="131" t="s">
        <v>611</v>
      </c>
      <c r="B68" s="132" t="s">
        <v>611</v>
      </c>
      <c r="C68" s="131" t="s">
        <v>611</v>
      </c>
      <c r="D68" s="127">
        <v>571</v>
      </c>
      <c r="E68" s="127">
        <v>2775</v>
      </c>
      <c r="F68" s="127">
        <v>4862</v>
      </c>
      <c r="I68" s="133" t="s">
        <v>612</v>
      </c>
      <c r="J68" s="986">
        <f>SUM(L68:L70)</f>
        <v>4870</v>
      </c>
      <c r="K68" s="133" t="s">
        <v>411</v>
      </c>
      <c r="L68" s="133">
        <v>668</v>
      </c>
      <c r="M68" s="133" t="s">
        <v>565</v>
      </c>
    </row>
    <row r="69" spans="1:13">
      <c r="A69" s="131" t="s">
        <v>611</v>
      </c>
      <c r="B69" s="132" t="s">
        <v>411</v>
      </c>
      <c r="C69" s="131" t="s">
        <v>611</v>
      </c>
      <c r="D69" s="127">
        <v>766</v>
      </c>
      <c r="E69" s="127">
        <v>512</v>
      </c>
      <c r="F69" s="127">
        <v>668</v>
      </c>
      <c r="I69" s="133" t="s">
        <v>612</v>
      </c>
      <c r="J69" s="987"/>
      <c r="K69" s="133" t="s">
        <v>611</v>
      </c>
      <c r="L69" s="133">
        <v>622</v>
      </c>
      <c r="M69" s="133" t="s">
        <v>566</v>
      </c>
    </row>
    <row r="70" spans="1:13">
      <c r="A70" s="131" t="s">
        <v>611</v>
      </c>
      <c r="B70" s="132" t="s">
        <v>613</v>
      </c>
      <c r="C70" s="131" t="s">
        <v>611</v>
      </c>
      <c r="D70" s="127">
        <v>540</v>
      </c>
      <c r="E70" s="127">
        <v>2263</v>
      </c>
      <c r="F70" s="127">
        <v>4194</v>
      </c>
      <c r="I70" s="133" t="s">
        <v>612</v>
      </c>
      <c r="J70" s="988"/>
      <c r="K70" s="133" t="s">
        <v>611</v>
      </c>
      <c r="L70" s="133">
        <v>3580</v>
      </c>
      <c r="M70" s="133" t="s">
        <v>565</v>
      </c>
    </row>
    <row r="71" spans="1:13">
      <c r="A71" s="131" t="s">
        <v>614</v>
      </c>
      <c r="B71" s="132" t="s">
        <v>614</v>
      </c>
      <c r="C71" s="131" t="s">
        <v>614</v>
      </c>
      <c r="D71" s="127">
        <v>543</v>
      </c>
      <c r="E71" s="127">
        <v>12852</v>
      </c>
      <c r="F71" s="127">
        <v>23659</v>
      </c>
      <c r="I71" s="133" t="s">
        <v>615</v>
      </c>
      <c r="J71" s="986">
        <f>SUM(L71:L80)</f>
        <v>27606</v>
      </c>
      <c r="K71" s="133" t="s">
        <v>616</v>
      </c>
      <c r="L71" s="133">
        <v>3805</v>
      </c>
      <c r="M71" s="133" t="s">
        <v>565</v>
      </c>
    </row>
    <row r="72" spans="1:13">
      <c r="A72" s="131" t="s">
        <v>614</v>
      </c>
      <c r="B72" s="132" t="s">
        <v>617</v>
      </c>
      <c r="C72" s="131" t="s">
        <v>614</v>
      </c>
      <c r="D72" s="127">
        <v>610</v>
      </c>
      <c r="E72" s="127">
        <v>775</v>
      </c>
      <c r="F72" s="127">
        <v>1271</v>
      </c>
      <c r="I72" s="133" t="s">
        <v>615</v>
      </c>
      <c r="J72" s="987"/>
      <c r="K72" s="133" t="s">
        <v>618</v>
      </c>
      <c r="L72" s="133">
        <v>1271</v>
      </c>
      <c r="M72" s="133" t="s">
        <v>565</v>
      </c>
    </row>
    <row r="73" spans="1:13">
      <c r="A73" s="131" t="s">
        <v>614</v>
      </c>
      <c r="B73" s="132" t="s">
        <v>619</v>
      </c>
      <c r="C73" s="131" t="s">
        <v>614</v>
      </c>
      <c r="D73" s="127">
        <v>655</v>
      </c>
      <c r="E73" s="127">
        <v>1168</v>
      </c>
      <c r="F73" s="127">
        <v>1783</v>
      </c>
      <c r="I73" s="133" t="s">
        <v>615</v>
      </c>
      <c r="J73" s="987"/>
      <c r="K73" s="133" t="s">
        <v>619</v>
      </c>
      <c r="L73" s="133">
        <v>1805</v>
      </c>
      <c r="M73" s="133" t="s">
        <v>565</v>
      </c>
    </row>
    <row r="74" spans="1:13">
      <c r="A74" s="131" t="s">
        <v>614</v>
      </c>
      <c r="B74" s="132" t="s">
        <v>620</v>
      </c>
      <c r="C74" s="131" t="s">
        <v>614</v>
      </c>
      <c r="D74" s="127">
        <v>444</v>
      </c>
      <c r="E74" s="127">
        <v>5364</v>
      </c>
      <c r="F74" s="127">
        <v>12085</v>
      </c>
      <c r="I74" s="133" t="s">
        <v>615</v>
      </c>
      <c r="J74" s="987"/>
      <c r="K74" s="133" t="s">
        <v>621</v>
      </c>
      <c r="L74" s="133">
        <v>5585</v>
      </c>
      <c r="M74" s="133" t="s">
        <v>565</v>
      </c>
    </row>
    <row r="75" spans="1:13">
      <c r="A75" s="131" t="s">
        <v>614</v>
      </c>
      <c r="B75" s="803" t="s">
        <v>1142</v>
      </c>
      <c r="C75" s="131" t="s">
        <v>614</v>
      </c>
      <c r="D75" s="127">
        <v>744</v>
      </c>
      <c r="E75" s="127">
        <v>1934</v>
      </c>
      <c r="F75" s="127">
        <v>2601</v>
      </c>
      <c r="I75" s="133" t="s">
        <v>615</v>
      </c>
      <c r="J75" s="987"/>
      <c r="K75" s="133" t="s">
        <v>621</v>
      </c>
      <c r="L75" s="133">
        <v>6617</v>
      </c>
      <c r="M75" s="133" t="s">
        <v>566</v>
      </c>
    </row>
    <row r="76" spans="1:13">
      <c r="A76" s="131" t="s">
        <v>614</v>
      </c>
      <c r="B76" s="132" t="s">
        <v>401</v>
      </c>
      <c r="C76" s="131" t="s">
        <v>614</v>
      </c>
      <c r="D76" s="127">
        <v>598</v>
      </c>
      <c r="E76" s="127">
        <v>1092</v>
      </c>
      <c r="F76" s="127">
        <v>1825</v>
      </c>
      <c r="I76" s="133" t="s">
        <v>615</v>
      </c>
      <c r="J76" s="987"/>
      <c r="K76" s="133" t="s">
        <v>622</v>
      </c>
      <c r="L76" s="133">
        <v>2602</v>
      </c>
      <c r="M76" s="133" t="s">
        <v>565</v>
      </c>
    </row>
    <row r="77" spans="1:13">
      <c r="A77" s="131" t="s">
        <v>614</v>
      </c>
      <c r="B77" s="132" t="s">
        <v>389</v>
      </c>
      <c r="C77" s="131" t="s">
        <v>614</v>
      </c>
      <c r="D77" s="127">
        <v>614</v>
      </c>
      <c r="E77" s="127">
        <v>1083</v>
      </c>
      <c r="F77" s="127">
        <v>1763</v>
      </c>
      <c r="I77" s="133" t="s">
        <v>615</v>
      </c>
      <c r="J77" s="987"/>
      <c r="K77" s="133" t="s">
        <v>623</v>
      </c>
      <c r="L77" s="133">
        <v>1825</v>
      </c>
      <c r="M77" s="133" t="s">
        <v>565</v>
      </c>
    </row>
    <row r="78" spans="1:13">
      <c r="A78" s="131" t="s">
        <v>614</v>
      </c>
      <c r="B78" s="132" t="s">
        <v>406</v>
      </c>
      <c r="C78" s="131" t="s">
        <v>614</v>
      </c>
      <c r="D78" s="127">
        <v>586</v>
      </c>
      <c r="E78" s="127">
        <v>639</v>
      </c>
      <c r="F78" s="127">
        <v>109</v>
      </c>
      <c r="I78" s="133" t="s">
        <v>615</v>
      </c>
      <c r="J78" s="987"/>
      <c r="K78" s="133" t="s">
        <v>389</v>
      </c>
      <c r="L78" s="133">
        <v>1763</v>
      </c>
      <c r="M78" s="133" t="s">
        <v>565</v>
      </c>
    </row>
    <row r="79" spans="1:13">
      <c r="A79" s="131" t="s">
        <v>614</v>
      </c>
      <c r="B79" s="132" t="s">
        <v>403</v>
      </c>
      <c r="C79" s="131" t="s">
        <v>614</v>
      </c>
      <c r="D79" s="127">
        <v>642</v>
      </c>
      <c r="E79" s="127">
        <v>797</v>
      </c>
      <c r="F79" s="127">
        <v>1241</v>
      </c>
      <c r="I79" s="133" t="s">
        <v>615</v>
      </c>
      <c r="J79" s="987"/>
      <c r="K79" s="133" t="s">
        <v>624</v>
      </c>
      <c r="L79" s="133">
        <v>1091</v>
      </c>
      <c r="M79" s="133" t="s">
        <v>565</v>
      </c>
    </row>
    <row r="80" spans="1:13">
      <c r="A80" s="131" t="s">
        <v>614</v>
      </c>
      <c r="B80" s="132" t="s">
        <v>625</v>
      </c>
      <c r="C80" s="131" t="s">
        <v>614</v>
      </c>
      <c r="D80" s="127">
        <v>584</v>
      </c>
      <c r="E80" s="127">
        <v>5041</v>
      </c>
      <c r="F80" s="127">
        <v>8625</v>
      </c>
      <c r="I80" s="133" t="s">
        <v>615</v>
      </c>
      <c r="J80" s="988"/>
      <c r="K80" s="133" t="s">
        <v>403</v>
      </c>
      <c r="L80" s="133">
        <v>1242</v>
      </c>
      <c r="M80" s="133" t="s">
        <v>565</v>
      </c>
    </row>
    <row r="81" spans="1:13">
      <c r="A81" s="131" t="s">
        <v>625</v>
      </c>
      <c r="B81" s="132" t="s">
        <v>626</v>
      </c>
      <c r="C81" s="131" t="s">
        <v>625</v>
      </c>
      <c r="D81" s="127">
        <v>694</v>
      </c>
      <c r="E81" s="127">
        <v>1311</v>
      </c>
      <c r="F81" s="127">
        <v>1889</v>
      </c>
      <c r="I81" s="133" t="s">
        <v>627</v>
      </c>
      <c r="J81" s="989">
        <f>SUM(L81:L84)</f>
        <v>8645</v>
      </c>
      <c r="K81" s="133" t="s">
        <v>628</v>
      </c>
      <c r="L81" s="133">
        <v>1891</v>
      </c>
      <c r="M81" s="133" t="s">
        <v>565</v>
      </c>
    </row>
    <row r="82" spans="1:13">
      <c r="A82" s="131" t="s">
        <v>625</v>
      </c>
      <c r="B82" s="132" t="s">
        <v>629</v>
      </c>
      <c r="C82" s="131" t="s">
        <v>625</v>
      </c>
      <c r="D82" s="127">
        <v>746</v>
      </c>
      <c r="E82" s="127">
        <v>811</v>
      </c>
      <c r="F82" s="127">
        <v>1087</v>
      </c>
      <c r="I82" s="133" t="s">
        <v>627</v>
      </c>
      <c r="J82" s="990"/>
      <c r="K82" s="133" t="s">
        <v>629</v>
      </c>
      <c r="L82" s="133">
        <v>1089</v>
      </c>
      <c r="M82" s="133" t="s">
        <v>565</v>
      </c>
    </row>
    <row r="83" spans="1:13">
      <c r="A83" s="131" t="s">
        <v>625</v>
      </c>
      <c r="B83" s="132" t="s">
        <v>313</v>
      </c>
      <c r="C83" s="131" t="s">
        <v>625</v>
      </c>
      <c r="D83" s="127">
        <v>517</v>
      </c>
      <c r="E83" s="127">
        <v>2919</v>
      </c>
      <c r="F83" s="127">
        <v>5649</v>
      </c>
      <c r="I83" s="133" t="s">
        <v>627</v>
      </c>
      <c r="J83" s="990"/>
      <c r="K83" s="133" t="s">
        <v>625</v>
      </c>
      <c r="L83" s="133">
        <v>1828</v>
      </c>
      <c r="M83" s="133" t="s">
        <v>566</v>
      </c>
    </row>
    <row r="84" spans="1:13">
      <c r="A84" s="131" t="s">
        <v>625</v>
      </c>
      <c r="B84" s="132" t="s">
        <v>630</v>
      </c>
      <c r="C84" s="131" t="s">
        <v>625</v>
      </c>
      <c r="D84" s="127">
        <v>393</v>
      </c>
      <c r="E84" s="127">
        <v>6057</v>
      </c>
      <c r="F84" s="127">
        <v>15398</v>
      </c>
      <c r="I84" s="133" t="s">
        <v>627</v>
      </c>
      <c r="J84" s="991"/>
      <c r="K84" s="133" t="s">
        <v>625</v>
      </c>
      <c r="L84" s="133">
        <v>3837</v>
      </c>
      <c r="M84" s="133" t="s">
        <v>565</v>
      </c>
    </row>
    <row r="85" spans="1:13">
      <c r="A85" s="131" t="s">
        <v>630</v>
      </c>
      <c r="B85" s="132" t="s">
        <v>616</v>
      </c>
      <c r="C85" s="131" t="s">
        <v>630</v>
      </c>
      <c r="D85" s="127">
        <v>306</v>
      </c>
      <c r="E85" s="127">
        <v>2506</v>
      </c>
      <c r="F85" s="127">
        <v>8195</v>
      </c>
      <c r="I85" s="133" t="s">
        <v>631</v>
      </c>
      <c r="J85" s="986">
        <f>SUM(L85:L90)</f>
        <v>11708</v>
      </c>
      <c r="K85" s="133" t="s">
        <v>616</v>
      </c>
      <c r="L85" s="133">
        <v>4491</v>
      </c>
      <c r="M85" s="133" t="s">
        <v>566</v>
      </c>
    </row>
    <row r="86" spans="1:13">
      <c r="A86" s="131" t="s">
        <v>630</v>
      </c>
      <c r="B86" s="132" t="s">
        <v>290</v>
      </c>
      <c r="C86" s="131" t="s">
        <v>630</v>
      </c>
      <c r="D86" s="127">
        <v>398</v>
      </c>
      <c r="E86" s="127">
        <v>567</v>
      </c>
      <c r="F86" s="127">
        <v>1426</v>
      </c>
      <c r="I86" s="133" t="s">
        <v>631</v>
      </c>
      <c r="J86" s="987"/>
      <c r="K86" s="133" t="s">
        <v>290</v>
      </c>
      <c r="L86" s="133">
        <v>1426</v>
      </c>
      <c r="M86" s="133" t="s">
        <v>565</v>
      </c>
    </row>
    <row r="87" spans="1:13">
      <c r="A87" s="131" t="s">
        <v>630</v>
      </c>
      <c r="B87" s="132" t="s">
        <v>325</v>
      </c>
      <c r="C87" s="131" t="s">
        <v>630</v>
      </c>
      <c r="D87" s="127">
        <v>476</v>
      </c>
      <c r="E87" s="127">
        <v>467</v>
      </c>
      <c r="F87" s="127">
        <v>981</v>
      </c>
      <c r="I87" s="133" t="s">
        <v>631</v>
      </c>
      <c r="J87" s="987"/>
      <c r="K87" s="133" t="s">
        <v>632</v>
      </c>
      <c r="L87" s="133">
        <v>981</v>
      </c>
      <c r="M87" s="133" t="s">
        <v>565</v>
      </c>
    </row>
    <row r="88" spans="1:13">
      <c r="A88" s="131" t="s">
        <v>630</v>
      </c>
      <c r="B88" s="132" t="s">
        <v>286</v>
      </c>
      <c r="C88" s="131" t="s">
        <v>630</v>
      </c>
      <c r="D88" s="127">
        <v>589</v>
      </c>
      <c r="E88" s="127">
        <v>1388</v>
      </c>
      <c r="F88" s="127">
        <v>2357</v>
      </c>
      <c r="I88" s="133" t="s">
        <v>631</v>
      </c>
      <c r="J88" s="987"/>
      <c r="K88" s="133" t="s">
        <v>633</v>
      </c>
      <c r="L88" s="133">
        <v>2370</v>
      </c>
      <c r="M88" s="133" t="s">
        <v>565</v>
      </c>
    </row>
    <row r="89" spans="1:13">
      <c r="A89" s="131" t="s">
        <v>630</v>
      </c>
      <c r="B89" s="132" t="s">
        <v>634</v>
      </c>
      <c r="C89" s="131" t="s">
        <v>630</v>
      </c>
      <c r="D89" s="127">
        <v>417</v>
      </c>
      <c r="E89" s="127">
        <v>489</v>
      </c>
      <c r="F89" s="127">
        <v>1174</v>
      </c>
      <c r="I89" s="133" t="s">
        <v>631</v>
      </c>
      <c r="J89" s="987"/>
      <c r="K89" s="133" t="s">
        <v>634</v>
      </c>
      <c r="L89" s="133">
        <v>1174</v>
      </c>
      <c r="M89" s="133" t="s">
        <v>565</v>
      </c>
    </row>
    <row r="90" spans="1:13">
      <c r="A90" s="131" t="s">
        <v>630</v>
      </c>
      <c r="B90" s="132" t="s">
        <v>284</v>
      </c>
      <c r="C90" s="131" t="s">
        <v>630</v>
      </c>
      <c r="D90" s="127">
        <v>506</v>
      </c>
      <c r="E90" s="127">
        <v>640</v>
      </c>
      <c r="F90" s="127">
        <v>1265</v>
      </c>
      <c r="I90" s="133" t="s">
        <v>631</v>
      </c>
      <c r="J90" s="988"/>
      <c r="K90" s="133" t="s">
        <v>284</v>
      </c>
      <c r="L90" s="133">
        <v>1266</v>
      </c>
      <c r="M90" s="133" t="s">
        <v>565</v>
      </c>
    </row>
    <row r="91" spans="1:13">
      <c r="A91" s="131" t="s">
        <v>199</v>
      </c>
      <c r="B91" s="132" t="s">
        <v>199</v>
      </c>
      <c r="C91" s="131" t="s">
        <v>199</v>
      </c>
      <c r="D91" s="127">
        <v>539</v>
      </c>
      <c r="E91" s="127">
        <v>2327</v>
      </c>
      <c r="F91" s="127">
        <v>4317</v>
      </c>
      <c r="I91" s="133" t="s">
        <v>635</v>
      </c>
      <c r="J91" s="986">
        <f>SUM(L91:L94)</f>
        <v>4337</v>
      </c>
      <c r="K91" s="133" t="s">
        <v>636</v>
      </c>
      <c r="L91" s="133">
        <v>353</v>
      </c>
      <c r="M91" s="133" t="s">
        <v>565</v>
      </c>
    </row>
    <row r="92" spans="1:13">
      <c r="A92" s="131" t="s">
        <v>199</v>
      </c>
      <c r="B92" s="132" t="s">
        <v>636</v>
      </c>
      <c r="C92" s="131" t="s">
        <v>199</v>
      </c>
      <c r="D92" s="127">
        <v>289</v>
      </c>
      <c r="E92" s="127">
        <v>102</v>
      </c>
      <c r="F92" s="127">
        <v>353</v>
      </c>
      <c r="I92" s="133" t="s">
        <v>635</v>
      </c>
      <c r="J92" s="987"/>
      <c r="K92" s="133" t="s">
        <v>199</v>
      </c>
      <c r="L92" s="133">
        <v>880</v>
      </c>
      <c r="M92" s="133" t="s">
        <v>566</v>
      </c>
    </row>
    <row r="93" spans="1:13">
      <c r="A93" s="131" t="s">
        <v>199</v>
      </c>
      <c r="B93" s="132" t="s">
        <v>199</v>
      </c>
      <c r="C93" s="131" t="s">
        <v>199</v>
      </c>
      <c r="D93" s="127">
        <v>560</v>
      </c>
      <c r="E93" s="127">
        <v>1516</v>
      </c>
      <c r="F93" s="127">
        <v>2705</v>
      </c>
      <c r="I93" s="133" t="s">
        <v>635</v>
      </c>
      <c r="J93" s="987"/>
      <c r="K93" s="133" t="s">
        <v>199</v>
      </c>
      <c r="L93" s="133">
        <v>1841</v>
      </c>
      <c r="M93" s="133" t="s">
        <v>565</v>
      </c>
    </row>
    <row r="94" spans="1:13">
      <c r="A94" s="131" t="s">
        <v>199</v>
      </c>
      <c r="B94" s="132" t="s">
        <v>241</v>
      </c>
      <c r="C94" s="131" t="s">
        <v>199</v>
      </c>
      <c r="D94" s="127">
        <v>563</v>
      </c>
      <c r="E94" s="127">
        <v>709</v>
      </c>
      <c r="F94" s="127">
        <v>1259</v>
      </c>
      <c r="I94" s="133" t="s">
        <v>635</v>
      </c>
      <c r="J94" s="988"/>
      <c r="K94" s="133" t="s">
        <v>637</v>
      </c>
      <c r="L94" s="133">
        <v>1263</v>
      </c>
      <c r="M94" s="133" t="s">
        <v>565</v>
      </c>
    </row>
    <row r="95" spans="1:13">
      <c r="A95" s="131" t="s">
        <v>468</v>
      </c>
      <c r="B95" s="132" t="s">
        <v>468</v>
      </c>
      <c r="C95" s="131" t="s">
        <v>468</v>
      </c>
      <c r="D95" s="127">
        <v>588</v>
      </c>
      <c r="E95" s="127">
        <v>17667</v>
      </c>
      <c r="F95" s="127">
        <v>30063</v>
      </c>
      <c r="I95" s="133" t="s">
        <v>638</v>
      </c>
      <c r="J95" s="989">
        <f>SUM(L95:L106)</f>
        <v>30183</v>
      </c>
      <c r="K95" s="133" t="s">
        <v>639</v>
      </c>
      <c r="L95" s="133">
        <v>2757</v>
      </c>
      <c r="M95" s="133" t="s">
        <v>565</v>
      </c>
    </row>
    <row r="96" spans="1:13">
      <c r="A96" s="131" t="s">
        <v>468</v>
      </c>
      <c r="B96" s="132" t="s">
        <v>423</v>
      </c>
      <c r="C96" s="131" t="s">
        <v>468</v>
      </c>
      <c r="D96" s="127">
        <v>775</v>
      </c>
      <c r="E96" s="127">
        <v>2132</v>
      </c>
      <c r="F96" s="127">
        <v>2752</v>
      </c>
      <c r="I96" s="133" t="s">
        <v>638</v>
      </c>
      <c r="J96" s="990"/>
      <c r="K96" s="133" t="s">
        <v>640</v>
      </c>
      <c r="L96" s="133">
        <v>917</v>
      </c>
      <c r="M96" s="133" t="s">
        <v>565</v>
      </c>
    </row>
    <row r="97" spans="1:13">
      <c r="A97" s="131" t="s">
        <v>468</v>
      </c>
      <c r="B97" s="132" t="s">
        <v>416</v>
      </c>
      <c r="C97" s="131" t="s">
        <v>468</v>
      </c>
      <c r="D97" s="127">
        <v>785</v>
      </c>
      <c r="E97" s="127">
        <v>716</v>
      </c>
      <c r="F97" s="127">
        <v>912</v>
      </c>
      <c r="I97" s="133" t="s">
        <v>638</v>
      </c>
      <c r="J97" s="990"/>
      <c r="K97" s="133" t="s">
        <v>450</v>
      </c>
      <c r="L97" s="133">
        <v>1705</v>
      </c>
      <c r="M97" s="133" t="s">
        <v>565</v>
      </c>
    </row>
    <row r="98" spans="1:13">
      <c r="A98" s="131" t="s">
        <v>468</v>
      </c>
      <c r="B98" s="132" t="s">
        <v>450</v>
      </c>
      <c r="C98" s="131" t="s">
        <v>468</v>
      </c>
      <c r="D98" s="127">
        <v>738</v>
      </c>
      <c r="E98" s="127">
        <v>1258</v>
      </c>
      <c r="F98" s="127">
        <v>1705</v>
      </c>
      <c r="I98" s="133" t="s">
        <v>638</v>
      </c>
      <c r="J98" s="990"/>
      <c r="K98" s="133" t="s">
        <v>641</v>
      </c>
      <c r="L98" s="133">
        <v>2668</v>
      </c>
      <c r="M98" s="133" t="s">
        <v>565</v>
      </c>
    </row>
    <row r="99" spans="1:13">
      <c r="A99" s="131" t="s">
        <v>468</v>
      </c>
      <c r="B99" s="132" t="s">
        <v>642</v>
      </c>
      <c r="C99" s="131" t="s">
        <v>468</v>
      </c>
      <c r="D99" s="127">
        <v>583</v>
      </c>
      <c r="E99" s="127">
        <v>155</v>
      </c>
      <c r="F99" s="127">
        <v>266</v>
      </c>
      <c r="I99" s="133" t="s">
        <v>638</v>
      </c>
      <c r="J99" s="990"/>
      <c r="K99" s="133" t="s">
        <v>643</v>
      </c>
      <c r="L99" s="133">
        <v>1146</v>
      </c>
      <c r="M99" s="133" t="s">
        <v>565</v>
      </c>
    </row>
    <row r="100" spans="1:13">
      <c r="A100" s="131" t="s">
        <v>468</v>
      </c>
      <c r="B100" s="132" t="s">
        <v>644</v>
      </c>
      <c r="C100" s="131" t="s">
        <v>468</v>
      </c>
      <c r="D100" s="127">
        <v>701</v>
      </c>
      <c r="E100" s="127">
        <v>802</v>
      </c>
      <c r="F100" s="127">
        <v>1144</v>
      </c>
      <c r="I100" s="133" t="s">
        <v>638</v>
      </c>
      <c r="J100" s="990"/>
      <c r="K100" s="133" t="s">
        <v>645</v>
      </c>
      <c r="L100" s="133">
        <v>3676</v>
      </c>
      <c r="M100" s="133" t="s">
        <v>565</v>
      </c>
    </row>
    <row r="101" spans="1:13">
      <c r="A101" s="131" t="s">
        <v>468</v>
      </c>
      <c r="B101" s="132" t="s">
        <v>646</v>
      </c>
      <c r="C101" s="131" t="s">
        <v>468</v>
      </c>
      <c r="D101" s="127">
        <v>706</v>
      </c>
      <c r="E101" s="127">
        <v>2587</v>
      </c>
      <c r="F101" s="127">
        <v>3663</v>
      </c>
      <c r="I101" s="133" t="s">
        <v>638</v>
      </c>
      <c r="J101" s="990"/>
      <c r="K101" s="133" t="s">
        <v>647</v>
      </c>
      <c r="L101" s="133">
        <v>982</v>
      </c>
      <c r="M101" s="133" t="s">
        <v>565</v>
      </c>
    </row>
    <row r="102" spans="1:13">
      <c r="A102" s="131" t="s">
        <v>468</v>
      </c>
      <c r="B102" s="132" t="s">
        <v>648</v>
      </c>
      <c r="C102" s="131" t="s">
        <v>468</v>
      </c>
      <c r="D102" s="127">
        <v>566</v>
      </c>
      <c r="E102" s="127">
        <v>550</v>
      </c>
      <c r="F102" s="127">
        <v>972</v>
      </c>
      <c r="I102" s="133" t="s">
        <v>638</v>
      </c>
      <c r="J102" s="990"/>
      <c r="K102" s="133" t="s">
        <v>468</v>
      </c>
      <c r="L102" s="133">
        <v>4031</v>
      </c>
      <c r="M102" s="133" t="s">
        <v>566</v>
      </c>
    </row>
    <row r="103" spans="1:13">
      <c r="A103" s="131" t="s">
        <v>468</v>
      </c>
      <c r="B103" s="132" t="s">
        <v>468</v>
      </c>
      <c r="C103" s="131" t="s">
        <v>468</v>
      </c>
      <c r="D103" s="127">
        <v>398</v>
      </c>
      <c r="E103" s="127">
        <v>3577</v>
      </c>
      <c r="F103" s="127">
        <v>8996</v>
      </c>
      <c r="I103" s="133" t="s">
        <v>638</v>
      </c>
      <c r="J103" s="990"/>
      <c r="K103" s="133" t="s">
        <v>468</v>
      </c>
      <c r="L103" s="133">
        <v>5014</v>
      </c>
      <c r="M103" s="133" t="s">
        <v>565</v>
      </c>
    </row>
    <row r="104" spans="1:13">
      <c r="A104" s="131" t="s">
        <v>468</v>
      </c>
      <c r="B104" s="132" t="s">
        <v>649</v>
      </c>
      <c r="C104" s="131" t="s">
        <v>468</v>
      </c>
      <c r="D104" s="127">
        <v>716</v>
      </c>
      <c r="E104" s="127">
        <v>137</v>
      </c>
      <c r="F104" s="127">
        <v>1913</v>
      </c>
      <c r="I104" s="133" t="s">
        <v>638</v>
      </c>
      <c r="J104" s="990"/>
      <c r="K104" s="133" t="s">
        <v>650</v>
      </c>
      <c r="L104" s="133">
        <v>1927</v>
      </c>
      <c r="M104" s="133" t="s">
        <v>565</v>
      </c>
    </row>
    <row r="105" spans="1:13">
      <c r="A105" s="131" t="s">
        <v>468</v>
      </c>
      <c r="B105" s="132" t="s">
        <v>651</v>
      </c>
      <c r="C105" s="131" t="s">
        <v>468</v>
      </c>
      <c r="D105" s="127">
        <v>547</v>
      </c>
      <c r="E105" s="127">
        <v>866</v>
      </c>
      <c r="F105" s="127">
        <v>1584</v>
      </c>
      <c r="I105" s="133" t="s">
        <v>638</v>
      </c>
      <c r="J105" s="990"/>
      <c r="K105" s="133" t="s">
        <v>651</v>
      </c>
      <c r="L105" s="133">
        <v>1594</v>
      </c>
      <c r="M105" s="133" t="s">
        <v>565</v>
      </c>
    </row>
    <row r="106" spans="1:13">
      <c r="A106" s="131" t="s">
        <v>468</v>
      </c>
      <c r="B106" s="132" t="s">
        <v>652</v>
      </c>
      <c r="C106" s="131" t="s">
        <v>468</v>
      </c>
      <c r="D106" s="127">
        <v>600</v>
      </c>
      <c r="E106" s="127">
        <v>2259</v>
      </c>
      <c r="F106" s="127">
        <v>3762</v>
      </c>
      <c r="I106" s="133" t="s">
        <v>638</v>
      </c>
      <c r="J106" s="991"/>
      <c r="K106" s="133" t="s">
        <v>653</v>
      </c>
      <c r="L106" s="133">
        <v>3766</v>
      </c>
      <c r="M106" s="133" t="s">
        <v>565</v>
      </c>
    </row>
    <row r="107" spans="1:13">
      <c r="A107" s="131" t="s">
        <v>654</v>
      </c>
      <c r="B107" s="132" t="s">
        <v>654</v>
      </c>
      <c r="C107" s="131" t="s">
        <v>654</v>
      </c>
      <c r="D107" s="127">
        <v>693</v>
      </c>
      <c r="E107" s="127">
        <v>5165</v>
      </c>
      <c r="F107" s="127">
        <v>7457</v>
      </c>
      <c r="I107" s="133" t="s">
        <v>655</v>
      </c>
      <c r="J107" s="989">
        <f>SUM(L107:L110)</f>
        <v>7465</v>
      </c>
      <c r="K107" s="133" t="s">
        <v>656</v>
      </c>
      <c r="L107" s="133">
        <v>903</v>
      </c>
      <c r="M107" s="133" t="s">
        <v>565</v>
      </c>
    </row>
    <row r="108" spans="1:13">
      <c r="A108" s="131" t="s">
        <v>654</v>
      </c>
      <c r="B108" s="132" t="s">
        <v>264</v>
      </c>
      <c r="C108" s="131" t="s">
        <v>654</v>
      </c>
      <c r="D108" s="127">
        <v>713</v>
      </c>
      <c r="E108" s="127">
        <v>642</v>
      </c>
      <c r="F108" s="127">
        <v>901</v>
      </c>
      <c r="I108" s="133" t="s">
        <v>655</v>
      </c>
      <c r="J108" s="990"/>
      <c r="K108" s="133" t="s">
        <v>654</v>
      </c>
      <c r="L108" s="133">
        <v>923</v>
      </c>
      <c r="M108" s="133" t="s">
        <v>566</v>
      </c>
    </row>
    <row r="109" spans="1:13">
      <c r="A109" s="131" t="s">
        <v>654</v>
      </c>
      <c r="B109" s="132" t="s">
        <v>654</v>
      </c>
      <c r="C109" s="131" t="s">
        <v>654</v>
      </c>
      <c r="D109" s="127">
        <v>698</v>
      </c>
      <c r="E109" s="127">
        <v>2621</v>
      </c>
      <c r="F109" s="127">
        <v>3755</v>
      </c>
      <c r="I109" s="133" t="s">
        <v>655</v>
      </c>
      <c r="J109" s="990"/>
      <c r="K109" s="133" t="s">
        <v>654</v>
      </c>
      <c r="L109" s="133">
        <v>2838</v>
      </c>
      <c r="M109" s="133" t="s">
        <v>565</v>
      </c>
    </row>
    <row r="110" spans="1:13">
      <c r="A110" s="131" t="s">
        <v>654</v>
      </c>
      <c r="B110" s="132" t="s">
        <v>247</v>
      </c>
      <c r="C110" s="131" t="s">
        <v>654</v>
      </c>
      <c r="D110" s="127">
        <v>679</v>
      </c>
      <c r="E110" s="127">
        <v>1902</v>
      </c>
      <c r="F110" s="127">
        <v>2801</v>
      </c>
      <c r="I110" s="133" t="s">
        <v>655</v>
      </c>
      <c r="J110" s="991"/>
      <c r="K110" s="133" t="s">
        <v>247</v>
      </c>
      <c r="L110" s="133">
        <v>2801</v>
      </c>
      <c r="M110" s="133" t="s">
        <v>565</v>
      </c>
    </row>
    <row r="111" spans="1:13">
      <c r="A111" s="131" t="s">
        <v>321</v>
      </c>
      <c r="B111" s="132" t="s">
        <v>321</v>
      </c>
      <c r="C111" s="131" t="s">
        <v>321</v>
      </c>
      <c r="D111" s="127">
        <v>643</v>
      </c>
      <c r="E111" s="127">
        <v>7868</v>
      </c>
      <c r="F111" s="127">
        <v>12238</v>
      </c>
      <c r="I111" s="133" t="s">
        <v>657</v>
      </c>
      <c r="J111" s="989">
        <f>SUM(L111:L117)</f>
        <v>12312</v>
      </c>
      <c r="K111" s="133" t="s">
        <v>315</v>
      </c>
      <c r="L111" s="133">
        <v>1086</v>
      </c>
      <c r="M111" s="133" t="s">
        <v>565</v>
      </c>
    </row>
    <row r="112" spans="1:13">
      <c r="A112" s="131" t="s">
        <v>321</v>
      </c>
      <c r="B112" s="132" t="s">
        <v>315</v>
      </c>
      <c r="C112" s="131" t="s">
        <v>321</v>
      </c>
      <c r="D112" s="127">
        <v>819</v>
      </c>
      <c r="E112" s="127">
        <v>889</v>
      </c>
      <c r="F112" s="127">
        <v>1086</v>
      </c>
      <c r="I112" s="133" t="s">
        <v>657</v>
      </c>
      <c r="J112" s="990"/>
      <c r="K112" s="133" t="s">
        <v>317</v>
      </c>
      <c r="L112" s="133">
        <v>1172</v>
      </c>
      <c r="M112" s="133" t="s">
        <v>565</v>
      </c>
    </row>
    <row r="113" spans="1:13">
      <c r="A113" s="131" t="s">
        <v>321</v>
      </c>
      <c r="B113" s="132" t="s">
        <v>317</v>
      </c>
      <c r="C113" s="131" t="s">
        <v>321</v>
      </c>
      <c r="D113" s="127">
        <v>753</v>
      </c>
      <c r="E113" s="127">
        <v>879</v>
      </c>
      <c r="F113" s="127">
        <v>1168</v>
      </c>
      <c r="I113" s="133" t="s">
        <v>657</v>
      </c>
      <c r="J113" s="990"/>
      <c r="K113" s="133" t="s">
        <v>316</v>
      </c>
      <c r="L113" s="133">
        <v>1782</v>
      </c>
      <c r="M113" s="133" t="s">
        <v>565</v>
      </c>
    </row>
    <row r="114" spans="1:13">
      <c r="A114" s="131" t="s">
        <v>321</v>
      </c>
      <c r="B114" s="132" t="s">
        <v>316</v>
      </c>
      <c r="C114" s="131" t="s">
        <v>321</v>
      </c>
      <c r="D114" s="127">
        <v>804</v>
      </c>
      <c r="E114" s="127">
        <v>1426</v>
      </c>
      <c r="F114" s="127">
        <v>1774</v>
      </c>
      <c r="I114" s="133" t="s">
        <v>657</v>
      </c>
      <c r="J114" s="990"/>
      <c r="K114" s="133" t="s">
        <v>658</v>
      </c>
      <c r="L114" s="133">
        <v>1410</v>
      </c>
      <c r="M114" s="133" t="s">
        <v>565</v>
      </c>
    </row>
    <row r="115" spans="1:13">
      <c r="A115" s="131" t="s">
        <v>321</v>
      </c>
      <c r="B115" s="132" t="s">
        <v>658</v>
      </c>
      <c r="C115" s="131" t="s">
        <v>321</v>
      </c>
      <c r="D115" s="127">
        <v>694</v>
      </c>
      <c r="E115" s="127">
        <v>976</v>
      </c>
      <c r="F115" s="127">
        <v>1406</v>
      </c>
      <c r="I115" s="133" t="s">
        <v>657</v>
      </c>
      <c r="J115" s="990"/>
      <c r="K115" s="133" t="s">
        <v>659</v>
      </c>
      <c r="L115" s="133">
        <v>2631</v>
      </c>
      <c r="M115" s="133" t="s">
        <v>565</v>
      </c>
    </row>
    <row r="116" spans="1:13">
      <c r="A116" s="131" t="s">
        <v>321</v>
      </c>
      <c r="B116" s="132" t="s">
        <v>659</v>
      </c>
      <c r="C116" s="131" t="s">
        <v>321</v>
      </c>
      <c r="D116" s="127">
        <v>807</v>
      </c>
      <c r="E116" s="127">
        <v>2116</v>
      </c>
      <c r="F116" s="127">
        <v>2623</v>
      </c>
      <c r="I116" s="133" t="s">
        <v>657</v>
      </c>
      <c r="J116" s="990"/>
      <c r="K116" s="133" t="s">
        <v>321</v>
      </c>
      <c r="L116" s="133">
        <v>1794</v>
      </c>
      <c r="M116" s="133" t="s">
        <v>565</v>
      </c>
    </row>
    <row r="117" spans="1:13">
      <c r="A117" s="131" t="s">
        <v>321</v>
      </c>
      <c r="B117" s="132" t="s">
        <v>321</v>
      </c>
      <c r="C117" s="131" t="s">
        <v>321</v>
      </c>
      <c r="D117" s="127">
        <v>378</v>
      </c>
      <c r="E117" s="127">
        <v>1582</v>
      </c>
      <c r="F117" s="127">
        <v>4181</v>
      </c>
      <c r="I117" s="133" t="s">
        <v>657</v>
      </c>
      <c r="J117" s="991"/>
      <c r="K117" s="133" t="s">
        <v>321</v>
      </c>
      <c r="L117" s="133">
        <v>2437</v>
      </c>
      <c r="M117" s="133" t="s">
        <v>566</v>
      </c>
    </row>
  </sheetData>
  <mergeCells count="16">
    <mergeCell ref="J41:J46"/>
    <mergeCell ref="J9:J14"/>
    <mergeCell ref="J15:J20"/>
    <mergeCell ref="J21:J26"/>
    <mergeCell ref="J27:J32"/>
    <mergeCell ref="J33:J40"/>
    <mergeCell ref="J91:J94"/>
    <mergeCell ref="J95:J106"/>
    <mergeCell ref="J107:J110"/>
    <mergeCell ref="J111:J117"/>
    <mergeCell ref="J47:J62"/>
    <mergeCell ref="J63:J67"/>
    <mergeCell ref="J68:J70"/>
    <mergeCell ref="J71:J80"/>
    <mergeCell ref="J81:J84"/>
    <mergeCell ref="J85:J90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4:N35"/>
  <sheetViews>
    <sheetView topLeftCell="A16" zoomScale="70" zoomScaleNormal="70" workbookViewId="0">
      <selection activeCell="A5" sqref="A5"/>
    </sheetView>
  </sheetViews>
  <sheetFormatPr baseColWidth="10" defaultColWidth="14.42578125" defaultRowHeight="12.75"/>
  <cols>
    <col min="1" max="1" width="47.28515625" style="535" bestFit="1" customWidth="1"/>
    <col min="2" max="2" width="26" style="535" bestFit="1" customWidth="1"/>
    <col min="3" max="3" width="11.85546875" style="535" customWidth="1"/>
    <col min="4" max="4" width="13.28515625" style="535" customWidth="1"/>
    <col min="5" max="5" width="24.140625" style="535" customWidth="1"/>
    <col min="6" max="6" width="41.85546875" style="535" customWidth="1"/>
    <col min="7" max="7" width="20.7109375" style="535" customWidth="1"/>
    <col min="8" max="8" width="37.28515625" style="535" customWidth="1"/>
    <col min="9" max="9" width="15.7109375" style="535" customWidth="1"/>
    <col min="10" max="10" width="37.28515625" style="535" customWidth="1"/>
    <col min="11" max="11" width="15.7109375" style="535" customWidth="1"/>
    <col min="12" max="12" width="15" style="535" customWidth="1"/>
    <col min="13" max="13" width="37.28515625" style="535" bestFit="1" customWidth="1"/>
    <col min="14" max="14" width="15" style="535" bestFit="1" customWidth="1"/>
    <col min="15" max="16384" width="14.42578125" style="535"/>
  </cols>
  <sheetData>
    <row r="4" spans="1:14">
      <c r="B4" s="713" t="s">
        <v>1107</v>
      </c>
      <c r="J4"/>
      <c r="K4"/>
      <c r="L4"/>
      <c r="M4"/>
      <c r="N4"/>
    </row>
    <row r="5" spans="1:14">
      <c r="B5" s="535" t="s">
        <v>182</v>
      </c>
      <c r="C5" s="535" t="s">
        <v>323</v>
      </c>
      <c r="D5" s="535" t="s">
        <v>1183</v>
      </c>
      <c r="E5" s="535" t="s">
        <v>1491</v>
      </c>
      <c r="F5" s="535" t="s">
        <v>1492</v>
      </c>
      <c r="G5" s="535" t="s">
        <v>1493</v>
      </c>
      <c r="H5" s="535" t="s">
        <v>1494</v>
      </c>
      <c r="I5" s="535" t="s">
        <v>665</v>
      </c>
      <c r="J5"/>
      <c r="K5"/>
      <c r="L5"/>
      <c r="M5"/>
      <c r="N5"/>
    </row>
    <row r="6" spans="1:14">
      <c r="A6" s="535" t="s">
        <v>667</v>
      </c>
      <c r="B6" s="535">
        <v>4778421.2200000007</v>
      </c>
      <c r="C6" s="535">
        <v>26019</v>
      </c>
      <c r="D6" s="535">
        <v>403723.66000000003</v>
      </c>
      <c r="E6" s="535">
        <v>843163.44</v>
      </c>
      <c r="F6" s="535">
        <v>1474222.26</v>
      </c>
      <c r="G6" s="535">
        <v>1711569.4300000002</v>
      </c>
      <c r="H6" s="535">
        <v>827222.48999999987</v>
      </c>
      <c r="I6" s="535">
        <v>10064341.5</v>
      </c>
      <c r="J6"/>
      <c r="K6"/>
      <c r="L6"/>
      <c r="M6"/>
      <c r="N6"/>
    </row>
    <row r="7" spans="1:14">
      <c r="A7"/>
      <c r="B7"/>
      <c r="C7"/>
      <c r="D7"/>
      <c r="E7"/>
      <c r="F7"/>
      <c r="G7"/>
      <c r="H7"/>
      <c r="I7"/>
    </row>
    <row r="8" spans="1:14">
      <c r="A8"/>
      <c r="B8"/>
      <c r="C8"/>
      <c r="D8"/>
      <c r="E8"/>
      <c r="F8"/>
      <c r="G8"/>
      <c r="H8"/>
      <c r="I8"/>
    </row>
    <row r="9" spans="1:14">
      <c r="A9"/>
      <c r="B9"/>
      <c r="C9"/>
      <c r="D9"/>
      <c r="E9"/>
      <c r="F9"/>
      <c r="G9"/>
      <c r="H9"/>
      <c r="I9"/>
    </row>
    <row r="10" spans="1:14">
      <c r="A10"/>
      <c r="B10"/>
      <c r="C10"/>
      <c r="D10"/>
      <c r="E10"/>
      <c r="F10"/>
      <c r="G10" s="718" t="s">
        <v>660</v>
      </c>
      <c r="H10" s="718" t="s">
        <v>673</v>
      </c>
      <c r="I10" s="893" t="s">
        <v>273</v>
      </c>
      <c r="J10" s="888"/>
      <c r="K10" s="890"/>
      <c r="L10" s="890"/>
      <c r="M10" s="889"/>
    </row>
    <row r="11" spans="1:14">
      <c r="A11"/>
      <c r="B11"/>
      <c r="C11"/>
      <c r="D11"/>
      <c r="E11"/>
      <c r="F11"/>
      <c r="G11" s="892" t="s">
        <v>353</v>
      </c>
      <c r="H11" s="892">
        <v>25860.22</v>
      </c>
      <c r="I11" s="892"/>
      <c r="J11" s="888"/>
      <c r="K11" s="891"/>
      <c r="L11" s="899"/>
      <c r="M11" s="889"/>
    </row>
    <row r="12" spans="1:14">
      <c r="G12" s="892" t="s">
        <v>182</v>
      </c>
      <c r="H12" s="892">
        <v>2436118.9699999997</v>
      </c>
      <c r="I12" s="892">
        <v>1580.6200000000003</v>
      </c>
      <c r="J12" s="888"/>
      <c r="K12" s="890"/>
      <c r="L12" s="890"/>
      <c r="M12" s="889"/>
    </row>
    <row r="13" spans="1:14">
      <c r="G13" s="892" t="s">
        <v>169</v>
      </c>
      <c r="H13" s="892">
        <v>2316442.0299999998</v>
      </c>
      <c r="I13" s="892">
        <v>160.06000000000003</v>
      </c>
      <c r="J13" s="888"/>
      <c r="K13" s="890"/>
      <c r="L13" s="890"/>
      <c r="M13" s="889"/>
    </row>
    <row r="14" spans="1:14">
      <c r="G14" s="892" t="s">
        <v>323</v>
      </c>
      <c r="H14" s="892">
        <v>26019</v>
      </c>
      <c r="I14" s="892">
        <v>0</v>
      </c>
      <c r="M14" s="889"/>
    </row>
    <row r="15" spans="1:14">
      <c r="G15" s="892" t="s">
        <v>1183</v>
      </c>
      <c r="H15" s="892">
        <v>403723.66000000003</v>
      </c>
      <c r="I15" s="892"/>
      <c r="J15" s="888"/>
      <c r="K15" s="890"/>
      <c r="L15" s="890"/>
      <c r="M15" s="889"/>
    </row>
    <row r="16" spans="1:14">
      <c r="G16" s="892" t="s">
        <v>1491</v>
      </c>
      <c r="H16" s="892">
        <v>843163.44</v>
      </c>
      <c r="I16" s="892"/>
      <c r="J16" s="888"/>
      <c r="K16" s="891"/>
      <c r="L16" s="899"/>
      <c r="M16" s="889"/>
    </row>
    <row r="17" spans="7:14" ht="25.5">
      <c r="G17" s="900" t="s">
        <v>1492</v>
      </c>
      <c r="H17" s="892">
        <v>1474222.26</v>
      </c>
      <c r="I17" s="892">
        <v>92.03</v>
      </c>
      <c r="J17" s="888"/>
      <c r="K17" s="890"/>
      <c r="L17" s="890"/>
      <c r="M17" s="889"/>
    </row>
    <row r="18" spans="7:14">
      <c r="G18" s="892" t="s">
        <v>1493</v>
      </c>
      <c r="H18" s="892">
        <v>1711569.4300000002</v>
      </c>
      <c r="I18" s="892">
        <v>10.48</v>
      </c>
      <c r="J18" s="890"/>
      <c r="K18" s="890"/>
      <c r="L18" s="890"/>
    </row>
    <row r="19" spans="7:14">
      <c r="G19" s="892" t="s">
        <v>1494</v>
      </c>
      <c r="H19" s="892">
        <v>827222.48999999987</v>
      </c>
      <c r="I19" s="892"/>
      <c r="J19" s="890"/>
      <c r="K19" s="890"/>
      <c r="L19" s="890"/>
    </row>
    <row r="20" spans="7:14">
      <c r="G20" s="890"/>
      <c r="H20" s="890"/>
      <c r="I20" s="890"/>
    </row>
    <row r="21" spans="7:14">
      <c r="G21" s="894" t="s">
        <v>665</v>
      </c>
      <c r="H21" s="894">
        <f>SUM(H11:H20)</f>
        <v>10064341.5</v>
      </c>
      <c r="I21" s="894">
        <v>1843.1900000000003</v>
      </c>
      <c r="J21" s="890"/>
      <c r="K21" s="890"/>
      <c r="L21" s="890"/>
    </row>
    <row r="22" spans="7:14">
      <c r="I22" s="890"/>
      <c r="J22" s="890"/>
      <c r="K22" s="890"/>
      <c r="L22" s="890"/>
    </row>
    <row r="24" spans="7:14">
      <c r="H24" s="714" t="s">
        <v>171</v>
      </c>
      <c r="I24" s="714" t="s">
        <v>275</v>
      </c>
      <c r="J24" s="714" t="s">
        <v>330</v>
      </c>
      <c r="K24" s="714" t="s">
        <v>415</v>
      </c>
      <c r="L24" s="714"/>
      <c r="M24" s="714" t="s">
        <v>501</v>
      </c>
      <c r="N24" s="898" t="s">
        <v>9</v>
      </c>
    </row>
    <row r="25" spans="7:14">
      <c r="G25" s="895" t="s">
        <v>353</v>
      </c>
      <c r="H25" s="896">
        <v>14512.49</v>
      </c>
      <c r="I25" s="896"/>
      <c r="J25" s="896">
        <v>2919.98</v>
      </c>
      <c r="K25" s="896">
        <v>8427.75</v>
      </c>
      <c r="L25" s="896">
        <f>SUM(H25:K25)</f>
        <v>25860.22</v>
      </c>
      <c r="M25" s="896">
        <v>37997.96</v>
      </c>
      <c r="N25" s="897">
        <f t="shared" ref="N25:N34" si="0">SUM(L25:M25)</f>
        <v>63858.18</v>
      </c>
    </row>
    <row r="26" spans="7:14">
      <c r="G26" s="895" t="s">
        <v>297</v>
      </c>
      <c r="H26" s="896">
        <v>843163.44</v>
      </c>
      <c r="I26" s="896">
        <v>1090199.8799999999</v>
      </c>
      <c r="J26" s="896"/>
      <c r="K26" s="896">
        <v>373792.73</v>
      </c>
      <c r="L26" s="896">
        <f t="shared" ref="L26:L27" si="1">SUM(H26:K26)</f>
        <v>2307156.0499999998</v>
      </c>
      <c r="M26" s="896">
        <v>319149.90000000002</v>
      </c>
      <c r="N26" s="897">
        <f t="shared" si="0"/>
        <v>2626305.9499999997</v>
      </c>
    </row>
    <row r="27" spans="7:14">
      <c r="G27" s="895" t="s">
        <v>191</v>
      </c>
      <c r="H27" s="896">
        <v>17161.04</v>
      </c>
      <c r="I27" s="896"/>
      <c r="J27" s="896"/>
      <c r="K27" s="896">
        <v>759798.9</v>
      </c>
      <c r="L27" s="896">
        <f t="shared" si="1"/>
        <v>776959.94000000006</v>
      </c>
      <c r="M27" s="896">
        <v>3922.91</v>
      </c>
      <c r="N27" s="897">
        <f t="shared" si="0"/>
        <v>780882.85000000009</v>
      </c>
    </row>
    <row r="28" spans="7:14">
      <c r="G28" s="895" t="s">
        <v>182</v>
      </c>
      <c r="H28" s="896">
        <v>421627.54999999993</v>
      </c>
      <c r="I28" s="896">
        <v>638020.81999999995</v>
      </c>
      <c r="J28" s="896">
        <v>633036.65000000037</v>
      </c>
      <c r="K28" s="896">
        <v>457515.61</v>
      </c>
      <c r="L28" s="896">
        <f>SUM(H28:K28)-42216.51-481814.68</f>
        <v>1626169.4400000006</v>
      </c>
      <c r="M28" s="896">
        <v>27743.599999999999</v>
      </c>
      <c r="N28" s="897">
        <f t="shared" si="0"/>
        <v>1653913.0400000007</v>
      </c>
    </row>
    <row r="29" spans="7:14">
      <c r="G29" s="898" t="s">
        <v>1489</v>
      </c>
      <c r="L29" s="535">
        <v>42216.51</v>
      </c>
      <c r="N29" s="897">
        <f t="shared" si="0"/>
        <v>42216.51</v>
      </c>
    </row>
    <row r="30" spans="7:14">
      <c r="G30" s="898" t="s">
        <v>1488</v>
      </c>
      <c r="L30" s="535">
        <v>481814.68</v>
      </c>
      <c r="N30" s="897">
        <f t="shared" si="0"/>
        <v>481814.68</v>
      </c>
    </row>
    <row r="31" spans="7:14">
      <c r="G31" s="895" t="s">
        <v>169</v>
      </c>
      <c r="H31" s="896">
        <v>588120.53000000014</v>
      </c>
      <c r="I31" s="896">
        <v>695075.96000000008</v>
      </c>
      <c r="J31" s="896">
        <v>636139.69999999995</v>
      </c>
      <c r="K31" s="896">
        <v>486631.49</v>
      </c>
      <c r="L31" s="896">
        <f>SUM(H31:K31)</f>
        <v>2405967.6800000002</v>
      </c>
      <c r="M31" s="896">
        <v>815341.3</v>
      </c>
      <c r="N31" s="897">
        <f t="shared" si="0"/>
        <v>3221308.9800000004</v>
      </c>
    </row>
    <row r="32" spans="7:14">
      <c r="G32" s="895" t="s">
        <v>323</v>
      </c>
      <c r="H32" s="896"/>
      <c r="I32" s="896">
        <v>10000</v>
      </c>
      <c r="J32" s="896"/>
      <c r="K32" s="896">
        <v>16019</v>
      </c>
      <c r="L32" s="896">
        <f>SUM(H32:K32)</f>
        <v>26019</v>
      </c>
      <c r="M32" s="896"/>
      <c r="N32" s="897">
        <f t="shared" si="0"/>
        <v>26019</v>
      </c>
    </row>
    <row r="33" spans="7:14">
      <c r="G33" s="895" t="s">
        <v>196</v>
      </c>
      <c r="H33" s="896">
        <v>328.28</v>
      </c>
      <c r="I33" s="896"/>
      <c r="J33" s="896"/>
      <c r="K33" s="896">
        <v>72079.27</v>
      </c>
      <c r="L33" s="896">
        <f>SUM(H33:K33)</f>
        <v>72407.55</v>
      </c>
      <c r="M33" s="896">
        <v>1751.6</v>
      </c>
      <c r="N33" s="897">
        <f t="shared" si="0"/>
        <v>74159.150000000009</v>
      </c>
    </row>
    <row r="34" spans="7:14">
      <c r="G34" s="895" t="s">
        <v>1183</v>
      </c>
      <c r="H34" s="896"/>
      <c r="I34" s="896"/>
      <c r="J34" s="896">
        <v>29829.45</v>
      </c>
      <c r="K34" s="896">
        <v>35214.21</v>
      </c>
      <c r="L34" s="896">
        <f>SUM(H34:K34)</f>
        <v>65043.66</v>
      </c>
      <c r="M34" s="896"/>
      <c r="N34" s="897">
        <f t="shared" si="0"/>
        <v>65043.66</v>
      </c>
    </row>
    <row r="35" spans="7:14">
      <c r="G35" s="895" t="s">
        <v>665</v>
      </c>
      <c r="H35" s="896">
        <v>1884913.3300000003</v>
      </c>
      <c r="I35" s="896">
        <v>2433296.6599999997</v>
      </c>
      <c r="J35" s="896">
        <v>1301925.7800000003</v>
      </c>
      <c r="K35" s="896">
        <v>2209478.9599999995</v>
      </c>
      <c r="L35" s="896">
        <f>SUM(H35:K35)</f>
        <v>7829614.7300000004</v>
      </c>
      <c r="M35" s="896">
        <v>1205907.27</v>
      </c>
      <c r="N35" s="897">
        <f>SUM(N25:N34)</f>
        <v>9035522.0000000019</v>
      </c>
    </row>
  </sheetData>
  <pageMargins left="0.7" right="0.7" top="0.75" bottom="0.75" header="0.3" footer="0.3"/>
  <pageSetup paperSize="9" fitToHeight="0" orientation="portrait" horizontalDpi="300" verticalDpi="3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3:N12"/>
  <sheetViews>
    <sheetView zoomScale="55" zoomScaleNormal="55" workbookViewId="0">
      <selection activeCell="L44" sqref="L44"/>
    </sheetView>
  </sheetViews>
  <sheetFormatPr baseColWidth="10" defaultColWidth="14.42578125" defaultRowHeight="12.75"/>
  <cols>
    <col min="1" max="1" width="60.5703125" style="535" customWidth="1"/>
    <col min="2" max="2" width="33.28515625" style="535" customWidth="1"/>
    <col min="3" max="3" width="15.140625" style="535" customWidth="1"/>
    <col min="4" max="4" width="17.140625" style="535" customWidth="1"/>
    <col min="5" max="5" width="30.7109375" style="535" customWidth="1"/>
    <col min="6" max="6" width="36.85546875" style="535" customWidth="1"/>
    <col min="7" max="7" width="26.28515625" style="535" customWidth="1"/>
    <col min="8" max="8" width="47.5703125" style="535" customWidth="1"/>
    <col min="9" max="9" width="19.85546875" style="535" customWidth="1"/>
    <col min="10" max="10" width="54.85546875" style="535" bestFit="1" customWidth="1"/>
    <col min="11" max="11" width="23.42578125" style="535" customWidth="1"/>
    <col min="12" max="12" width="15" style="535" bestFit="1" customWidth="1"/>
    <col min="13" max="13" width="37.28515625" style="535" bestFit="1" customWidth="1"/>
    <col min="14" max="14" width="15" style="535" bestFit="1" customWidth="1"/>
    <col min="15" max="16384" width="14.42578125" style="535"/>
  </cols>
  <sheetData>
    <row r="3" spans="1:14" ht="18">
      <c r="A3" s="906"/>
      <c r="B3" s="906"/>
      <c r="C3" s="906"/>
      <c r="D3" s="906"/>
      <c r="E3" s="906"/>
      <c r="F3" s="906"/>
      <c r="G3" s="906"/>
      <c r="H3" s="906"/>
      <c r="I3" s="906"/>
      <c r="J3" s="906"/>
      <c r="K3" s="906"/>
    </row>
    <row r="4" spans="1:14" ht="36">
      <c r="A4" s="907" t="s">
        <v>667</v>
      </c>
      <c r="B4" s="908" t="s">
        <v>1107</v>
      </c>
      <c r="C4" s="906"/>
      <c r="D4" s="906"/>
      <c r="E4" s="906"/>
      <c r="F4" s="906"/>
      <c r="G4" s="906"/>
      <c r="H4" s="906"/>
      <c r="I4" s="906"/>
      <c r="J4"/>
      <c r="K4"/>
      <c r="L4"/>
      <c r="M4"/>
      <c r="N4"/>
    </row>
    <row r="5" spans="1:14" ht="36">
      <c r="A5" s="901" t="s">
        <v>663</v>
      </c>
      <c r="B5" s="903" t="s">
        <v>182</v>
      </c>
      <c r="C5" s="902" t="s">
        <v>323</v>
      </c>
      <c r="D5" s="902" t="s">
        <v>1183</v>
      </c>
      <c r="E5" s="902" t="s">
        <v>1491</v>
      </c>
      <c r="F5" s="903" t="s">
        <v>1492</v>
      </c>
      <c r="G5" s="903" t="s">
        <v>1493</v>
      </c>
      <c r="H5" s="903" t="s">
        <v>1494</v>
      </c>
      <c r="I5" s="902" t="s">
        <v>665</v>
      </c>
      <c r="J5"/>
      <c r="K5"/>
      <c r="L5"/>
      <c r="M5"/>
      <c r="N5"/>
    </row>
    <row r="6" spans="1:14" ht="18">
      <c r="A6" s="904" t="s">
        <v>171</v>
      </c>
      <c r="B6" s="905">
        <v>1324661.6099999996</v>
      </c>
      <c r="C6" s="905"/>
      <c r="D6" s="905">
        <v>6250</v>
      </c>
      <c r="E6" s="905">
        <v>843163.44</v>
      </c>
      <c r="F6" s="905"/>
      <c r="G6" s="905"/>
      <c r="H6" s="905">
        <v>17934.11</v>
      </c>
      <c r="I6" s="905">
        <v>2192009.1599999997</v>
      </c>
      <c r="J6"/>
      <c r="K6"/>
      <c r="L6"/>
      <c r="M6"/>
      <c r="N6"/>
    </row>
    <row r="7" spans="1:14" ht="18">
      <c r="A7" s="904" t="s">
        <v>275</v>
      </c>
      <c r="B7" s="905">
        <v>1134777.3499999999</v>
      </c>
      <c r="C7" s="905">
        <v>10000</v>
      </c>
      <c r="D7" s="905">
        <v>6400</v>
      </c>
      <c r="E7" s="905"/>
      <c r="F7" s="905">
        <v>1474222.26</v>
      </c>
      <c r="G7" s="905"/>
      <c r="H7" s="905"/>
      <c r="I7" s="905">
        <v>2625399.61</v>
      </c>
      <c r="J7"/>
      <c r="K7"/>
      <c r="L7"/>
      <c r="M7"/>
      <c r="N7"/>
    </row>
    <row r="8" spans="1:14" ht="18">
      <c r="A8" s="904" t="s">
        <v>330</v>
      </c>
      <c r="B8" s="905">
        <v>1392360.1299999994</v>
      </c>
      <c r="C8" s="905"/>
      <c r="D8" s="905">
        <v>288159.45</v>
      </c>
      <c r="E8" s="905"/>
      <c r="F8" s="905"/>
      <c r="G8" s="905"/>
      <c r="H8" s="905"/>
      <c r="I8" s="905">
        <v>1680519.5799999994</v>
      </c>
      <c r="J8"/>
      <c r="K8"/>
      <c r="L8"/>
      <c r="M8"/>
      <c r="N8"/>
    </row>
    <row r="9" spans="1:14" ht="18">
      <c r="A9" s="904" t="s">
        <v>415</v>
      </c>
      <c r="B9" s="905">
        <v>926622.12999999977</v>
      </c>
      <c r="C9" s="905">
        <v>16019</v>
      </c>
      <c r="D9" s="905">
        <v>102914.20999999999</v>
      </c>
      <c r="E9" s="905"/>
      <c r="F9" s="905"/>
      <c r="G9" s="905">
        <v>505662.16</v>
      </c>
      <c r="H9" s="905">
        <v>809288.37999999989</v>
      </c>
      <c r="I9" s="905">
        <v>2360505.88</v>
      </c>
      <c r="J9"/>
      <c r="K9"/>
      <c r="L9"/>
      <c r="M9"/>
      <c r="N9"/>
    </row>
    <row r="10" spans="1:14" ht="18">
      <c r="A10" s="904" t="s">
        <v>501</v>
      </c>
      <c r="B10" s="905"/>
      <c r="C10" s="905"/>
      <c r="D10" s="905"/>
      <c r="E10" s="905"/>
      <c r="F10" s="905"/>
      <c r="G10" s="905">
        <v>1205907.27</v>
      </c>
      <c r="H10" s="905"/>
      <c r="I10" s="905">
        <v>1205907.27</v>
      </c>
      <c r="J10"/>
      <c r="K10"/>
      <c r="L10"/>
      <c r="M10"/>
      <c r="N10"/>
    </row>
    <row r="11" spans="1:14" ht="18">
      <c r="A11" s="904" t="s">
        <v>665</v>
      </c>
      <c r="B11" s="905">
        <v>4778421.2199999988</v>
      </c>
      <c r="C11" s="905">
        <v>26019</v>
      </c>
      <c r="D11" s="905">
        <v>403723.66000000003</v>
      </c>
      <c r="E11" s="905">
        <v>843163.44</v>
      </c>
      <c r="F11" s="905">
        <v>1474222.26</v>
      </c>
      <c r="G11" s="905">
        <v>1711569.43</v>
      </c>
      <c r="H11" s="905">
        <v>827222.48999999987</v>
      </c>
      <c r="I11" s="905">
        <v>10064341.499999998</v>
      </c>
      <c r="J11"/>
      <c r="K11"/>
      <c r="L11"/>
      <c r="M11"/>
      <c r="N11"/>
    </row>
    <row r="12" spans="1:14" ht="18">
      <c r="A12" s="906"/>
      <c r="B12" s="906"/>
      <c r="C12" s="906"/>
      <c r="D12" s="906"/>
      <c r="E12" s="906"/>
      <c r="F12" s="906"/>
      <c r="G12" s="906"/>
      <c r="H12" s="906"/>
      <c r="I12" s="906"/>
      <c r="J12" s="906"/>
      <c r="K12" s="906"/>
    </row>
  </sheetData>
  <pageMargins left="0.7" right="0.7" top="0.44" bottom="0.33" header="0.3" footer="0.3"/>
  <pageSetup paperSize="9" scale="46" fitToHeight="0" orientation="landscape" horizontalDpi="300" verticalDpi="30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930"/>
  <sheetViews>
    <sheetView showOutlineSymbols="0" topLeftCell="E905" workbookViewId="0">
      <selection activeCell="N894" sqref="N894"/>
    </sheetView>
  </sheetViews>
  <sheetFormatPr baseColWidth="10" defaultColWidth="7" defaultRowHeight="12.75"/>
  <cols>
    <col min="1" max="1" width="10.42578125" style="807" customWidth="1"/>
    <col min="2" max="2" width="0" style="807" hidden="1" customWidth="1"/>
    <col min="3" max="3" width="2.42578125" style="807" customWidth="1"/>
    <col min="4" max="4" width="37.7109375" style="807" customWidth="1"/>
    <col min="5" max="16" width="7" style="807"/>
    <col min="17" max="17" width="7" style="808"/>
    <col min="18" max="18" width="11.7109375" style="808" customWidth="1"/>
    <col min="19" max="16384" width="7" style="807"/>
  </cols>
  <sheetData>
    <row r="2" spans="1:22" ht="13.15" customHeight="1">
      <c r="D2" s="814" t="s">
        <v>1185</v>
      </c>
      <c r="E2" s="814"/>
      <c r="F2" s="814"/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5"/>
      <c r="R2" s="815"/>
    </row>
    <row r="3" spans="1:22" ht="13.15" customHeight="1"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  <c r="Q3" s="815"/>
      <c r="R3" s="815"/>
      <c r="S3" s="816" t="s">
        <v>1186</v>
      </c>
      <c r="T3" s="816"/>
    </row>
    <row r="4" spans="1:22">
      <c r="S4" s="816"/>
      <c r="T4" s="816"/>
    </row>
    <row r="5" spans="1:22" ht="15.6" customHeight="1">
      <c r="H5" s="817" t="s">
        <v>1187</v>
      </c>
      <c r="I5" s="817"/>
      <c r="J5" s="817"/>
      <c r="K5" s="817"/>
      <c r="L5" s="817"/>
      <c r="M5" s="817"/>
      <c r="N5" s="817"/>
    </row>
    <row r="6" spans="1:22" ht="13.15" customHeight="1">
      <c r="Q6" s="818" t="s">
        <v>1188</v>
      </c>
      <c r="R6" s="818"/>
      <c r="S6" s="816"/>
    </row>
    <row r="7" spans="1:22">
      <c r="H7" s="816" t="s">
        <v>1189</v>
      </c>
      <c r="I7" s="816"/>
      <c r="J7" s="819">
        <v>41640</v>
      </c>
      <c r="K7" s="819"/>
      <c r="L7" s="816" t="s">
        <v>1190</v>
      </c>
      <c r="M7" s="816"/>
      <c r="N7" s="819">
        <v>41993</v>
      </c>
      <c r="O7" s="819"/>
      <c r="Q7" s="818"/>
      <c r="R7" s="818"/>
      <c r="S7" s="816"/>
    </row>
    <row r="8" spans="1:22">
      <c r="H8" s="816"/>
      <c r="I8" s="816"/>
      <c r="J8" s="819"/>
      <c r="K8" s="819"/>
      <c r="L8" s="816"/>
      <c r="M8" s="816"/>
      <c r="N8" s="819"/>
      <c r="O8" s="819"/>
    </row>
    <row r="10" spans="1:22" ht="13.15" customHeight="1">
      <c r="H10" s="809" t="s">
        <v>1191</v>
      </c>
      <c r="I10" s="809"/>
      <c r="J10" s="809"/>
      <c r="K10" s="809" t="s">
        <v>1192</v>
      </c>
      <c r="L10" s="809"/>
      <c r="M10" s="809" t="s">
        <v>1193</v>
      </c>
      <c r="N10" s="809"/>
      <c r="O10" s="809" t="s">
        <v>1194</v>
      </c>
      <c r="P10" s="809"/>
      <c r="Q10" s="820" t="s">
        <v>1195</v>
      </c>
      <c r="R10" s="820"/>
      <c r="S10" s="809" t="s">
        <v>1196</v>
      </c>
      <c r="T10" s="809"/>
    </row>
    <row r="12" spans="1:22" ht="13.15" customHeight="1">
      <c r="B12" s="809"/>
      <c r="C12" s="809" t="s">
        <v>1197</v>
      </c>
      <c r="D12" s="809"/>
      <c r="E12" s="809" t="s">
        <v>1198</v>
      </c>
      <c r="F12" s="809"/>
      <c r="G12" s="809" t="s">
        <v>1199</v>
      </c>
      <c r="H12" s="809"/>
      <c r="I12" s="809"/>
      <c r="J12" s="809"/>
      <c r="K12" s="809"/>
      <c r="L12" s="809"/>
      <c r="M12" s="809"/>
      <c r="N12" s="809"/>
    </row>
    <row r="14" spans="1:22" ht="45">
      <c r="G14" s="810" t="s">
        <v>1200</v>
      </c>
      <c r="H14" s="810"/>
      <c r="O14" s="810" t="s">
        <v>1201</v>
      </c>
      <c r="P14" s="810"/>
      <c r="U14" s="810" t="s">
        <v>1202</v>
      </c>
      <c r="V14" s="810"/>
    </row>
    <row r="15" spans="1:22" ht="22.5">
      <c r="A15" s="809" t="s">
        <v>1203</v>
      </c>
      <c r="B15" s="811" t="s">
        <v>1204</v>
      </c>
      <c r="D15" s="810" t="s">
        <v>1205</v>
      </c>
      <c r="E15" s="810"/>
      <c r="G15" s="810"/>
      <c r="H15" s="810"/>
      <c r="I15" s="810" t="s">
        <v>1206</v>
      </c>
      <c r="J15" s="810"/>
      <c r="K15" s="810" t="s">
        <v>1207</v>
      </c>
      <c r="L15" s="810"/>
      <c r="M15" s="810" t="s">
        <v>1208</v>
      </c>
      <c r="N15" s="810"/>
      <c r="O15" s="810"/>
      <c r="P15" s="810"/>
      <c r="Q15" s="812" t="s">
        <v>1209</v>
      </c>
      <c r="R15" s="812"/>
      <c r="S15" s="810" t="s">
        <v>1210</v>
      </c>
      <c r="T15" s="810"/>
      <c r="U15" s="810"/>
      <c r="V15" s="810"/>
    </row>
    <row r="16" spans="1:22" ht="13.15" customHeight="1">
      <c r="A16" s="821" t="s">
        <v>1211</v>
      </c>
      <c r="B16" s="821"/>
      <c r="D16" s="821" t="s">
        <v>75</v>
      </c>
      <c r="E16" s="821"/>
      <c r="F16" s="821"/>
      <c r="G16" s="821"/>
      <c r="Q16" s="807"/>
    </row>
    <row r="17" spans="1:23">
      <c r="A17" s="821"/>
      <c r="B17" s="821"/>
      <c r="D17" s="821"/>
      <c r="E17" s="821"/>
      <c r="F17" s="821"/>
      <c r="G17" s="821"/>
      <c r="H17" s="822">
        <v>534781.16</v>
      </c>
      <c r="I17" s="822"/>
      <c r="J17" s="822">
        <v>-65841.919999999998</v>
      </c>
      <c r="K17" s="822"/>
      <c r="L17" s="822">
        <v>468939.24</v>
      </c>
      <c r="M17" s="822"/>
      <c r="N17" s="822">
        <v>397917.46</v>
      </c>
      <c r="O17" s="822"/>
      <c r="P17" s="822">
        <v>71021.78</v>
      </c>
      <c r="Q17" s="822"/>
      <c r="R17" s="826">
        <v>367514.19</v>
      </c>
      <c r="S17" s="822"/>
      <c r="T17" s="822">
        <v>367514.19</v>
      </c>
      <c r="U17" s="822"/>
      <c r="V17" s="822">
        <v>101425.05</v>
      </c>
      <c r="W17" s="822"/>
    </row>
    <row r="18" spans="1:23" ht="13.15" customHeight="1">
      <c r="A18" s="821" t="s">
        <v>1212</v>
      </c>
      <c r="B18" s="821"/>
      <c r="D18" s="821" t="s">
        <v>1213</v>
      </c>
      <c r="E18" s="821"/>
      <c r="F18" s="821"/>
      <c r="G18" s="821"/>
      <c r="Q18" s="807"/>
    </row>
    <row r="19" spans="1:23">
      <c r="A19" s="821"/>
      <c r="B19" s="821"/>
      <c r="D19" s="821"/>
      <c r="E19" s="821"/>
      <c r="F19" s="821"/>
      <c r="G19" s="821"/>
      <c r="H19" s="822">
        <v>1714390.08</v>
      </c>
      <c r="I19" s="822"/>
      <c r="J19" s="822">
        <v>852468.44000000006</v>
      </c>
      <c r="K19" s="822"/>
      <c r="L19" s="822">
        <v>2566858.52</v>
      </c>
      <c r="M19" s="822"/>
      <c r="N19" s="822">
        <v>1965176.1500000001</v>
      </c>
      <c r="O19" s="822"/>
      <c r="P19" s="822">
        <v>601682.37</v>
      </c>
      <c r="Q19" s="822"/>
      <c r="R19" s="826">
        <v>1965176.1500000001</v>
      </c>
      <c r="S19" s="822"/>
      <c r="T19" s="822">
        <v>1965176.1500000001</v>
      </c>
      <c r="U19" s="822"/>
      <c r="V19" s="822">
        <v>601682.37</v>
      </c>
      <c r="W19" s="822"/>
    </row>
    <row r="20" spans="1:23" ht="13.15" customHeight="1">
      <c r="A20" s="821" t="s">
        <v>1214</v>
      </c>
      <c r="B20" s="821"/>
      <c r="D20" s="821" t="s">
        <v>32</v>
      </c>
      <c r="E20" s="821"/>
      <c r="F20" s="821"/>
      <c r="G20" s="821"/>
      <c r="Q20" s="807"/>
    </row>
    <row r="21" spans="1:23">
      <c r="A21" s="821"/>
      <c r="B21" s="821"/>
      <c r="D21" s="821"/>
      <c r="E21" s="821"/>
      <c r="F21" s="821"/>
      <c r="G21" s="821"/>
      <c r="H21" s="822">
        <v>238008.94</v>
      </c>
      <c r="I21" s="822"/>
      <c r="J21" s="822">
        <v>77520.47</v>
      </c>
      <c r="K21" s="822"/>
      <c r="L21" s="822">
        <v>315529.41000000003</v>
      </c>
      <c r="M21" s="822"/>
      <c r="N21" s="822">
        <v>292795.02</v>
      </c>
      <c r="O21" s="822"/>
      <c r="P21" s="822">
        <v>22734.39</v>
      </c>
      <c r="Q21" s="822"/>
      <c r="R21" s="826">
        <v>290793.93</v>
      </c>
      <c r="S21" s="822"/>
      <c r="T21" s="822">
        <v>290793.93</v>
      </c>
      <c r="U21" s="822"/>
      <c r="V21" s="822">
        <v>24735.48</v>
      </c>
      <c r="W21" s="822"/>
    </row>
    <row r="22" spans="1:23" ht="13.15" customHeight="1">
      <c r="A22" s="821" t="s">
        <v>1215</v>
      </c>
      <c r="B22" s="821"/>
      <c r="D22" s="821" t="s">
        <v>33</v>
      </c>
      <c r="E22" s="821"/>
      <c r="F22" s="821"/>
      <c r="G22" s="821"/>
      <c r="Q22" s="807"/>
    </row>
    <row r="23" spans="1:23">
      <c r="A23" s="821"/>
      <c r="B23" s="821"/>
      <c r="D23" s="821"/>
      <c r="E23" s="821"/>
      <c r="F23" s="821"/>
      <c r="G23" s="821"/>
      <c r="H23" s="822">
        <v>97644.800000000003</v>
      </c>
      <c r="I23" s="822"/>
      <c r="J23" s="822">
        <v>36616.720000000001</v>
      </c>
      <c r="K23" s="822"/>
      <c r="L23" s="822">
        <v>134261.51999999999</v>
      </c>
      <c r="M23" s="822"/>
      <c r="N23" s="822">
        <v>130410.35</v>
      </c>
      <c r="O23" s="822"/>
      <c r="P23" s="822">
        <v>3851.17</v>
      </c>
      <c r="Q23" s="822"/>
      <c r="R23" s="826">
        <v>129483.74</v>
      </c>
      <c r="S23" s="822"/>
      <c r="T23" s="822">
        <v>129483.74</v>
      </c>
      <c r="U23" s="822"/>
      <c r="V23" s="822">
        <v>4777.78</v>
      </c>
      <c r="W23" s="822"/>
    </row>
    <row r="24" spans="1:23" ht="13.15" customHeight="1">
      <c r="A24" s="821" t="s">
        <v>1216</v>
      </c>
      <c r="B24" s="821"/>
      <c r="D24" s="821" t="s">
        <v>1217</v>
      </c>
      <c r="E24" s="821"/>
      <c r="F24" s="821"/>
      <c r="G24" s="821"/>
      <c r="Q24" s="807"/>
    </row>
    <row r="25" spans="1:23">
      <c r="A25" s="821"/>
      <c r="B25" s="821"/>
      <c r="D25" s="821"/>
      <c r="E25" s="821"/>
      <c r="F25" s="821"/>
      <c r="G25" s="821"/>
      <c r="H25" s="822">
        <v>29964</v>
      </c>
      <c r="I25" s="822"/>
      <c r="J25" s="822">
        <v>3168</v>
      </c>
      <c r="K25" s="822"/>
      <c r="L25" s="822">
        <v>33132</v>
      </c>
      <c r="M25" s="822"/>
      <c r="N25" s="822">
        <v>27673</v>
      </c>
      <c r="O25" s="822"/>
      <c r="P25" s="822">
        <v>5459</v>
      </c>
      <c r="Q25" s="822"/>
      <c r="R25" s="826">
        <v>27673</v>
      </c>
      <c r="S25" s="822"/>
      <c r="T25" s="822">
        <v>27673</v>
      </c>
      <c r="U25" s="822"/>
      <c r="V25" s="822">
        <v>5459</v>
      </c>
      <c r="W25" s="822"/>
    </row>
    <row r="26" spans="1:23" ht="13.15" customHeight="1">
      <c r="A26" s="821" t="s">
        <v>1218</v>
      </c>
      <c r="B26" s="821"/>
      <c r="D26" s="821" t="s">
        <v>1219</v>
      </c>
      <c r="E26" s="821"/>
      <c r="F26" s="821"/>
      <c r="G26" s="821"/>
      <c r="Q26" s="807"/>
    </row>
    <row r="27" spans="1:23">
      <c r="A27" s="821"/>
      <c r="B27" s="821"/>
      <c r="D27" s="821"/>
      <c r="E27" s="821"/>
      <c r="F27" s="821"/>
      <c r="G27" s="821"/>
      <c r="H27" s="822">
        <v>239712</v>
      </c>
      <c r="I27" s="822"/>
      <c r="J27" s="822">
        <v>25344</v>
      </c>
      <c r="K27" s="822"/>
      <c r="L27" s="822">
        <v>265056</v>
      </c>
      <c r="M27" s="822"/>
      <c r="N27" s="822">
        <v>216272</v>
      </c>
      <c r="O27" s="822"/>
      <c r="P27" s="822">
        <v>48784</v>
      </c>
      <c r="Q27" s="822"/>
      <c r="R27" s="826">
        <v>216272</v>
      </c>
      <c r="S27" s="822"/>
      <c r="T27" s="822">
        <v>216272</v>
      </c>
      <c r="U27" s="822"/>
      <c r="V27" s="822">
        <v>48784</v>
      </c>
      <c r="W27" s="822"/>
    </row>
    <row r="28" spans="1:23" ht="13.15" customHeight="1">
      <c r="A28" s="821" t="s">
        <v>1220</v>
      </c>
      <c r="B28" s="821"/>
      <c r="D28" s="821" t="s">
        <v>80</v>
      </c>
      <c r="E28" s="821"/>
      <c r="F28" s="821"/>
      <c r="G28" s="821"/>
      <c r="Q28" s="807"/>
    </row>
    <row r="29" spans="1:23">
      <c r="A29" s="821"/>
      <c r="B29" s="821"/>
      <c r="D29" s="821"/>
      <c r="E29" s="821"/>
      <c r="F29" s="821"/>
      <c r="G29" s="821"/>
      <c r="H29" s="822">
        <v>10582.08</v>
      </c>
      <c r="I29" s="822"/>
      <c r="J29" s="822">
        <v>0</v>
      </c>
      <c r="K29" s="822"/>
      <c r="L29" s="822">
        <v>10582.08</v>
      </c>
      <c r="M29" s="822"/>
      <c r="N29" s="822">
        <v>7762.2</v>
      </c>
      <c r="O29" s="822"/>
      <c r="P29" s="822">
        <v>2819.88</v>
      </c>
      <c r="Q29" s="822"/>
      <c r="R29" s="826">
        <v>7762.2</v>
      </c>
      <c r="S29" s="822"/>
      <c r="T29" s="822">
        <v>7762.2</v>
      </c>
      <c r="U29" s="822"/>
      <c r="V29" s="822">
        <v>2819.88</v>
      </c>
      <c r="W29" s="822"/>
    </row>
    <row r="30" spans="1:23" ht="13.15" customHeight="1">
      <c r="A30" s="821" t="s">
        <v>1221</v>
      </c>
      <c r="B30" s="821"/>
      <c r="D30" s="821" t="s">
        <v>1222</v>
      </c>
      <c r="E30" s="821"/>
      <c r="F30" s="821"/>
      <c r="G30" s="821"/>
      <c r="Q30" s="807"/>
    </row>
    <row r="31" spans="1:23">
      <c r="A31" s="821"/>
      <c r="B31" s="821"/>
      <c r="D31" s="821"/>
      <c r="E31" s="821"/>
      <c r="F31" s="821"/>
      <c r="G31" s="821"/>
      <c r="H31" s="822">
        <v>12857.93</v>
      </c>
      <c r="I31" s="822"/>
      <c r="J31" s="822">
        <v>532.27</v>
      </c>
      <c r="K31" s="822"/>
      <c r="L31" s="822">
        <v>13390.2</v>
      </c>
      <c r="M31" s="822"/>
      <c r="N31" s="822">
        <v>12087.03</v>
      </c>
      <c r="O31" s="822"/>
      <c r="P31" s="822">
        <v>1303.17</v>
      </c>
      <c r="Q31" s="822"/>
      <c r="R31" s="826">
        <v>12082.69</v>
      </c>
      <c r="S31" s="822"/>
      <c r="T31" s="822">
        <v>12082.69</v>
      </c>
      <c r="U31" s="822"/>
      <c r="V31" s="822">
        <v>1307.51</v>
      </c>
      <c r="W31" s="822"/>
    </row>
    <row r="32" spans="1:23" ht="13.15" customHeight="1">
      <c r="A32" s="821" t="s">
        <v>1223</v>
      </c>
      <c r="B32" s="821"/>
      <c r="D32" s="821" t="s">
        <v>1224</v>
      </c>
      <c r="E32" s="821"/>
      <c r="F32" s="821"/>
      <c r="G32" s="821"/>
      <c r="Q32" s="807"/>
    </row>
    <row r="33" spans="1:23">
      <c r="A33" s="821"/>
      <c r="B33" s="821"/>
      <c r="D33" s="821"/>
      <c r="E33" s="821"/>
      <c r="F33" s="821"/>
      <c r="G33" s="821"/>
      <c r="H33" s="822">
        <v>0</v>
      </c>
      <c r="I33" s="822"/>
      <c r="J33" s="822">
        <v>83000</v>
      </c>
      <c r="K33" s="822"/>
      <c r="L33" s="822">
        <v>83000</v>
      </c>
      <c r="M33" s="822"/>
      <c r="N33" s="822">
        <v>27672.32</v>
      </c>
      <c r="O33" s="822"/>
      <c r="P33" s="822">
        <v>55327.68</v>
      </c>
      <c r="Q33" s="822"/>
      <c r="R33" s="826">
        <v>27672.32</v>
      </c>
      <c r="S33" s="822"/>
      <c r="T33" s="822">
        <v>27672.32</v>
      </c>
      <c r="U33" s="822"/>
      <c r="V33" s="822">
        <v>55327.68</v>
      </c>
      <c r="W33" s="822"/>
    </row>
    <row r="34" spans="1:23" ht="13.15" customHeight="1">
      <c r="A34" s="821" t="s">
        <v>1225</v>
      </c>
      <c r="B34" s="821"/>
      <c r="D34" s="821" t="s">
        <v>1226</v>
      </c>
      <c r="E34" s="821"/>
      <c r="F34" s="821"/>
      <c r="G34" s="821"/>
      <c r="Q34" s="807"/>
    </row>
    <row r="35" spans="1:23">
      <c r="A35" s="821"/>
      <c r="B35" s="821"/>
      <c r="D35" s="821"/>
      <c r="E35" s="821"/>
      <c r="F35" s="821"/>
      <c r="G35" s="821"/>
      <c r="H35" s="822">
        <v>606936</v>
      </c>
      <c r="I35" s="822"/>
      <c r="J35" s="822">
        <v>355064</v>
      </c>
      <c r="K35" s="822"/>
      <c r="L35" s="822">
        <v>962000</v>
      </c>
      <c r="M35" s="822"/>
      <c r="N35" s="822">
        <v>908156.27</v>
      </c>
      <c r="O35" s="822"/>
      <c r="P35" s="822">
        <v>53843.73</v>
      </c>
      <c r="Q35" s="822"/>
      <c r="R35" s="826">
        <v>845555.77</v>
      </c>
      <c r="S35" s="822"/>
      <c r="T35" s="822">
        <v>845990.79</v>
      </c>
      <c r="U35" s="822"/>
      <c r="V35" s="822">
        <v>116444.23</v>
      </c>
      <c r="W35" s="822"/>
    </row>
    <row r="36" spans="1:23" ht="13.15" customHeight="1">
      <c r="A36" s="821" t="s">
        <v>1227</v>
      </c>
      <c r="B36" s="821"/>
      <c r="D36" s="821" t="s">
        <v>82</v>
      </c>
      <c r="E36" s="821"/>
      <c r="F36" s="821"/>
      <c r="G36" s="821"/>
      <c r="Q36" s="807"/>
    </row>
    <row r="37" spans="1:23">
      <c r="A37" s="821"/>
      <c r="B37" s="821"/>
      <c r="D37" s="821"/>
      <c r="E37" s="821"/>
      <c r="F37" s="821"/>
      <c r="G37" s="821"/>
      <c r="H37" s="822">
        <v>20000</v>
      </c>
      <c r="I37" s="822"/>
      <c r="J37" s="822">
        <v>0</v>
      </c>
      <c r="K37" s="822"/>
      <c r="L37" s="822">
        <v>20000</v>
      </c>
      <c r="M37" s="822"/>
      <c r="N37" s="822">
        <v>14972.51</v>
      </c>
      <c r="O37" s="822"/>
      <c r="P37" s="822">
        <v>5027.49</v>
      </c>
      <c r="Q37" s="822"/>
      <c r="R37" s="826">
        <v>13935.470000000001</v>
      </c>
      <c r="S37" s="822"/>
      <c r="T37" s="822">
        <v>13935.470000000001</v>
      </c>
      <c r="U37" s="822"/>
      <c r="V37" s="822">
        <v>6064.53</v>
      </c>
      <c r="W37" s="822"/>
    </row>
    <row r="38" spans="1:23">
      <c r="A38" s="821" t="s">
        <v>1228</v>
      </c>
      <c r="B38" s="821"/>
      <c r="D38" s="821" t="s">
        <v>83</v>
      </c>
      <c r="E38" s="821"/>
      <c r="F38" s="821"/>
      <c r="G38" s="821"/>
      <c r="Q38" s="807"/>
    </row>
    <row r="39" spans="1:23">
      <c r="A39" s="821"/>
      <c r="B39" s="821"/>
      <c r="D39" s="821"/>
      <c r="E39" s="821"/>
      <c r="F39" s="821"/>
      <c r="G39" s="821"/>
      <c r="H39" s="822">
        <v>5000</v>
      </c>
      <c r="I39" s="822"/>
      <c r="J39" s="822">
        <v>0</v>
      </c>
      <c r="K39" s="822"/>
      <c r="L39" s="822">
        <v>5000</v>
      </c>
      <c r="M39" s="822"/>
      <c r="N39" s="822">
        <v>1752.08</v>
      </c>
      <c r="O39" s="822"/>
      <c r="P39" s="822">
        <v>3247.92</v>
      </c>
      <c r="Q39" s="822"/>
      <c r="R39" s="826">
        <v>794.08</v>
      </c>
      <c r="S39" s="822"/>
      <c r="T39" s="822">
        <v>794.08</v>
      </c>
      <c r="U39" s="822"/>
      <c r="V39" s="822">
        <v>4205.92</v>
      </c>
      <c r="W39" s="822"/>
    </row>
    <row r="40" spans="1:23" ht="13.15" customHeight="1">
      <c r="A40" s="821" t="s">
        <v>1229</v>
      </c>
      <c r="B40" s="821"/>
      <c r="D40" s="821" t="s">
        <v>36</v>
      </c>
      <c r="E40" s="821"/>
      <c r="F40" s="821"/>
      <c r="G40" s="821"/>
      <c r="Q40" s="807"/>
    </row>
    <row r="41" spans="1:23">
      <c r="A41" s="821"/>
      <c r="B41" s="821"/>
      <c r="D41" s="821"/>
      <c r="E41" s="821"/>
      <c r="F41" s="821"/>
      <c r="G41" s="821"/>
      <c r="H41" s="822">
        <v>341308.44</v>
      </c>
      <c r="I41" s="822"/>
      <c r="J41" s="822">
        <v>108800.76000000001</v>
      </c>
      <c r="K41" s="822"/>
      <c r="L41" s="822">
        <v>450109.2</v>
      </c>
      <c r="M41" s="822"/>
      <c r="N41" s="822">
        <v>397204.49</v>
      </c>
      <c r="O41" s="822"/>
      <c r="P41" s="822">
        <v>52904.71</v>
      </c>
      <c r="Q41" s="822"/>
      <c r="R41" s="826">
        <v>386264.73</v>
      </c>
      <c r="S41" s="822"/>
      <c r="T41" s="822">
        <v>386264.73</v>
      </c>
      <c r="U41" s="822"/>
      <c r="V41" s="822">
        <v>63844.47</v>
      </c>
      <c r="W41" s="822"/>
    </row>
    <row r="42" spans="1:23" ht="13.15" customHeight="1">
      <c r="A42" s="821" t="s">
        <v>1230</v>
      </c>
      <c r="B42" s="821"/>
      <c r="D42" s="821" t="s">
        <v>1231</v>
      </c>
      <c r="E42" s="821"/>
      <c r="F42" s="821"/>
      <c r="G42" s="821"/>
      <c r="Q42" s="807"/>
    </row>
    <row r="43" spans="1:23">
      <c r="A43" s="821"/>
      <c r="B43" s="821"/>
      <c r="D43" s="821"/>
      <c r="E43" s="821"/>
      <c r="F43" s="821"/>
      <c r="G43" s="821"/>
      <c r="H43" s="822">
        <v>209988.74</v>
      </c>
      <c r="I43" s="822"/>
      <c r="J43" s="822">
        <v>20405.689999999999</v>
      </c>
      <c r="K43" s="822"/>
      <c r="L43" s="822">
        <v>230394.43</v>
      </c>
      <c r="M43" s="822"/>
      <c r="N43" s="822">
        <v>213571.74</v>
      </c>
      <c r="O43" s="822"/>
      <c r="P43" s="822">
        <v>16822.689999999999</v>
      </c>
      <c r="Q43" s="822"/>
      <c r="R43" s="826">
        <v>209631.67</v>
      </c>
      <c r="S43" s="822"/>
      <c r="T43" s="822">
        <v>209631.67</v>
      </c>
      <c r="U43" s="822"/>
      <c r="V43" s="822">
        <v>20762.760000000002</v>
      </c>
      <c r="W43" s="822"/>
    </row>
    <row r="44" spans="1:23" ht="13.15" customHeight="1">
      <c r="A44" s="821" t="s">
        <v>1232</v>
      </c>
      <c r="B44" s="821"/>
      <c r="D44" s="821" t="s">
        <v>84</v>
      </c>
      <c r="E44" s="821"/>
      <c r="F44" s="821"/>
      <c r="G44" s="821"/>
      <c r="Q44" s="807"/>
    </row>
    <row r="45" spans="1:23">
      <c r="A45" s="821"/>
      <c r="B45" s="821"/>
      <c r="D45" s="821"/>
      <c r="E45" s="821"/>
      <c r="F45" s="821"/>
      <c r="G45" s="821"/>
      <c r="H45" s="822">
        <v>0</v>
      </c>
      <c r="I45" s="822"/>
      <c r="J45" s="822">
        <v>3796</v>
      </c>
      <c r="K45" s="822"/>
      <c r="L45" s="822">
        <v>3796</v>
      </c>
      <c r="M45" s="822"/>
      <c r="N45" s="822">
        <v>3192</v>
      </c>
      <c r="O45" s="822"/>
      <c r="P45" s="822">
        <v>604</v>
      </c>
      <c r="Q45" s="822"/>
      <c r="R45" s="826">
        <v>2952</v>
      </c>
      <c r="S45" s="822"/>
      <c r="T45" s="822">
        <v>2952</v>
      </c>
      <c r="U45" s="822"/>
      <c r="V45" s="822">
        <v>844</v>
      </c>
      <c r="W45" s="822"/>
    </row>
    <row r="46" spans="1:23" ht="13.15" customHeight="1">
      <c r="A46" s="821" t="s">
        <v>1233</v>
      </c>
      <c r="B46" s="821"/>
      <c r="D46" s="821" t="s">
        <v>1234</v>
      </c>
      <c r="E46" s="821"/>
      <c r="F46" s="821"/>
      <c r="G46" s="821"/>
      <c r="Q46" s="807"/>
    </row>
    <row r="47" spans="1:23">
      <c r="A47" s="821"/>
      <c r="B47" s="821"/>
      <c r="D47" s="821"/>
      <c r="E47" s="821"/>
      <c r="F47" s="821"/>
      <c r="G47" s="821"/>
      <c r="H47" s="822">
        <v>0</v>
      </c>
      <c r="I47" s="822"/>
      <c r="J47" s="822">
        <v>1000</v>
      </c>
      <c r="K47" s="822"/>
      <c r="L47" s="822">
        <v>1000</v>
      </c>
      <c r="M47" s="822"/>
      <c r="N47" s="822">
        <v>0</v>
      </c>
      <c r="O47" s="822"/>
      <c r="P47" s="822">
        <v>1000</v>
      </c>
      <c r="Q47" s="822"/>
      <c r="R47" s="826">
        <v>0</v>
      </c>
      <c r="S47" s="822"/>
      <c r="T47" s="822">
        <v>0</v>
      </c>
      <c r="U47" s="822"/>
      <c r="V47" s="822">
        <v>1000</v>
      </c>
      <c r="W47" s="822"/>
    </row>
    <row r="48" spans="1:23" ht="13.15" customHeight="1">
      <c r="A48" s="821" t="s">
        <v>1235</v>
      </c>
      <c r="B48" s="821"/>
      <c r="D48" s="821" t="s">
        <v>1236</v>
      </c>
      <c r="E48" s="821"/>
      <c r="F48" s="821"/>
      <c r="G48" s="821"/>
      <c r="Q48" s="807"/>
    </row>
    <row r="49" spans="1:23">
      <c r="A49" s="821"/>
      <c r="B49" s="821"/>
      <c r="D49" s="821"/>
      <c r="E49" s="821"/>
      <c r="F49" s="821"/>
      <c r="G49" s="821"/>
      <c r="H49" s="822">
        <v>104756.18000000001</v>
      </c>
      <c r="I49" s="822"/>
      <c r="J49" s="822">
        <v>-29756.18</v>
      </c>
      <c r="K49" s="822"/>
      <c r="L49" s="822">
        <v>75000</v>
      </c>
      <c r="M49" s="822"/>
      <c r="N49" s="822">
        <v>0</v>
      </c>
      <c r="O49" s="822"/>
      <c r="P49" s="822">
        <v>75000</v>
      </c>
      <c r="Q49" s="822"/>
      <c r="R49" s="826">
        <v>0</v>
      </c>
      <c r="S49" s="822"/>
      <c r="T49" s="822">
        <v>0</v>
      </c>
      <c r="U49" s="822"/>
      <c r="V49" s="822">
        <v>75000</v>
      </c>
      <c r="W49" s="822"/>
    </row>
    <row r="50" spans="1:23" ht="13.15" customHeight="1">
      <c r="A50" s="821" t="s">
        <v>1237</v>
      </c>
      <c r="B50" s="821"/>
      <c r="D50" s="821" t="s">
        <v>1238</v>
      </c>
      <c r="E50" s="821"/>
      <c r="F50" s="821"/>
      <c r="G50" s="821"/>
      <c r="Q50" s="807"/>
    </row>
    <row r="51" spans="1:23">
      <c r="A51" s="821"/>
      <c r="B51" s="821"/>
      <c r="D51" s="821"/>
      <c r="E51" s="821"/>
      <c r="F51" s="821"/>
      <c r="G51" s="821"/>
      <c r="H51" s="822">
        <v>5000</v>
      </c>
      <c r="I51" s="822"/>
      <c r="J51" s="822">
        <v>55556.35</v>
      </c>
      <c r="K51" s="822"/>
      <c r="L51" s="822">
        <v>60556.35</v>
      </c>
      <c r="M51" s="822"/>
      <c r="N51" s="822">
        <v>50187.49</v>
      </c>
      <c r="O51" s="822"/>
      <c r="P51" s="822">
        <v>10368.86</v>
      </c>
      <c r="Q51" s="822"/>
      <c r="R51" s="826">
        <v>48544.44</v>
      </c>
      <c r="S51" s="822"/>
      <c r="T51" s="822">
        <v>48544.44</v>
      </c>
      <c r="U51" s="822"/>
      <c r="V51" s="822">
        <v>12011.91</v>
      </c>
      <c r="W51" s="822"/>
    </row>
    <row r="52" spans="1:23" ht="13.15" customHeight="1">
      <c r="A52" s="821" t="s">
        <v>1239</v>
      </c>
      <c r="B52" s="821"/>
      <c r="D52" s="821" t="s">
        <v>86</v>
      </c>
      <c r="E52" s="821"/>
      <c r="F52" s="821"/>
      <c r="G52" s="821"/>
      <c r="H52" s="822"/>
      <c r="I52" s="822"/>
      <c r="J52" s="822"/>
      <c r="K52" s="822"/>
      <c r="L52" s="822"/>
      <c r="M52" s="822"/>
      <c r="N52" s="822"/>
      <c r="O52" s="822"/>
      <c r="P52" s="822"/>
      <c r="Q52" s="822"/>
      <c r="R52" s="826"/>
      <c r="S52" s="822"/>
      <c r="T52" s="822"/>
      <c r="U52" s="822"/>
      <c r="V52" s="822"/>
      <c r="W52" s="822"/>
    </row>
    <row r="53" spans="1:23">
      <c r="A53" s="821"/>
      <c r="B53" s="821"/>
      <c r="D53" s="821"/>
      <c r="E53" s="821"/>
      <c r="F53" s="821"/>
      <c r="G53" s="821"/>
      <c r="Q53" s="807"/>
    </row>
    <row r="54" spans="1:23">
      <c r="A54" s="821"/>
      <c r="B54" s="821"/>
      <c r="D54" s="821"/>
      <c r="E54" s="821"/>
      <c r="F54" s="821"/>
      <c r="G54" s="821"/>
      <c r="H54" s="822">
        <v>30000</v>
      </c>
      <c r="I54" s="822"/>
      <c r="J54" s="822">
        <v>-29000</v>
      </c>
      <c r="K54" s="822"/>
      <c r="L54" s="822">
        <v>1000</v>
      </c>
      <c r="M54" s="822"/>
      <c r="N54" s="822">
        <v>0</v>
      </c>
      <c r="O54" s="822"/>
      <c r="P54" s="822">
        <v>1000</v>
      </c>
      <c r="Q54" s="822"/>
      <c r="R54" s="826">
        <v>0</v>
      </c>
      <c r="S54" s="822"/>
      <c r="T54" s="822">
        <v>0</v>
      </c>
      <c r="U54" s="822"/>
      <c r="V54" s="822">
        <v>1000</v>
      </c>
      <c r="W54" s="822"/>
    </row>
    <row r="55" spans="1:23" ht="13.15" customHeight="1">
      <c r="A55" s="821" t="s">
        <v>1240</v>
      </c>
      <c r="B55" s="821"/>
      <c r="D55" s="821" t="s">
        <v>1241</v>
      </c>
      <c r="E55" s="821"/>
      <c r="F55" s="821"/>
      <c r="G55" s="821"/>
      <c r="Q55" s="807"/>
    </row>
    <row r="56" spans="1:23">
      <c r="A56" s="821"/>
      <c r="B56" s="821"/>
      <c r="D56" s="821"/>
      <c r="E56" s="821"/>
      <c r="F56" s="821"/>
      <c r="G56" s="821"/>
      <c r="H56" s="822">
        <v>131000</v>
      </c>
      <c r="I56" s="822"/>
      <c r="J56" s="822">
        <v>-130000</v>
      </c>
      <c r="K56" s="822"/>
      <c r="L56" s="822">
        <v>1000</v>
      </c>
      <c r="M56" s="822"/>
      <c r="N56" s="822">
        <v>0</v>
      </c>
      <c r="O56" s="822"/>
      <c r="P56" s="822">
        <v>1000</v>
      </c>
      <c r="Q56" s="822"/>
      <c r="R56" s="826">
        <v>0</v>
      </c>
      <c r="S56" s="822"/>
      <c r="T56" s="822">
        <v>0</v>
      </c>
      <c r="U56" s="822"/>
      <c r="V56" s="822">
        <v>1000</v>
      </c>
      <c r="W56" s="822"/>
    </row>
    <row r="57" spans="1:23" ht="13.15" customHeight="1">
      <c r="A57" s="821" t="s">
        <v>1242</v>
      </c>
      <c r="B57" s="821"/>
      <c r="D57" s="821" t="s">
        <v>89</v>
      </c>
      <c r="E57" s="821"/>
      <c r="F57" s="821"/>
      <c r="G57" s="821"/>
      <c r="Q57" s="807"/>
    </row>
    <row r="58" spans="1:23">
      <c r="A58" s="821"/>
      <c r="B58" s="821"/>
      <c r="D58" s="821"/>
      <c r="E58" s="821"/>
      <c r="F58" s="821"/>
      <c r="G58" s="821"/>
      <c r="H58" s="822">
        <v>3414.6</v>
      </c>
      <c r="I58" s="822"/>
      <c r="J58" s="822">
        <v>0</v>
      </c>
      <c r="K58" s="822"/>
      <c r="L58" s="822">
        <v>3414.6</v>
      </c>
      <c r="M58" s="822"/>
      <c r="N58" s="822">
        <v>578.82000000000005</v>
      </c>
      <c r="O58" s="822"/>
      <c r="P58" s="822">
        <v>2835.78</v>
      </c>
      <c r="Q58" s="822"/>
      <c r="R58" s="826">
        <v>578.82000000000005</v>
      </c>
      <c r="S58" s="822"/>
      <c r="T58" s="822">
        <v>578.82000000000005</v>
      </c>
      <c r="U58" s="822"/>
      <c r="V58" s="822">
        <v>2835.78</v>
      </c>
      <c r="W58" s="822"/>
    </row>
    <row r="59" spans="1:23">
      <c r="Q59" s="807"/>
    </row>
    <row r="60" spans="1:23" ht="13.15" customHeight="1">
      <c r="A60" s="813" t="s">
        <v>1243</v>
      </c>
      <c r="E60" s="823" t="s">
        <v>1244</v>
      </c>
      <c r="F60" s="823"/>
      <c r="J60" s="823" t="s">
        <v>1245</v>
      </c>
      <c r="K60" s="823"/>
      <c r="O60" s="823" t="s">
        <v>1246</v>
      </c>
      <c r="P60" s="823"/>
      <c r="Q60" s="823"/>
    </row>
    <row r="61" spans="1:23" ht="13.15" customHeight="1">
      <c r="B61" s="824" t="s">
        <v>1247</v>
      </c>
      <c r="C61" s="824"/>
      <c r="D61" s="824"/>
      <c r="E61" s="824" t="s">
        <v>1248</v>
      </c>
      <c r="F61" s="824"/>
      <c r="G61" s="824"/>
      <c r="H61" s="824"/>
      <c r="J61" s="824" t="s">
        <v>1249</v>
      </c>
      <c r="K61" s="824"/>
      <c r="L61" s="824"/>
      <c r="Q61" s="807"/>
    </row>
    <row r="62" spans="1:23">
      <c r="Q62" s="807"/>
    </row>
    <row r="63" spans="1:23">
      <c r="Q63" s="807"/>
    </row>
    <row r="64" spans="1:23" ht="13.15" customHeight="1">
      <c r="D64" s="814" t="s">
        <v>1185</v>
      </c>
      <c r="E64" s="814"/>
      <c r="F64" s="814"/>
      <c r="G64" s="814"/>
      <c r="H64" s="814"/>
      <c r="I64" s="814"/>
      <c r="J64" s="814"/>
      <c r="K64" s="814"/>
      <c r="L64" s="814"/>
      <c r="M64" s="814"/>
      <c r="N64" s="814"/>
      <c r="O64" s="814"/>
      <c r="P64" s="814"/>
      <c r="Q64" s="814"/>
      <c r="R64" s="815"/>
    </row>
    <row r="65" spans="1:23" ht="13.15" customHeight="1">
      <c r="D65" s="814"/>
      <c r="E65" s="814"/>
      <c r="F65" s="814"/>
      <c r="G65" s="814"/>
      <c r="H65" s="814"/>
      <c r="I65" s="814"/>
      <c r="J65" s="814"/>
      <c r="K65" s="814"/>
      <c r="L65" s="814"/>
      <c r="M65" s="814"/>
      <c r="N65" s="814"/>
      <c r="O65" s="814"/>
      <c r="P65" s="814"/>
      <c r="Q65" s="814"/>
      <c r="R65" s="815"/>
      <c r="S65" s="816" t="s">
        <v>1186</v>
      </c>
      <c r="T65" s="816"/>
    </row>
    <row r="66" spans="1:23">
      <c r="Q66" s="807"/>
      <c r="S66" s="816"/>
      <c r="T66" s="816"/>
    </row>
    <row r="67" spans="1:23" ht="15.6" customHeight="1">
      <c r="H67" s="817" t="s">
        <v>1187</v>
      </c>
      <c r="I67" s="817"/>
      <c r="J67" s="817"/>
      <c r="K67" s="817"/>
      <c r="L67" s="817"/>
      <c r="M67" s="817"/>
      <c r="N67" s="817"/>
      <c r="Q67" s="807"/>
    </row>
    <row r="68" spans="1:23" ht="13.15" customHeight="1">
      <c r="Q68" s="816" t="s">
        <v>1250</v>
      </c>
      <c r="R68" s="818"/>
      <c r="S68" s="816"/>
    </row>
    <row r="69" spans="1:23">
      <c r="H69" s="816" t="s">
        <v>1189</v>
      </c>
      <c r="I69" s="816"/>
      <c r="J69" s="819">
        <v>41640</v>
      </c>
      <c r="K69" s="819"/>
      <c r="L69" s="816" t="s">
        <v>1190</v>
      </c>
      <c r="M69" s="816"/>
      <c r="N69" s="819">
        <v>41993</v>
      </c>
      <c r="O69" s="819"/>
      <c r="Q69" s="816"/>
      <c r="R69" s="818"/>
      <c r="S69" s="816"/>
    </row>
    <row r="70" spans="1:23">
      <c r="H70" s="816"/>
      <c r="I70" s="816"/>
      <c r="J70" s="819"/>
      <c r="K70" s="819"/>
      <c r="L70" s="816"/>
      <c r="M70" s="816"/>
      <c r="N70" s="819"/>
      <c r="O70" s="819"/>
      <c r="Q70" s="807"/>
    </row>
    <row r="71" spans="1:23">
      <c r="Q71" s="807"/>
    </row>
    <row r="72" spans="1:23" ht="13.15" customHeight="1">
      <c r="H72" s="809" t="s">
        <v>1191</v>
      </c>
      <c r="I72" s="809"/>
      <c r="J72" s="809"/>
      <c r="K72" s="809" t="s">
        <v>1192</v>
      </c>
      <c r="L72" s="809"/>
      <c r="M72" s="809" t="s">
        <v>1193</v>
      </c>
      <c r="N72" s="809"/>
      <c r="O72" s="809" t="s">
        <v>1194</v>
      </c>
      <c r="P72" s="809"/>
      <c r="Q72" s="809" t="s">
        <v>1195</v>
      </c>
      <c r="R72" s="820"/>
      <c r="S72" s="809" t="s">
        <v>1196</v>
      </c>
      <c r="T72" s="809"/>
    </row>
    <row r="73" spans="1:23">
      <c r="Q73" s="807"/>
    </row>
    <row r="74" spans="1:23" ht="13.15" customHeight="1">
      <c r="A74" s="809" t="s">
        <v>1203</v>
      </c>
      <c r="B74" s="809"/>
      <c r="C74" s="809" t="s">
        <v>1197</v>
      </c>
      <c r="D74" s="809"/>
      <c r="E74" s="809" t="s">
        <v>1198</v>
      </c>
      <c r="F74" s="809"/>
      <c r="G74" s="809" t="s">
        <v>1199</v>
      </c>
      <c r="H74" s="809"/>
      <c r="I74" s="809"/>
      <c r="J74" s="809"/>
      <c r="K74" s="809"/>
      <c r="L74" s="809"/>
      <c r="M74" s="809"/>
      <c r="N74" s="809"/>
      <c r="Q74" s="807"/>
    </row>
    <row r="75" spans="1:23">
      <c r="Q75" s="807"/>
    </row>
    <row r="76" spans="1:23" ht="13.15" customHeight="1">
      <c r="G76" s="810" t="s">
        <v>1200</v>
      </c>
      <c r="H76" s="810"/>
      <c r="O76" s="810" t="s">
        <v>1201</v>
      </c>
      <c r="P76" s="810"/>
      <c r="Q76" s="807"/>
      <c r="U76" s="810" t="s">
        <v>1202</v>
      </c>
      <c r="V76" s="810"/>
    </row>
    <row r="77" spans="1:23" ht="13.15" customHeight="1">
      <c r="B77" s="811" t="s">
        <v>1204</v>
      </c>
      <c r="D77" s="810" t="s">
        <v>1205</v>
      </c>
      <c r="E77" s="810"/>
      <c r="G77" s="810"/>
      <c r="H77" s="810"/>
      <c r="I77" s="810" t="s">
        <v>1206</v>
      </c>
      <c r="J77" s="810"/>
      <c r="K77" s="810" t="s">
        <v>1207</v>
      </c>
      <c r="L77" s="810"/>
      <c r="M77" s="810" t="s">
        <v>1208</v>
      </c>
      <c r="N77" s="810"/>
      <c r="O77" s="810"/>
      <c r="P77" s="810"/>
      <c r="Q77" s="810" t="s">
        <v>1209</v>
      </c>
      <c r="R77" s="812"/>
      <c r="S77" s="810" t="s">
        <v>1210</v>
      </c>
      <c r="T77" s="810"/>
      <c r="U77" s="810"/>
      <c r="V77" s="810"/>
    </row>
    <row r="78" spans="1:23" ht="13.15" customHeight="1">
      <c r="A78" s="821" t="s">
        <v>1251</v>
      </c>
      <c r="B78" s="821"/>
      <c r="D78" s="821" t="s">
        <v>1252</v>
      </c>
      <c r="E78" s="821"/>
      <c r="F78" s="821"/>
      <c r="G78" s="821"/>
      <c r="Q78" s="807"/>
    </row>
    <row r="79" spans="1:23">
      <c r="A79" s="821"/>
      <c r="B79" s="821"/>
      <c r="D79" s="821"/>
      <c r="E79" s="821"/>
      <c r="F79" s="821"/>
      <c r="G79" s="821"/>
      <c r="H79" s="822">
        <v>1935.49</v>
      </c>
      <c r="I79" s="822"/>
      <c r="J79" s="822">
        <v>4064.51</v>
      </c>
      <c r="K79" s="822"/>
      <c r="L79" s="822">
        <v>6000</v>
      </c>
      <c r="M79" s="822"/>
      <c r="N79" s="822">
        <v>2437.7000000000003</v>
      </c>
      <c r="O79" s="822"/>
      <c r="P79" s="822">
        <v>3562.3</v>
      </c>
      <c r="Q79" s="822"/>
      <c r="R79" s="826">
        <v>2437.7000000000003</v>
      </c>
      <c r="S79" s="822"/>
      <c r="T79" s="822">
        <v>2437.7000000000003</v>
      </c>
      <c r="U79" s="822"/>
      <c r="V79" s="822">
        <v>3562.3</v>
      </c>
      <c r="W79" s="822"/>
    </row>
    <row r="80" spans="1:23" ht="13.15" customHeight="1">
      <c r="A80" s="821" t="s">
        <v>1253</v>
      </c>
      <c r="B80" s="821"/>
      <c r="D80" s="821" t="s">
        <v>91</v>
      </c>
      <c r="E80" s="821"/>
      <c r="F80" s="821"/>
      <c r="G80" s="821"/>
      <c r="Q80" s="807"/>
    </row>
    <row r="81" spans="1:23">
      <c r="A81" s="821"/>
      <c r="B81" s="821"/>
      <c r="D81" s="821"/>
      <c r="E81" s="821"/>
      <c r="F81" s="821"/>
      <c r="G81" s="821"/>
      <c r="H81" s="822">
        <v>11554.58</v>
      </c>
      <c r="I81" s="822"/>
      <c r="J81" s="822">
        <v>-3554.58</v>
      </c>
      <c r="K81" s="822"/>
      <c r="L81" s="822">
        <v>8000</v>
      </c>
      <c r="M81" s="822"/>
      <c r="N81" s="822">
        <v>3935.92</v>
      </c>
      <c r="O81" s="822"/>
      <c r="P81" s="822">
        <v>4064.08</v>
      </c>
      <c r="Q81" s="822"/>
      <c r="R81" s="826">
        <v>3854.9500000000003</v>
      </c>
      <c r="S81" s="822"/>
      <c r="T81" s="822">
        <v>3854.9500000000003</v>
      </c>
      <c r="U81" s="822"/>
      <c r="V81" s="822">
        <v>4145.05</v>
      </c>
      <c r="W81" s="822"/>
    </row>
    <row r="82" spans="1:23" ht="13.15" customHeight="1">
      <c r="A82" s="821" t="s">
        <v>1254</v>
      </c>
      <c r="B82" s="821"/>
      <c r="D82" s="821" t="s">
        <v>92</v>
      </c>
      <c r="E82" s="821"/>
      <c r="F82" s="821"/>
      <c r="G82" s="821"/>
      <c r="Q82" s="807"/>
    </row>
    <row r="83" spans="1:23">
      <c r="A83" s="821"/>
      <c r="B83" s="821"/>
      <c r="D83" s="821"/>
      <c r="E83" s="821"/>
      <c r="F83" s="821"/>
      <c r="G83" s="821"/>
      <c r="H83" s="822">
        <v>252</v>
      </c>
      <c r="I83" s="822"/>
      <c r="J83" s="822">
        <v>0</v>
      </c>
      <c r="K83" s="822"/>
      <c r="L83" s="822">
        <v>252</v>
      </c>
      <c r="M83" s="822"/>
      <c r="N83" s="822">
        <v>27.28</v>
      </c>
      <c r="O83" s="822"/>
      <c r="P83" s="822">
        <v>224.72</v>
      </c>
      <c r="Q83" s="822"/>
      <c r="R83" s="826">
        <v>27.28</v>
      </c>
      <c r="S83" s="822"/>
      <c r="T83" s="822">
        <v>27.28</v>
      </c>
      <c r="U83" s="822"/>
      <c r="V83" s="822">
        <v>224.72</v>
      </c>
      <c r="W83" s="822"/>
    </row>
    <row r="84" spans="1:23" ht="13.15" customHeight="1">
      <c r="A84" s="821" t="s">
        <v>1255</v>
      </c>
      <c r="B84" s="821"/>
      <c r="D84" s="821" t="s">
        <v>1256</v>
      </c>
      <c r="E84" s="821"/>
      <c r="F84" s="821"/>
      <c r="G84" s="821"/>
      <c r="Q84" s="807"/>
    </row>
    <row r="85" spans="1:23">
      <c r="A85" s="821"/>
      <c r="B85" s="821"/>
      <c r="D85" s="821"/>
      <c r="E85" s="821"/>
      <c r="F85" s="821"/>
      <c r="G85" s="821"/>
      <c r="H85" s="822">
        <v>0</v>
      </c>
      <c r="I85" s="822"/>
      <c r="J85" s="822">
        <v>500</v>
      </c>
      <c r="K85" s="822"/>
      <c r="L85" s="822">
        <v>500</v>
      </c>
      <c r="M85" s="822"/>
      <c r="N85" s="822">
        <v>304.86</v>
      </c>
      <c r="O85" s="822"/>
      <c r="P85" s="822">
        <v>195.14000000000001</v>
      </c>
      <c r="Q85" s="822"/>
      <c r="R85" s="826">
        <v>304.86</v>
      </c>
      <c r="S85" s="822"/>
      <c r="T85" s="822">
        <v>304.86</v>
      </c>
      <c r="U85" s="822"/>
      <c r="V85" s="822">
        <v>195.14000000000001</v>
      </c>
      <c r="W85" s="822"/>
    </row>
    <row r="86" spans="1:23" ht="13.15" customHeight="1">
      <c r="A86" s="821" t="s">
        <v>1257</v>
      </c>
      <c r="B86" s="821"/>
      <c r="D86" s="821" t="s">
        <v>1258</v>
      </c>
      <c r="E86" s="821"/>
      <c r="F86" s="821"/>
      <c r="G86" s="821"/>
      <c r="Q86" s="807"/>
    </row>
    <row r="87" spans="1:23">
      <c r="A87" s="821"/>
      <c r="B87" s="821"/>
      <c r="D87" s="821"/>
      <c r="E87" s="821"/>
      <c r="F87" s="821"/>
      <c r="G87" s="821"/>
      <c r="H87" s="822">
        <v>0</v>
      </c>
      <c r="I87" s="822"/>
      <c r="J87" s="822">
        <v>1300</v>
      </c>
      <c r="K87" s="822"/>
      <c r="L87" s="822">
        <v>1300</v>
      </c>
      <c r="M87" s="822"/>
      <c r="N87" s="822">
        <v>523.79999999999995</v>
      </c>
      <c r="O87" s="822"/>
      <c r="P87" s="822">
        <v>776.2</v>
      </c>
      <c r="Q87" s="822"/>
      <c r="R87" s="826">
        <v>523.79999999999995</v>
      </c>
      <c r="S87" s="822"/>
      <c r="T87" s="822">
        <v>523.79999999999995</v>
      </c>
      <c r="U87" s="822"/>
      <c r="V87" s="822">
        <v>776.2</v>
      </c>
      <c r="W87" s="822"/>
    </row>
    <row r="88" spans="1:23" ht="13.15" customHeight="1">
      <c r="A88" s="821" t="s">
        <v>1259</v>
      </c>
      <c r="B88" s="821"/>
      <c r="D88" s="821" t="s">
        <v>1260</v>
      </c>
      <c r="E88" s="821"/>
      <c r="F88" s="821"/>
      <c r="G88" s="821"/>
      <c r="H88" s="822"/>
      <c r="I88" s="822"/>
      <c r="J88" s="822"/>
      <c r="K88" s="822"/>
      <c r="L88" s="822"/>
      <c r="M88" s="822"/>
      <c r="N88" s="822"/>
      <c r="O88" s="822"/>
      <c r="P88" s="822"/>
      <c r="Q88" s="822"/>
      <c r="R88" s="826"/>
      <c r="S88" s="822"/>
      <c r="T88" s="822"/>
      <c r="U88" s="822"/>
      <c r="V88" s="822"/>
      <c r="W88" s="822"/>
    </row>
    <row r="89" spans="1:23">
      <c r="A89" s="821"/>
      <c r="B89" s="821"/>
      <c r="D89" s="821"/>
      <c r="E89" s="821"/>
      <c r="F89" s="821"/>
      <c r="G89" s="821"/>
      <c r="Q89" s="807"/>
    </row>
    <row r="90" spans="1:23">
      <c r="A90" s="821"/>
      <c r="B90" s="821"/>
      <c r="D90" s="821"/>
      <c r="E90" s="821"/>
      <c r="F90" s="821"/>
      <c r="G90" s="821"/>
      <c r="H90" s="822">
        <v>6300</v>
      </c>
      <c r="I90" s="822"/>
      <c r="J90" s="822">
        <v>8566</v>
      </c>
      <c r="K90" s="822"/>
      <c r="L90" s="822">
        <v>14866</v>
      </c>
      <c r="M90" s="822"/>
      <c r="N90" s="822">
        <v>14295.41</v>
      </c>
      <c r="O90" s="822"/>
      <c r="P90" s="822">
        <v>570.59</v>
      </c>
      <c r="Q90" s="822"/>
      <c r="R90" s="826">
        <v>14220.41</v>
      </c>
      <c r="S90" s="822"/>
      <c r="T90" s="822">
        <v>14220.41</v>
      </c>
      <c r="U90" s="822"/>
      <c r="V90" s="822">
        <v>645.59</v>
      </c>
      <c r="W90" s="822"/>
    </row>
    <row r="91" spans="1:23" ht="13.15" customHeight="1">
      <c r="A91" s="821" t="s">
        <v>1261</v>
      </c>
      <c r="B91" s="821"/>
      <c r="D91" s="821" t="s">
        <v>1262</v>
      </c>
      <c r="E91" s="821"/>
      <c r="F91" s="821"/>
      <c r="G91" s="821"/>
      <c r="H91" s="822"/>
      <c r="I91" s="822"/>
      <c r="J91" s="822"/>
      <c r="K91" s="822"/>
      <c r="L91" s="822"/>
      <c r="M91" s="822"/>
      <c r="N91" s="822"/>
      <c r="O91" s="822"/>
      <c r="P91" s="822"/>
      <c r="Q91" s="822"/>
      <c r="R91" s="826"/>
      <c r="S91" s="822"/>
      <c r="T91" s="822"/>
      <c r="U91" s="822"/>
      <c r="V91" s="822"/>
      <c r="W91" s="822"/>
    </row>
    <row r="92" spans="1:23">
      <c r="A92" s="821"/>
      <c r="B92" s="821"/>
      <c r="D92" s="821"/>
      <c r="E92" s="821"/>
      <c r="F92" s="821"/>
      <c r="G92" s="821"/>
      <c r="Q92" s="807"/>
    </row>
    <row r="93" spans="1:23">
      <c r="A93" s="821"/>
      <c r="B93" s="821"/>
      <c r="D93" s="821"/>
      <c r="E93" s="821"/>
      <c r="F93" s="821"/>
      <c r="G93" s="821"/>
      <c r="H93" s="822">
        <v>6300</v>
      </c>
      <c r="I93" s="822"/>
      <c r="J93" s="822">
        <v>-6300</v>
      </c>
      <c r="K93" s="822"/>
      <c r="L93" s="822">
        <v>0</v>
      </c>
      <c r="M93" s="822"/>
      <c r="N93" s="822">
        <v>0</v>
      </c>
      <c r="O93" s="822"/>
      <c r="P93" s="822">
        <v>0</v>
      </c>
      <c r="Q93" s="822"/>
      <c r="R93" s="826">
        <v>0</v>
      </c>
      <c r="S93" s="822"/>
      <c r="T93" s="822">
        <v>0</v>
      </c>
      <c r="U93" s="822"/>
      <c r="V93" s="822">
        <v>0</v>
      </c>
      <c r="W93" s="822"/>
    </row>
    <row r="94" spans="1:23" ht="13.15" customHeight="1">
      <c r="A94" s="821" t="s">
        <v>1263</v>
      </c>
      <c r="B94" s="821"/>
      <c r="D94" s="821" t="s">
        <v>1264</v>
      </c>
      <c r="E94" s="821"/>
      <c r="F94" s="821"/>
      <c r="G94" s="821"/>
      <c r="Q94" s="807"/>
    </row>
    <row r="95" spans="1:23">
      <c r="A95" s="821"/>
      <c r="B95" s="821"/>
      <c r="D95" s="821"/>
      <c r="E95" s="821"/>
      <c r="F95" s="821"/>
      <c r="G95" s="821"/>
      <c r="H95" s="822">
        <v>40142</v>
      </c>
      <c r="I95" s="822"/>
      <c r="J95" s="822">
        <v>-27285</v>
      </c>
      <c r="K95" s="822"/>
      <c r="L95" s="822">
        <v>12857</v>
      </c>
      <c r="M95" s="822"/>
      <c r="N95" s="822">
        <v>12857</v>
      </c>
      <c r="O95" s="822"/>
      <c r="P95" s="822">
        <v>0</v>
      </c>
      <c r="Q95" s="822"/>
      <c r="R95" s="826">
        <v>12857</v>
      </c>
      <c r="S95" s="822"/>
      <c r="T95" s="822">
        <v>12857</v>
      </c>
      <c r="U95" s="822"/>
      <c r="V95" s="822">
        <v>0</v>
      </c>
      <c r="W95" s="822"/>
    </row>
    <row r="96" spans="1:23" ht="13.15" customHeight="1">
      <c r="A96" s="821" t="s">
        <v>1265</v>
      </c>
      <c r="B96" s="821"/>
      <c r="D96" s="821" t="s">
        <v>1266</v>
      </c>
      <c r="E96" s="821"/>
      <c r="F96" s="821"/>
      <c r="G96" s="821"/>
      <c r="Q96" s="807"/>
    </row>
    <row r="97" spans="1:23">
      <c r="A97" s="821"/>
      <c r="B97" s="821"/>
      <c r="D97" s="821"/>
      <c r="E97" s="821"/>
      <c r="F97" s="821"/>
      <c r="G97" s="821"/>
      <c r="H97" s="822">
        <v>0</v>
      </c>
      <c r="I97" s="822"/>
      <c r="J97" s="822">
        <v>28481.52</v>
      </c>
      <c r="K97" s="822"/>
      <c r="L97" s="822">
        <v>28481.52</v>
      </c>
      <c r="M97" s="822"/>
      <c r="N97" s="822">
        <v>18981.28</v>
      </c>
      <c r="O97" s="822"/>
      <c r="P97" s="822">
        <v>9500.24</v>
      </c>
      <c r="Q97" s="822"/>
      <c r="R97" s="826">
        <v>18981.28</v>
      </c>
      <c r="S97" s="822"/>
      <c r="T97" s="822">
        <v>18981.28</v>
      </c>
      <c r="U97" s="822"/>
      <c r="V97" s="822">
        <v>9500.24</v>
      </c>
      <c r="W97" s="822"/>
    </row>
    <row r="98" spans="1:23" ht="13.15" customHeight="1">
      <c r="A98" s="821" t="s">
        <v>1267</v>
      </c>
      <c r="B98" s="821"/>
      <c r="D98" s="821" t="s">
        <v>1268</v>
      </c>
      <c r="E98" s="821"/>
      <c r="F98" s="821"/>
      <c r="G98" s="821"/>
      <c r="H98" s="822"/>
      <c r="I98" s="822"/>
      <c r="J98" s="822"/>
      <c r="K98" s="822"/>
      <c r="L98" s="822"/>
      <c r="M98" s="822"/>
      <c r="N98" s="822"/>
      <c r="O98" s="822"/>
      <c r="P98" s="822"/>
      <c r="Q98" s="822"/>
      <c r="R98" s="826"/>
      <c r="S98" s="822"/>
      <c r="T98" s="822"/>
      <c r="U98" s="822"/>
      <c r="V98" s="822"/>
      <c r="W98" s="822"/>
    </row>
    <row r="99" spans="1:23">
      <c r="A99" s="821"/>
      <c r="B99" s="821"/>
      <c r="D99" s="821"/>
      <c r="E99" s="821"/>
      <c r="F99" s="821"/>
      <c r="G99" s="821"/>
      <c r="Q99" s="807"/>
    </row>
    <row r="100" spans="1:23">
      <c r="A100" s="821"/>
      <c r="B100" s="821"/>
      <c r="D100" s="821"/>
      <c r="E100" s="821"/>
      <c r="F100" s="821"/>
      <c r="G100" s="821"/>
      <c r="H100" s="822">
        <v>0</v>
      </c>
      <c r="I100" s="822"/>
      <c r="J100" s="822">
        <v>2000</v>
      </c>
      <c r="K100" s="822"/>
      <c r="L100" s="822">
        <v>2000</v>
      </c>
      <c r="M100" s="822"/>
      <c r="N100" s="822">
        <v>361</v>
      </c>
      <c r="O100" s="822"/>
      <c r="P100" s="822">
        <v>1639</v>
      </c>
      <c r="Q100" s="822"/>
      <c r="R100" s="826">
        <v>361</v>
      </c>
      <c r="S100" s="822"/>
      <c r="T100" s="822">
        <v>361</v>
      </c>
      <c r="U100" s="822"/>
      <c r="V100" s="822">
        <v>1639</v>
      </c>
      <c r="W100" s="822"/>
    </row>
    <row r="101" spans="1:23" ht="13.15" customHeight="1">
      <c r="A101" s="821" t="s">
        <v>1269</v>
      </c>
      <c r="B101" s="821"/>
      <c r="D101" s="821" t="s">
        <v>1270</v>
      </c>
      <c r="E101" s="821"/>
      <c r="F101" s="821"/>
      <c r="G101" s="821"/>
      <c r="H101" s="822"/>
      <c r="I101" s="822"/>
      <c r="J101" s="822"/>
      <c r="K101" s="822"/>
      <c r="L101" s="822"/>
      <c r="M101" s="822"/>
      <c r="N101" s="822"/>
      <c r="O101" s="822"/>
      <c r="P101" s="822"/>
      <c r="Q101" s="822"/>
      <c r="R101" s="826"/>
      <c r="S101" s="822"/>
      <c r="T101" s="822"/>
      <c r="U101" s="822"/>
      <c r="V101" s="822"/>
      <c r="W101" s="822"/>
    </row>
    <row r="102" spans="1:23">
      <c r="A102" s="821"/>
      <c r="B102" s="821"/>
      <c r="D102" s="821"/>
      <c r="E102" s="821"/>
      <c r="F102" s="821"/>
      <c r="G102" s="821"/>
      <c r="Q102" s="807"/>
    </row>
    <row r="103" spans="1:23">
      <c r="A103" s="821"/>
      <c r="B103" s="821"/>
      <c r="D103" s="821"/>
      <c r="E103" s="821"/>
      <c r="F103" s="821"/>
      <c r="G103" s="821"/>
      <c r="H103" s="822">
        <v>0</v>
      </c>
      <c r="I103" s="822"/>
      <c r="J103" s="822">
        <v>21500</v>
      </c>
      <c r="K103" s="822"/>
      <c r="L103" s="822">
        <v>21500</v>
      </c>
      <c r="M103" s="822"/>
      <c r="N103" s="822">
        <v>3477.62</v>
      </c>
      <c r="O103" s="822"/>
      <c r="P103" s="822">
        <v>18022.38</v>
      </c>
      <c r="Q103" s="822"/>
      <c r="R103" s="826">
        <v>2334.75</v>
      </c>
      <c r="S103" s="822"/>
      <c r="T103" s="822">
        <v>2334.75</v>
      </c>
      <c r="U103" s="822"/>
      <c r="V103" s="822">
        <v>19165.25</v>
      </c>
      <c r="W103" s="822"/>
    </row>
    <row r="104" spans="1:23" ht="13.15" customHeight="1">
      <c r="A104" s="821" t="s">
        <v>1271</v>
      </c>
      <c r="B104" s="821"/>
      <c r="D104" s="821" t="s">
        <v>1272</v>
      </c>
      <c r="E104" s="821"/>
      <c r="F104" s="821"/>
      <c r="G104" s="821"/>
      <c r="H104" s="822"/>
      <c r="I104" s="822"/>
      <c r="J104" s="822"/>
      <c r="K104" s="822"/>
      <c r="L104" s="822"/>
      <c r="M104" s="822"/>
      <c r="N104" s="822"/>
      <c r="O104" s="822"/>
      <c r="P104" s="822"/>
      <c r="Q104" s="822"/>
      <c r="R104" s="826"/>
      <c r="S104" s="822"/>
      <c r="T104" s="822"/>
      <c r="U104" s="822"/>
      <c r="V104" s="822"/>
      <c r="W104" s="822"/>
    </row>
    <row r="105" spans="1:23">
      <c r="A105" s="821"/>
      <c r="B105" s="821"/>
      <c r="D105" s="821"/>
      <c r="E105" s="821"/>
      <c r="F105" s="821"/>
      <c r="G105" s="821"/>
      <c r="Q105" s="807"/>
    </row>
    <row r="106" spans="1:23">
      <c r="A106" s="821"/>
      <c r="B106" s="821"/>
      <c r="D106" s="821"/>
      <c r="E106" s="821"/>
      <c r="F106" s="821"/>
      <c r="G106" s="821"/>
      <c r="H106" s="822">
        <v>9639</v>
      </c>
      <c r="I106" s="822"/>
      <c r="J106" s="822">
        <v>0</v>
      </c>
      <c r="K106" s="822"/>
      <c r="L106" s="822">
        <v>9639</v>
      </c>
      <c r="M106" s="822"/>
      <c r="N106" s="822">
        <v>7452.66</v>
      </c>
      <c r="O106" s="822"/>
      <c r="P106" s="822">
        <v>2186.34</v>
      </c>
      <c r="Q106" s="822"/>
      <c r="R106" s="826">
        <v>5647.6900000000005</v>
      </c>
      <c r="S106" s="822"/>
      <c r="T106" s="822">
        <v>5647.6900000000005</v>
      </c>
      <c r="U106" s="822"/>
      <c r="V106" s="822">
        <v>3991.31</v>
      </c>
      <c r="W106" s="822"/>
    </row>
    <row r="107" spans="1:23" ht="13.15" customHeight="1">
      <c r="A107" s="821" t="s">
        <v>1273</v>
      </c>
      <c r="B107" s="821"/>
      <c r="D107" s="821" t="s">
        <v>98</v>
      </c>
      <c r="E107" s="821"/>
      <c r="F107" s="821"/>
      <c r="G107" s="821"/>
      <c r="Q107" s="807"/>
    </row>
    <row r="108" spans="1:23">
      <c r="A108" s="821"/>
      <c r="B108" s="821"/>
      <c r="D108" s="821"/>
      <c r="E108" s="821"/>
      <c r="F108" s="821"/>
      <c r="G108" s="821"/>
      <c r="H108" s="822">
        <v>3000</v>
      </c>
      <c r="I108" s="822"/>
      <c r="J108" s="822">
        <v>0</v>
      </c>
      <c r="K108" s="822"/>
      <c r="L108" s="822">
        <v>3000</v>
      </c>
      <c r="M108" s="822"/>
      <c r="N108" s="822">
        <v>0</v>
      </c>
      <c r="O108" s="822"/>
      <c r="P108" s="822">
        <v>3000</v>
      </c>
      <c r="Q108" s="822"/>
      <c r="R108" s="826">
        <v>0</v>
      </c>
      <c r="S108" s="822"/>
      <c r="T108" s="822">
        <v>0</v>
      </c>
      <c r="U108" s="822"/>
      <c r="V108" s="822">
        <v>3000</v>
      </c>
      <c r="W108" s="822"/>
    </row>
    <row r="109" spans="1:23" ht="13.15" customHeight="1">
      <c r="A109" s="821" t="s">
        <v>1274</v>
      </c>
      <c r="B109" s="821"/>
      <c r="D109" s="821" t="s">
        <v>1275</v>
      </c>
      <c r="E109" s="821"/>
      <c r="F109" s="821"/>
      <c r="G109" s="821"/>
      <c r="Q109" s="807"/>
    </row>
    <row r="110" spans="1:23">
      <c r="A110" s="821"/>
      <c r="B110" s="821"/>
      <c r="D110" s="821"/>
      <c r="E110" s="821"/>
      <c r="F110" s="821"/>
      <c r="G110" s="821"/>
      <c r="H110" s="822">
        <v>11190.37</v>
      </c>
      <c r="I110" s="822"/>
      <c r="J110" s="822">
        <v>71409.63</v>
      </c>
      <c r="K110" s="822"/>
      <c r="L110" s="822">
        <v>82600</v>
      </c>
      <c r="M110" s="822"/>
      <c r="N110" s="822">
        <v>72806.150000000009</v>
      </c>
      <c r="O110" s="822"/>
      <c r="P110" s="822">
        <v>9793.85</v>
      </c>
      <c r="Q110" s="822"/>
      <c r="R110" s="826">
        <v>72744.650000000009</v>
      </c>
      <c r="S110" s="822"/>
      <c r="T110" s="822">
        <v>72744.650000000009</v>
      </c>
      <c r="U110" s="822"/>
      <c r="V110" s="822">
        <v>9855.35</v>
      </c>
      <c r="W110" s="822"/>
    </row>
    <row r="111" spans="1:23" ht="13.15" customHeight="1">
      <c r="A111" s="821" t="s">
        <v>1276</v>
      </c>
      <c r="B111" s="821"/>
      <c r="D111" s="821" t="s">
        <v>1277</v>
      </c>
      <c r="E111" s="821"/>
      <c r="F111" s="821"/>
      <c r="G111" s="821"/>
      <c r="Q111" s="807"/>
    </row>
    <row r="112" spans="1:23">
      <c r="A112" s="821"/>
      <c r="B112" s="821"/>
      <c r="D112" s="821"/>
      <c r="E112" s="821"/>
      <c r="F112" s="821"/>
      <c r="G112" s="821"/>
      <c r="H112" s="822">
        <v>3000</v>
      </c>
      <c r="I112" s="822"/>
      <c r="J112" s="822">
        <v>0</v>
      </c>
      <c r="K112" s="822"/>
      <c r="L112" s="822">
        <v>3000</v>
      </c>
      <c r="M112" s="822"/>
      <c r="N112" s="822">
        <v>0</v>
      </c>
      <c r="O112" s="822"/>
      <c r="P112" s="822">
        <v>3000</v>
      </c>
      <c r="Q112" s="822"/>
      <c r="R112" s="826">
        <v>0</v>
      </c>
      <c r="S112" s="822"/>
      <c r="T112" s="822">
        <v>0</v>
      </c>
      <c r="U112" s="822"/>
      <c r="V112" s="822">
        <v>3000</v>
      </c>
      <c r="W112" s="822"/>
    </row>
    <row r="113" spans="1:23" ht="13.15" customHeight="1">
      <c r="A113" s="821" t="s">
        <v>1278</v>
      </c>
      <c r="B113" s="821"/>
      <c r="D113" s="821" t="s">
        <v>1279</v>
      </c>
      <c r="E113" s="821"/>
      <c r="F113" s="821"/>
      <c r="G113" s="821"/>
      <c r="Q113" s="807"/>
    </row>
    <row r="114" spans="1:23">
      <c r="A114" s="821"/>
      <c r="B114" s="821"/>
      <c r="D114" s="821"/>
      <c r="E114" s="821"/>
      <c r="F114" s="821"/>
      <c r="G114" s="821"/>
      <c r="H114" s="822">
        <v>1947</v>
      </c>
      <c r="I114" s="822"/>
      <c r="J114" s="822">
        <v>70053</v>
      </c>
      <c r="K114" s="822"/>
      <c r="L114" s="822">
        <v>72000</v>
      </c>
      <c r="M114" s="822"/>
      <c r="N114" s="822">
        <v>66809.69</v>
      </c>
      <c r="O114" s="822"/>
      <c r="P114" s="822">
        <v>5190.3100000000004</v>
      </c>
      <c r="Q114" s="822"/>
      <c r="R114" s="826">
        <v>56255.55</v>
      </c>
      <c r="S114" s="822"/>
      <c r="T114" s="822">
        <v>56255.55</v>
      </c>
      <c r="U114" s="822"/>
      <c r="V114" s="822">
        <v>15744.45</v>
      </c>
      <c r="W114" s="822"/>
    </row>
    <row r="115" spans="1:23" ht="13.15" customHeight="1">
      <c r="A115" s="821" t="s">
        <v>1280</v>
      </c>
      <c r="B115" s="821"/>
      <c r="D115" s="821" t="s">
        <v>62</v>
      </c>
      <c r="E115" s="821"/>
      <c r="F115" s="821"/>
      <c r="G115" s="821"/>
      <c r="Q115" s="807"/>
    </row>
    <row r="116" spans="1:23">
      <c r="A116" s="821"/>
      <c r="B116" s="821"/>
      <c r="D116" s="821"/>
      <c r="E116" s="821"/>
      <c r="F116" s="821"/>
      <c r="G116" s="821"/>
      <c r="H116" s="822">
        <v>630</v>
      </c>
      <c r="I116" s="822"/>
      <c r="J116" s="822">
        <v>0</v>
      </c>
      <c r="K116" s="822"/>
      <c r="L116" s="822">
        <v>630</v>
      </c>
      <c r="M116" s="822"/>
      <c r="N116" s="822">
        <v>0</v>
      </c>
      <c r="O116" s="822"/>
      <c r="P116" s="822">
        <v>630</v>
      </c>
      <c r="Q116" s="822"/>
      <c r="R116" s="826">
        <v>0</v>
      </c>
      <c r="S116" s="822"/>
      <c r="T116" s="822">
        <v>0</v>
      </c>
      <c r="U116" s="822"/>
      <c r="V116" s="822">
        <v>630</v>
      </c>
      <c r="W116" s="822"/>
    </row>
    <row r="117" spans="1:23" ht="13.15" customHeight="1">
      <c r="A117" s="821" t="s">
        <v>1281</v>
      </c>
      <c r="B117" s="821"/>
      <c r="D117" s="821" t="s">
        <v>1282</v>
      </c>
      <c r="E117" s="821"/>
      <c r="F117" s="821"/>
      <c r="G117" s="821"/>
      <c r="Q117" s="807"/>
    </row>
    <row r="118" spans="1:23">
      <c r="A118" s="821"/>
      <c r="B118" s="821"/>
      <c r="D118" s="821"/>
      <c r="E118" s="821"/>
      <c r="F118" s="821"/>
      <c r="G118" s="821"/>
      <c r="H118" s="822">
        <v>8360.26</v>
      </c>
      <c r="I118" s="822"/>
      <c r="J118" s="822">
        <v>62759.61</v>
      </c>
      <c r="K118" s="822"/>
      <c r="L118" s="822">
        <v>71119.87</v>
      </c>
      <c r="M118" s="822"/>
      <c r="N118" s="822">
        <v>69996.39</v>
      </c>
      <c r="O118" s="822"/>
      <c r="P118" s="822">
        <v>1123.48</v>
      </c>
      <c r="Q118" s="822"/>
      <c r="R118" s="826">
        <v>59801.39</v>
      </c>
      <c r="S118" s="822"/>
      <c r="T118" s="822">
        <v>59801.39</v>
      </c>
      <c r="U118" s="822"/>
      <c r="V118" s="822">
        <v>11318.48</v>
      </c>
      <c r="W118" s="822"/>
    </row>
    <row r="119" spans="1:23">
      <c r="A119" s="821" t="s">
        <v>1283</v>
      </c>
      <c r="B119" s="821"/>
      <c r="D119" s="821" t="s">
        <v>1284</v>
      </c>
      <c r="E119" s="821"/>
      <c r="F119" s="821"/>
      <c r="G119" s="821"/>
      <c r="Q119" s="807"/>
    </row>
    <row r="120" spans="1:23">
      <c r="A120" s="821"/>
      <c r="B120" s="821"/>
      <c r="D120" s="821"/>
      <c r="E120" s="821"/>
      <c r="F120" s="821"/>
      <c r="G120" s="821"/>
      <c r="H120" s="822">
        <v>4412.5200000000004</v>
      </c>
      <c r="I120" s="822"/>
      <c r="J120" s="822">
        <v>16063.210000000001</v>
      </c>
      <c r="K120" s="822"/>
      <c r="L120" s="822">
        <v>20475.73</v>
      </c>
      <c r="M120" s="822"/>
      <c r="N120" s="822">
        <v>20235.29</v>
      </c>
      <c r="O120" s="822"/>
      <c r="P120" s="822">
        <v>240.44</v>
      </c>
      <c r="Q120" s="822"/>
      <c r="R120" s="826">
        <v>12662.970000000001</v>
      </c>
      <c r="S120" s="822"/>
      <c r="T120" s="822">
        <v>12662.970000000001</v>
      </c>
      <c r="U120" s="822"/>
      <c r="V120" s="822">
        <v>7812.76</v>
      </c>
      <c r="W120" s="822"/>
    </row>
    <row r="121" spans="1:23" ht="13.15" customHeight="1">
      <c r="A121" s="821" t="s">
        <v>1285</v>
      </c>
      <c r="B121" s="821"/>
      <c r="D121" s="821" t="s">
        <v>63</v>
      </c>
      <c r="E121" s="821"/>
      <c r="F121" s="821"/>
      <c r="G121" s="821"/>
      <c r="Q121" s="807"/>
    </row>
    <row r="122" spans="1:23">
      <c r="A122" s="821"/>
      <c r="B122" s="821"/>
      <c r="D122" s="821"/>
      <c r="E122" s="821"/>
      <c r="F122" s="821"/>
      <c r="G122" s="821"/>
      <c r="H122" s="822">
        <v>0</v>
      </c>
      <c r="I122" s="822"/>
      <c r="J122" s="822">
        <v>9000</v>
      </c>
      <c r="K122" s="822"/>
      <c r="L122" s="822">
        <v>9000</v>
      </c>
      <c r="M122" s="822"/>
      <c r="N122" s="822">
        <v>1800</v>
      </c>
      <c r="O122" s="822"/>
      <c r="P122" s="822">
        <v>7200</v>
      </c>
      <c r="Q122" s="822"/>
      <c r="R122" s="826">
        <v>0</v>
      </c>
      <c r="S122" s="822"/>
      <c r="T122" s="822">
        <v>0</v>
      </c>
      <c r="U122" s="822"/>
      <c r="V122" s="822">
        <v>9000</v>
      </c>
      <c r="W122" s="822"/>
    </row>
    <row r="123" spans="1:23" ht="13.15" customHeight="1">
      <c r="A123" s="821" t="s">
        <v>1286</v>
      </c>
      <c r="B123" s="821"/>
      <c r="D123" s="821" t="s">
        <v>1279</v>
      </c>
      <c r="E123" s="821"/>
      <c r="F123" s="821"/>
      <c r="G123" s="821"/>
      <c r="Q123" s="807"/>
    </row>
    <row r="124" spans="1:23">
      <c r="A124" s="821"/>
      <c r="B124" s="821"/>
      <c r="D124" s="821"/>
      <c r="E124" s="821"/>
      <c r="F124" s="821"/>
      <c r="G124" s="821"/>
      <c r="H124" s="822">
        <v>59159.520000000004</v>
      </c>
      <c r="I124" s="822"/>
      <c r="J124" s="822">
        <v>14000</v>
      </c>
      <c r="K124" s="822"/>
      <c r="L124" s="822">
        <v>73159.520000000004</v>
      </c>
      <c r="M124" s="822"/>
      <c r="N124" s="822">
        <v>66702.02</v>
      </c>
      <c r="O124" s="822"/>
      <c r="P124" s="822">
        <v>6457.5</v>
      </c>
      <c r="Q124" s="822"/>
      <c r="R124" s="826">
        <v>53414.85</v>
      </c>
      <c r="S124" s="822"/>
      <c r="T124" s="822">
        <v>53414.85</v>
      </c>
      <c r="U124" s="822"/>
      <c r="V124" s="822">
        <v>19744.670000000002</v>
      </c>
      <c r="W124" s="822"/>
    </row>
    <row r="125" spans="1:23">
      <c r="Q125" s="807"/>
    </row>
    <row r="126" spans="1:23" ht="13.15" customHeight="1">
      <c r="A126" s="813" t="s">
        <v>1243</v>
      </c>
      <c r="E126" s="823" t="s">
        <v>1244</v>
      </c>
      <c r="F126" s="823"/>
      <c r="J126" s="823" t="s">
        <v>1245</v>
      </c>
      <c r="K126" s="823"/>
      <c r="O126" s="823" t="s">
        <v>1246</v>
      </c>
      <c r="P126" s="823"/>
      <c r="Q126" s="823"/>
    </row>
    <row r="127" spans="1:23" ht="13.15" customHeight="1">
      <c r="B127" s="824" t="s">
        <v>1247</v>
      </c>
      <c r="C127" s="824"/>
      <c r="D127" s="824"/>
      <c r="E127" s="824" t="s">
        <v>1248</v>
      </c>
      <c r="F127" s="824"/>
      <c r="G127" s="824"/>
      <c r="H127" s="824"/>
      <c r="J127" s="824" t="s">
        <v>1249</v>
      </c>
      <c r="K127" s="824"/>
      <c r="L127" s="824"/>
      <c r="Q127" s="807"/>
    </row>
    <row r="128" spans="1:23">
      <c r="Q128" s="807"/>
    </row>
    <row r="129" spans="1:22">
      <c r="Q129" s="807"/>
    </row>
    <row r="130" spans="1:22" ht="13.15" customHeight="1">
      <c r="D130" s="814" t="s">
        <v>1185</v>
      </c>
      <c r="E130" s="814"/>
      <c r="F130" s="814"/>
      <c r="G130" s="814"/>
      <c r="H130" s="814"/>
      <c r="I130" s="814"/>
      <c r="J130" s="814"/>
      <c r="K130" s="814"/>
      <c r="L130" s="814"/>
      <c r="M130" s="814"/>
      <c r="N130" s="814"/>
      <c r="O130" s="814"/>
      <c r="P130" s="814"/>
      <c r="Q130" s="814"/>
      <c r="R130" s="815"/>
    </row>
    <row r="131" spans="1:22" ht="13.15" customHeight="1">
      <c r="D131" s="814"/>
      <c r="E131" s="814"/>
      <c r="F131" s="814"/>
      <c r="G131" s="814"/>
      <c r="H131" s="814"/>
      <c r="I131" s="814"/>
      <c r="J131" s="814"/>
      <c r="K131" s="814"/>
      <c r="L131" s="814"/>
      <c r="M131" s="814"/>
      <c r="N131" s="814"/>
      <c r="O131" s="814"/>
      <c r="P131" s="814"/>
      <c r="Q131" s="814"/>
      <c r="R131" s="815"/>
      <c r="S131" s="816" t="s">
        <v>1186</v>
      </c>
      <c r="T131" s="816"/>
    </row>
    <row r="132" spans="1:22">
      <c r="Q132" s="807"/>
      <c r="S132" s="816"/>
      <c r="T132" s="816"/>
    </row>
    <row r="133" spans="1:22" ht="15.6" customHeight="1">
      <c r="H133" s="817" t="s">
        <v>1187</v>
      </c>
      <c r="I133" s="817"/>
      <c r="J133" s="817"/>
      <c r="K133" s="817"/>
      <c r="L133" s="817"/>
      <c r="M133" s="817"/>
      <c r="N133" s="817"/>
      <c r="Q133" s="807"/>
    </row>
    <row r="134" spans="1:22" ht="13.15" customHeight="1">
      <c r="Q134" s="816" t="s">
        <v>1287</v>
      </c>
      <c r="R134" s="818"/>
      <c r="S134" s="816"/>
    </row>
    <row r="135" spans="1:22">
      <c r="H135" s="816" t="s">
        <v>1189</v>
      </c>
      <c r="I135" s="816"/>
      <c r="J135" s="819">
        <v>41640</v>
      </c>
      <c r="K135" s="819"/>
      <c r="L135" s="816" t="s">
        <v>1190</v>
      </c>
      <c r="M135" s="816"/>
      <c r="N135" s="819">
        <v>41993</v>
      </c>
      <c r="O135" s="819"/>
      <c r="Q135" s="816"/>
      <c r="R135" s="818"/>
      <c r="S135" s="816"/>
    </row>
    <row r="136" spans="1:22">
      <c r="H136" s="816"/>
      <c r="I136" s="816"/>
      <c r="J136" s="819"/>
      <c r="K136" s="819"/>
      <c r="L136" s="816"/>
      <c r="M136" s="816"/>
      <c r="N136" s="819"/>
      <c r="O136" s="819"/>
      <c r="Q136" s="807"/>
    </row>
    <row r="137" spans="1:22">
      <c r="Q137" s="807"/>
    </row>
    <row r="138" spans="1:22" ht="13.15" customHeight="1">
      <c r="H138" s="809" t="s">
        <v>1191</v>
      </c>
      <c r="I138" s="809"/>
      <c r="J138" s="809"/>
      <c r="K138" s="809" t="s">
        <v>1192</v>
      </c>
      <c r="L138" s="809"/>
      <c r="M138" s="809" t="s">
        <v>1193</v>
      </c>
      <c r="N138" s="809"/>
      <c r="O138" s="809" t="s">
        <v>1194</v>
      </c>
      <c r="P138" s="809"/>
      <c r="Q138" s="809" t="s">
        <v>1195</v>
      </c>
      <c r="R138" s="820"/>
      <c r="S138" s="809" t="s">
        <v>1196</v>
      </c>
      <c r="T138" s="809"/>
    </row>
    <row r="139" spans="1:22">
      <c r="Q139" s="807"/>
    </row>
    <row r="140" spans="1:22" ht="13.15" customHeight="1">
      <c r="A140" s="809" t="s">
        <v>1203</v>
      </c>
      <c r="B140" s="809"/>
      <c r="C140" s="809" t="s">
        <v>1197</v>
      </c>
      <c r="D140" s="809"/>
      <c r="E140" s="809" t="s">
        <v>1198</v>
      </c>
      <c r="F140" s="809"/>
      <c r="G140" s="809" t="s">
        <v>1199</v>
      </c>
      <c r="H140" s="809"/>
      <c r="I140" s="809"/>
      <c r="J140" s="809"/>
      <c r="K140" s="809"/>
      <c r="L140" s="809"/>
      <c r="M140" s="809"/>
      <c r="N140" s="809"/>
      <c r="Q140" s="807"/>
    </row>
    <row r="141" spans="1:22">
      <c r="Q141" s="807"/>
    </row>
    <row r="142" spans="1:22" ht="13.15" customHeight="1">
      <c r="G142" s="810" t="s">
        <v>1200</v>
      </c>
      <c r="H142" s="810"/>
      <c r="O142" s="810" t="s">
        <v>1201</v>
      </c>
      <c r="P142" s="810"/>
      <c r="Q142" s="807"/>
      <c r="U142" s="810" t="s">
        <v>1202</v>
      </c>
      <c r="V142" s="810"/>
    </row>
    <row r="143" spans="1:22" ht="13.15" customHeight="1">
      <c r="B143" s="811" t="s">
        <v>1204</v>
      </c>
      <c r="D143" s="810" t="s">
        <v>1205</v>
      </c>
      <c r="E143" s="810"/>
      <c r="G143" s="810"/>
      <c r="H143" s="810"/>
      <c r="I143" s="810" t="s">
        <v>1206</v>
      </c>
      <c r="J143" s="810"/>
      <c r="K143" s="810" t="s">
        <v>1207</v>
      </c>
      <c r="L143" s="810"/>
      <c r="M143" s="810" t="s">
        <v>1208</v>
      </c>
      <c r="N143" s="810"/>
      <c r="O143" s="810"/>
      <c r="P143" s="810"/>
      <c r="Q143" s="810" t="s">
        <v>1209</v>
      </c>
      <c r="R143" s="812"/>
      <c r="S143" s="810" t="s">
        <v>1210</v>
      </c>
      <c r="T143" s="810"/>
      <c r="U143" s="810"/>
      <c r="V143" s="810"/>
    </row>
    <row r="144" spans="1:22" ht="13.15" customHeight="1">
      <c r="A144" s="821" t="s">
        <v>1288</v>
      </c>
      <c r="B144" s="821"/>
      <c r="D144" s="821" t="s">
        <v>1282</v>
      </c>
      <c r="E144" s="821"/>
      <c r="F144" s="821"/>
      <c r="G144" s="821"/>
      <c r="Q144" s="807"/>
    </row>
    <row r="145" spans="1:23">
      <c r="A145" s="821"/>
      <c r="B145" s="821"/>
      <c r="D145" s="821"/>
      <c r="E145" s="821"/>
      <c r="F145" s="821"/>
      <c r="G145" s="821"/>
      <c r="H145" s="822">
        <v>0</v>
      </c>
      <c r="I145" s="822"/>
      <c r="J145" s="822">
        <v>332004.52</v>
      </c>
      <c r="K145" s="822"/>
      <c r="L145" s="822">
        <v>332004.52</v>
      </c>
      <c r="M145" s="822"/>
      <c r="N145" s="822">
        <v>311601.5</v>
      </c>
      <c r="O145" s="822"/>
      <c r="P145" s="822">
        <v>20403.02</v>
      </c>
      <c r="Q145" s="822"/>
      <c r="R145" s="826">
        <v>225590.99</v>
      </c>
      <c r="S145" s="822"/>
      <c r="T145" s="822">
        <v>225590.99</v>
      </c>
      <c r="U145" s="822"/>
      <c r="V145" s="822">
        <v>106413.53</v>
      </c>
      <c r="W145" s="822"/>
    </row>
    <row r="146" spans="1:23">
      <c r="A146" s="821" t="s">
        <v>1289</v>
      </c>
      <c r="B146" s="821"/>
      <c r="D146" s="821" t="s">
        <v>1284</v>
      </c>
      <c r="E146" s="821"/>
      <c r="F146" s="821"/>
      <c r="G146" s="821"/>
      <c r="Q146" s="807"/>
    </row>
    <row r="147" spans="1:23">
      <c r="A147" s="821"/>
      <c r="B147" s="821"/>
      <c r="D147" s="821"/>
      <c r="E147" s="821"/>
      <c r="F147" s="821"/>
      <c r="G147" s="821"/>
      <c r="H147" s="822">
        <v>79059.8</v>
      </c>
      <c r="I147" s="822"/>
      <c r="J147" s="822">
        <v>-18188.53</v>
      </c>
      <c r="K147" s="822"/>
      <c r="L147" s="822">
        <v>60871.270000000004</v>
      </c>
      <c r="M147" s="822"/>
      <c r="N147" s="822">
        <v>45567.56</v>
      </c>
      <c r="O147" s="822"/>
      <c r="P147" s="822">
        <v>15303.710000000001</v>
      </c>
      <c r="Q147" s="822"/>
      <c r="R147" s="826">
        <v>16598.689999999999</v>
      </c>
      <c r="S147" s="822"/>
      <c r="T147" s="822">
        <v>16598.689999999999</v>
      </c>
      <c r="U147" s="822"/>
      <c r="V147" s="822">
        <v>44272.58</v>
      </c>
      <c r="W147" s="822"/>
    </row>
    <row r="148" spans="1:23" ht="13.15" customHeight="1">
      <c r="A148" s="821" t="s">
        <v>1290</v>
      </c>
      <c r="B148" s="821"/>
      <c r="D148" s="821" t="s">
        <v>1291</v>
      </c>
      <c r="E148" s="821"/>
      <c r="F148" s="821"/>
      <c r="G148" s="821"/>
      <c r="Q148" s="807"/>
    </row>
    <row r="149" spans="1:23">
      <c r="A149" s="821"/>
      <c r="B149" s="821"/>
      <c r="D149" s="821"/>
      <c r="E149" s="821"/>
      <c r="F149" s="821"/>
      <c r="G149" s="821"/>
      <c r="H149" s="822">
        <v>80000</v>
      </c>
      <c r="I149" s="822"/>
      <c r="J149" s="822">
        <v>-19197.43</v>
      </c>
      <c r="K149" s="822"/>
      <c r="L149" s="822">
        <v>60802.57</v>
      </c>
      <c r="M149" s="822"/>
      <c r="N149" s="822">
        <v>44752.56</v>
      </c>
      <c r="O149" s="822"/>
      <c r="P149" s="822">
        <v>16050.01</v>
      </c>
      <c r="Q149" s="822"/>
      <c r="R149" s="826">
        <v>28829.260000000002</v>
      </c>
      <c r="S149" s="822"/>
      <c r="T149" s="822">
        <v>28829.260000000002</v>
      </c>
      <c r="U149" s="822"/>
      <c r="V149" s="822">
        <v>31973.31</v>
      </c>
      <c r="W149" s="822"/>
    </row>
    <row r="150" spans="1:23" ht="13.15" customHeight="1">
      <c r="A150" s="821" t="s">
        <v>1292</v>
      </c>
      <c r="B150" s="821"/>
      <c r="D150" s="821" t="s">
        <v>1293</v>
      </c>
      <c r="E150" s="821"/>
      <c r="F150" s="821"/>
      <c r="G150" s="821"/>
      <c r="H150" s="822"/>
      <c r="I150" s="822"/>
      <c r="J150" s="822"/>
      <c r="K150" s="822"/>
      <c r="L150" s="822"/>
      <c r="M150" s="822"/>
      <c r="N150" s="822"/>
      <c r="O150" s="822"/>
      <c r="P150" s="822"/>
      <c r="Q150" s="822"/>
      <c r="R150" s="826"/>
      <c r="S150" s="822"/>
      <c r="T150" s="822"/>
      <c r="U150" s="822"/>
      <c r="V150" s="822"/>
      <c r="W150" s="822"/>
    </row>
    <row r="151" spans="1:23">
      <c r="A151" s="821"/>
      <c r="B151" s="821"/>
      <c r="D151" s="821"/>
      <c r="E151" s="821"/>
      <c r="F151" s="821"/>
      <c r="G151" s="821"/>
      <c r="Q151" s="807"/>
    </row>
    <row r="152" spans="1:23">
      <c r="A152" s="821"/>
      <c r="B152" s="821"/>
      <c r="D152" s="821"/>
      <c r="E152" s="821"/>
      <c r="F152" s="821"/>
      <c r="G152" s="821"/>
      <c r="H152" s="822">
        <v>35000</v>
      </c>
      <c r="I152" s="822"/>
      <c r="J152" s="822">
        <v>-12770</v>
      </c>
      <c r="K152" s="822"/>
      <c r="L152" s="822">
        <v>22230</v>
      </c>
      <c r="M152" s="822"/>
      <c r="N152" s="822">
        <v>806.11</v>
      </c>
      <c r="O152" s="822"/>
      <c r="P152" s="822">
        <v>21423.89</v>
      </c>
      <c r="Q152" s="822"/>
      <c r="R152" s="826">
        <v>806.11</v>
      </c>
      <c r="S152" s="822"/>
      <c r="T152" s="822">
        <v>806.11</v>
      </c>
      <c r="U152" s="822"/>
      <c r="V152" s="822">
        <v>21423.89</v>
      </c>
      <c r="W152" s="822"/>
    </row>
    <row r="153" spans="1:23" ht="13.15" customHeight="1">
      <c r="A153" s="821" t="s">
        <v>1294</v>
      </c>
      <c r="B153" s="821"/>
      <c r="D153" s="821" t="s">
        <v>1295</v>
      </c>
      <c r="E153" s="821"/>
      <c r="F153" s="821"/>
      <c r="G153" s="821"/>
      <c r="Q153" s="807"/>
    </row>
    <row r="154" spans="1:23">
      <c r="A154" s="821"/>
      <c r="B154" s="821"/>
      <c r="D154" s="821"/>
      <c r="E154" s="821"/>
      <c r="F154" s="821"/>
      <c r="G154" s="821"/>
      <c r="H154" s="822">
        <v>18900</v>
      </c>
      <c r="I154" s="822"/>
      <c r="J154" s="822">
        <v>-18900</v>
      </c>
      <c r="K154" s="822"/>
      <c r="L154" s="822">
        <v>0</v>
      </c>
      <c r="M154" s="822"/>
      <c r="N154" s="822">
        <v>0</v>
      </c>
      <c r="O154" s="822"/>
      <c r="P154" s="822">
        <v>0</v>
      </c>
      <c r="Q154" s="822"/>
      <c r="R154" s="826">
        <v>0</v>
      </c>
      <c r="S154" s="822"/>
      <c r="T154" s="822">
        <v>0</v>
      </c>
      <c r="U154" s="822"/>
      <c r="V154" s="822">
        <v>0</v>
      </c>
      <c r="W154" s="822"/>
    </row>
    <row r="155" spans="1:23" ht="13.15" customHeight="1">
      <c r="A155" s="821" t="s">
        <v>1296</v>
      </c>
      <c r="B155" s="821"/>
      <c r="D155" s="821" t="s">
        <v>1297</v>
      </c>
      <c r="E155" s="821"/>
      <c r="F155" s="821"/>
      <c r="G155" s="821"/>
      <c r="Q155" s="807"/>
    </row>
    <row r="156" spans="1:23">
      <c r="A156" s="821"/>
      <c r="B156" s="821"/>
      <c r="D156" s="821"/>
      <c r="E156" s="821"/>
      <c r="F156" s="821"/>
      <c r="G156" s="821"/>
      <c r="H156" s="822">
        <v>17200</v>
      </c>
      <c r="I156" s="822"/>
      <c r="J156" s="822">
        <v>-9480</v>
      </c>
      <c r="K156" s="822"/>
      <c r="L156" s="822">
        <v>7720</v>
      </c>
      <c r="M156" s="822"/>
      <c r="N156" s="822">
        <v>0</v>
      </c>
      <c r="O156" s="822"/>
      <c r="P156" s="822">
        <v>7720</v>
      </c>
      <c r="Q156" s="822"/>
      <c r="R156" s="826">
        <v>0</v>
      </c>
      <c r="S156" s="822"/>
      <c r="T156" s="822">
        <v>0</v>
      </c>
      <c r="U156" s="822"/>
      <c r="V156" s="822">
        <v>7720</v>
      </c>
      <c r="W156" s="822"/>
    </row>
    <row r="157" spans="1:23" ht="13.15" customHeight="1">
      <c r="A157" s="821" t="s">
        <v>1298</v>
      </c>
      <c r="B157" s="821"/>
      <c r="D157" s="821" t="s">
        <v>1299</v>
      </c>
      <c r="E157" s="821"/>
      <c r="F157" s="821"/>
      <c r="G157" s="821"/>
      <c r="H157" s="822"/>
      <c r="I157" s="822"/>
      <c r="J157" s="822"/>
      <c r="K157" s="822"/>
      <c r="L157" s="822"/>
      <c r="M157" s="822"/>
      <c r="N157" s="822"/>
      <c r="O157" s="822"/>
      <c r="P157" s="822"/>
      <c r="Q157" s="822"/>
      <c r="R157" s="826"/>
      <c r="S157" s="822"/>
      <c r="T157" s="822"/>
      <c r="U157" s="822"/>
      <c r="V157" s="822"/>
      <c r="W157" s="822"/>
    </row>
    <row r="158" spans="1:23">
      <c r="A158" s="821"/>
      <c r="B158" s="821"/>
      <c r="D158" s="821"/>
      <c r="E158" s="821"/>
      <c r="F158" s="821"/>
      <c r="G158" s="821"/>
      <c r="Q158" s="807"/>
    </row>
    <row r="159" spans="1:23">
      <c r="A159" s="821"/>
      <c r="B159" s="821"/>
      <c r="D159" s="821"/>
      <c r="E159" s="821"/>
      <c r="F159" s="821"/>
      <c r="G159" s="821"/>
      <c r="H159" s="822">
        <v>1000</v>
      </c>
      <c r="I159" s="822"/>
      <c r="J159" s="822">
        <v>1772</v>
      </c>
      <c r="K159" s="822"/>
      <c r="L159" s="822">
        <v>2772</v>
      </c>
      <c r="M159" s="822"/>
      <c r="N159" s="822">
        <v>232.14000000000001</v>
      </c>
      <c r="O159" s="822"/>
      <c r="P159" s="822">
        <v>2539.86</v>
      </c>
      <c r="Q159" s="822"/>
      <c r="R159" s="826">
        <v>232.14000000000001</v>
      </c>
      <c r="S159" s="822"/>
      <c r="T159" s="822">
        <v>232.14000000000001</v>
      </c>
      <c r="U159" s="822"/>
      <c r="V159" s="822">
        <v>2539.86</v>
      </c>
      <c r="W159" s="822"/>
    </row>
    <row r="160" spans="1:23" ht="13.15" customHeight="1">
      <c r="A160" s="821" t="s">
        <v>1300</v>
      </c>
      <c r="B160" s="821"/>
      <c r="D160" s="821" t="s">
        <v>55</v>
      </c>
      <c r="E160" s="821"/>
      <c r="F160" s="821"/>
      <c r="G160" s="821"/>
      <c r="H160" s="822"/>
      <c r="I160" s="822"/>
      <c r="J160" s="822"/>
      <c r="K160" s="822"/>
      <c r="L160" s="822"/>
      <c r="M160" s="822"/>
      <c r="N160" s="822"/>
      <c r="O160" s="822"/>
      <c r="P160" s="822"/>
      <c r="Q160" s="822"/>
      <c r="R160" s="826"/>
      <c r="S160" s="822"/>
      <c r="T160" s="822"/>
      <c r="U160" s="822"/>
      <c r="V160" s="822"/>
      <c r="W160" s="822"/>
    </row>
    <row r="161" spans="1:23">
      <c r="A161" s="821"/>
      <c r="B161" s="821"/>
      <c r="D161" s="821"/>
      <c r="E161" s="821"/>
      <c r="F161" s="821"/>
      <c r="G161" s="821"/>
      <c r="Q161" s="807"/>
    </row>
    <row r="162" spans="1:23">
      <c r="A162" s="821"/>
      <c r="B162" s="821"/>
      <c r="D162" s="821"/>
      <c r="E162" s="821"/>
      <c r="F162" s="821"/>
      <c r="G162" s="821"/>
      <c r="H162" s="822">
        <v>1049.96</v>
      </c>
      <c r="I162" s="822"/>
      <c r="J162" s="822">
        <v>4000</v>
      </c>
      <c r="K162" s="822"/>
      <c r="L162" s="822">
        <v>5049.96</v>
      </c>
      <c r="M162" s="822"/>
      <c r="N162" s="822">
        <v>5000</v>
      </c>
      <c r="O162" s="822"/>
      <c r="P162" s="822">
        <v>49.96</v>
      </c>
      <c r="Q162" s="822"/>
      <c r="R162" s="826">
        <v>750</v>
      </c>
      <c r="S162" s="822"/>
      <c r="T162" s="822">
        <v>750</v>
      </c>
      <c r="U162" s="822"/>
      <c r="V162" s="822">
        <v>4299.96</v>
      </c>
      <c r="W162" s="822"/>
    </row>
    <row r="163" spans="1:23" ht="13.15" customHeight="1">
      <c r="A163" s="821" t="s">
        <v>1301</v>
      </c>
      <c r="B163" s="821"/>
      <c r="D163" s="821" t="s">
        <v>1302</v>
      </c>
      <c r="E163" s="821"/>
      <c r="F163" s="821"/>
      <c r="G163" s="821"/>
      <c r="Q163" s="807"/>
    </row>
    <row r="164" spans="1:23">
      <c r="A164" s="821"/>
      <c r="B164" s="821"/>
      <c r="D164" s="821"/>
      <c r="E164" s="821"/>
      <c r="F164" s="821"/>
      <c r="G164" s="821"/>
      <c r="H164" s="822">
        <v>31801.62</v>
      </c>
      <c r="I164" s="822"/>
      <c r="J164" s="822">
        <v>133080.88</v>
      </c>
      <c r="K164" s="822"/>
      <c r="L164" s="822">
        <v>164882.5</v>
      </c>
      <c r="M164" s="822"/>
      <c r="N164" s="822">
        <v>141356.72</v>
      </c>
      <c r="O164" s="822"/>
      <c r="P164" s="822">
        <v>23525.78</v>
      </c>
      <c r="Q164" s="822"/>
      <c r="R164" s="826">
        <v>19697.89</v>
      </c>
      <c r="S164" s="822"/>
      <c r="T164" s="822">
        <v>19697.89</v>
      </c>
      <c r="U164" s="822"/>
      <c r="V164" s="822">
        <v>145184.61000000002</v>
      </c>
      <c r="W164" s="822"/>
    </row>
    <row r="165" spans="1:23" ht="13.15" customHeight="1">
      <c r="A165" s="821" t="s">
        <v>1303</v>
      </c>
      <c r="B165" s="821"/>
      <c r="D165" s="821" t="s">
        <v>57</v>
      </c>
      <c r="E165" s="821"/>
      <c r="F165" s="821"/>
      <c r="G165" s="821"/>
      <c r="H165" s="822"/>
      <c r="I165" s="822"/>
      <c r="J165" s="822"/>
      <c r="K165" s="822"/>
      <c r="L165" s="822"/>
      <c r="M165" s="822"/>
      <c r="N165" s="822"/>
      <c r="O165" s="822"/>
      <c r="P165" s="822"/>
      <c r="Q165" s="822"/>
      <c r="R165" s="826"/>
      <c r="S165" s="822"/>
      <c r="T165" s="822"/>
      <c r="U165" s="822"/>
      <c r="V165" s="822"/>
      <c r="W165" s="822"/>
    </row>
    <row r="166" spans="1:23">
      <c r="A166" s="821"/>
      <c r="B166" s="821"/>
      <c r="D166" s="821"/>
      <c r="E166" s="821"/>
      <c r="F166" s="821"/>
      <c r="G166" s="821"/>
      <c r="Q166" s="807"/>
    </row>
    <row r="167" spans="1:23">
      <c r="A167" s="821"/>
      <c r="B167" s="821"/>
      <c r="D167" s="821"/>
      <c r="E167" s="821"/>
      <c r="F167" s="821"/>
      <c r="G167" s="821"/>
      <c r="H167" s="822">
        <v>400000</v>
      </c>
      <c r="I167" s="822"/>
      <c r="J167" s="822">
        <v>413996.36</v>
      </c>
      <c r="K167" s="822"/>
      <c r="L167" s="822">
        <v>813996.36</v>
      </c>
      <c r="M167" s="822"/>
      <c r="N167" s="822">
        <v>641493.57000000007</v>
      </c>
      <c r="O167" s="822"/>
      <c r="P167" s="822">
        <v>172502.79</v>
      </c>
      <c r="Q167" s="822"/>
      <c r="R167" s="826">
        <v>494507.93</v>
      </c>
      <c r="S167" s="822"/>
      <c r="T167" s="822">
        <v>494507.93</v>
      </c>
      <c r="U167" s="822"/>
      <c r="V167" s="822">
        <v>319488.43</v>
      </c>
      <c r="W167" s="822"/>
    </row>
    <row r="168" spans="1:23" ht="13.15" customHeight="1">
      <c r="A168" s="821" t="s">
        <v>1304</v>
      </c>
      <c r="B168" s="821"/>
      <c r="D168" s="821" t="s">
        <v>1305</v>
      </c>
      <c r="E168" s="821"/>
      <c r="F168" s="821"/>
      <c r="G168" s="821"/>
      <c r="Q168" s="807"/>
    </row>
    <row r="169" spans="1:23">
      <c r="A169" s="821"/>
      <c r="B169" s="821"/>
      <c r="D169" s="821"/>
      <c r="E169" s="821"/>
      <c r="F169" s="821"/>
      <c r="G169" s="821"/>
      <c r="H169" s="822">
        <v>48510</v>
      </c>
      <c r="I169" s="822"/>
      <c r="J169" s="822">
        <v>-25290.880000000001</v>
      </c>
      <c r="K169" s="822"/>
      <c r="L169" s="822">
        <v>23219.119999999999</v>
      </c>
      <c r="M169" s="822"/>
      <c r="N169" s="822">
        <v>14340.5</v>
      </c>
      <c r="O169" s="822"/>
      <c r="P169" s="822">
        <v>8878.6200000000008</v>
      </c>
      <c r="Q169" s="822"/>
      <c r="R169" s="826">
        <v>14114.69</v>
      </c>
      <c r="S169" s="822"/>
      <c r="T169" s="822">
        <v>14114.69</v>
      </c>
      <c r="U169" s="822"/>
      <c r="V169" s="822">
        <v>9104.43</v>
      </c>
      <c r="W169" s="822"/>
    </row>
    <row r="170" spans="1:23" ht="13.15" customHeight="1">
      <c r="A170" s="821" t="s">
        <v>1306</v>
      </c>
      <c r="B170" s="821"/>
      <c r="D170" s="821" t="s">
        <v>104</v>
      </c>
      <c r="E170" s="821"/>
      <c r="F170" s="821"/>
      <c r="G170" s="821"/>
      <c r="Q170" s="807"/>
    </row>
    <row r="171" spans="1:23">
      <c r="A171" s="821"/>
      <c r="B171" s="821"/>
      <c r="D171" s="821"/>
      <c r="E171" s="821"/>
      <c r="F171" s="821"/>
      <c r="G171" s="821"/>
      <c r="H171" s="822">
        <v>6300</v>
      </c>
      <c r="I171" s="822"/>
      <c r="J171" s="822">
        <v>0</v>
      </c>
      <c r="K171" s="822"/>
      <c r="L171" s="822">
        <v>6300</v>
      </c>
      <c r="M171" s="822"/>
      <c r="N171" s="822">
        <v>1578.49</v>
      </c>
      <c r="O171" s="822"/>
      <c r="P171" s="822">
        <v>4721.51</v>
      </c>
      <c r="Q171" s="822"/>
      <c r="R171" s="826">
        <v>1533.8500000000001</v>
      </c>
      <c r="S171" s="822"/>
      <c r="T171" s="822">
        <v>1533.8500000000001</v>
      </c>
      <c r="U171" s="822"/>
      <c r="V171" s="822">
        <v>4766.1500000000005</v>
      </c>
      <c r="W171" s="822"/>
    </row>
    <row r="172" spans="1:23" ht="13.15" customHeight="1">
      <c r="A172" s="821" t="s">
        <v>1307</v>
      </c>
      <c r="B172" s="821"/>
      <c r="D172" s="821" t="s">
        <v>63</v>
      </c>
      <c r="E172" s="821"/>
      <c r="F172" s="821"/>
      <c r="G172" s="821"/>
      <c r="Q172" s="807"/>
    </row>
    <row r="173" spans="1:23">
      <c r="A173" s="821"/>
      <c r="B173" s="821"/>
      <c r="D173" s="821"/>
      <c r="E173" s="821"/>
      <c r="F173" s="821"/>
      <c r="G173" s="821"/>
      <c r="H173" s="822">
        <v>2000</v>
      </c>
      <c r="I173" s="822"/>
      <c r="J173" s="822">
        <v>7333.2</v>
      </c>
      <c r="K173" s="822"/>
      <c r="L173" s="822">
        <v>9333.2000000000007</v>
      </c>
      <c r="M173" s="822"/>
      <c r="N173" s="822">
        <v>449.99</v>
      </c>
      <c r="O173" s="822"/>
      <c r="P173" s="822">
        <v>8883.2100000000009</v>
      </c>
      <c r="Q173" s="822"/>
      <c r="R173" s="826">
        <v>449.99</v>
      </c>
      <c r="S173" s="822"/>
      <c r="T173" s="822">
        <v>449.99</v>
      </c>
      <c r="U173" s="822"/>
      <c r="V173" s="822">
        <v>8883.2100000000009</v>
      </c>
      <c r="W173" s="822"/>
    </row>
    <row r="174" spans="1:23" ht="13.15" customHeight="1">
      <c r="A174" s="821" t="s">
        <v>1308</v>
      </c>
      <c r="B174" s="821"/>
      <c r="D174" s="821" t="s">
        <v>1309</v>
      </c>
      <c r="E174" s="821"/>
      <c r="F174" s="821"/>
      <c r="G174" s="821"/>
      <c r="Q174" s="807"/>
    </row>
    <row r="175" spans="1:23">
      <c r="A175" s="821"/>
      <c r="B175" s="821"/>
      <c r="D175" s="821"/>
      <c r="E175" s="821"/>
      <c r="F175" s="821"/>
      <c r="G175" s="821"/>
      <c r="H175" s="822">
        <v>6300</v>
      </c>
      <c r="I175" s="822"/>
      <c r="J175" s="822">
        <v>0</v>
      </c>
      <c r="K175" s="822"/>
      <c r="L175" s="822">
        <v>6300</v>
      </c>
      <c r="M175" s="822"/>
      <c r="N175" s="822">
        <v>0</v>
      </c>
      <c r="O175" s="822"/>
      <c r="P175" s="822">
        <v>6300</v>
      </c>
      <c r="Q175" s="822"/>
      <c r="R175" s="826">
        <v>0</v>
      </c>
      <c r="S175" s="822"/>
      <c r="T175" s="822">
        <v>0</v>
      </c>
      <c r="U175" s="822"/>
      <c r="V175" s="822">
        <v>6300</v>
      </c>
      <c r="W175" s="822"/>
    </row>
    <row r="176" spans="1:23" ht="13.15" customHeight="1">
      <c r="A176" s="821" t="s">
        <v>1310</v>
      </c>
      <c r="B176" s="821"/>
      <c r="D176" s="821" t="s">
        <v>1311</v>
      </c>
      <c r="E176" s="821"/>
      <c r="F176" s="821"/>
      <c r="G176" s="821"/>
      <c r="H176" s="822"/>
      <c r="I176" s="822"/>
      <c r="J176" s="822"/>
      <c r="K176" s="822"/>
      <c r="L176" s="822"/>
      <c r="M176" s="822"/>
      <c r="N176" s="822"/>
      <c r="O176" s="822"/>
      <c r="P176" s="822"/>
      <c r="Q176" s="822"/>
      <c r="R176" s="826"/>
      <c r="S176" s="822"/>
      <c r="T176" s="822"/>
      <c r="U176" s="822"/>
      <c r="V176" s="822"/>
      <c r="W176" s="822"/>
    </row>
    <row r="177" spans="1:23">
      <c r="A177" s="821"/>
      <c r="B177" s="821"/>
      <c r="D177" s="821"/>
      <c r="E177" s="821"/>
      <c r="F177" s="821"/>
      <c r="G177" s="821"/>
      <c r="Q177" s="807"/>
    </row>
    <row r="178" spans="1:23">
      <c r="A178" s="821"/>
      <c r="B178" s="821"/>
      <c r="D178" s="821"/>
      <c r="E178" s="821"/>
      <c r="F178" s="821"/>
      <c r="G178" s="821"/>
      <c r="H178" s="822">
        <v>4500</v>
      </c>
      <c r="I178" s="822"/>
      <c r="J178" s="822">
        <v>500</v>
      </c>
      <c r="K178" s="822"/>
      <c r="L178" s="822">
        <v>5000</v>
      </c>
      <c r="M178" s="822"/>
      <c r="N178" s="822">
        <v>4990.8</v>
      </c>
      <c r="O178" s="822"/>
      <c r="P178" s="822">
        <v>9.2000000000000011</v>
      </c>
      <c r="Q178" s="822"/>
      <c r="R178" s="826">
        <v>21.8</v>
      </c>
      <c r="S178" s="822"/>
      <c r="T178" s="822">
        <v>21.8</v>
      </c>
      <c r="U178" s="822"/>
      <c r="V178" s="822">
        <v>4978.2</v>
      </c>
      <c r="W178" s="822"/>
    </row>
    <row r="179" spans="1:23" ht="13.15" customHeight="1">
      <c r="A179" s="821" t="s">
        <v>1312</v>
      </c>
      <c r="B179" s="821"/>
      <c r="D179" s="821" t="s">
        <v>1313</v>
      </c>
      <c r="E179" s="821"/>
      <c r="F179" s="821"/>
      <c r="G179" s="821"/>
      <c r="Q179" s="807"/>
    </row>
    <row r="180" spans="1:23">
      <c r="A180" s="821"/>
      <c r="B180" s="821"/>
      <c r="D180" s="821"/>
      <c r="E180" s="821"/>
      <c r="F180" s="821"/>
      <c r="G180" s="821"/>
      <c r="H180" s="822">
        <v>0</v>
      </c>
      <c r="I180" s="822"/>
      <c r="J180" s="822">
        <v>5000</v>
      </c>
      <c r="K180" s="822"/>
      <c r="L180" s="822">
        <v>5000</v>
      </c>
      <c r="M180" s="822"/>
      <c r="N180" s="822">
        <v>1588.1200000000001</v>
      </c>
      <c r="O180" s="822"/>
      <c r="P180" s="822">
        <v>3411.88</v>
      </c>
      <c r="Q180" s="822"/>
      <c r="R180" s="826">
        <v>1588.1200000000001</v>
      </c>
      <c r="S180" s="822"/>
      <c r="T180" s="822">
        <v>1588.1200000000001</v>
      </c>
      <c r="U180" s="822"/>
      <c r="V180" s="822">
        <v>3411.88</v>
      </c>
      <c r="W180" s="822"/>
    </row>
    <row r="181" spans="1:23" ht="13.15" customHeight="1">
      <c r="A181" s="821" t="s">
        <v>1314</v>
      </c>
      <c r="B181" s="821"/>
      <c r="D181" s="821" t="s">
        <v>1315</v>
      </c>
      <c r="E181" s="821"/>
      <c r="F181" s="821"/>
      <c r="G181" s="821"/>
      <c r="H181" s="822"/>
      <c r="I181" s="822"/>
      <c r="J181" s="822"/>
      <c r="K181" s="822"/>
      <c r="L181" s="822"/>
      <c r="M181" s="822"/>
      <c r="N181" s="822"/>
      <c r="O181" s="822"/>
      <c r="P181" s="822"/>
      <c r="Q181" s="822"/>
      <c r="R181" s="826"/>
      <c r="S181" s="822"/>
      <c r="T181" s="822"/>
      <c r="U181" s="822"/>
      <c r="V181" s="822"/>
      <c r="W181" s="822"/>
    </row>
    <row r="182" spans="1:23">
      <c r="A182" s="821"/>
      <c r="B182" s="821"/>
      <c r="D182" s="821"/>
      <c r="E182" s="821"/>
      <c r="F182" s="821"/>
      <c r="G182" s="821"/>
      <c r="Q182" s="807"/>
    </row>
    <row r="183" spans="1:23">
      <c r="A183" s="821"/>
      <c r="B183" s="821"/>
      <c r="D183" s="821"/>
      <c r="E183" s="821"/>
      <c r="F183" s="821"/>
      <c r="G183" s="821"/>
      <c r="H183" s="822">
        <v>9450</v>
      </c>
      <c r="I183" s="822"/>
      <c r="J183" s="822">
        <v>170058.06</v>
      </c>
      <c r="K183" s="822"/>
      <c r="L183" s="822">
        <v>179508.06</v>
      </c>
      <c r="M183" s="822"/>
      <c r="N183" s="822">
        <v>104838.13</v>
      </c>
      <c r="O183" s="822"/>
      <c r="P183" s="822">
        <v>74669.930000000008</v>
      </c>
      <c r="Q183" s="822"/>
      <c r="R183" s="826">
        <v>60807.630000000005</v>
      </c>
      <c r="S183" s="822"/>
      <c r="T183" s="822">
        <v>60807.630000000005</v>
      </c>
      <c r="U183" s="822"/>
      <c r="V183" s="822">
        <v>118700.43000000001</v>
      </c>
      <c r="W183" s="822"/>
    </row>
    <row r="184" spans="1:23" ht="13.15" customHeight="1">
      <c r="A184" s="821" t="s">
        <v>1316</v>
      </c>
      <c r="B184" s="821"/>
      <c r="D184" s="821" t="s">
        <v>61</v>
      </c>
      <c r="E184" s="821"/>
      <c r="F184" s="821"/>
      <c r="G184" s="821"/>
      <c r="H184" s="822"/>
      <c r="I184" s="822"/>
      <c r="J184" s="822"/>
      <c r="K184" s="822"/>
      <c r="L184" s="822"/>
      <c r="M184" s="822"/>
      <c r="N184" s="822"/>
      <c r="O184" s="822"/>
      <c r="P184" s="822"/>
      <c r="Q184" s="822"/>
      <c r="R184" s="826"/>
      <c r="S184" s="822"/>
      <c r="T184" s="822"/>
      <c r="U184" s="822"/>
      <c r="V184" s="822"/>
      <c r="W184" s="822"/>
    </row>
    <row r="185" spans="1:23">
      <c r="A185" s="821"/>
      <c r="B185" s="821"/>
      <c r="D185" s="821"/>
      <c r="E185" s="821"/>
      <c r="F185" s="821"/>
      <c r="G185" s="821"/>
      <c r="Q185" s="807"/>
    </row>
    <row r="186" spans="1:23">
      <c r="A186" s="821"/>
      <c r="B186" s="821"/>
      <c r="D186" s="821"/>
      <c r="E186" s="821"/>
      <c r="F186" s="821"/>
      <c r="G186" s="821"/>
      <c r="H186" s="822">
        <v>243316.02000000002</v>
      </c>
      <c r="I186" s="822"/>
      <c r="J186" s="822">
        <v>1035883.74</v>
      </c>
      <c r="K186" s="822"/>
      <c r="L186" s="822">
        <v>1279199.76</v>
      </c>
      <c r="M186" s="822"/>
      <c r="N186" s="822">
        <v>1272488.94</v>
      </c>
      <c r="O186" s="822"/>
      <c r="P186" s="822">
        <v>6710.82</v>
      </c>
      <c r="Q186" s="822"/>
      <c r="R186" s="826">
        <v>882088.44000000006</v>
      </c>
      <c r="S186" s="822"/>
      <c r="T186" s="822">
        <v>882088.44000000006</v>
      </c>
      <c r="U186" s="822"/>
      <c r="V186" s="822">
        <v>397111.32</v>
      </c>
      <c r="W186" s="822"/>
    </row>
    <row r="187" spans="1:23" ht="13.15" customHeight="1">
      <c r="A187" s="821" t="s">
        <v>1317</v>
      </c>
      <c r="B187" s="821"/>
      <c r="D187" s="821" t="s">
        <v>1318</v>
      </c>
      <c r="E187" s="821"/>
      <c r="F187" s="821"/>
      <c r="G187" s="821"/>
      <c r="Q187" s="807"/>
    </row>
    <row r="188" spans="1:23">
      <c r="A188" s="821"/>
      <c r="B188" s="821"/>
      <c r="D188" s="821"/>
      <c r="E188" s="821"/>
      <c r="F188" s="821"/>
      <c r="G188" s="821"/>
      <c r="H188" s="822">
        <v>0</v>
      </c>
      <c r="I188" s="822"/>
      <c r="J188" s="822">
        <v>800</v>
      </c>
      <c r="K188" s="822"/>
      <c r="L188" s="822">
        <v>800</v>
      </c>
      <c r="M188" s="822"/>
      <c r="N188" s="822">
        <v>151.75</v>
      </c>
      <c r="O188" s="822"/>
      <c r="P188" s="822">
        <v>648.25</v>
      </c>
      <c r="Q188" s="822"/>
      <c r="R188" s="826">
        <v>151.75</v>
      </c>
      <c r="S188" s="822"/>
      <c r="T188" s="822">
        <v>151.75</v>
      </c>
      <c r="U188" s="822"/>
      <c r="V188" s="822">
        <v>648.25</v>
      </c>
      <c r="W188" s="822"/>
    </row>
    <row r="189" spans="1:23" ht="13.15" customHeight="1">
      <c r="A189" s="821" t="s">
        <v>1319</v>
      </c>
      <c r="B189" s="821"/>
      <c r="D189" s="821" t="s">
        <v>1320</v>
      </c>
      <c r="E189" s="821"/>
      <c r="F189" s="821"/>
      <c r="G189" s="821"/>
      <c r="H189" s="822"/>
      <c r="I189" s="822"/>
      <c r="J189" s="822"/>
      <c r="K189" s="822"/>
      <c r="L189" s="822"/>
      <c r="M189" s="822"/>
      <c r="N189" s="822"/>
      <c r="O189" s="822"/>
      <c r="P189" s="822"/>
      <c r="Q189" s="822"/>
      <c r="R189" s="826"/>
      <c r="S189" s="822"/>
      <c r="T189" s="822"/>
      <c r="U189" s="822"/>
      <c r="V189" s="822"/>
      <c r="W189" s="822"/>
    </row>
    <row r="190" spans="1:23">
      <c r="A190" s="821"/>
      <c r="B190" s="821"/>
      <c r="D190" s="821"/>
      <c r="E190" s="821"/>
      <c r="F190" s="821"/>
      <c r="G190" s="821"/>
      <c r="Q190" s="807"/>
    </row>
    <row r="191" spans="1:23">
      <c r="A191" s="821"/>
      <c r="B191" s="821"/>
      <c r="D191" s="821"/>
      <c r="E191" s="821"/>
      <c r="F191" s="821"/>
      <c r="G191" s="821"/>
      <c r="H191" s="822">
        <v>12800</v>
      </c>
      <c r="I191" s="822"/>
      <c r="J191" s="822">
        <v>304</v>
      </c>
      <c r="K191" s="822"/>
      <c r="L191" s="822">
        <v>13104</v>
      </c>
      <c r="M191" s="822"/>
      <c r="N191" s="822">
        <v>12670.2</v>
      </c>
      <c r="O191" s="822"/>
      <c r="P191" s="822">
        <v>433.8</v>
      </c>
      <c r="Q191" s="822"/>
      <c r="R191" s="826">
        <v>773.55000000000007</v>
      </c>
      <c r="S191" s="822"/>
      <c r="T191" s="822">
        <v>773.55000000000007</v>
      </c>
      <c r="U191" s="822"/>
      <c r="V191" s="822">
        <v>12330.45</v>
      </c>
      <c r="W191" s="822"/>
    </row>
    <row r="192" spans="1:23" ht="13.15" customHeight="1">
      <c r="A192" s="821" t="s">
        <v>109</v>
      </c>
      <c r="B192" s="821"/>
      <c r="D192" s="821" t="s">
        <v>1321</v>
      </c>
      <c r="E192" s="821"/>
      <c r="F192" s="821"/>
      <c r="G192" s="821"/>
      <c r="H192" s="822"/>
      <c r="I192" s="822"/>
      <c r="J192" s="822"/>
      <c r="K192" s="822"/>
      <c r="L192" s="822"/>
      <c r="M192" s="822"/>
      <c r="N192" s="822"/>
      <c r="O192" s="822"/>
      <c r="P192" s="822"/>
      <c r="Q192" s="822"/>
      <c r="R192" s="826"/>
      <c r="S192" s="822"/>
      <c r="T192" s="822"/>
      <c r="U192" s="822"/>
      <c r="V192" s="822"/>
      <c r="W192" s="822"/>
    </row>
    <row r="193" spans="1:23">
      <c r="A193" s="821"/>
      <c r="B193" s="821"/>
      <c r="D193" s="821"/>
      <c r="E193" s="821"/>
      <c r="F193" s="821"/>
      <c r="G193" s="821"/>
      <c r="Q193" s="807"/>
    </row>
    <row r="194" spans="1:23">
      <c r="A194" s="821"/>
      <c r="B194" s="821"/>
      <c r="D194" s="821"/>
      <c r="E194" s="821"/>
      <c r="F194" s="821"/>
      <c r="G194" s="821"/>
      <c r="H194" s="822">
        <v>5000</v>
      </c>
      <c r="I194" s="822"/>
      <c r="J194" s="822">
        <v>-5000</v>
      </c>
      <c r="K194" s="822"/>
      <c r="L194" s="822">
        <v>0</v>
      </c>
      <c r="M194" s="822"/>
      <c r="N194" s="822">
        <v>0</v>
      </c>
      <c r="O194" s="822"/>
      <c r="P194" s="822">
        <v>0</v>
      </c>
      <c r="Q194" s="822"/>
      <c r="R194" s="826">
        <v>0</v>
      </c>
      <c r="S194" s="822"/>
      <c r="T194" s="822">
        <v>0</v>
      </c>
      <c r="U194" s="822"/>
      <c r="V194" s="822">
        <v>0</v>
      </c>
      <c r="W194" s="822"/>
    </row>
    <row r="195" spans="1:23">
      <c r="Q195" s="807"/>
    </row>
    <row r="196" spans="1:23" ht="13.15" customHeight="1">
      <c r="A196" s="813" t="s">
        <v>1243</v>
      </c>
      <c r="E196" s="823" t="s">
        <v>1244</v>
      </c>
      <c r="F196" s="823"/>
      <c r="J196" s="823" t="s">
        <v>1245</v>
      </c>
      <c r="K196" s="823"/>
      <c r="O196" s="823" t="s">
        <v>1246</v>
      </c>
      <c r="P196" s="823"/>
      <c r="Q196" s="823"/>
    </row>
    <row r="197" spans="1:23" ht="13.15" customHeight="1">
      <c r="B197" s="824" t="s">
        <v>1247</v>
      </c>
      <c r="C197" s="824"/>
      <c r="D197" s="824"/>
      <c r="E197" s="824" t="s">
        <v>1248</v>
      </c>
      <c r="F197" s="824"/>
      <c r="G197" s="824"/>
      <c r="H197" s="824"/>
      <c r="J197" s="824" t="s">
        <v>1249</v>
      </c>
      <c r="K197" s="824"/>
      <c r="L197" s="824"/>
      <c r="Q197" s="807"/>
    </row>
    <row r="198" spans="1:23">
      <c r="Q198" s="807"/>
    </row>
    <row r="199" spans="1:23">
      <c r="Q199" s="807"/>
    </row>
    <row r="200" spans="1:23" ht="13.15" customHeight="1">
      <c r="D200" s="814" t="s">
        <v>1185</v>
      </c>
      <c r="E200" s="814"/>
      <c r="F200" s="814"/>
      <c r="G200" s="814"/>
      <c r="H200" s="814"/>
      <c r="I200" s="814"/>
      <c r="J200" s="814"/>
      <c r="K200" s="814"/>
      <c r="L200" s="814"/>
      <c r="M200" s="814"/>
      <c r="N200" s="814"/>
      <c r="O200" s="814"/>
      <c r="P200" s="814"/>
      <c r="Q200" s="814"/>
      <c r="R200" s="815"/>
    </row>
    <row r="201" spans="1:23" ht="13.15" customHeight="1">
      <c r="D201" s="814"/>
      <c r="E201" s="814"/>
      <c r="F201" s="814"/>
      <c r="G201" s="814"/>
      <c r="H201" s="814"/>
      <c r="I201" s="814"/>
      <c r="J201" s="814"/>
      <c r="K201" s="814"/>
      <c r="L201" s="814"/>
      <c r="M201" s="814"/>
      <c r="N201" s="814"/>
      <c r="O201" s="814"/>
      <c r="P201" s="814"/>
      <c r="Q201" s="814"/>
      <c r="R201" s="815"/>
      <c r="S201" s="816" t="s">
        <v>1186</v>
      </c>
      <c r="T201" s="816"/>
    </row>
    <row r="202" spans="1:23">
      <c r="Q202" s="807"/>
      <c r="S202" s="816"/>
      <c r="T202" s="816"/>
    </row>
    <row r="203" spans="1:23" ht="15.6" customHeight="1">
      <c r="H203" s="817" t="s">
        <v>1187</v>
      </c>
      <c r="I203" s="817"/>
      <c r="J203" s="817"/>
      <c r="K203" s="817"/>
      <c r="L203" s="817"/>
      <c r="M203" s="817"/>
      <c r="N203" s="817"/>
      <c r="Q203" s="807"/>
    </row>
    <row r="204" spans="1:23" ht="13.15" customHeight="1">
      <c r="Q204" s="816" t="s">
        <v>1322</v>
      </c>
      <c r="R204" s="818"/>
      <c r="S204" s="816"/>
    </row>
    <row r="205" spans="1:23">
      <c r="H205" s="816" t="s">
        <v>1189</v>
      </c>
      <c r="I205" s="816"/>
      <c r="J205" s="819">
        <v>41640</v>
      </c>
      <c r="K205" s="819"/>
      <c r="L205" s="816" t="s">
        <v>1190</v>
      </c>
      <c r="M205" s="816"/>
      <c r="N205" s="819">
        <v>41993</v>
      </c>
      <c r="O205" s="819"/>
      <c r="Q205" s="816"/>
      <c r="R205" s="818"/>
      <c r="S205" s="816"/>
    </row>
    <row r="206" spans="1:23">
      <c r="H206" s="816"/>
      <c r="I206" s="816"/>
      <c r="J206" s="819"/>
      <c r="K206" s="819"/>
      <c r="L206" s="816"/>
      <c r="M206" s="816"/>
      <c r="N206" s="819"/>
      <c r="O206" s="819"/>
      <c r="Q206" s="807"/>
    </row>
    <row r="207" spans="1:23">
      <c r="Q207" s="807"/>
    </row>
    <row r="208" spans="1:23" ht="13.15" customHeight="1">
      <c r="H208" s="809" t="s">
        <v>1191</v>
      </c>
      <c r="I208" s="809"/>
      <c r="J208" s="809"/>
      <c r="K208" s="809" t="s">
        <v>1192</v>
      </c>
      <c r="L208" s="809"/>
      <c r="M208" s="809" t="s">
        <v>1193</v>
      </c>
      <c r="N208" s="809"/>
      <c r="O208" s="809" t="s">
        <v>1194</v>
      </c>
      <c r="P208" s="809"/>
      <c r="Q208" s="809" t="s">
        <v>1195</v>
      </c>
      <c r="R208" s="820"/>
      <c r="S208" s="809" t="s">
        <v>1196</v>
      </c>
      <c r="T208" s="809"/>
    </row>
    <row r="209" spans="1:23">
      <c r="Q209" s="807"/>
    </row>
    <row r="210" spans="1:23" ht="13.15" customHeight="1">
      <c r="A210" s="809" t="s">
        <v>1203</v>
      </c>
      <c r="B210" s="809"/>
      <c r="C210" s="809" t="s">
        <v>1197</v>
      </c>
      <c r="D210" s="809"/>
      <c r="E210" s="809" t="s">
        <v>1198</v>
      </c>
      <c r="F210" s="809"/>
      <c r="G210" s="809" t="s">
        <v>1199</v>
      </c>
      <c r="H210" s="809"/>
      <c r="I210" s="809"/>
      <c r="J210" s="809"/>
      <c r="K210" s="809"/>
      <c r="L210" s="809"/>
      <c r="M210" s="809"/>
      <c r="N210" s="809"/>
      <c r="Q210" s="807"/>
    </row>
    <row r="211" spans="1:23">
      <c r="Q211" s="807"/>
    </row>
    <row r="212" spans="1:23" ht="13.15" customHeight="1">
      <c r="G212" s="810" t="s">
        <v>1200</v>
      </c>
      <c r="H212" s="810"/>
      <c r="O212" s="810" t="s">
        <v>1201</v>
      </c>
      <c r="P212" s="810"/>
      <c r="Q212" s="807"/>
      <c r="U212" s="810" t="s">
        <v>1202</v>
      </c>
      <c r="V212" s="810"/>
    </row>
    <row r="213" spans="1:23" ht="13.15" customHeight="1">
      <c r="B213" s="811" t="s">
        <v>1204</v>
      </c>
      <c r="D213" s="810" t="s">
        <v>1205</v>
      </c>
      <c r="E213" s="810"/>
      <c r="G213" s="810"/>
      <c r="H213" s="810"/>
      <c r="I213" s="810" t="s">
        <v>1206</v>
      </c>
      <c r="J213" s="810"/>
      <c r="K213" s="810" t="s">
        <v>1207</v>
      </c>
      <c r="L213" s="810"/>
      <c r="M213" s="810" t="s">
        <v>1208</v>
      </c>
      <c r="N213" s="810"/>
      <c r="O213" s="810"/>
      <c r="P213" s="810"/>
      <c r="Q213" s="810" t="s">
        <v>1209</v>
      </c>
      <c r="R213" s="812"/>
      <c r="S213" s="810" t="s">
        <v>1210</v>
      </c>
      <c r="T213" s="810"/>
      <c r="U213" s="810"/>
      <c r="V213" s="810"/>
    </row>
    <row r="214" spans="1:23" ht="13.15" customHeight="1">
      <c r="A214" s="821" t="s">
        <v>1323</v>
      </c>
      <c r="B214" s="821"/>
      <c r="D214" s="821" t="s">
        <v>62</v>
      </c>
      <c r="E214" s="821"/>
      <c r="F214" s="821"/>
      <c r="G214" s="821"/>
      <c r="Q214" s="807"/>
    </row>
    <row r="215" spans="1:23">
      <c r="A215" s="821"/>
      <c r="B215" s="821"/>
      <c r="D215" s="821"/>
      <c r="E215" s="821"/>
      <c r="F215" s="821"/>
      <c r="G215" s="821"/>
      <c r="H215" s="822">
        <v>1596.14</v>
      </c>
      <c r="I215" s="822"/>
      <c r="J215" s="822">
        <v>0</v>
      </c>
      <c r="K215" s="822"/>
      <c r="L215" s="822">
        <v>1596.14</v>
      </c>
      <c r="M215" s="822"/>
      <c r="N215" s="822">
        <v>1220.92</v>
      </c>
      <c r="O215" s="822"/>
      <c r="P215" s="822">
        <v>375.22</v>
      </c>
      <c r="Q215" s="822"/>
      <c r="R215" s="826">
        <v>953.07</v>
      </c>
      <c r="S215" s="822"/>
      <c r="T215" s="822">
        <v>953.07</v>
      </c>
      <c r="U215" s="822"/>
      <c r="V215" s="822">
        <v>643.07000000000005</v>
      </c>
      <c r="W215" s="822"/>
    </row>
    <row r="216" spans="1:23" ht="13.15" customHeight="1">
      <c r="A216" s="821" t="s">
        <v>1324</v>
      </c>
      <c r="B216" s="821"/>
      <c r="D216" s="821" t="s">
        <v>52</v>
      </c>
      <c r="E216" s="821"/>
      <c r="F216" s="821"/>
      <c r="G216" s="821"/>
      <c r="Q216" s="807"/>
    </row>
    <row r="217" spans="1:23">
      <c r="A217" s="821"/>
      <c r="B217" s="821"/>
      <c r="D217" s="821"/>
      <c r="E217" s="821"/>
      <c r="F217" s="821"/>
      <c r="G217" s="821"/>
      <c r="H217" s="822">
        <v>4620</v>
      </c>
      <c r="I217" s="822"/>
      <c r="J217" s="822">
        <v>9760.83</v>
      </c>
      <c r="K217" s="822"/>
      <c r="L217" s="822">
        <v>14380.83</v>
      </c>
      <c r="M217" s="822"/>
      <c r="N217" s="822">
        <v>6586.6500000000005</v>
      </c>
      <c r="O217" s="822"/>
      <c r="P217" s="822">
        <v>7794.18</v>
      </c>
      <c r="Q217" s="822"/>
      <c r="R217" s="826">
        <v>6980.79</v>
      </c>
      <c r="S217" s="822"/>
      <c r="T217" s="822">
        <v>6980.79</v>
      </c>
      <c r="U217" s="822"/>
      <c r="V217" s="822">
        <v>7400.04</v>
      </c>
      <c r="W217" s="822"/>
    </row>
    <row r="218" spans="1:23" ht="13.15" customHeight="1">
      <c r="A218" s="821" t="s">
        <v>1325</v>
      </c>
      <c r="B218" s="821"/>
      <c r="D218" s="821" t="s">
        <v>63</v>
      </c>
      <c r="E218" s="821"/>
      <c r="F218" s="821"/>
      <c r="G218" s="821"/>
      <c r="Q218" s="807"/>
    </row>
    <row r="219" spans="1:23">
      <c r="A219" s="821"/>
      <c r="B219" s="821"/>
      <c r="D219" s="821"/>
      <c r="E219" s="821"/>
      <c r="F219" s="821"/>
      <c r="G219" s="821"/>
      <c r="H219" s="822">
        <v>0</v>
      </c>
      <c r="I219" s="822"/>
      <c r="J219" s="822">
        <v>18909.18</v>
      </c>
      <c r="K219" s="822"/>
      <c r="L219" s="822">
        <v>18909.18</v>
      </c>
      <c r="M219" s="822"/>
      <c r="N219" s="822">
        <v>6607.63</v>
      </c>
      <c r="O219" s="822"/>
      <c r="P219" s="822">
        <v>12301.550000000001</v>
      </c>
      <c r="Q219" s="822"/>
      <c r="R219" s="826">
        <v>4597.63</v>
      </c>
      <c r="S219" s="822"/>
      <c r="T219" s="822">
        <v>4597.63</v>
      </c>
      <c r="U219" s="822"/>
      <c r="V219" s="822">
        <v>14311.550000000001</v>
      </c>
      <c r="W219" s="822"/>
    </row>
    <row r="220" spans="1:23" ht="13.15" customHeight="1">
      <c r="A220" s="821" t="s">
        <v>1326</v>
      </c>
      <c r="B220" s="821"/>
      <c r="D220" s="821" t="s">
        <v>1327</v>
      </c>
      <c r="E220" s="821"/>
      <c r="F220" s="821"/>
      <c r="G220" s="821"/>
      <c r="Q220" s="807"/>
    </row>
    <row r="221" spans="1:23">
      <c r="A221" s="821"/>
      <c r="B221" s="821"/>
      <c r="D221" s="821"/>
      <c r="E221" s="821"/>
      <c r="F221" s="821"/>
      <c r="G221" s="821"/>
      <c r="H221" s="822">
        <v>2117.29</v>
      </c>
      <c r="I221" s="822"/>
      <c r="J221" s="822">
        <v>500</v>
      </c>
      <c r="K221" s="822"/>
      <c r="L221" s="822">
        <v>2617.29</v>
      </c>
      <c r="M221" s="822"/>
      <c r="N221" s="822">
        <v>48.120000000000005</v>
      </c>
      <c r="O221" s="822"/>
      <c r="P221" s="822">
        <v>2569.17</v>
      </c>
      <c r="Q221" s="822"/>
      <c r="R221" s="826">
        <v>48.120000000000005</v>
      </c>
      <c r="S221" s="822"/>
      <c r="T221" s="822">
        <v>48.120000000000005</v>
      </c>
      <c r="U221" s="822"/>
      <c r="V221" s="822">
        <v>2569.17</v>
      </c>
      <c r="W221" s="822"/>
    </row>
    <row r="222" spans="1:23" ht="13.15" customHeight="1">
      <c r="A222" s="821" t="s">
        <v>1328</v>
      </c>
      <c r="B222" s="821"/>
      <c r="D222" s="821" t="s">
        <v>112</v>
      </c>
      <c r="E222" s="821"/>
      <c r="F222" s="821"/>
      <c r="G222" s="821"/>
      <c r="H222" s="822"/>
      <c r="I222" s="822"/>
      <c r="J222" s="822"/>
      <c r="K222" s="822"/>
      <c r="L222" s="822"/>
      <c r="M222" s="822"/>
      <c r="N222" s="822"/>
      <c r="O222" s="822"/>
      <c r="P222" s="822"/>
      <c r="Q222" s="822"/>
      <c r="R222" s="826"/>
      <c r="S222" s="822"/>
      <c r="T222" s="822"/>
      <c r="U222" s="822"/>
      <c r="V222" s="822"/>
      <c r="W222" s="822"/>
    </row>
    <row r="223" spans="1:23">
      <c r="A223" s="821"/>
      <c r="B223" s="821"/>
      <c r="D223" s="821"/>
      <c r="E223" s="821"/>
      <c r="F223" s="821"/>
      <c r="G223" s="821"/>
      <c r="Q223" s="807"/>
    </row>
    <row r="224" spans="1:23">
      <c r="A224" s="821"/>
      <c r="B224" s="821"/>
      <c r="D224" s="821"/>
      <c r="E224" s="821"/>
      <c r="F224" s="821"/>
      <c r="G224" s="821"/>
      <c r="H224" s="822">
        <v>1520</v>
      </c>
      <c r="I224" s="822"/>
      <c r="J224" s="822">
        <v>0</v>
      </c>
      <c r="K224" s="822"/>
      <c r="L224" s="822">
        <v>1520</v>
      </c>
      <c r="M224" s="822"/>
      <c r="N224" s="822">
        <v>0</v>
      </c>
      <c r="O224" s="822"/>
      <c r="P224" s="822">
        <v>1520</v>
      </c>
      <c r="Q224" s="822"/>
      <c r="R224" s="826">
        <v>0</v>
      </c>
      <c r="S224" s="822"/>
      <c r="T224" s="822">
        <v>0</v>
      </c>
      <c r="U224" s="822"/>
      <c r="V224" s="822">
        <v>1520</v>
      </c>
      <c r="W224" s="822"/>
    </row>
    <row r="225" spans="1:23" ht="13.15" customHeight="1">
      <c r="A225" s="821" t="s">
        <v>1329</v>
      </c>
      <c r="B225" s="821"/>
      <c r="D225" s="821" t="s">
        <v>1330</v>
      </c>
      <c r="E225" s="821"/>
      <c r="F225" s="821"/>
      <c r="G225" s="821"/>
    </row>
    <row r="226" spans="1:23">
      <c r="A226" s="821"/>
      <c r="B226" s="821"/>
      <c r="D226" s="821"/>
      <c r="E226" s="821"/>
      <c r="F226" s="821"/>
      <c r="G226" s="821"/>
      <c r="H226" s="822">
        <v>0</v>
      </c>
      <c r="I226" s="822"/>
      <c r="J226" s="822">
        <v>51651.49</v>
      </c>
      <c r="K226" s="822"/>
      <c r="L226" s="822">
        <v>51651.49</v>
      </c>
      <c r="M226" s="822"/>
      <c r="N226" s="822">
        <v>46601.63</v>
      </c>
      <c r="O226" s="822"/>
      <c r="P226" s="822">
        <v>5049.8599999999997</v>
      </c>
      <c r="Q226" s="822"/>
      <c r="R226" s="826">
        <v>46601.35</v>
      </c>
      <c r="S226" s="822"/>
      <c r="T226" s="822">
        <v>46601.35</v>
      </c>
      <c r="U226" s="822"/>
      <c r="V226" s="822">
        <v>5050.1400000000003</v>
      </c>
      <c r="W226" s="822"/>
    </row>
    <row r="227" spans="1:23" ht="13.15" customHeight="1">
      <c r="A227" s="821" t="s">
        <v>1331</v>
      </c>
      <c r="B227" s="821"/>
      <c r="D227" s="821" t="s">
        <v>1332</v>
      </c>
      <c r="E227" s="821"/>
      <c r="F227" s="821"/>
      <c r="G227" s="821"/>
      <c r="H227" s="822"/>
      <c r="I227" s="822"/>
      <c r="J227" s="822"/>
      <c r="K227" s="822"/>
      <c r="L227" s="822"/>
      <c r="M227" s="822"/>
      <c r="N227" s="822"/>
      <c r="O227" s="822"/>
      <c r="P227" s="822"/>
      <c r="Q227" s="822"/>
      <c r="R227" s="826"/>
      <c r="S227" s="822"/>
      <c r="T227" s="822"/>
      <c r="U227" s="822"/>
      <c r="V227" s="822"/>
      <c r="W227" s="822"/>
    </row>
    <row r="228" spans="1:23">
      <c r="A228" s="821"/>
      <c r="B228" s="821"/>
      <c r="D228" s="821"/>
      <c r="E228" s="821"/>
      <c r="F228" s="821"/>
      <c r="G228" s="821"/>
      <c r="Q228" s="807"/>
    </row>
    <row r="229" spans="1:23">
      <c r="A229" s="821"/>
      <c r="B229" s="821"/>
      <c r="D229" s="821"/>
      <c r="E229" s="821"/>
      <c r="F229" s="821"/>
      <c r="G229" s="821"/>
      <c r="H229" s="822">
        <v>59535</v>
      </c>
      <c r="I229" s="822"/>
      <c r="J229" s="822">
        <v>-40000</v>
      </c>
      <c r="K229" s="822"/>
      <c r="L229" s="822">
        <v>19535</v>
      </c>
      <c r="M229" s="822"/>
      <c r="N229" s="822">
        <v>11178.33</v>
      </c>
      <c r="O229" s="822"/>
      <c r="P229" s="822">
        <v>8356.67</v>
      </c>
      <c r="Q229" s="822"/>
      <c r="R229" s="826">
        <v>10902.83</v>
      </c>
      <c r="S229" s="822"/>
      <c r="T229" s="822">
        <v>10902.83</v>
      </c>
      <c r="U229" s="822"/>
      <c r="V229" s="822">
        <v>8632.17</v>
      </c>
      <c r="W229" s="822"/>
    </row>
    <row r="230" spans="1:23">
      <c r="A230" s="821" t="s">
        <v>1333</v>
      </c>
      <c r="B230" s="821"/>
      <c r="D230" s="821" t="s">
        <v>113</v>
      </c>
      <c r="E230" s="821"/>
      <c r="F230" s="821"/>
      <c r="G230" s="821"/>
      <c r="H230" s="822"/>
      <c r="I230" s="822"/>
      <c r="J230" s="822"/>
      <c r="K230" s="822"/>
      <c r="L230" s="822"/>
      <c r="M230" s="822"/>
      <c r="N230" s="822"/>
      <c r="O230" s="822"/>
      <c r="P230" s="822"/>
      <c r="Q230" s="822"/>
      <c r="R230" s="826"/>
      <c r="S230" s="822"/>
      <c r="T230" s="822"/>
      <c r="U230" s="822"/>
      <c r="V230" s="822"/>
      <c r="W230" s="822"/>
    </row>
    <row r="231" spans="1:23">
      <c r="A231" s="821"/>
      <c r="B231" s="821"/>
      <c r="D231" s="821"/>
      <c r="E231" s="821"/>
      <c r="F231" s="821"/>
      <c r="G231" s="821"/>
      <c r="Q231" s="807"/>
    </row>
    <row r="232" spans="1:23">
      <c r="A232" s="821"/>
      <c r="B232" s="821"/>
      <c r="D232" s="821"/>
      <c r="E232" s="821"/>
      <c r="F232" s="821"/>
      <c r="G232" s="821"/>
      <c r="H232" s="822">
        <v>109620</v>
      </c>
      <c r="I232" s="822"/>
      <c r="J232" s="822">
        <v>253626</v>
      </c>
      <c r="K232" s="822"/>
      <c r="L232" s="822">
        <v>363246</v>
      </c>
      <c r="M232" s="822"/>
      <c r="N232" s="822">
        <v>340233.35000000003</v>
      </c>
      <c r="O232" s="822"/>
      <c r="P232" s="822">
        <v>23012.65</v>
      </c>
      <c r="Q232" s="822"/>
      <c r="R232" s="826">
        <v>328089.35000000003</v>
      </c>
      <c r="S232" s="822"/>
      <c r="T232" s="822">
        <v>328089.35000000003</v>
      </c>
      <c r="U232" s="822"/>
      <c r="V232" s="822">
        <v>35156.65</v>
      </c>
      <c r="W232" s="822"/>
    </row>
    <row r="233" spans="1:23" ht="13.15" customHeight="1">
      <c r="A233" s="821" t="s">
        <v>1334</v>
      </c>
      <c r="B233" s="821"/>
      <c r="D233" s="821" t="s">
        <v>65</v>
      </c>
      <c r="E233" s="821"/>
      <c r="F233" s="821"/>
      <c r="G233" s="821"/>
      <c r="Q233" s="807"/>
    </row>
    <row r="234" spans="1:23">
      <c r="A234" s="821"/>
      <c r="B234" s="821"/>
      <c r="D234" s="821"/>
      <c r="E234" s="821"/>
      <c r="F234" s="821"/>
      <c r="G234" s="821"/>
      <c r="H234" s="822">
        <v>1575</v>
      </c>
      <c r="I234" s="822"/>
      <c r="J234" s="822">
        <v>909.76</v>
      </c>
      <c r="K234" s="822"/>
      <c r="L234" s="822">
        <v>2484.7600000000002</v>
      </c>
      <c r="M234" s="822"/>
      <c r="N234" s="822">
        <v>1225.46</v>
      </c>
      <c r="O234" s="822"/>
      <c r="P234" s="822">
        <v>1259.3</v>
      </c>
      <c r="Q234" s="822"/>
      <c r="R234" s="826">
        <v>1225.46</v>
      </c>
      <c r="S234" s="822"/>
      <c r="T234" s="822">
        <v>1225.46</v>
      </c>
      <c r="U234" s="822"/>
      <c r="V234" s="822">
        <v>1259.3</v>
      </c>
      <c r="W234" s="822"/>
    </row>
    <row r="235" spans="1:23" ht="13.15" customHeight="1">
      <c r="A235" s="821" t="s">
        <v>1335</v>
      </c>
      <c r="B235" s="821"/>
      <c r="D235" s="821" t="s">
        <v>114</v>
      </c>
      <c r="E235" s="821"/>
      <c r="F235" s="821"/>
      <c r="G235" s="821"/>
      <c r="Q235" s="807"/>
    </row>
    <row r="236" spans="1:23">
      <c r="A236" s="821"/>
      <c r="B236" s="821"/>
      <c r="D236" s="821"/>
      <c r="E236" s="821"/>
      <c r="F236" s="821"/>
      <c r="G236" s="821"/>
      <c r="H236" s="822">
        <v>3150</v>
      </c>
      <c r="I236" s="822"/>
      <c r="J236" s="822">
        <v>0</v>
      </c>
      <c r="K236" s="822"/>
      <c r="L236" s="822">
        <v>3150</v>
      </c>
      <c r="M236" s="822"/>
      <c r="N236" s="822">
        <v>460.40000000000003</v>
      </c>
      <c r="O236" s="822"/>
      <c r="P236" s="822">
        <v>2689.6</v>
      </c>
      <c r="Q236" s="822"/>
      <c r="R236" s="826">
        <v>260.39999999999998</v>
      </c>
      <c r="S236" s="822"/>
      <c r="T236" s="822">
        <v>260.39999999999998</v>
      </c>
      <c r="U236" s="822"/>
      <c r="V236" s="822">
        <v>2889.6</v>
      </c>
      <c r="W236" s="822"/>
    </row>
    <row r="237" spans="1:23" ht="13.15" customHeight="1">
      <c r="A237" s="821" t="s">
        <v>1336</v>
      </c>
      <c r="B237" s="821"/>
      <c r="D237" s="821" t="s">
        <v>62</v>
      </c>
      <c r="E237" s="821"/>
      <c r="F237" s="821"/>
      <c r="G237" s="821"/>
      <c r="Q237" s="807"/>
    </row>
    <row r="238" spans="1:23">
      <c r="A238" s="821"/>
      <c r="B238" s="821"/>
      <c r="D238" s="821"/>
      <c r="E238" s="821"/>
      <c r="F238" s="821"/>
      <c r="G238" s="821"/>
      <c r="H238" s="822">
        <v>9000</v>
      </c>
      <c r="I238" s="822"/>
      <c r="J238" s="822">
        <v>47198</v>
      </c>
      <c r="K238" s="822"/>
      <c r="L238" s="822">
        <v>56198</v>
      </c>
      <c r="M238" s="822"/>
      <c r="N238" s="822">
        <v>54899.86</v>
      </c>
      <c r="O238" s="822"/>
      <c r="P238" s="822">
        <v>1298.1400000000001</v>
      </c>
      <c r="Q238" s="822"/>
      <c r="R238" s="826">
        <v>10362</v>
      </c>
      <c r="S238" s="822"/>
      <c r="T238" s="822">
        <v>10371.200000000001</v>
      </c>
      <c r="U238" s="822"/>
      <c r="V238" s="822">
        <v>45836</v>
      </c>
      <c r="W238" s="822"/>
    </row>
    <row r="239" spans="1:23" ht="13.15" customHeight="1">
      <c r="A239" s="821" t="s">
        <v>1337</v>
      </c>
      <c r="B239" s="821"/>
      <c r="D239" s="821" t="s">
        <v>1282</v>
      </c>
      <c r="E239" s="821"/>
      <c r="F239" s="821"/>
      <c r="G239" s="821"/>
      <c r="Q239" s="807"/>
    </row>
    <row r="240" spans="1:23">
      <c r="A240" s="821"/>
      <c r="B240" s="821"/>
      <c r="D240" s="821"/>
      <c r="E240" s="821"/>
      <c r="F240" s="821"/>
      <c r="G240" s="821"/>
      <c r="H240" s="822">
        <v>55000</v>
      </c>
      <c r="I240" s="822"/>
      <c r="J240" s="822">
        <v>91191.1</v>
      </c>
      <c r="K240" s="822"/>
      <c r="L240" s="822">
        <v>146191.1</v>
      </c>
      <c r="M240" s="822"/>
      <c r="N240" s="822">
        <v>134368.97</v>
      </c>
      <c r="O240" s="822"/>
      <c r="P240" s="822">
        <v>11822.130000000001</v>
      </c>
      <c r="Q240" s="822"/>
      <c r="R240" s="826">
        <v>82351.09</v>
      </c>
      <c r="S240" s="822"/>
      <c r="T240" s="822">
        <v>82341.89</v>
      </c>
      <c r="U240" s="822"/>
      <c r="V240" s="822">
        <v>63840.01</v>
      </c>
      <c r="W240" s="822"/>
    </row>
    <row r="241" spans="1:23" ht="13.15" customHeight="1">
      <c r="A241" s="821" t="s">
        <v>1338</v>
      </c>
      <c r="B241" s="821"/>
      <c r="D241" s="821" t="s">
        <v>63</v>
      </c>
      <c r="E241" s="821"/>
      <c r="F241" s="821"/>
      <c r="G241" s="821"/>
      <c r="Q241" s="807"/>
    </row>
    <row r="242" spans="1:23">
      <c r="A242" s="821"/>
      <c r="B242" s="821"/>
      <c r="D242" s="821"/>
      <c r="E242" s="821"/>
      <c r="F242" s="821"/>
      <c r="G242" s="821"/>
      <c r="H242" s="822">
        <v>0</v>
      </c>
      <c r="I242" s="822"/>
      <c r="J242" s="822">
        <v>16000</v>
      </c>
      <c r="K242" s="822"/>
      <c r="L242" s="822">
        <v>16000</v>
      </c>
      <c r="M242" s="822"/>
      <c r="N242" s="822">
        <v>6719.3600000000006</v>
      </c>
      <c r="O242" s="822"/>
      <c r="P242" s="822">
        <v>9280.64</v>
      </c>
      <c r="Q242" s="822"/>
      <c r="R242" s="826">
        <v>6719.3600000000006</v>
      </c>
      <c r="S242" s="822"/>
      <c r="T242" s="822">
        <v>6719.3600000000006</v>
      </c>
      <c r="U242" s="822"/>
      <c r="V242" s="822">
        <v>9280.64</v>
      </c>
      <c r="W242" s="822"/>
    </row>
    <row r="243" spans="1:23" ht="13.15" customHeight="1">
      <c r="A243" s="821" t="s">
        <v>1339</v>
      </c>
      <c r="B243" s="821"/>
      <c r="D243" s="821" t="s">
        <v>1340</v>
      </c>
      <c r="E243" s="821"/>
      <c r="F243" s="821"/>
      <c r="G243" s="821"/>
      <c r="Q243" s="807"/>
    </row>
    <row r="244" spans="1:23">
      <c r="A244" s="821"/>
      <c r="B244" s="821"/>
      <c r="D244" s="821"/>
      <c r="E244" s="821"/>
      <c r="F244" s="821"/>
      <c r="G244" s="821"/>
      <c r="H244" s="822">
        <v>13000</v>
      </c>
      <c r="I244" s="822"/>
      <c r="J244" s="822">
        <v>3879</v>
      </c>
      <c r="K244" s="822"/>
      <c r="L244" s="822">
        <v>16879</v>
      </c>
      <c r="M244" s="822"/>
      <c r="N244" s="822">
        <v>14139.43</v>
      </c>
      <c r="O244" s="822"/>
      <c r="P244" s="822">
        <v>2739.57</v>
      </c>
      <c r="Q244" s="822"/>
      <c r="R244" s="826">
        <v>7445.79</v>
      </c>
      <c r="S244" s="822"/>
      <c r="T244" s="822">
        <v>7445.79</v>
      </c>
      <c r="U244" s="822"/>
      <c r="V244" s="822">
        <v>9433.2100000000009</v>
      </c>
      <c r="W244" s="822"/>
    </row>
    <row r="245" spans="1:23" ht="13.15" customHeight="1">
      <c r="A245" s="821" t="s">
        <v>1341</v>
      </c>
      <c r="B245" s="821"/>
      <c r="D245" s="821" t="s">
        <v>1279</v>
      </c>
      <c r="E245" s="821"/>
      <c r="F245" s="821"/>
      <c r="G245" s="821"/>
      <c r="H245" s="822"/>
      <c r="I245" s="822"/>
      <c r="J245" s="822"/>
      <c r="K245" s="822"/>
      <c r="L245" s="822"/>
      <c r="M245" s="822"/>
      <c r="N245" s="822"/>
      <c r="O245" s="822"/>
      <c r="P245" s="822"/>
      <c r="Q245" s="822"/>
      <c r="R245" s="826"/>
      <c r="S245" s="822"/>
      <c r="T245" s="822"/>
      <c r="U245" s="822"/>
      <c r="V245" s="822"/>
      <c r="W245" s="822"/>
    </row>
    <row r="246" spans="1:23">
      <c r="A246" s="821"/>
      <c r="B246" s="821"/>
      <c r="D246" s="821"/>
      <c r="E246" s="821"/>
      <c r="F246" s="821"/>
      <c r="G246" s="821"/>
      <c r="Q246" s="807"/>
    </row>
    <row r="247" spans="1:23">
      <c r="A247" s="821"/>
      <c r="B247" s="821"/>
      <c r="D247" s="821"/>
      <c r="E247" s="821"/>
      <c r="F247" s="821"/>
      <c r="G247" s="821"/>
      <c r="H247" s="822">
        <v>18000</v>
      </c>
      <c r="I247" s="822"/>
      <c r="J247" s="822">
        <v>-18000</v>
      </c>
      <c r="K247" s="822"/>
      <c r="L247" s="822">
        <v>0</v>
      </c>
      <c r="M247" s="822"/>
      <c r="N247" s="822">
        <v>0</v>
      </c>
      <c r="O247" s="822"/>
      <c r="P247" s="822">
        <v>0</v>
      </c>
      <c r="Q247" s="822"/>
      <c r="R247" s="826">
        <v>0</v>
      </c>
      <c r="S247" s="822"/>
      <c r="T247" s="822">
        <v>0</v>
      </c>
      <c r="U247" s="822"/>
      <c r="V247" s="822">
        <v>0</v>
      </c>
      <c r="W247" s="822"/>
    </row>
    <row r="248" spans="1:23" ht="13.15" customHeight="1">
      <c r="A248" s="821" t="s">
        <v>1342</v>
      </c>
      <c r="B248" s="821"/>
      <c r="D248" s="821" t="s">
        <v>1343</v>
      </c>
      <c r="E248" s="821"/>
      <c r="F248" s="821"/>
      <c r="G248" s="821"/>
      <c r="Q248" s="807"/>
    </row>
    <row r="249" spans="1:23">
      <c r="A249" s="821"/>
      <c r="B249" s="821"/>
      <c r="D249" s="821"/>
      <c r="E249" s="821"/>
      <c r="F249" s="821"/>
      <c r="G249" s="821"/>
      <c r="H249" s="822">
        <v>0</v>
      </c>
      <c r="I249" s="822"/>
      <c r="J249" s="822">
        <v>252776.59</v>
      </c>
      <c r="K249" s="822"/>
      <c r="L249" s="822">
        <v>252776.59</v>
      </c>
      <c r="M249" s="822"/>
      <c r="N249" s="822">
        <v>0</v>
      </c>
      <c r="O249" s="822"/>
      <c r="P249" s="822">
        <v>252776.59</v>
      </c>
      <c r="Q249" s="822"/>
      <c r="R249" s="826">
        <v>0</v>
      </c>
      <c r="S249" s="822"/>
      <c r="T249" s="822">
        <v>14512.49</v>
      </c>
      <c r="U249" s="822"/>
      <c r="V249" s="822">
        <v>252776.59</v>
      </c>
      <c r="W249" s="822"/>
    </row>
    <row r="250" spans="1:23">
      <c r="Q250" s="807"/>
    </row>
    <row r="251" spans="1:23" ht="13.15" customHeight="1">
      <c r="D251" s="816" t="s">
        <v>1344</v>
      </c>
      <c r="E251" s="816"/>
      <c r="F251" s="825">
        <v>5784088.5200000005</v>
      </c>
      <c r="G251" s="825"/>
      <c r="H251" s="825"/>
      <c r="I251" s="825">
        <v>4325540.37</v>
      </c>
      <c r="J251" s="825"/>
      <c r="K251" s="825">
        <v>10109628.890000001</v>
      </c>
      <c r="L251" s="825"/>
      <c r="M251" s="825">
        <v>8258582.1900000004</v>
      </c>
      <c r="N251" s="825"/>
      <c r="O251" s="825">
        <v>1851046.7</v>
      </c>
      <c r="P251" s="825"/>
      <c r="Q251" s="825">
        <v>7124197.4000000004</v>
      </c>
      <c r="R251" s="828"/>
      <c r="S251" s="825">
        <v>7139144.9100000001</v>
      </c>
      <c r="T251" s="825"/>
      <c r="U251" s="825">
        <v>2985431.49</v>
      </c>
      <c r="V251" s="825"/>
    </row>
    <row r="252" spans="1:23">
      <c r="Q252" s="807"/>
    </row>
    <row r="253" spans="1:23">
      <c r="Q253" s="807"/>
    </row>
    <row r="254" spans="1:23" ht="13.15" customHeight="1">
      <c r="A254" s="813" t="s">
        <v>1243</v>
      </c>
      <c r="E254" s="823" t="s">
        <v>1244</v>
      </c>
      <c r="F254" s="823"/>
      <c r="J254" s="823" t="s">
        <v>1245</v>
      </c>
      <c r="K254" s="823"/>
      <c r="O254" s="823" t="s">
        <v>1246</v>
      </c>
      <c r="P254" s="823"/>
      <c r="Q254" s="823"/>
    </row>
    <row r="255" spans="1:23" ht="13.15" customHeight="1">
      <c r="B255" s="824" t="s">
        <v>1247</v>
      </c>
      <c r="C255" s="824"/>
      <c r="D255" s="824"/>
      <c r="E255" s="824" t="s">
        <v>1248</v>
      </c>
      <c r="F255" s="824"/>
      <c r="G255" s="824"/>
      <c r="H255" s="824"/>
      <c r="J255" s="824" t="s">
        <v>1249</v>
      </c>
      <c r="K255" s="824"/>
      <c r="L255" s="824"/>
      <c r="Q255" s="807"/>
    </row>
    <row r="256" spans="1:23">
      <c r="Q256" s="807"/>
    </row>
    <row r="257" spans="1:22">
      <c r="Q257" s="807"/>
    </row>
    <row r="258" spans="1:22" ht="13.15" customHeight="1">
      <c r="D258" s="814" t="s">
        <v>1185</v>
      </c>
      <c r="E258" s="814"/>
      <c r="F258" s="814"/>
      <c r="G258" s="814"/>
      <c r="H258" s="814"/>
      <c r="I258" s="814"/>
      <c r="J258" s="814"/>
      <c r="K258" s="814"/>
      <c r="L258" s="814"/>
      <c r="M258" s="814"/>
      <c r="N258" s="814"/>
      <c r="O258" s="814"/>
      <c r="P258" s="814"/>
      <c r="Q258" s="814"/>
      <c r="R258" s="815"/>
    </row>
    <row r="259" spans="1:22" ht="13.15" customHeight="1">
      <c r="D259" s="814"/>
      <c r="E259" s="814"/>
      <c r="F259" s="814"/>
      <c r="G259" s="814"/>
      <c r="H259" s="814"/>
      <c r="I259" s="814"/>
      <c r="J259" s="814"/>
      <c r="K259" s="814"/>
      <c r="L259" s="814"/>
      <c r="M259" s="814"/>
      <c r="N259" s="814"/>
      <c r="O259" s="814"/>
      <c r="P259" s="814"/>
      <c r="Q259" s="814"/>
      <c r="R259" s="815"/>
      <c r="S259" s="816" t="s">
        <v>1186</v>
      </c>
      <c r="T259" s="816"/>
    </row>
    <row r="260" spans="1:22">
      <c r="Q260" s="807"/>
      <c r="S260" s="816"/>
      <c r="T260" s="816"/>
    </row>
    <row r="261" spans="1:22" ht="15.6" customHeight="1">
      <c r="H261" s="817" t="s">
        <v>1187</v>
      </c>
      <c r="I261" s="817"/>
      <c r="J261" s="817"/>
      <c r="K261" s="817"/>
      <c r="L261" s="817"/>
      <c r="M261" s="817"/>
      <c r="N261" s="817"/>
      <c r="Q261" s="807"/>
    </row>
    <row r="262" spans="1:22" ht="13.15" customHeight="1">
      <c r="Q262" s="816" t="s">
        <v>1345</v>
      </c>
      <c r="R262" s="818"/>
      <c r="S262" s="816"/>
    </row>
    <row r="263" spans="1:22">
      <c r="H263" s="816" t="s">
        <v>1189</v>
      </c>
      <c r="I263" s="816"/>
      <c r="J263" s="819">
        <v>41640</v>
      </c>
      <c r="K263" s="819"/>
      <c r="L263" s="816" t="s">
        <v>1190</v>
      </c>
      <c r="M263" s="816"/>
      <c r="N263" s="819">
        <v>41993</v>
      </c>
      <c r="O263" s="819"/>
      <c r="Q263" s="816"/>
      <c r="R263" s="818"/>
      <c r="S263" s="816"/>
    </row>
    <row r="264" spans="1:22">
      <c r="H264" s="816"/>
      <c r="I264" s="816"/>
      <c r="J264" s="819"/>
      <c r="K264" s="819"/>
      <c r="L264" s="816"/>
      <c r="M264" s="816"/>
      <c r="N264" s="819"/>
      <c r="O264" s="819"/>
      <c r="Q264" s="807"/>
    </row>
    <row r="265" spans="1:22">
      <c r="Q265" s="807"/>
    </row>
    <row r="266" spans="1:22" ht="13.15" customHeight="1">
      <c r="H266" s="809" t="s">
        <v>1191</v>
      </c>
      <c r="I266" s="809"/>
      <c r="J266" s="809"/>
      <c r="K266" s="809" t="s">
        <v>1192</v>
      </c>
      <c r="L266" s="809"/>
      <c r="M266" s="809" t="s">
        <v>1193</v>
      </c>
      <c r="N266" s="809"/>
      <c r="O266" s="809" t="s">
        <v>1194</v>
      </c>
      <c r="P266" s="809"/>
      <c r="Q266" s="809" t="s">
        <v>1195</v>
      </c>
      <c r="R266" s="820"/>
      <c r="S266" s="809" t="s">
        <v>1196</v>
      </c>
      <c r="T266" s="809"/>
    </row>
    <row r="267" spans="1:22">
      <c r="Q267" s="807"/>
    </row>
    <row r="268" spans="1:22" ht="13.15" customHeight="1">
      <c r="A268" s="809" t="s">
        <v>1203</v>
      </c>
      <c r="B268" s="809"/>
      <c r="C268" s="809" t="s">
        <v>1346</v>
      </c>
      <c r="D268" s="809"/>
      <c r="E268" s="809" t="s">
        <v>1198</v>
      </c>
      <c r="F268" s="809"/>
      <c r="G268" s="809" t="s">
        <v>1347</v>
      </c>
      <c r="H268" s="809"/>
      <c r="I268" s="809"/>
      <c r="J268" s="809"/>
      <c r="K268" s="809"/>
      <c r="L268" s="809"/>
      <c r="M268" s="809"/>
      <c r="N268" s="809"/>
      <c r="Q268" s="807"/>
    </row>
    <row r="269" spans="1:22">
      <c r="Q269" s="807"/>
    </row>
    <row r="270" spans="1:22" ht="13.15" customHeight="1">
      <c r="G270" s="810" t="s">
        <v>1200</v>
      </c>
      <c r="H270" s="810"/>
      <c r="P270" s="810"/>
      <c r="Q270" s="807"/>
      <c r="V270" s="810"/>
    </row>
    <row r="271" spans="1:22" ht="13.15" customHeight="1">
      <c r="B271" s="811" t="s">
        <v>1204</v>
      </c>
      <c r="D271" s="810" t="s">
        <v>1205</v>
      </c>
      <c r="E271" s="810"/>
      <c r="G271" s="810"/>
      <c r="H271" s="810" t="s">
        <v>1206</v>
      </c>
      <c r="I271" s="810"/>
      <c r="J271" s="810" t="s">
        <v>1207</v>
      </c>
      <c r="K271" s="810"/>
      <c r="L271" s="810" t="s">
        <v>1208</v>
      </c>
      <c r="M271" s="810"/>
      <c r="N271" s="810" t="s">
        <v>1201</v>
      </c>
      <c r="O271" s="810"/>
      <c r="P271" s="810" t="s">
        <v>1209</v>
      </c>
      <c r="Q271" s="810"/>
      <c r="R271" s="812" t="s">
        <v>1210</v>
      </c>
      <c r="S271" s="810"/>
      <c r="T271" s="810" t="s">
        <v>1202</v>
      </c>
      <c r="U271" s="810"/>
    </row>
    <row r="272" spans="1:22" ht="13.15" customHeight="1">
      <c r="A272" s="821" t="s">
        <v>1290</v>
      </c>
      <c r="B272" s="821"/>
      <c r="D272" s="821" t="s">
        <v>1348</v>
      </c>
      <c r="E272" s="821"/>
      <c r="F272" s="821"/>
      <c r="G272" s="821"/>
      <c r="Q272" s="807"/>
    </row>
    <row r="273" spans="1:23">
      <c r="A273" s="821"/>
      <c r="B273" s="821"/>
      <c r="D273" s="821"/>
      <c r="E273" s="821"/>
      <c r="F273" s="821"/>
      <c r="G273" s="821"/>
      <c r="H273" s="822">
        <v>9000</v>
      </c>
      <c r="I273" s="822"/>
      <c r="J273" s="822">
        <v>0</v>
      </c>
      <c r="K273" s="822"/>
      <c r="L273" s="822">
        <v>9000</v>
      </c>
      <c r="M273" s="822"/>
      <c r="N273" s="822">
        <v>6714.21</v>
      </c>
      <c r="O273" s="822"/>
      <c r="P273" s="822">
        <v>2285.79</v>
      </c>
      <c r="Q273" s="822"/>
      <c r="R273" s="826">
        <v>6714.21</v>
      </c>
      <c r="S273" s="822"/>
      <c r="T273" s="822">
        <v>6714.21</v>
      </c>
      <c r="U273" s="822"/>
      <c r="V273" s="822">
        <v>2285.79</v>
      </c>
      <c r="W273" s="822"/>
    </row>
    <row r="274" spans="1:23" ht="13.15" customHeight="1">
      <c r="A274" s="821" t="s">
        <v>1294</v>
      </c>
      <c r="B274" s="821"/>
      <c r="D274" s="821" t="s">
        <v>1349</v>
      </c>
      <c r="E274" s="821"/>
      <c r="F274" s="821"/>
      <c r="G274" s="821"/>
      <c r="H274" s="822"/>
      <c r="I274" s="822"/>
      <c r="J274" s="822"/>
      <c r="K274" s="822"/>
      <c r="L274" s="822"/>
      <c r="M274" s="822"/>
      <c r="N274" s="822"/>
      <c r="O274" s="822"/>
      <c r="P274" s="822"/>
      <c r="Q274" s="822"/>
      <c r="R274" s="826"/>
      <c r="S274" s="822"/>
      <c r="T274" s="822"/>
      <c r="U274" s="822"/>
      <c r="V274" s="822"/>
      <c r="W274" s="822"/>
    </row>
    <row r="275" spans="1:23">
      <c r="A275" s="821"/>
      <c r="B275" s="821"/>
      <c r="D275" s="821"/>
      <c r="E275" s="821"/>
      <c r="F275" s="821"/>
      <c r="G275" s="821"/>
      <c r="Q275" s="807"/>
    </row>
    <row r="276" spans="1:23">
      <c r="A276" s="821"/>
      <c r="B276" s="821"/>
      <c r="D276" s="821"/>
      <c r="E276" s="821"/>
      <c r="F276" s="821"/>
      <c r="G276" s="821"/>
      <c r="H276" s="822">
        <v>9000</v>
      </c>
      <c r="I276" s="822"/>
      <c r="J276" s="822">
        <v>0</v>
      </c>
      <c r="K276" s="822"/>
      <c r="L276" s="822">
        <v>9000</v>
      </c>
      <c r="M276" s="822"/>
      <c r="N276" s="822">
        <v>6000</v>
      </c>
      <c r="O276" s="822"/>
      <c r="P276" s="822">
        <v>3000</v>
      </c>
      <c r="Q276" s="822"/>
      <c r="R276" s="826">
        <v>4500</v>
      </c>
      <c r="S276" s="822"/>
      <c r="T276" s="822">
        <v>4500</v>
      </c>
      <c r="U276" s="822"/>
      <c r="V276" s="822">
        <v>4500</v>
      </c>
      <c r="W276" s="822"/>
    </row>
    <row r="277" spans="1:23" ht="13.15" customHeight="1">
      <c r="A277" s="821" t="s">
        <v>1350</v>
      </c>
      <c r="B277" s="821"/>
      <c r="D277" s="821" t="s">
        <v>1351</v>
      </c>
      <c r="E277" s="821"/>
      <c r="F277" s="821"/>
      <c r="G277" s="821"/>
    </row>
    <row r="278" spans="1:23">
      <c r="A278" s="821"/>
      <c r="B278" s="821"/>
      <c r="D278" s="821"/>
      <c r="E278" s="821"/>
      <c r="F278" s="821"/>
      <c r="G278" s="821"/>
      <c r="H278" s="822">
        <v>0</v>
      </c>
      <c r="I278" s="822"/>
      <c r="J278" s="822">
        <v>1600</v>
      </c>
      <c r="K278" s="822"/>
      <c r="L278" s="822">
        <v>1600</v>
      </c>
      <c r="M278" s="822"/>
      <c r="N278" s="822">
        <v>0</v>
      </c>
      <c r="O278" s="822"/>
      <c r="P278" s="822">
        <v>1600</v>
      </c>
      <c r="Q278" s="822"/>
      <c r="R278" s="826">
        <v>0</v>
      </c>
      <c r="S278" s="822"/>
      <c r="T278" s="822">
        <v>0</v>
      </c>
      <c r="U278" s="822"/>
      <c r="V278" s="822">
        <v>1600</v>
      </c>
      <c r="W278" s="822"/>
    </row>
    <row r="279" spans="1:23" ht="13.15" customHeight="1">
      <c r="A279" s="821" t="s">
        <v>1352</v>
      </c>
      <c r="B279" s="821"/>
      <c r="D279" s="821" t="s">
        <v>1353</v>
      </c>
      <c r="E279" s="821"/>
      <c r="F279" s="821"/>
      <c r="G279" s="821"/>
    </row>
    <row r="280" spans="1:23">
      <c r="A280" s="821"/>
      <c r="B280" s="821"/>
      <c r="D280" s="821"/>
      <c r="E280" s="821"/>
      <c r="F280" s="821"/>
      <c r="G280" s="821"/>
      <c r="H280" s="822">
        <v>0</v>
      </c>
      <c r="I280" s="822"/>
      <c r="J280" s="822">
        <v>76414.11</v>
      </c>
      <c r="K280" s="822"/>
      <c r="L280" s="822">
        <v>76414.11</v>
      </c>
      <c r="M280" s="822"/>
      <c r="N280" s="822">
        <v>62413.61</v>
      </c>
      <c r="O280" s="822"/>
      <c r="P280" s="822">
        <v>14000.5</v>
      </c>
      <c r="Q280" s="822"/>
      <c r="R280" s="826">
        <v>0</v>
      </c>
      <c r="S280" s="822"/>
      <c r="T280" s="822">
        <v>0</v>
      </c>
      <c r="U280" s="822"/>
      <c r="V280" s="822">
        <v>76414.11</v>
      </c>
      <c r="W280" s="822"/>
    </row>
    <row r="281" spans="1:23" ht="13.15" customHeight="1">
      <c r="A281" s="821" t="s">
        <v>1354</v>
      </c>
      <c r="B281" s="821"/>
      <c r="D281" s="821" t="s">
        <v>1355</v>
      </c>
      <c r="E281" s="821"/>
      <c r="F281" s="821"/>
      <c r="G281" s="821"/>
      <c r="H281" s="822"/>
      <c r="I281" s="822"/>
      <c r="J281" s="822"/>
      <c r="K281" s="822"/>
      <c r="L281" s="822"/>
      <c r="M281" s="822"/>
      <c r="N281" s="822"/>
      <c r="O281" s="822"/>
      <c r="P281" s="826"/>
      <c r="Q281" s="826"/>
      <c r="R281" s="826"/>
      <c r="S281" s="822"/>
      <c r="T281" s="822"/>
      <c r="U281" s="822"/>
      <c r="V281" s="822"/>
      <c r="W281" s="822"/>
    </row>
    <row r="282" spans="1:23">
      <c r="A282" s="821"/>
      <c r="B282" s="821"/>
      <c r="D282" s="821"/>
      <c r="E282" s="821"/>
      <c r="F282" s="821"/>
      <c r="G282" s="821"/>
      <c r="Q282" s="807"/>
    </row>
    <row r="283" spans="1:23">
      <c r="A283" s="821"/>
      <c r="B283" s="821"/>
      <c r="D283" s="821"/>
      <c r="E283" s="821"/>
      <c r="F283" s="821"/>
      <c r="G283" s="821"/>
      <c r="H283" s="822">
        <v>0</v>
      </c>
      <c r="I283" s="822"/>
      <c r="J283" s="822">
        <v>49325</v>
      </c>
      <c r="K283" s="822"/>
      <c r="L283" s="822">
        <v>49325</v>
      </c>
      <c r="M283" s="822"/>
      <c r="N283" s="822">
        <v>34824</v>
      </c>
      <c r="O283" s="822"/>
      <c r="P283" s="822">
        <v>14501</v>
      </c>
      <c r="Q283" s="822"/>
      <c r="R283" s="826">
        <v>24000</v>
      </c>
      <c r="S283" s="826"/>
      <c r="T283" s="822">
        <v>26982.940000000002</v>
      </c>
      <c r="U283" s="822"/>
      <c r="V283" s="822">
        <v>25325</v>
      </c>
      <c r="W283" s="822"/>
    </row>
    <row r="284" spans="1:23" ht="13.15" customHeight="1">
      <c r="A284" s="821" t="s">
        <v>1356</v>
      </c>
      <c r="B284" s="821"/>
      <c r="D284" s="821" t="s">
        <v>1184</v>
      </c>
      <c r="E284" s="821"/>
      <c r="F284" s="821"/>
      <c r="G284" s="821"/>
      <c r="H284" s="822"/>
      <c r="I284" s="822"/>
      <c r="J284" s="822"/>
      <c r="K284" s="822"/>
      <c r="L284" s="822"/>
      <c r="M284" s="822"/>
      <c r="N284" s="822"/>
      <c r="O284" s="822"/>
      <c r="P284" s="826"/>
      <c r="Q284" s="826"/>
      <c r="R284" s="826"/>
      <c r="S284" s="826"/>
      <c r="T284" s="822"/>
      <c r="U284" s="822"/>
      <c r="V284" s="822"/>
      <c r="W284" s="822"/>
    </row>
    <row r="285" spans="1:23">
      <c r="A285" s="821"/>
      <c r="B285" s="821"/>
      <c r="D285" s="821"/>
      <c r="E285" s="821"/>
      <c r="F285" s="821"/>
      <c r="G285" s="821"/>
      <c r="Q285" s="807"/>
    </row>
    <row r="286" spans="1:23">
      <c r="A286" s="821"/>
      <c r="B286" s="821"/>
      <c r="D286" s="821"/>
      <c r="E286" s="821"/>
      <c r="F286" s="821"/>
      <c r="G286" s="821"/>
      <c r="H286" s="822">
        <v>0</v>
      </c>
      <c r="I286" s="822"/>
      <c r="J286" s="822">
        <v>67222.5</v>
      </c>
      <c r="K286" s="822"/>
      <c r="L286" s="822">
        <v>67222.5</v>
      </c>
      <c r="M286" s="822"/>
      <c r="N286" s="822">
        <v>67222.5</v>
      </c>
      <c r="O286" s="822"/>
      <c r="P286" s="822">
        <v>0</v>
      </c>
      <c r="Q286" s="822"/>
      <c r="R286" s="826">
        <v>0</v>
      </c>
      <c r="S286" s="822"/>
      <c r="T286" s="822">
        <v>0</v>
      </c>
      <c r="U286" s="822"/>
      <c r="V286" s="822">
        <v>67222.5</v>
      </c>
      <c r="W286" s="822"/>
    </row>
    <row r="287" spans="1:23" ht="21.6" customHeight="1">
      <c r="A287" s="821" t="s">
        <v>1357</v>
      </c>
      <c r="B287" s="821"/>
      <c r="D287" s="821" t="s">
        <v>1358</v>
      </c>
      <c r="E287" s="821"/>
      <c r="F287" s="821"/>
      <c r="G287" s="821"/>
      <c r="H287" s="822"/>
      <c r="I287" s="822"/>
      <c r="J287" s="822"/>
      <c r="K287" s="822"/>
      <c r="L287" s="822"/>
      <c r="M287" s="822"/>
      <c r="N287" s="822"/>
      <c r="O287" s="822"/>
      <c r="P287" s="826"/>
      <c r="Q287" s="826"/>
      <c r="R287" s="826"/>
      <c r="S287" s="822"/>
      <c r="T287" s="822"/>
      <c r="U287" s="822"/>
      <c r="V287" s="822"/>
      <c r="W287" s="822"/>
    </row>
    <row r="288" spans="1:23">
      <c r="A288" s="821"/>
      <c r="B288" s="821"/>
      <c r="D288" s="821"/>
      <c r="E288" s="821"/>
      <c r="F288" s="821"/>
      <c r="G288" s="821"/>
      <c r="Q288" s="807"/>
    </row>
    <row r="289" spans="1:23">
      <c r="A289" s="821"/>
      <c r="B289" s="821"/>
      <c r="D289" s="821"/>
      <c r="E289" s="821"/>
      <c r="F289" s="821"/>
      <c r="G289" s="821"/>
      <c r="H289" s="822">
        <v>0</v>
      </c>
      <c r="I289" s="822"/>
      <c r="J289" s="822">
        <v>30000</v>
      </c>
      <c r="K289" s="822"/>
      <c r="L289" s="822">
        <v>30000</v>
      </c>
      <c r="M289" s="822"/>
      <c r="N289" s="822">
        <v>29829.45</v>
      </c>
      <c r="O289" s="822"/>
      <c r="P289" s="822">
        <v>170.55</v>
      </c>
      <c r="Q289" s="822"/>
      <c r="R289" s="826">
        <v>29829.45</v>
      </c>
      <c r="S289" s="826"/>
      <c r="T289" s="822">
        <v>26846.510000000002</v>
      </c>
      <c r="U289" s="822"/>
      <c r="V289" s="822">
        <v>170.55</v>
      </c>
      <c r="W289" s="822"/>
    </row>
    <row r="290" spans="1:23" ht="13.15" customHeight="1">
      <c r="A290" s="821" t="s">
        <v>1359</v>
      </c>
      <c r="B290" s="821"/>
      <c r="D290" s="821" t="s">
        <v>1360</v>
      </c>
      <c r="E290" s="821"/>
      <c r="F290" s="821"/>
      <c r="G290" s="821"/>
      <c r="H290" s="822"/>
      <c r="I290" s="822"/>
      <c r="J290" s="822"/>
      <c r="K290" s="822"/>
      <c r="L290" s="822"/>
      <c r="M290" s="822"/>
      <c r="N290" s="822"/>
      <c r="O290" s="822"/>
      <c r="P290" s="826"/>
      <c r="Q290" s="826"/>
      <c r="R290" s="826"/>
      <c r="S290" s="826"/>
      <c r="T290" s="822"/>
      <c r="U290" s="822"/>
      <c r="V290" s="822"/>
      <c r="W290" s="822"/>
    </row>
    <row r="291" spans="1:23">
      <c r="A291" s="821"/>
      <c r="B291" s="821"/>
      <c r="D291" s="821"/>
      <c r="E291" s="821"/>
      <c r="F291" s="821"/>
      <c r="G291" s="821"/>
      <c r="Q291" s="807"/>
    </row>
    <row r="292" spans="1:23">
      <c r="A292" s="821"/>
      <c r="B292" s="821"/>
      <c r="D292" s="821"/>
      <c r="E292" s="821"/>
      <c r="F292" s="821"/>
      <c r="G292" s="821"/>
      <c r="H292" s="822">
        <v>0</v>
      </c>
      <c r="I292" s="822"/>
      <c r="J292" s="822">
        <v>23303.88</v>
      </c>
      <c r="K292" s="822"/>
      <c r="L292" s="822">
        <v>23303.88</v>
      </c>
      <c r="M292" s="822"/>
      <c r="N292" s="822">
        <v>23303.8</v>
      </c>
      <c r="O292" s="822"/>
      <c r="P292" s="822">
        <v>0.08</v>
      </c>
      <c r="Q292" s="822"/>
      <c r="R292" s="826">
        <v>0</v>
      </c>
      <c r="S292" s="822"/>
      <c r="T292" s="822">
        <v>0</v>
      </c>
      <c r="U292" s="822"/>
      <c r="V292" s="822">
        <v>23303.88</v>
      </c>
      <c r="W292" s="822"/>
    </row>
    <row r="293" spans="1:23" ht="13.15" customHeight="1">
      <c r="A293" s="821" t="s">
        <v>1342</v>
      </c>
      <c r="B293" s="821"/>
      <c r="D293" s="821" t="s">
        <v>1343</v>
      </c>
      <c r="E293" s="821"/>
      <c r="F293" s="821"/>
      <c r="G293" s="821"/>
      <c r="H293" s="822"/>
      <c r="I293" s="822"/>
      <c r="J293" s="822"/>
      <c r="K293" s="822"/>
      <c r="L293" s="822"/>
      <c r="M293" s="822"/>
      <c r="N293" s="822"/>
      <c r="O293" s="822"/>
      <c r="P293" s="822"/>
      <c r="Q293" s="822"/>
      <c r="R293" s="826"/>
      <c r="S293" s="822"/>
      <c r="T293" s="822"/>
      <c r="U293" s="822"/>
      <c r="V293" s="822"/>
      <c r="W293" s="822"/>
    </row>
    <row r="294" spans="1:23">
      <c r="A294" s="821"/>
      <c r="B294" s="821"/>
      <c r="D294" s="821"/>
      <c r="E294" s="821"/>
      <c r="F294" s="821"/>
      <c r="G294" s="821"/>
      <c r="Q294" s="807"/>
    </row>
    <row r="295" spans="1:23">
      <c r="A295" s="821"/>
      <c r="B295" s="821"/>
      <c r="D295" s="821"/>
      <c r="E295" s="821"/>
      <c r="F295" s="821"/>
      <c r="G295" s="821"/>
      <c r="H295" s="822">
        <v>0</v>
      </c>
      <c r="I295" s="822"/>
      <c r="J295" s="822">
        <v>25899.7</v>
      </c>
      <c r="K295" s="822"/>
      <c r="L295" s="822">
        <v>25899.7</v>
      </c>
      <c r="M295" s="822"/>
      <c r="N295" s="822">
        <v>0</v>
      </c>
      <c r="O295" s="822"/>
      <c r="P295" s="822">
        <v>25899.7</v>
      </c>
      <c r="Q295" s="822"/>
      <c r="R295" s="826">
        <v>0</v>
      </c>
      <c r="S295" s="822"/>
      <c r="T295" s="822">
        <v>0</v>
      </c>
      <c r="U295" s="822"/>
      <c r="V295" s="822">
        <v>25899.7</v>
      </c>
      <c r="W295" s="822"/>
    </row>
    <row r="296" spans="1:23">
      <c r="Q296" s="807"/>
    </row>
    <row r="297" spans="1:23" ht="13.15" customHeight="1">
      <c r="D297" s="816" t="s">
        <v>1344</v>
      </c>
      <c r="E297" s="816"/>
      <c r="F297" s="825">
        <v>18000</v>
      </c>
      <c r="G297" s="825"/>
      <c r="H297" s="825"/>
      <c r="I297" s="825">
        <v>273765.19</v>
      </c>
      <c r="J297" s="825"/>
      <c r="K297" s="825">
        <v>291765.19</v>
      </c>
      <c r="L297" s="825"/>
      <c r="M297" s="825">
        <v>230307.57</v>
      </c>
      <c r="N297" s="825"/>
      <c r="O297" s="825">
        <v>61457.62</v>
      </c>
      <c r="P297" s="825"/>
      <c r="Q297" s="825">
        <v>65043.66</v>
      </c>
      <c r="R297" s="828"/>
      <c r="S297" s="825">
        <v>65043.66</v>
      </c>
      <c r="T297" s="825"/>
      <c r="U297" s="825">
        <v>226721.53</v>
      </c>
      <c r="V297" s="825"/>
    </row>
    <row r="298" spans="1:23">
      <c r="Q298" s="807"/>
    </row>
    <row r="299" spans="1:23">
      <c r="Q299" s="807"/>
    </row>
    <row r="300" spans="1:23" ht="13.15" customHeight="1">
      <c r="A300" s="813" t="s">
        <v>1243</v>
      </c>
      <c r="E300" s="823" t="s">
        <v>1244</v>
      </c>
      <c r="F300" s="823"/>
      <c r="J300" s="823" t="s">
        <v>1245</v>
      </c>
      <c r="K300" s="823"/>
      <c r="O300" s="823" t="s">
        <v>1246</v>
      </c>
      <c r="P300" s="823"/>
      <c r="Q300" s="823"/>
    </row>
    <row r="301" spans="1:23" ht="13.15" customHeight="1">
      <c r="B301" s="824" t="s">
        <v>1247</v>
      </c>
      <c r="C301" s="824"/>
      <c r="D301" s="824"/>
      <c r="E301" s="824" t="s">
        <v>1248</v>
      </c>
      <c r="F301" s="824"/>
      <c r="G301" s="824"/>
      <c r="H301" s="824"/>
      <c r="J301" s="824" t="s">
        <v>1249</v>
      </c>
      <c r="K301" s="824"/>
      <c r="L301" s="824"/>
      <c r="Q301" s="807"/>
    </row>
    <row r="302" spans="1:23">
      <c r="Q302" s="807"/>
    </row>
    <row r="303" spans="1:23">
      <c r="Q303" s="807"/>
    </row>
    <row r="304" spans="1:23" ht="13.15" customHeight="1">
      <c r="D304" s="814" t="s">
        <v>1185</v>
      </c>
      <c r="E304" s="814"/>
      <c r="F304" s="814"/>
      <c r="G304" s="814"/>
      <c r="H304" s="814"/>
      <c r="I304" s="814"/>
      <c r="J304" s="814"/>
      <c r="K304" s="814"/>
      <c r="L304" s="814"/>
      <c r="M304" s="814"/>
      <c r="N304" s="814"/>
      <c r="O304" s="814"/>
      <c r="P304" s="814"/>
      <c r="Q304" s="814"/>
      <c r="R304" s="815"/>
    </row>
    <row r="305" spans="1:23" ht="13.15" customHeight="1">
      <c r="D305" s="814"/>
      <c r="E305" s="814"/>
      <c r="F305" s="814"/>
      <c r="G305" s="814"/>
      <c r="H305" s="814"/>
      <c r="I305" s="814"/>
      <c r="J305" s="814"/>
      <c r="K305" s="814"/>
      <c r="L305" s="814"/>
      <c r="M305" s="814"/>
      <c r="N305" s="814"/>
      <c r="O305" s="814"/>
      <c r="P305" s="814"/>
      <c r="Q305" s="814"/>
      <c r="R305" s="815"/>
      <c r="S305" s="816" t="s">
        <v>1186</v>
      </c>
      <c r="T305" s="816"/>
    </row>
    <row r="306" spans="1:23">
      <c r="Q306" s="807"/>
      <c r="S306" s="816"/>
      <c r="T306" s="816"/>
    </row>
    <row r="307" spans="1:23" ht="15.6" customHeight="1">
      <c r="H307" s="817" t="s">
        <v>1187</v>
      </c>
      <c r="I307" s="817"/>
      <c r="J307" s="817"/>
      <c r="K307" s="817"/>
      <c r="L307" s="817"/>
      <c r="M307" s="817"/>
      <c r="N307" s="817"/>
      <c r="Q307" s="807"/>
    </row>
    <row r="308" spans="1:23" ht="13.15" customHeight="1">
      <c r="Q308" s="816" t="s">
        <v>1361</v>
      </c>
      <c r="R308" s="818"/>
      <c r="S308" s="816"/>
    </row>
    <row r="309" spans="1:23">
      <c r="H309" s="816" t="s">
        <v>1189</v>
      </c>
      <c r="I309" s="816"/>
      <c r="J309" s="819">
        <v>41640</v>
      </c>
      <c r="K309" s="819"/>
      <c r="L309" s="816" t="s">
        <v>1190</v>
      </c>
      <c r="M309" s="816"/>
      <c r="N309" s="819">
        <v>41993</v>
      </c>
      <c r="O309" s="819"/>
      <c r="Q309" s="816"/>
      <c r="R309" s="818"/>
      <c r="S309" s="816"/>
    </row>
    <row r="310" spans="1:23">
      <c r="H310" s="816"/>
      <c r="I310" s="816"/>
      <c r="J310" s="819"/>
      <c r="K310" s="819"/>
      <c r="L310" s="816"/>
      <c r="M310" s="816"/>
      <c r="N310" s="819"/>
      <c r="O310" s="819"/>
      <c r="Q310" s="807"/>
    </row>
    <row r="311" spans="1:23">
      <c r="Q311" s="807"/>
    </row>
    <row r="312" spans="1:23" ht="13.15" customHeight="1">
      <c r="H312" s="809" t="s">
        <v>1191</v>
      </c>
      <c r="I312" s="809"/>
      <c r="J312" s="809"/>
      <c r="K312" s="809" t="s">
        <v>1192</v>
      </c>
      <c r="L312" s="809"/>
      <c r="M312" s="809" t="s">
        <v>1193</v>
      </c>
      <c r="N312" s="809"/>
      <c r="O312" s="809" t="s">
        <v>1194</v>
      </c>
      <c r="P312" s="809"/>
      <c r="Q312" s="809" t="s">
        <v>1195</v>
      </c>
      <c r="R312" s="820"/>
      <c r="S312" s="809" t="s">
        <v>1196</v>
      </c>
      <c r="T312" s="809"/>
    </row>
    <row r="313" spans="1:23">
      <c r="Q313" s="807"/>
    </row>
    <row r="314" spans="1:23" ht="13.15" customHeight="1">
      <c r="A314" s="809" t="s">
        <v>1203</v>
      </c>
      <c r="B314" s="809"/>
      <c r="C314" s="809" t="s">
        <v>1362</v>
      </c>
      <c r="D314" s="809"/>
      <c r="E314" s="809" t="s">
        <v>1198</v>
      </c>
      <c r="F314" s="809"/>
      <c r="G314" s="809" t="s">
        <v>1363</v>
      </c>
      <c r="H314" s="809"/>
      <c r="I314" s="809"/>
      <c r="J314" s="809"/>
      <c r="K314" s="809"/>
      <c r="L314" s="809"/>
      <c r="M314" s="809"/>
      <c r="N314" s="809"/>
      <c r="Q314" s="807"/>
    </row>
    <row r="315" spans="1:23">
      <c r="Q315" s="807"/>
    </row>
    <row r="316" spans="1:23" ht="13.15" customHeight="1">
      <c r="G316" s="810" t="s">
        <v>1200</v>
      </c>
      <c r="H316" s="810"/>
      <c r="O316" s="810" t="s">
        <v>1201</v>
      </c>
      <c r="P316" s="810"/>
      <c r="Q316" s="807"/>
      <c r="U316" s="810" t="s">
        <v>1202</v>
      </c>
      <c r="V316" s="810"/>
    </row>
    <row r="317" spans="1:23" ht="13.15" customHeight="1">
      <c r="B317" s="811" t="s">
        <v>1204</v>
      </c>
      <c r="D317" s="810" t="s">
        <v>1205</v>
      </c>
      <c r="E317" s="810"/>
      <c r="G317" s="810"/>
      <c r="H317" s="810"/>
      <c r="I317" s="810" t="s">
        <v>1206</v>
      </c>
      <c r="J317" s="810"/>
      <c r="K317" s="810" t="s">
        <v>1207</v>
      </c>
      <c r="L317" s="810"/>
      <c r="M317" s="810" t="s">
        <v>1208</v>
      </c>
      <c r="N317" s="810"/>
      <c r="O317" s="810"/>
      <c r="P317" s="810"/>
      <c r="Q317" s="810" t="s">
        <v>1209</v>
      </c>
      <c r="R317" s="812"/>
      <c r="S317" s="810" t="s">
        <v>1210</v>
      </c>
      <c r="T317" s="810"/>
      <c r="U317" s="810"/>
      <c r="V317" s="810"/>
    </row>
    <row r="318" spans="1:23" ht="13.15" customHeight="1">
      <c r="A318" s="821" t="s">
        <v>1364</v>
      </c>
      <c r="B318" s="821"/>
      <c r="D318" s="821" t="s">
        <v>1365</v>
      </c>
      <c r="E318" s="821"/>
      <c r="F318" s="821"/>
      <c r="G318" s="821"/>
    </row>
    <row r="319" spans="1:23">
      <c r="A319" s="821"/>
      <c r="B319" s="821"/>
      <c r="D319" s="821"/>
      <c r="E319" s="821"/>
      <c r="F319" s="821"/>
      <c r="G319" s="821"/>
      <c r="H319" s="822">
        <v>15411.48</v>
      </c>
      <c r="I319" s="822"/>
      <c r="J319" s="822">
        <v>3963.52</v>
      </c>
      <c r="K319" s="822"/>
      <c r="L319" s="822">
        <v>19375</v>
      </c>
      <c r="M319" s="822"/>
      <c r="N319" s="822">
        <v>12732.68</v>
      </c>
      <c r="O319" s="822"/>
      <c r="P319" s="822">
        <v>6642.32</v>
      </c>
      <c r="Q319" s="822"/>
      <c r="R319" s="826">
        <v>0</v>
      </c>
      <c r="S319" s="822"/>
      <c r="T319" s="822">
        <v>0</v>
      </c>
      <c r="U319" s="822"/>
      <c r="V319" s="822">
        <v>19375</v>
      </c>
      <c r="W319" s="822"/>
    </row>
    <row r="320" spans="1:23" ht="13.15" customHeight="1">
      <c r="A320" s="821" t="s">
        <v>1366</v>
      </c>
      <c r="B320" s="821"/>
      <c r="D320" s="821" t="s">
        <v>1367</v>
      </c>
      <c r="E320" s="821"/>
      <c r="F320" s="821"/>
      <c r="G320" s="821"/>
    </row>
    <row r="321" spans="1:23">
      <c r="A321" s="821"/>
      <c r="B321" s="821"/>
      <c r="D321" s="821"/>
      <c r="E321" s="821"/>
      <c r="F321" s="821"/>
      <c r="G321" s="821"/>
      <c r="H321" s="822">
        <v>0</v>
      </c>
      <c r="I321" s="822"/>
      <c r="J321" s="822">
        <v>17500</v>
      </c>
      <c r="K321" s="822"/>
      <c r="L321" s="822">
        <v>17500</v>
      </c>
      <c r="M321" s="822"/>
      <c r="N321" s="822">
        <v>15456.1</v>
      </c>
      <c r="O321" s="822"/>
      <c r="P321" s="822">
        <v>2043.9</v>
      </c>
      <c r="Q321" s="822"/>
      <c r="R321" s="826">
        <v>0</v>
      </c>
      <c r="S321" s="822"/>
      <c r="T321" s="822">
        <v>0</v>
      </c>
      <c r="U321" s="822"/>
      <c r="V321" s="822">
        <v>17500</v>
      </c>
      <c r="W321" s="822"/>
    </row>
    <row r="322" spans="1:23" ht="13.15" customHeight="1">
      <c r="A322" s="821" t="s">
        <v>1368</v>
      </c>
      <c r="B322" s="821"/>
      <c r="D322" s="821" t="s">
        <v>1369</v>
      </c>
      <c r="E322" s="821"/>
      <c r="F322" s="821"/>
      <c r="G322" s="821"/>
    </row>
    <row r="323" spans="1:23">
      <c r="A323" s="821"/>
      <c r="B323" s="821"/>
      <c r="D323" s="821"/>
      <c r="E323" s="821"/>
      <c r="F323" s="821"/>
      <c r="G323" s="821"/>
      <c r="H323" s="822">
        <v>30000</v>
      </c>
      <c r="I323" s="822"/>
      <c r="J323" s="822">
        <v>13832.82</v>
      </c>
      <c r="K323" s="822"/>
      <c r="L323" s="822">
        <v>43832.82</v>
      </c>
      <c r="M323" s="822"/>
      <c r="N323" s="822">
        <v>40923.700000000004</v>
      </c>
      <c r="O323" s="822"/>
      <c r="P323" s="822">
        <v>2909.12</v>
      </c>
      <c r="Q323" s="822"/>
      <c r="R323" s="826">
        <v>0</v>
      </c>
      <c r="S323" s="822"/>
      <c r="T323" s="822">
        <v>0</v>
      </c>
      <c r="U323" s="822"/>
      <c r="V323" s="822">
        <v>43832.82</v>
      </c>
      <c r="W323" s="822"/>
    </row>
    <row r="324" spans="1:23">
      <c r="H324" s="822"/>
      <c r="I324" s="822"/>
      <c r="J324" s="822"/>
      <c r="K324" s="822"/>
      <c r="L324" s="822"/>
      <c r="M324" s="822"/>
      <c r="N324" s="822"/>
      <c r="O324" s="822"/>
      <c r="P324" s="822"/>
      <c r="Q324" s="822"/>
      <c r="R324" s="826"/>
      <c r="S324" s="822"/>
      <c r="T324" s="822"/>
      <c r="U324" s="822"/>
      <c r="V324" s="822"/>
      <c r="W324" s="822"/>
    </row>
    <row r="325" spans="1:23">
      <c r="Q325" s="807"/>
    </row>
    <row r="326" spans="1:23" ht="13.15" customHeight="1">
      <c r="D326" s="816" t="s">
        <v>1344</v>
      </c>
      <c r="E326" s="816"/>
      <c r="F326" s="825">
        <v>45411.48</v>
      </c>
      <c r="G326" s="825"/>
      <c r="H326" s="825"/>
      <c r="I326" s="825">
        <v>35296.340000000004</v>
      </c>
      <c r="J326" s="825"/>
      <c r="K326" s="825">
        <v>80707.820000000007</v>
      </c>
      <c r="L326" s="825"/>
      <c r="M326" s="825">
        <v>69112.479999999996</v>
      </c>
      <c r="N326" s="825"/>
      <c r="O326" s="825">
        <v>11595.34</v>
      </c>
      <c r="P326" s="825"/>
      <c r="Q326" s="825">
        <v>0</v>
      </c>
      <c r="R326" s="828"/>
      <c r="S326" s="825">
        <v>0</v>
      </c>
      <c r="T326" s="825"/>
      <c r="U326" s="825">
        <v>80707.820000000007</v>
      </c>
      <c r="V326" s="825"/>
    </row>
    <row r="327" spans="1:23">
      <c r="Q327" s="807"/>
    </row>
    <row r="328" spans="1:23">
      <c r="Q328" s="807"/>
    </row>
    <row r="329" spans="1:23" ht="13.15" customHeight="1">
      <c r="A329" s="813" t="s">
        <v>1243</v>
      </c>
      <c r="E329" s="823" t="s">
        <v>1244</v>
      </c>
      <c r="F329" s="823"/>
      <c r="J329" s="823" t="s">
        <v>1245</v>
      </c>
      <c r="K329" s="823"/>
      <c r="O329" s="823" t="s">
        <v>1246</v>
      </c>
      <c r="P329" s="823"/>
      <c r="Q329" s="823"/>
    </row>
    <row r="330" spans="1:23" ht="13.15" customHeight="1">
      <c r="B330" s="824" t="s">
        <v>1247</v>
      </c>
      <c r="C330" s="824"/>
      <c r="D330" s="824"/>
      <c r="E330" s="824" t="s">
        <v>1248</v>
      </c>
      <c r="F330" s="824"/>
      <c r="G330" s="824"/>
      <c r="H330" s="824"/>
      <c r="J330" s="824" t="s">
        <v>1249</v>
      </c>
      <c r="K330" s="824"/>
      <c r="L330" s="824"/>
      <c r="Q330" s="807"/>
    </row>
    <row r="331" spans="1:23">
      <c r="Q331" s="807"/>
    </row>
    <row r="332" spans="1:23">
      <c r="Q332" s="807"/>
    </row>
    <row r="333" spans="1:23" ht="13.15" customHeight="1">
      <c r="D333" s="814" t="s">
        <v>1185</v>
      </c>
      <c r="E333" s="814"/>
      <c r="F333" s="814"/>
      <c r="G333" s="814"/>
      <c r="H333" s="814"/>
      <c r="I333" s="814"/>
      <c r="J333" s="814"/>
      <c r="K333" s="814"/>
      <c r="L333" s="814"/>
      <c r="M333" s="814"/>
      <c r="N333" s="814"/>
      <c r="O333" s="814"/>
      <c r="P333" s="814"/>
      <c r="Q333" s="814"/>
      <c r="R333" s="815"/>
    </row>
    <row r="334" spans="1:23" ht="13.15" customHeight="1">
      <c r="D334" s="814"/>
      <c r="E334" s="814"/>
      <c r="F334" s="814"/>
      <c r="G334" s="814"/>
      <c r="H334" s="814"/>
      <c r="I334" s="814"/>
      <c r="J334" s="814"/>
      <c r="K334" s="814"/>
      <c r="L334" s="814"/>
      <c r="M334" s="814"/>
      <c r="N334" s="814"/>
      <c r="O334" s="814"/>
      <c r="P334" s="814"/>
      <c r="Q334" s="814"/>
      <c r="R334" s="815"/>
      <c r="S334" s="816" t="s">
        <v>1186</v>
      </c>
      <c r="T334" s="816"/>
    </row>
    <row r="335" spans="1:23">
      <c r="Q335" s="807"/>
      <c r="S335" s="816"/>
      <c r="T335" s="816"/>
    </row>
    <row r="336" spans="1:23" ht="15.6" customHeight="1">
      <c r="H336" s="817" t="s">
        <v>1187</v>
      </c>
      <c r="I336" s="817"/>
      <c r="J336" s="817"/>
      <c r="K336" s="817"/>
      <c r="L336" s="817"/>
      <c r="M336" s="817"/>
      <c r="N336" s="817"/>
      <c r="Q336" s="807"/>
    </row>
    <row r="337" spans="1:23" ht="13.15" customHeight="1">
      <c r="Q337" s="816" t="s">
        <v>1370</v>
      </c>
      <c r="R337" s="818"/>
      <c r="S337" s="816"/>
    </row>
    <row r="338" spans="1:23">
      <c r="H338" s="816" t="s">
        <v>1189</v>
      </c>
      <c r="I338" s="816"/>
      <c r="J338" s="819">
        <v>41640</v>
      </c>
      <c r="K338" s="819"/>
      <c r="L338" s="816" t="s">
        <v>1190</v>
      </c>
      <c r="M338" s="816"/>
      <c r="N338" s="819">
        <v>41993</v>
      </c>
      <c r="O338" s="819"/>
      <c r="Q338" s="816"/>
      <c r="R338" s="818"/>
      <c r="S338" s="816"/>
    </row>
    <row r="339" spans="1:23">
      <c r="H339" s="816"/>
      <c r="I339" s="816"/>
      <c r="J339" s="819"/>
      <c r="K339" s="819"/>
      <c r="L339" s="816"/>
      <c r="M339" s="816"/>
      <c r="N339" s="819"/>
      <c r="O339" s="819"/>
      <c r="Q339" s="807"/>
    </row>
    <row r="340" spans="1:23">
      <c r="Q340" s="807"/>
    </row>
    <row r="341" spans="1:23" ht="13.15" customHeight="1">
      <c r="H341" s="809" t="s">
        <v>1191</v>
      </c>
      <c r="I341" s="809"/>
      <c r="J341" s="809"/>
      <c r="K341" s="809" t="s">
        <v>1192</v>
      </c>
      <c r="L341" s="809"/>
      <c r="M341" s="809" t="s">
        <v>1193</v>
      </c>
      <c r="N341" s="809"/>
      <c r="O341" s="809" t="s">
        <v>1194</v>
      </c>
      <c r="P341" s="809"/>
      <c r="Q341" s="809" t="s">
        <v>1195</v>
      </c>
      <c r="R341" s="820"/>
      <c r="S341" s="809" t="s">
        <v>1196</v>
      </c>
      <c r="T341" s="809"/>
    </row>
    <row r="342" spans="1:23">
      <c r="Q342" s="807"/>
    </row>
    <row r="343" spans="1:23" ht="13.15" customHeight="1">
      <c r="A343" s="809" t="s">
        <v>1203</v>
      </c>
      <c r="B343" s="809"/>
      <c r="C343" s="809" t="s">
        <v>1371</v>
      </c>
      <c r="D343" s="809"/>
      <c r="E343" s="809" t="s">
        <v>1198</v>
      </c>
      <c r="F343" s="809"/>
      <c r="G343" s="809" t="s">
        <v>1372</v>
      </c>
      <c r="H343" s="809"/>
      <c r="I343" s="809"/>
      <c r="J343" s="809"/>
      <c r="K343" s="809"/>
      <c r="L343" s="809"/>
      <c r="M343" s="809"/>
      <c r="N343" s="809"/>
      <c r="Q343" s="807"/>
    </row>
    <row r="344" spans="1:23">
      <c r="Q344" s="807"/>
    </row>
    <row r="345" spans="1:23" ht="13.15" customHeight="1">
      <c r="G345" s="810" t="s">
        <v>1200</v>
      </c>
      <c r="H345" s="810"/>
      <c r="O345" s="810" t="s">
        <v>1201</v>
      </c>
      <c r="P345" s="810"/>
      <c r="Q345" s="807"/>
      <c r="U345" s="810" t="s">
        <v>1202</v>
      </c>
      <c r="V345" s="810"/>
    </row>
    <row r="346" spans="1:23" ht="13.15" customHeight="1">
      <c r="B346" s="811" t="s">
        <v>1204</v>
      </c>
      <c r="D346" s="810" t="s">
        <v>1205</v>
      </c>
      <c r="E346" s="810"/>
      <c r="G346" s="810"/>
      <c r="H346" s="810"/>
      <c r="I346" s="810" t="s">
        <v>1206</v>
      </c>
      <c r="J346" s="810"/>
      <c r="K346" s="810" t="s">
        <v>1207</v>
      </c>
      <c r="L346" s="810"/>
      <c r="M346" s="810" t="s">
        <v>1208</v>
      </c>
      <c r="N346" s="810"/>
      <c r="O346" s="810"/>
      <c r="P346" s="810"/>
      <c r="Q346" s="810" t="s">
        <v>1209</v>
      </c>
      <c r="R346" s="812"/>
      <c r="S346" s="810" t="s">
        <v>1210</v>
      </c>
      <c r="T346" s="810"/>
      <c r="U346" s="810"/>
      <c r="V346" s="810"/>
    </row>
    <row r="347" spans="1:23" ht="13.15" customHeight="1">
      <c r="A347" s="821" t="s">
        <v>1373</v>
      </c>
      <c r="B347" s="821"/>
      <c r="D347" s="821" t="s">
        <v>1374</v>
      </c>
      <c r="E347" s="821"/>
      <c r="F347" s="821"/>
      <c r="G347" s="821"/>
    </row>
    <row r="348" spans="1:23">
      <c r="A348" s="821"/>
      <c r="B348" s="821"/>
      <c r="D348" s="821"/>
      <c r="E348" s="821"/>
      <c r="F348" s="821"/>
      <c r="G348" s="821"/>
      <c r="H348" s="822">
        <v>0</v>
      </c>
      <c r="I348" s="822"/>
      <c r="J348" s="822">
        <v>9996.57</v>
      </c>
      <c r="K348" s="822"/>
      <c r="L348" s="822">
        <v>9996.57</v>
      </c>
      <c r="M348" s="822"/>
      <c r="N348" s="822">
        <v>0</v>
      </c>
      <c r="O348" s="822"/>
      <c r="P348" s="822">
        <v>9996.57</v>
      </c>
      <c r="Q348" s="822"/>
      <c r="R348" s="826">
        <v>0</v>
      </c>
      <c r="S348" s="822"/>
      <c r="T348" s="822">
        <v>0</v>
      </c>
      <c r="U348" s="822"/>
      <c r="V348" s="822">
        <v>9996.57</v>
      </c>
      <c r="W348" s="822"/>
    </row>
    <row r="349" spans="1:23" ht="13.15" customHeight="1">
      <c r="A349" s="821" t="s">
        <v>1364</v>
      </c>
      <c r="B349" s="821"/>
      <c r="D349" s="821" t="s">
        <v>1365</v>
      </c>
      <c r="E349" s="821"/>
      <c r="F349" s="821"/>
      <c r="G349" s="821"/>
      <c r="H349" s="822"/>
      <c r="I349" s="822"/>
      <c r="J349" s="822"/>
      <c r="K349" s="822"/>
      <c r="L349" s="822"/>
      <c r="M349" s="822"/>
      <c r="N349" s="822"/>
      <c r="O349" s="822"/>
      <c r="P349" s="822"/>
      <c r="Q349" s="826"/>
      <c r="R349" s="826"/>
      <c r="S349" s="822"/>
      <c r="T349" s="822"/>
      <c r="U349" s="822"/>
      <c r="V349" s="822"/>
      <c r="W349" s="822"/>
    </row>
    <row r="350" spans="1:23">
      <c r="A350" s="821"/>
      <c r="B350" s="821"/>
      <c r="D350" s="821"/>
      <c r="E350" s="821"/>
      <c r="F350" s="821"/>
      <c r="G350" s="821"/>
      <c r="Q350" s="807"/>
    </row>
    <row r="351" spans="1:23">
      <c r="A351" s="821"/>
      <c r="B351" s="821"/>
      <c r="D351" s="821"/>
      <c r="E351" s="821"/>
      <c r="F351" s="821"/>
      <c r="G351" s="821"/>
      <c r="H351" s="822">
        <v>15000</v>
      </c>
      <c r="I351" s="822"/>
      <c r="J351" s="822">
        <v>9406.35</v>
      </c>
      <c r="K351" s="822"/>
      <c r="L351" s="822">
        <v>24406.350000000002</v>
      </c>
      <c r="M351" s="822"/>
      <c r="N351" s="822">
        <v>16690.599999999999</v>
      </c>
      <c r="O351" s="822"/>
      <c r="P351" s="822">
        <v>7715.75</v>
      </c>
      <c r="Q351" s="822"/>
      <c r="R351" s="826">
        <v>0</v>
      </c>
      <c r="S351" s="822"/>
      <c r="T351" s="822">
        <v>0</v>
      </c>
      <c r="U351" s="822"/>
      <c r="V351" s="822">
        <v>24406.350000000002</v>
      </c>
      <c r="W351" s="822"/>
    </row>
    <row r="352" spans="1:23" ht="13.15" customHeight="1">
      <c r="A352" s="821" t="s">
        <v>1366</v>
      </c>
      <c r="B352" s="821"/>
      <c r="D352" s="821" t="s">
        <v>1367</v>
      </c>
      <c r="E352" s="821"/>
      <c r="F352" s="821"/>
      <c r="G352" s="821"/>
    </row>
    <row r="353" spans="1:23">
      <c r="A353" s="821"/>
      <c r="B353" s="821"/>
      <c r="D353" s="821"/>
      <c r="E353" s="821"/>
      <c r="F353" s="821"/>
      <c r="G353" s="821"/>
      <c r="H353" s="822">
        <v>0</v>
      </c>
      <c r="I353" s="822"/>
      <c r="J353" s="822">
        <v>10000</v>
      </c>
      <c r="K353" s="822"/>
      <c r="L353" s="822">
        <v>10000</v>
      </c>
      <c r="M353" s="822"/>
      <c r="N353" s="822">
        <v>0</v>
      </c>
      <c r="O353" s="822"/>
      <c r="P353" s="822">
        <v>10000</v>
      </c>
      <c r="Q353" s="822"/>
      <c r="R353" s="826">
        <v>0</v>
      </c>
      <c r="S353" s="822"/>
      <c r="T353" s="822">
        <v>0</v>
      </c>
      <c r="U353" s="822"/>
      <c r="V353" s="822">
        <v>10000</v>
      </c>
      <c r="W353" s="822"/>
    </row>
    <row r="354" spans="1:23" ht="13.15" customHeight="1">
      <c r="A354" s="821" t="s">
        <v>1368</v>
      </c>
      <c r="B354" s="821"/>
      <c r="D354" s="821" t="s">
        <v>1369</v>
      </c>
      <c r="E354" s="821"/>
      <c r="F354" s="821"/>
      <c r="G354" s="821"/>
    </row>
    <row r="355" spans="1:23">
      <c r="A355" s="821"/>
      <c r="B355" s="821"/>
      <c r="D355" s="821"/>
      <c r="E355" s="821"/>
      <c r="F355" s="821"/>
      <c r="G355" s="821"/>
      <c r="H355" s="822">
        <v>30000</v>
      </c>
      <c r="I355" s="822"/>
      <c r="J355" s="822">
        <v>68206.87</v>
      </c>
      <c r="K355" s="822"/>
      <c r="L355" s="822">
        <v>98206.87</v>
      </c>
      <c r="M355" s="822"/>
      <c r="N355" s="822">
        <v>0</v>
      </c>
      <c r="O355" s="822"/>
      <c r="P355" s="822">
        <v>98206.87</v>
      </c>
      <c r="Q355" s="822"/>
      <c r="R355" s="826">
        <v>0</v>
      </c>
      <c r="S355" s="822"/>
      <c r="T355" s="822">
        <v>0</v>
      </c>
      <c r="U355" s="822"/>
      <c r="V355" s="822">
        <v>98206.87</v>
      </c>
      <c r="W355" s="822"/>
    </row>
    <row r="356" spans="1:23">
      <c r="H356" s="822"/>
      <c r="I356" s="822"/>
      <c r="J356" s="822"/>
      <c r="K356" s="822"/>
      <c r="L356" s="822"/>
      <c r="M356" s="822"/>
      <c r="N356" s="822"/>
      <c r="O356" s="822"/>
      <c r="P356" s="822"/>
      <c r="Q356" s="822"/>
      <c r="R356" s="826"/>
      <c r="S356" s="822"/>
      <c r="T356" s="822"/>
      <c r="U356" s="822"/>
      <c r="V356" s="822"/>
      <c r="W356" s="822"/>
    </row>
    <row r="357" spans="1:23">
      <c r="Q357" s="807"/>
    </row>
    <row r="358" spans="1:23" ht="13.15" customHeight="1">
      <c r="D358" s="816" t="s">
        <v>1344</v>
      </c>
      <c r="E358" s="816"/>
      <c r="F358" s="825">
        <v>45000</v>
      </c>
      <c r="G358" s="825"/>
      <c r="H358" s="825"/>
      <c r="I358" s="825">
        <v>97609.790000000008</v>
      </c>
      <c r="J358" s="825"/>
      <c r="K358" s="825">
        <v>142609.79</v>
      </c>
      <c r="L358" s="825"/>
      <c r="M358" s="825">
        <v>16690.599999999999</v>
      </c>
      <c r="N358" s="825"/>
      <c r="O358" s="825">
        <v>125919.19</v>
      </c>
      <c r="P358" s="825"/>
      <c r="Q358" s="825">
        <v>0</v>
      </c>
      <c r="R358" s="828"/>
      <c r="S358" s="825">
        <v>0</v>
      </c>
      <c r="T358" s="825"/>
      <c r="U358" s="825">
        <v>142609.79</v>
      </c>
      <c r="V358" s="825"/>
    </row>
    <row r="359" spans="1:23">
      <c r="Q359" s="807"/>
    </row>
    <row r="360" spans="1:23">
      <c r="Q360" s="807"/>
    </row>
    <row r="361" spans="1:23" ht="13.15" customHeight="1">
      <c r="A361" s="813" t="s">
        <v>1243</v>
      </c>
      <c r="E361" s="823" t="s">
        <v>1244</v>
      </c>
      <c r="F361" s="823"/>
      <c r="J361" s="823" t="s">
        <v>1245</v>
      </c>
      <c r="K361" s="823"/>
      <c r="O361" s="823" t="s">
        <v>1246</v>
      </c>
      <c r="P361" s="823"/>
      <c r="Q361" s="823"/>
    </row>
    <row r="362" spans="1:23" ht="13.15" customHeight="1">
      <c r="B362" s="824" t="s">
        <v>1247</v>
      </c>
      <c r="C362" s="824"/>
      <c r="D362" s="824"/>
      <c r="E362" s="824" t="s">
        <v>1248</v>
      </c>
      <c r="F362" s="824"/>
      <c r="G362" s="824"/>
      <c r="H362" s="824"/>
      <c r="J362" s="824" t="s">
        <v>1249</v>
      </c>
      <c r="K362" s="824"/>
      <c r="L362" s="824"/>
      <c r="Q362" s="807"/>
    </row>
    <row r="363" spans="1:23">
      <c r="Q363" s="807"/>
    </row>
    <row r="364" spans="1:23">
      <c r="Q364" s="807"/>
    </row>
    <row r="365" spans="1:23" ht="13.15" customHeight="1">
      <c r="D365" s="814" t="s">
        <v>1185</v>
      </c>
      <c r="E365" s="814"/>
      <c r="F365" s="814"/>
      <c r="G365" s="814"/>
      <c r="H365" s="814"/>
      <c r="I365" s="814"/>
      <c r="J365" s="814"/>
      <c r="K365" s="814"/>
      <c r="L365" s="814"/>
      <c r="M365" s="814"/>
      <c r="N365" s="814"/>
      <c r="O365" s="814"/>
      <c r="P365" s="814"/>
      <c r="Q365" s="814"/>
      <c r="R365" s="815"/>
    </row>
    <row r="366" spans="1:23" ht="13.15" customHeight="1">
      <c r="D366" s="814"/>
      <c r="E366" s="814"/>
      <c r="F366" s="814"/>
      <c r="G366" s="814"/>
      <c r="H366" s="814"/>
      <c r="I366" s="814"/>
      <c r="J366" s="814"/>
      <c r="K366" s="814"/>
      <c r="L366" s="814"/>
      <c r="M366" s="814"/>
      <c r="N366" s="814"/>
      <c r="O366" s="814"/>
      <c r="P366" s="814"/>
      <c r="Q366" s="814"/>
      <c r="R366" s="815"/>
      <c r="S366" s="816" t="s">
        <v>1186</v>
      </c>
      <c r="T366" s="816"/>
    </row>
    <row r="367" spans="1:23">
      <c r="Q367" s="807"/>
      <c r="S367" s="816"/>
      <c r="T367" s="816"/>
    </row>
    <row r="368" spans="1:23" ht="15.6" customHeight="1">
      <c r="H368" s="817" t="s">
        <v>1187</v>
      </c>
      <c r="I368" s="817"/>
      <c r="J368" s="817"/>
      <c r="K368" s="817"/>
      <c r="L368" s="817"/>
      <c r="M368" s="817"/>
      <c r="N368" s="817"/>
      <c r="Q368" s="807"/>
    </row>
    <row r="369" spans="1:23" ht="13.15" customHeight="1">
      <c r="Q369" s="816" t="s">
        <v>1375</v>
      </c>
      <c r="R369" s="818"/>
      <c r="S369" s="816"/>
    </row>
    <row r="370" spans="1:23">
      <c r="H370" s="816" t="s">
        <v>1189</v>
      </c>
      <c r="I370" s="816"/>
      <c r="J370" s="819">
        <v>41640</v>
      </c>
      <c r="K370" s="819"/>
      <c r="L370" s="816" t="s">
        <v>1190</v>
      </c>
      <c r="M370" s="816"/>
      <c r="N370" s="819">
        <v>41993</v>
      </c>
      <c r="O370" s="819"/>
      <c r="Q370" s="816"/>
      <c r="R370" s="818"/>
      <c r="S370" s="816"/>
    </row>
    <row r="371" spans="1:23">
      <c r="H371" s="816"/>
      <c r="I371" s="816"/>
      <c r="J371" s="819"/>
      <c r="K371" s="819"/>
      <c r="L371" s="816"/>
      <c r="M371" s="816"/>
      <c r="N371" s="819"/>
      <c r="O371" s="819"/>
      <c r="Q371" s="807"/>
    </row>
    <row r="372" spans="1:23">
      <c r="Q372" s="807"/>
    </row>
    <row r="373" spans="1:23" ht="13.15" customHeight="1">
      <c r="H373" s="809" t="s">
        <v>1191</v>
      </c>
      <c r="I373" s="809"/>
      <c r="J373" s="809"/>
      <c r="K373" s="809" t="s">
        <v>1192</v>
      </c>
      <c r="L373" s="809"/>
      <c r="M373" s="809" t="s">
        <v>1193</v>
      </c>
      <c r="N373" s="809"/>
      <c r="O373" s="809" t="s">
        <v>1194</v>
      </c>
      <c r="P373" s="809"/>
      <c r="Q373" s="809" t="s">
        <v>1195</v>
      </c>
      <c r="R373" s="820"/>
      <c r="S373" s="809" t="s">
        <v>1196</v>
      </c>
      <c r="T373" s="809"/>
    </row>
    <row r="374" spans="1:23">
      <c r="Q374" s="807"/>
    </row>
    <row r="375" spans="1:23" ht="13.15" customHeight="1">
      <c r="A375" s="809" t="s">
        <v>1203</v>
      </c>
      <c r="B375" s="809"/>
      <c r="C375" s="809" t="s">
        <v>1376</v>
      </c>
      <c r="D375" s="809"/>
      <c r="E375" s="809" t="s">
        <v>1198</v>
      </c>
      <c r="F375" s="809"/>
      <c r="G375" s="809" t="s">
        <v>1377</v>
      </c>
      <c r="H375" s="809"/>
      <c r="I375" s="809"/>
      <c r="J375" s="809"/>
      <c r="K375" s="809"/>
      <c r="L375" s="809"/>
      <c r="M375" s="809"/>
      <c r="N375" s="809"/>
      <c r="Q375" s="807"/>
    </row>
    <row r="376" spans="1:23">
      <c r="Q376" s="807"/>
    </row>
    <row r="377" spans="1:23" ht="13.15" customHeight="1">
      <c r="G377" s="810" t="s">
        <v>1200</v>
      </c>
      <c r="H377" s="810"/>
      <c r="O377" s="810" t="s">
        <v>1201</v>
      </c>
      <c r="P377" s="810"/>
      <c r="Q377" s="807"/>
      <c r="U377" s="810" t="s">
        <v>1202</v>
      </c>
      <c r="V377" s="810"/>
    </row>
    <row r="378" spans="1:23" ht="13.15" customHeight="1">
      <c r="B378" s="811" t="s">
        <v>1204</v>
      </c>
      <c r="D378" s="810" t="s">
        <v>1205</v>
      </c>
      <c r="E378" s="810"/>
      <c r="G378" s="810"/>
      <c r="H378" s="810"/>
      <c r="I378" s="810" t="s">
        <v>1206</v>
      </c>
      <c r="J378" s="810"/>
      <c r="K378" s="810" t="s">
        <v>1207</v>
      </c>
      <c r="L378" s="810"/>
      <c r="M378" s="810" t="s">
        <v>1208</v>
      </c>
      <c r="N378" s="810"/>
      <c r="O378" s="810"/>
      <c r="P378" s="810"/>
      <c r="Q378" s="810" t="s">
        <v>1209</v>
      </c>
      <c r="R378" s="812"/>
      <c r="S378" s="810" t="s">
        <v>1210</v>
      </c>
      <c r="T378" s="810"/>
      <c r="U378" s="810"/>
      <c r="V378" s="810"/>
    </row>
    <row r="379" spans="1:23" ht="13.15" customHeight="1">
      <c r="A379" s="821" t="s">
        <v>1314</v>
      </c>
      <c r="B379" s="821"/>
      <c r="D379" s="821" t="s">
        <v>1378</v>
      </c>
      <c r="E379" s="821"/>
      <c r="F379" s="821"/>
      <c r="G379" s="821"/>
      <c r="Q379" s="807"/>
    </row>
    <row r="380" spans="1:23">
      <c r="A380" s="821"/>
      <c r="B380" s="821"/>
      <c r="D380" s="821"/>
      <c r="E380" s="821"/>
      <c r="F380" s="821"/>
      <c r="G380" s="821"/>
      <c r="H380" s="822">
        <v>0</v>
      </c>
      <c r="I380" s="822"/>
      <c r="J380" s="822">
        <v>141.55000000000001</v>
      </c>
      <c r="K380" s="822"/>
      <c r="L380" s="822">
        <v>141.55000000000001</v>
      </c>
      <c r="M380" s="822"/>
      <c r="N380" s="822">
        <v>0</v>
      </c>
      <c r="O380" s="822"/>
      <c r="P380" s="822">
        <v>141.55000000000001</v>
      </c>
      <c r="Q380" s="822"/>
      <c r="R380" s="826">
        <v>0</v>
      </c>
      <c r="S380" s="822"/>
      <c r="T380" s="822">
        <v>0</v>
      </c>
      <c r="U380" s="822"/>
      <c r="V380" s="822">
        <v>141.55000000000001</v>
      </c>
      <c r="W380" s="822"/>
    </row>
    <row r="381" spans="1:23" ht="13.15" customHeight="1">
      <c r="A381" s="821" t="s">
        <v>1379</v>
      </c>
      <c r="B381" s="821"/>
      <c r="D381" s="821" t="s">
        <v>1380</v>
      </c>
      <c r="E381" s="821"/>
      <c r="F381" s="821"/>
      <c r="G381" s="821"/>
      <c r="H381" s="822"/>
      <c r="I381" s="822"/>
      <c r="J381" s="822"/>
      <c r="K381" s="822"/>
      <c r="L381" s="822"/>
      <c r="M381" s="822"/>
      <c r="N381" s="822"/>
      <c r="O381" s="822"/>
      <c r="P381" s="822"/>
      <c r="Q381" s="826"/>
      <c r="R381" s="826"/>
      <c r="S381" s="822"/>
      <c r="T381" s="822"/>
      <c r="U381" s="822"/>
      <c r="V381" s="822"/>
      <c r="W381" s="822"/>
    </row>
    <row r="382" spans="1:23">
      <c r="A382" s="821"/>
      <c r="B382" s="821"/>
      <c r="D382" s="821"/>
      <c r="E382" s="821"/>
      <c r="F382" s="821"/>
      <c r="G382" s="821"/>
      <c r="Q382" s="807"/>
    </row>
    <row r="383" spans="1:23">
      <c r="A383" s="821"/>
      <c r="B383" s="821"/>
      <c r="D383" s="821"/>
      <c r="E383" s="821"/>
      <c r="F383" s="821"/>
      <c r="G383" s="821"/>
      <c r="H383" s="822">
        <v>0</v>
      </c>
      <c r="I383" s="822"/>
      <c r="J383" s="822">
        <v>67</v>
      </c>
      <c r="K383" s="822"/>
      <c r="L383" s="822">
        <v>67</v>
      </c>
      <c r="M383" s="822"/>
      <c r="N383" s="822">
        <v>0</v>
      </c>
      <c r="O383" s="822"/>
      <c r="P383" s="822">
        <v>67</v>
      </c>
      <c r="Q383" s="822"/>
      <c r="R383" s="826">
        <v>0</v>
      </c>
      <c r="S383" s="822"/>
      <c r="T383" s="822">
        <v>0</v>
      </c>
      <c r="U383" s="822"/>
      <c r="V383" s="822">
        <v>67</v>
      </c>
      <c r="W383" s="822"/>
    </row>
    <row r="384" spans="1:23" ht="13.15" customHeight="1">
      <c r="A384" s="821" t="s">
        <v>1364</v>
      </c>
      <c r="B384" s="821"/>
      <c r="D384" s="821" t="s">
        <v>1365</v>
      </c>
      <c r="E384" s="821"/>
      <c r="F384" s="821"/>
      <c r="G384" s="821"/>
      <c r="H384" s="822"/>
      <c r="I384" s="822"/>
      <c r="J384" s="822"/>
      <c r="K384" s="822"/>
      <c r="L384" s="822"/>
      <c r="M384" s="822"/>
      <c r="N384" s="822"/>
      <c r="O384" s="822"/>
      <c r="P384" s="822"/>
      <c r="Q384" s="826"/>
      <c r="R384" s="826"/>
      <c r="S384" s="822"/>
      <c r="T384" s="822"/>
      <c r="U384" s="822"/>
      <c r="V384" s="822"/>
      <c r="W384" s="822"/>
    </row>
    <row r="385" spans="1:23">
      <c r="A385" s="821"/>
      <c r="B385" s="821"/>
      <c r="D385" s="821"/>
      <c r="E385" s="821"/>
      <c r="F385" s="821"/>
      <c r="G385" s="821"/>
      <c r="Q385" s="807"/>
    </row>
    <row r="386" spans="1:23">
      <c r="A386" s="821"/>
      <c r="B386" s="821"/>
      <c r="D386" s="821"/>
      <c r="E386" s="821"/>
      <c r="F386" s="821"/>
      <c r="G386" s="821"/>
      <c r="H386" s="822">
        <v>15000</v>
      </c>
      <c r="I386" s="822"/>
      <c r="J386" s="822">
        <v>4572.92</v>
      </c>
      <c r="K386" s="822"/>
      <c r="L386" s="822">
        <v>19572.920000000002</v>
      </c>
      <c r="M386" s="822"/>
      <c r="N386" s="822">
        <v>9168.66</v>
      </c>
      <c r="O386" s="822"/>
      <c r="P386" s="822">
        <v>10404.26</v>
      </c>
      <c r="Q386" s="822"/>
      <c r="R386" s="826">
        <v>0</v>
      </c>
      <c r="S386" s="822"/>
      <c r="T386" s="822">
        <v>0</v>
      </c>
      <c r="U386" s="822"/>
      <c r="V386" s="822">
        <v>19572.920000000002</v>
      </c>
      <c r="W386" s="822"/>
    </row>
    <row r="387" spans="1:23" ht="13.15" customHeight="1">
      <c r="A387" s="821" t="s">
        <v>1366</v>
      </c>
      <c r="B387" s="821"/>
      <c r="D387" s="821" t="s">
        <v>1367</v>
      </c>
      <c r="E387" s="821"/>
      <c r="F387" s="821"/>
      <c r="G387" s="821"/>
    </row>
    <row r="388" spans="1:23">
      <c r="A388" s="821"/>
      <c r="B388" s="821"/>
      <c r="D388" s="821"/>
      <c r="E388" s="821"/>
      <c r="F388" s="821"/>
      <c r="G388" s="821"/>
      <c r="H388" s="822">
        <v>0</v>
      </c>
      <c r="I388" s="822"/>
      <c r="J388" s="822">
        <v>10000</v>
      </c>
      <c r="K388" s="822"/>
      <c r="L388" s="822">
        <v>10000</v>
      </c>
      <c r="M388" s="822"/>
      <c r="N388" s="822">
        <v>0</v>
      </c>
      <c r="O388" s="822"/>
      <c r="P388" s="822">
        <v>10000</v>
      </c>
      <c r="Q388" s="822"/>
      <c r="R388" s="826">
        <v>0</v>
      </c>
      <c r="S388" s="822"/>
      <c r="T388" s="822">
        <v>0</v>
      </c>
      <c r="U388" s="822"/>
      <c r="V388" s="822">
        <v>10000</v>
      </c>
      <c r="W388" s="822"/>
    </row>
    <row r="389" spans="1:23" ht="13.15" customHeight="1">
      <c r="A389" s="821" t="s">
        <v>1368</v>
      </c>
      <c r="B389" s="821"/>
      <c r="D389" s="821" t="s">
        <v>1369</v>
      </c>
      <c r="E389" s="821"/>
      <c r="F389" s="821"/>
      <c r="G389" s="821"/>
    </row>
    <row r="390" spans="1:23">
      <c r="A390" s="821"/>
      <c r="B390" s="821"/>
      <c r="D390" s="821"/>
      <c r="E390" s="821"/>
      <c r="F390" s="821"/>
      <c r="G390" s="821"/>
      <c r="H390" s="822">
        <v>30000</v>
      </c>
      <c r="I390" s="822"/>
      <c r="J390" s="822">
        <v>0</v>
      </c>
      <c r="K390" s="822"/>
      <c r="L390" s="822">
        <v>30000</v>
      </c>
      <c r="M390" s="822"/>
      <c r="N390" s="822">
        <v>27748</v>
      </c>
      <c r="O390" s="822"/>
      <c r="P390" s="822">
        <v>2252</v>
      </c>
      <c r="Q390" s="822"/>
      <c r="R390" s="826">
        <v>20810.7</v>
      </c>
      <c r="S390" s="822"/>
      <c r="T390" s="822">
        <v>20810.7</v>
      </c>
      <c r="U390" s="822"/>
      <c r="V390" s="822">
        <v>9189.3000000000011</v>
      </c>
      <c r="W390" s="822"/>
    </row>
    <row r="391" spans="1:23">
      <c r="H391" s="822"/>
      <c r="I391" s="822"/>
      <c r="J391" s="822"/>
      <c r="K391" s="822"/>
      <c r="L391" s="822"/>
      <c r="M391" s="822"/>
      <c r="N391" s="822"/>
      <c r="O391" s="822"/>
      <c r="P391" s="822"/>
      <c r="Q391" s="822"/>
      <c r="R391" s="826"/>
      <c r="S391" s="822"/>
      <c r="T391" s="822"/>
      <c r="U391" s="822"/>
      <c r="V391" s="822"/>
      <c r="W391" s="822"/>
    </row>
    <row r="392" spans="1:23">
      <c r="Q392" s="807"/>
    </row>
    <row r="393" spans="1:23" ht="13.15" customHeight="1">
      <c r="D393" s="816" t="s">
        <v>1344</v>
      </c>
      <c r="E393" s="816"/>
      <c r="F393" s="825">
        <v>45000</v>
      </c>
      <c r="G393" s="825"/>
      <c r="H393" s="825"/>
      <c r="I393" s="825">
        <v>14781.470000000001</v>
      </c>
      <c r="J393" s="825"/>
      <c r="K393" s="825">
        <v>59781.47</v>
      </c>
      <c r="L393" s="825"/>
      <c r="M393" s="825">
        <v>36916.660000000003</v>
      </c>
      <c r="N393" s="825"/>
      <c r="O393" s="825">
        <v>22864.81</v>
      </c>
      <c r="P393" s="825"/>
      <c r="Q393" s="825">
        <v>20810.7</v>
      </c>
      <c r="R393" s="828"/>
      <c r="S393" s="825">
        <v>20810.7</v>
      </c>
      <c r="T393" s="825"/>
      <c r="U393" s="825">
        <v>38970.770000000004</v>
      </c>
      <c r="V393" s="825"/>
    </row>
    <row r="394" spans="1:23">
      <c r="Q394" s="807"/>
    </row>
    <row r="395" spans="1:23">
      <c r="Q395" s="807"/>
    </row>
    <row r="396" spans="1:23" ht="13.15" customHeight="1">
      <c r="A396" s="813" t="s">
        <v>1243</v>
      </c>
      <c r="E396" s="823" t="s">
        <v>1244</v>
      </c>
      <c r="F396" s="823"/>
      <c r="J396" s="823" t="s">
        <v>1245</v>
      </c>
      <c r="K396" s="823"/>
      <c r="O396" s="823" t="s">
        <v>1246</v>
      </c>
      <c r="P396" s="823"/>
      <c r="Q396" s="823"/>
    </row>
    <row r="397" spans="1:23" ht="13.15" customHeight="1">
      <c r="B397" s="824" t="s">
        <v>1247</v>
      </c>
      <c r="C397" s="824"/>
      <c r="D397" s="824"/>
      <c r="E397" s="824" t="s">
        <v>1248</v>
      </c>
      <c r="F397" s="824"/>
      <c r="G397" s="824"/>
      <c r="H397" s="824"/>
      <c r="J397" s="824" t="s">
        <v>1249</v>
      </c>
      <c r="K397" s="824"/>
      <c r="L397" s="824"/>
      <c r="Q397" s="807"/>
    </row>
    <row r="398" spans="1:23">
      <c r="Q398" s="807"/>
    </row>
    <row r="399" spans="1:23">
      <c r="Q399" s="807"/>
    </row>
    <row r="400" spans="1:23" ht="13.15" customHeight="1">
      <c r="D400" s="814" t="s">
        <v>1185</v>
      </c>
      <c r="E400" s="814"/>
      <c r="F400" s="814"/>
      <c r="G400" s="814"/>
      <c r="H400" s="814"/>
      <c r="I400" s="814"/>
      <c r="J400" s="814"/>
      <c r="K400" s="814"/>
      <c r="L400" s="814"/>
      <c r="M400" s="814"/>
      <c r="N400" s="814"/>
      <c r="O400" s="814"/>
      <c r="P400" s="814"/>
      <c r="Q400" s="814"/>
      <c r="R400" s="815"/>
    </row>
    <row r="401" spans="1:23" ht="13.15" customHeight="1">
      <c r="D401" s="814"/>
      <c r="E401" s="814"/>
      <c r="F401" s="814"/>
      <c r="G401" s="814"/>
      <c r="H401" s="814"/>
      <c r="I401" s="814"/>
      <c r="J401" s="814"/>
      <c r="K401" s="814"/>
      <c r="L401" s="814"/>
      <c r="M401" s="814"/>
      <c r="N401" s="814"/>
      <c r="O401" s="814"/>
      <c r="P401" s="814"/>
      <c r="Q401" s="814"/>
      <c r="R401" s="815"/>
      <c r="S401" s="816" t="s">
        <v>1186</v>
      </c>
      <c r="T401" s="816"/>
    </row>
    <row r="402" spans="1:23">
      <c r="Q402" s="807"/>
      <c r="S402" s="816"/>
      <c r="T402" s="816"/>
    </row>
    <row r="403" spans="1:23" ht="15.6" customHeight="1">
      <c r="H403" s="817" t="s">
        <v>1187</v>
      </c>
      <c r="I403" s="817"/>
      <c r="J403" s="817"/>
      <c r="K403" s="817"/>
      <c r="L403" s="817"/>
      <c r="M403" s="817"/>
      <c r="N403" s="817"/>
      <c r="Q403" s="807"/>
    </row>
    <row r="404" spans="1:23" ht="13.15" customHeight="1">
      <c r="Q404" s="816" t="s">
        <v>1381</v>
      </c>
      <c r="R404" s="818"/>
      <c r="S404" s="816"/>
    </row>
    <row r="405" spans="1:23">
      <c r="H405" s="816" t="s">
        <v>1189</v>
      </c>
      <c r="I405" s="816"/>
      <c r="J405" s="819">
        <v>41640</v>
      </c>
      <c r="K405" s="819"/>
      <c r="L405" s="816" t="s">
        <v>1190</v>
      </c>
      <c r="M405" s="816"/>
      <c r="N405" s="819">
        <v>41993</v>
      </c>
      <c r="O405" s="819"/>
      <c r="Q405" s="816"/>
      <c r="R405" s="818"/>
      <c r="S405" s="816"/>
    </row>
    <row r="406" spans="1:23">
      <c r="H406" s="816"/>
      <c r="I406" s="816"/>
      <c r="J406" s="819"/>
      <c r="K406" s="819"/>
      <c r="L406" s="816"/>
      <c r="M406" s="816"/>
      <c r="N406" s="819"/>
      <c r="O406" s="819"/>
      <c r="Q406" s="807"/>
    </row>
    <row r="407" spans="1:23">
      <c r="Q407" s="807"/>
    </row>
    <row r="408" spans="1:23" ht="13.15" customHeight="1">
      <c r="H408" s="809" t="s">
        <v>1191</v>
      </c>
      <c r="I408" s="809"/>
      <c r="J408" s="809"/>
      <c r="K408" s="809" t="s">
        <v>1192</v>
      </c>
      <c r="L408" s="809"/>
      <c r="M408" s="809" t="s">
        <v>1193</v>
      </c>
      <c r="N408" s="809"/>
      <c r="O408" s="809" t="s">
        <v>1194</v>
      </c>
      <c r="P408" s="809"/>
      <c r="Q408" s="809" t="s">
        <v>1195</v>
      </c>
      <c r="R408" s="820"/>
      <c r="S408" s="809" t="s">
        <v>1196</v>
      </c>
      <c r="T408" s="809"/>
    </row>
    <row r="409" spans="1:23">
      <c r="Q409" s="807"/>
    </row>
    <row r="410" spans="1:23" ht="13.15" customHeight="1">
      <c r="A410" s="809" t="s">
        <v>1203</v>
      </c>
      <c r="B410" s="809"/>
      <c r="C410" s="809" t="s">
        <v>1382</v>
      </c>
      <c r="D410" s="809"/>
      <c r="E410" s="809" t="s">
        <v>1198</v>
      </c>
      <c r="F410" s="809"/>
      <c r="G410" s="809" t="s">
        <v>1383</v>
      </c>
      <c r="H410" s="809"/>
      <c r="I410" s="809"/>
      <c r="J410" s="809"/>
      <c r="K410" s="809"/>
      <c r="L410" s="809"/>
      <c r="M410" s="809"/>
      <c r="N410" s="809"/>
      <c r="Q410" s="807"/>
    </row>
    <row r="411" spans="1:23">
      <c r="Q411" s="807"/>
    </row>
    <row r="412" spans="1:23" ht="13.15" customHeight="1">
      <c r="G412" s="810" t="s">
        <v>1200</v>
      </c>
      <c r="H412" s="810"/>
      <c r="O412" s="810" t="s">
        <v>1201</v>
      </c>
      <c r="P412" s="810"/>
      <c r="Q412" s="807"/>
      <c r="U412" s="810" t="s">
        <v>1202</v>
      </c>
      <c r="V412" s="810"/>
    </row>
    <row r="413" spans="1:23" ht="13.15" customHeight="1">
      <c r="B413" s="811" t="s">
        <v>1204</v>
      </c>
      <c r="D413" s="810" t="s">
        <v>1205</v>
      </c>
      <c r="E413" s="810"/>
      <c r="G413" s="810"/>
      <c r="H413" s="810"/>
      <c r="I413" s="810" t="s">
        <v>1206</v>
      </c>
      <c r="J413" s="810"/>
      <c r="K413" s="810" t="s">
        <v>1207</v>
      </c>
      <c r="L413" s="810"/>
      <c r="M413" s="810" t="s">
        <v>1208</v>
      </c>
      <c r="N413" s="810"/>
      <c r="O413" s="810"/>
      <c r="P413" s="810"/>
      <c r="Q413" s="810" t="s">
        <v>1209</v>
      </c>
      <c r="R413" s="812"/>
      <c r="S413" s="810" t="s">
        <v>1210</v>
      </c>
      <c r="T413" s="810"/>
      <c r="U413" s="810"/>
      <c r="V413" s="810"/>
    </row>
    <row r="414" spans="1:23" ht="13.15" customHeight="1">
      <c r="A414" s="821" t="s">
        <v>1384</v>
      </c>
      <c r="B414" s="821"/>
      <c r="D414" s="821" t="s">
        <v>1385</v>
      </c>
      <c r="E414" s="821"/>
      <c r="F414" s="821"/>
      <c r="G414" s="821"/>
    </row>
    <row r="415" spans="1:23">
      <c r="A415" s="821"/>
      <c r="B415" s="821"/>
      <c r="D415" s="821"/>
      <c r="E415" s="821"/>
      <c r="F415" s="821"/>
      <c r="G415" s="821"/>
      <c r="H415" s="822">
        <v>0</v>
      </c>
      <c r="I415" s="822"/>
      <c r="J415" s="822">
        <v>118930.15000000001</v>
      </c>
      <c r="K415" s="822"/>
      <c r="L415" s="822">
        <v>118930.15000000001</v>
      </c>
      <c r="M415" s="822"/>
      <c r="N415" s="822">
        <v>37644.28</v>
      </c>
      <c r="O415" s="822"/>
      <c r="P415" s="822">
        <v>81285.87</v>
      </c>
      <c r="Q415" s="822"/>
      <c r="R415" s="826">
        <v>0</v>
      </c>
      <c r="S415" s="822"/>
      <c r="T415" s="822">
        <v>0</v>
      </c>
      <c r="U415" s="822"/>
      <c r="V415" s="822">
        <v>118930.15000000001</v>
      </c>
      <c r="W415" s="822"/>
    </row>
    <row r="416" spans="1:23" ht="13.15" customHeight="1">
      <c r="A416" s="821" t="s">
        <v>1364</v>
      </c>
      <c r="B416" s="821"/>
      <c r="D416" s="821" t="s">
        <v>1365</v>
      </c>
      <c r="E416" s="821"/>
      <c r="F416" s="821"/>
      <c r="G416" s="821"/>
      <c r="H416" s="822"/>
      <c r="I416" s="822"/>
      <c r="J416" s="822"/>
      <c r="K416" s="822"/>
      <c r="L416" s="822"/>
      <c r="M416" s="822"/>
      <c r="N416" s="822"/>
      <c r="O416" s="822"/>
      <c r="P416" s="822"/>
      <c r="Q416" s="826"/>
      <c r="R416" s="826"/>
      <c r="S416" s="822"/>
      <c r="T416" s="822"/>
      <c r="U416" s="822"/>
      <c r="V416" s="822"/>
      <c r="W416" s="822"/>
    </row>
    <row r="417" spans="1:23">
      <c r="A417" s="821"/>
      <c r="B417" s="821"/>
      <c r="D417" s="821"/>
      <c r="E417" s="821"/>
      <c r="F417" s="821"/>
      <c r="G417" s="821"/>
      <c r="Q417" s="807"/>
    </row>
    <row r="418" spans="1:23">
      <c r="A418" s="821"/>
      <c r="B418" s="821"/>
      <c r="D418" s="821"/>
      <c r="E418" s="821"/>
      <c r="F418" s="821"/>
      <c r="G418" s="821"/>
      <c r="H418" s="822">
        <v>22500</v>
      </c>
      <c r="I418" s="822"/>
      <c r="J418" s="822">
        <v>0</v>
      </c>
      <c r="K418" s="822"/>
      <c r="L418" s="822">
        <v>22500</v>
      </c>
      <c r="M418" s="822"/>
      <c r="N418" s="822">
        <v>21309.39</v>
      </c>
      <c r="O418" s="822"/>
      <c r="P418" s="822">
        <v>1190.6100000000001</v>
      </c>
      <c r="Q418" s="822"/>
      <c r="R418" s="826">
        <v>16019.390000000001</v>
      </c>
      <c r="S418" s="822"/>
      <c r="T418" s="822">
        <v>16019.390000000001</v>
      </c>
      <c r="U418" s="822"/>
      <c r="V418" s="822">
        <v>6480.6100000000006</v>
      </c>
      <c r="W418" s="822"/>
    </row>
    <row r="419" spans="1:23" ht="13.15" customHeight="1">
      <c r="A419" s="821" t="s">
        <v>1366</v>
      </c>
      <c r="B419" s="821"/>
      <c r="D419" s="821" t="s">
        <v>1367</v>
      </c>
      <c r="E419" s="821"/>
      <c r="F419" s="821"/>
      <c r="G419" s="821"/>
    </row>
    <row r="420" spans="1:23">
      <c r="A420" s="821"/>
      <c r="B420" s="821"/>
      <c r="D420" s="821"/>
      <c r="E420" s="821"/>
      <c r="F420" s="821"/>
      <c r="G420" s="821"/>
      <c r="H420" s="822">
        <v>0</v>
      </c>
      <c r="I420" s="822"/>
      <c r="J420" s="822">
        <v>10000</v>
      </c>
      <c r="K420" s="822"/>
      <c r="L420" s="822">
        <v>10000</v>
      </c>
      <c r="M420" s="822"/>
      <c r="N420" s="822">
        <v>0</v>
      </c>
      <c r="O420" s="822"/>
      <c r="P420" s="822">
        <v>10000</v>
      </c>
      <c r="Q420" s="822"/>
      <c r="R420" s="826">
        <v>0</v>
      </c>
      <c r="S420" s="822"/>
      <c r="T420" s="822">
        <v>0</v>
      </c>
      <c r="U420" s="822"/>
      <c r="V420" s="822">
        <v>10000</v>
      </c>
      <c r="W420" s="822"/>
    </row>
    <row r="421" spans="1:23" ht="13.15" customHeight="1">
      <c r="A421" s="821" t="s">
        <v>1368</v>
      </c>
      <c r="B421" s="821"/>
      <c r="D421" s="821" t="s">
        <v>1369</v>
      </c>
      <c r="E421" s="821"/>
      <c r="F421" s="821"/>
      <c r="G421" s="821"/>
    </row>
    <row r="422" spans="1:23">
      <c r="A422" s="821"/>
      <c r="B422" s="821"/>
      <c r="D422" s="821"/>
      <c r="E422" s="821"/>
      <c r="F422" s="821"/>
      <c r="G422" s="821"/>
      <c r="H422" s="822">
        <v>40000</v>
      </c>
      <c r="I422" s="822"/>
      <c r="J422" s="822">
        <v>367</v>
      </c>
      <c r="K422" s="822"/>
      <c r="L422" s="822">
        <v>40367</v>
      </c>
      <c r="M422" s="822"/>
      <c r="N422" s="822">
        <v>37590.6</v>
      </c>
      <c r="O422" s="822"/>
      <c r="P422" s="822">
        <v>2776.4</v>
      </c>
      <c r="Q422" s="822"/>
      <c r="R422" s="826">
        <v>21405.81</v>
      </c>
      <c r="S422" s="822"/>
      <c r="T422" s="822">
        <v>21405.81</v>
      </c>
      <c r="U422" s="822"/>
      <c r="V422" s="822">
        <v>18961.189999999999</v>
      </c>
      <c r="W422" s="822"/>
    </row>
    <row r="423" spans="1:23">
      <c r="H423" s="822"/>
      <c r="I423" s="822"/>
      <c r="J423" s="822"/>
      <c r="K423" s="822"/>
      <c r="L423" s="822"/>
      <c r="M423" s="822"/>
      <c r="N423" s="822"/>
      <c r="O423" s="822"/>
      <c r="P423" s="822"/>
      <c r="Q423" s="822"/>
      <c r="R423" s="826"/>
      <c r="S423" s="822"/>
      <c r="T423" s="822"/>
      <c r="U423" s="822"/>
      <c r="V423" s="822"/>
      <c r="W423" s="822"/>
    </row>
    <row r="424" spans="1:23">
      <c r="Q424" s="807"/>
    </row>
    <row r="425" spans="1:23" ht="13.15" customHeight="1">
      <c r="D425" s="816" t="s">
        <v>1344</v>
      </c>
      <c r="E425" s="816"/>
      <c r="F425" s="825">
        <v>62500</v>
      </c>
      <c r="G425" s="825"/>
      <c r="H425" s="825"/>
      <c r="I425" s="825">
        <v>129297.15000000001</v>
      </c>
      <c r="J425" s="825"/>
      <c r="K425" s="825">
        <v>191797.15</v>
      </c>
      <c r="L425" s="825"/>
      <c r="M425" s="825">
        <v>96544.27</v>
      </c>
      <c r="N425" s="825"/>
      <c r="O425" s="825">
        <v>95252.88</v>
      </c>
      <c r="P425" s="825"/>
      <c r="Q425" s="825">
        <v>37425.200000000004</v>
      </c>
      <c r="R425" s="828"/>
      <c r="S425" s="825">
        <v>37425.200000000004</v>
      </c>
      <c r="T425" s="825"/>
      <c r="U425" s="825">
        <v>154371.95000000001</v>
      </c>
      <c r="V425" s="825"/>
    </row>
    <row r="426" spans="1:23">
      <c r="Q426" s="807"/>
    </row>
    <row r="427" spans="1:23">
      <c r="Q427" s="807"/>
    </row>
    <row r="428" spans="1:23" ht="13.15" customHeight="1">
      <c r="A428" s="813" t="s">
        <v>1243</v>
      </c>
      <c r="E428" s="823" t="s">
        <v>1244</v>
      </c>
      <c r="F428" s="823"/>
      <c r="J428" s="823" t="s">
        <v>1245</v>
      </c>
      <c r="K428" s="823"/>
      <c r="O428" s="823" t="s">
        <v>1246</v>
      </c>
      <c r="P428" s="823"/>
      <c r="Q428" s="823"/>
    </row>
    <row r="429" spans="1:23" ht="13.15" customHeight="1">
      <c r="B429" s="824" t="s">
        <v>1247</v>
      </c>
      <c r="C429" s="824"/>
      <c r="D429" s="824"/>
      <c r="E429" s="824" t="s">
        <v>1248</v>
      </c>
      <c r="F429" s="824"/>
      <c r="G429" s="824"/>
      <c r="H429" s="824"/>
      <c r="J429" s="824" t="s">
        <v>1249</v>
      </c>
      <c r="K429" s="824"/>
      <c r="L429" s="824"/>
      <c r="Q429" s="807"/>
    </row>
    <row r="430" spans="1:23">
      <c r="Q430" s="807"/>
    </row>
    <row r="431" spans="1:23">
      <c r="Q431" s="807"/>
    </row>
    <row r="432" spans="1:23" ht="13.15" customHeight="1">
      <c r="D432" s="814" t="s">
        <v>1185</v>
      </c>
      <c r="E432" s="814"/>
      <c r="F432" s="814"/>
      <c r="G432" s="814"/>
      <c r="H432" s="814"/>
      <c r="I432" s="814"/>
      <c r="J432" s="814"/>
      <c r="K432" s="814"/>
      <c r="L432" s="814"/>
      <c r="M432" s="814"/>
      <c r="N432" s="814"/>
      <c r="O432" s="814"/>
      <c r="P432" s="814"/>
      <c r="Q432" s="814"/>
      <c r="R432" s="815"/>
    </row>
    <row r="433" spans="1:23" ht="13.15" customHeight="1">
      <c r="D433" s="814"/>
      <c r="E433" s="814"/>
      <c r="F433" s="814"/>
      <c r="G433" s="814"/>
      <c r="H433" s="814"/>
      <c r="I433" s="814"/>
      <c r="J433" s="814"/>
      <c r="K433" s="814"/>
      <c r="L433" s="814"/>
      <c r="M433" s="814"/>
      <c r="N433" s="814"/>
      <c r="O433" s="814"/>
      <c r="P433" s="814"/>
      <c r="Q433" s="814"/>
      <c r="R433" s="815"/>
      <c r="S433" s="816" t="s">
        <v>1186</v>
      </c>
      <c r="T433" s="816"/>
    </row>
    <row r="434" spans="1:23">
      <c r="Q434" s="807"/>
      <c r="S434" s="816"/>
      <c r="T434" s="816"/>
    </row>
    <row r="435" spans="1:23" ht="15.6" customHeight="1">
      <c r="H435" s="817" t="s">
        <v>1187</v>
      </c>
      <c r="I435" s="817"/>
      <c r="J435" s="817"/>
      <c r="K435" s="817"/>
      <c r="L435" s="817"/>
      <c r="M435" s="817"/>
      <c r="N435" s="817"/>
      <c r="Q435" s="807"/>
    </row>
    <row r="436" spans="1:23" ht="13.15" customHeight="1">
      <c r="Q436" s="816" t="s">
        <v>1386</v>
      </c>
      <c r="R436" s="818"/>
      <c r="S436" s="816"/>
    </row>
    <row r="437" spans="1:23">
      <c r="H437" s="816" t="s">
        <v>1189</v>
      </c>
      <c r="I437" s="816"/>
      <c r="J437" s="819">
        <v>41640</v>
      </c>
      <c r="K437" s="819"/>
      <c r="L437" s="816" t="s">
        <v>1190</v>
      </c>
      <c r="M437" s="816"/>
      <c r="N437" s="819">
        <v>41993</v>
      </c>
      <c r="O437" s="819"/>
      <c r="Q437" s="816"/>
      <c r="R437" s="818"/>
      <c r="S437" s="816"/>
    </row>
    <row r="438" spans="1:23">
      <c r="H438" s="816"/>
      <c r="I438" s="816"/>
      <c r="J438" s="819"/>
      <c r="K438" s="819"/>
      <c r="L438" s="816"/>
      <c r="M438" s="816"/>
      <c r="N438" s="819"/>
      <c r="O438" s="819"/>
      <c r="Q438" s="807"/>
    </row>
    <row r="439" spans="1:23">
      <c r="Q439" s="807"/>
    </row>
    <row r="440" spans="1:23" ht="13.15" customHeight="1">
      <c r="H440" s="809" t="s">
        <v>1191</v>
      </c>
      <c r="I440" s="809"/>
      <c r="J440" s="809"/>
      <c r="K440" s="809" t="s">
        <v>1192</v>
      </c>
      <c r="L440" s="809"/>
      <c r="M440" s="809" t="s">
        <v>1193</v>
      </c>
      <c r="N440" s="809"/>
      <c r="O440" s="809" t="s">
        <v>1194</v>
      </c>
      <c r="P440" s="809"/>
      <c r="Q440" s="809" t="s">
        <v>1195</v>
      </c>
      <c r="R440" s="820"/>
      <c r="S440" s="809" t="s">
        <v>1196</v>
      </c>
      <c r="T440" s="809"/>
    </row>
    <row r="441" spans="1:23">
      <c r="Q441" s="807"/>
    </row>
    <row r="442" spans="1:23" ht="13.15" customHeight="1">
      <c r="A442" s="809" t="s">
        <v>1203</v>
      </c>
      <c r="B442" s="809"/>
      <c r="C442" s="809" t="s">
        <v>1387</v>
      </c>
      <c r="D442" s="809"/>
      <c r="E442" s="809" t="s">
        <v>1198</v>
      </c>
      <c r="F442" s="809"/>
      <c r="G442" s="809" t="s">
        <v>1388</v>
      </c>
      <c r="H442" s="809"/>
      <c r="I442" s="809"/>
      <c r="J442" s="809"/>
      <c r="K442" s="809"/>
      <c r="L442" s="809"/>
      <c r="M442" s="809"/>
      <c r="N442" s="809"/>
      <c r="Q442" s="807"/>
    </row>
    <row r="443" spans="1:23">
      <c r="Q443" s="807"/>
    </row>
    <row r="444" spans="1:23" ht="13.15" customHeight="1">
      <c r="G444" s="810" t="s">
        <v>1200</v>
      </c>
      <c r="H444" s="810"/>
      <c r="O444" s="810" t="s">
        <v>1201</v>
      </c>
      <c r="P444" s="810"/>
      <c r="Q444" s="807"/>
      <c r="U444" s="810" t="s">
        <v>1202</v>
      </c>
      <c r="V444" s="810"/>
    </row>
    <row r="445" spans="1:23" ht="13.15" customHeight="1">
      <c r="B445" s="811" t="s">
        <v>1204</v>
      </c>
      <c r="D445" s="810" t="s">
        <v>1205</v>
      </c>
      <c r="E445" s="810"/>
      <c r="G445" s="810"/>
      <c r="H445" s="810"/>
      <c r="I445" s="810" t="s">
        <v>1206</v>
      </c>
      <c r="J445" s="810"/>
      <c r="K445" s="810" t="s">
        <v>1207</v>
      </c>
      <c r="L445" s="810"/>
      <c r="M445" s="810" t="s">
        <v>1208</v>
      </c>
      <c r="N445" s="810"/>
      <c r="O445" s="810"/>
      <c r="P445" s="810"/>
      <c r="Q445" s="810" t="s">
        <v>1209</v>
      </c>
      <c r="R445" s="812"/>
      <c r="S445" s="810" t="s">
        <v>1210</v>
      </c>
      <c r="T445" s="810"/>
      <c r="U445" s="810"/>
      <c r="V445" s="810"/>
    </row>
    <row r="446" spans="1:23" ht="13.15" customHeight="1">
      <c r="A446" s="821" t="s">
        <v>1314</v>
      </c>
      <c r="B446" s="821"/>
      <c r="D446" s="821" t="s">
        <v>1315</v>
      </c>
      <c r="E446" s="821"/>
      <c r="F446" s="821"/>
      <c r="G446" s="821"/>
      <c r="Q446" s="807"/>
    </row>
    <row r="447" spans="1:23">
      <c r="A447" s="821"/>
      <c r="B447" s="821"/>
      <c r="D447" s="821"/>
      <c r="E447" s="821"/>
      <c r="F447" s="821"/>
      <c r="G447" s="821"/>
      <c r="H447" s="822">
        <v>0</v>
      </c>
      <c r="I447" s="822"/>
      <c r="J447" s="822">
        <v>28665</v>
      </c>
      <c r="K447" s="822"/>
      <c r="L447" s="822">
        <v>28665</v>
      </c>
      <c r="M447" s="822"/>
      <c r="N447" s="822">
        <v>0</v>
      </c>
      <c r="O447" s="822"/>
      <c r="P447" s="822">
        <v>28665</v>
      </c>
      <c r="Q447" s="822"/>
      <c r="R447" s="826">
        <v>0</v>
      </c>
      <c r="S447" s="822"/>
      <c r="T447" s="822">
        <v>0</v>
      </c>
      <c r="U447" s="822"/>
      <c r="V447" s="822">
        <v>28665</v>
      </c>
      <c r="W447" s="822"/>
    </row>
    <row r="448" spans="1:23" ht="13.15" customHeight="1">
      <c r="A448" s="821" t="s">
        <v>1389</v>
      </c>
      <c r="B448" s="821"/>
      <c r="D448" s="821" t="s">
        <v>1390</v>
      </c>
      <c r="E448" s="821"/>
      <c r="F448" s="821"/>
      <c r="G448" s="821"/>
      <c r="H448" s="822"/>
      <c r="I448" s="822"/>
      <c r="J448" s="822"/>
      <c r="K448" s="822"/>
      <c r="L448" s="822"/>
      <c r="M448" s="822"/>
      <c r="N448" s="822"/>
      <c r="O448" s="822"/>
      <c r="P448" s="822"/>
      <c r="Q448" s="826"/>
      <c r="R448" s="826"/>
      <c r="S448" s="822"/>
      <c r="T448" s="822"/>
      <c r="U448" s="822"/>
      <c r="V448" s="822"/>
      <c r="W448" s="822"/>
    </row>
    <row r="449" spans="1:23">
      <c r="A449" s="821"/>
      <c r="B449" s="821"/>
      <c r="D449" s="821"/>
      <c r="E449" s="821"/>
      <c r="F449" s="821"/>
      <c r="G449" s="821"/>
      <c r="Q449" s="807"/>
    </row>
    <row r="450" spans="1:23">
      <c r="A450" s="821"/>
      <c r="B450" s="821"/>
      <c r="D450" s="821"/>
      <c r="E450" s="821"/>
      <c r="F450" s="821"/>
      <c r="G450" s="821"/>
      <c r="H450" s="822">
        <v>0</v>
      </c>
      <c r="I450" s="822"/>
      <c r="J450" s="822">
        <v>52468.36</v>
      </c>
      <c r="K450" s="822"/>
      <c r="L450" s="822">
        <v>52468.36</v>
      </c>
      <c r="M450" s="822"/>
      <c r="N450" s="822">
        <v>44688.800000000003</v>
      </c>
      <c r="O450" s="822"/>
      <c r="P450" s="822">
        <v>7779.56</v>
      </c>
      <c r="Q450" s="822"/>
      <c r="R450" s="826">
        <v>0</v>
      </c>
      <c r="S450" s="822"/>
      <c r="T450" s="822">
        <v>0</v>
      </c>
      <c r="U450" s="822"/>
      <c r="V450" s="822">
        <v>52468.36</v>
      </c>
      <c r="W450" s="822"/>
    </row>
    <row r="451" spans="1:23">
      <c r="Q451" s="807"/>
    </row>
    <row r="452" spans="1:23" ht="13.15" customHeight="1">
      <c r="D452" s="816" t="s">
        <v>1344</v>
      </c>
      <c r="E452" s="816"/>
      <c r="F452" s="825">
        <v>0</v>
      </c>
      <c r="G452" s="825"/>
      <c r="H452" s="825"/>
      <c r="I452" s="825">
        <v>81133.36</v>
      </c>
      <c r="J452" s="825"/>
      <c r="K452" s="825">
        <v>81133.36</v>
      </c>
      <c r="L452" s="825"/>
      <c r="M452" s="825">
        <v>44688.800000000003</v>
      </c>
      <c r="N452" s="825"/>
      <c r="O452" s="825">
        <v>36444.559999999998</v>
      </c>
      <c r="P452" s="825"/>
      <c r="Q452" s="825">
        <v>0</v>
      </c>
      <c r="R452" s="828"/>
      <c r="S452" s="825">
        <v>0</v>
      </c>
      <c r="T452" s="825"/>
      <c r="U452" s="825">
        <v>81133.36</v>
      </c>
      <c r="V452" s="825"/>
    </row>
    <row r="453" spans="1:23">
      <c r="Q453" s="807"/>
    </row>
    <row r="454" spans="1:23">
      <c r="Q454" s="807"/>
    </row>
    <row r="455" spans="1:23" ht="13.15" customHeight="1">
      <c r="A455" s="813" t="s">
        <v>1243</v>
      </c>
      <c r="E455" s="823" t="s">
        <v>1244</v>
      </c>
      <c r="F455" s="823"/>
      <c r="J455" s="823" t="s">
        <v>1245</v>
      </c>
      <c r="K455" s="823"/>
      <c r="O455" s="823" t="s">
        <v>1246</v>
      </c>
      <c r="P455" s="823"/>
      <c r="Q455" s="823"/>
    </row>
    <row r="456" spans="1:23" ht="13.15" customHeight="1">
      <c r="B456" s="824" t="s">
        <v>1247</v>
      </c>
      <c r="C456" s="824"/>
      <c r="D456" s="824"/>
      <c r="E456" s="824" t="s">
        <v>1248</v>
      </c>
      <c r="F456" s="824"/>
      <c r="G456" s="824"/>
      <c r="H456" s="824"/>
      <c r="J456" s="824" t="s">
        <v>1249</v>
      </c>
      <c r="K456" s="824"/>
      <c r="L456" s="824"/>
      <c r="Q456" s="807"/>
    </row>
    <row r="457" spans="1:23">
      <c r="Q457" s="807"/>
    </row>
    <row r="458" spans="1:23">
      <c r="Q458" s="807"/>
    </row>
    <row r="459" spans="1:23" ht="13.15" customHeight="1">
      <c r="D459" s="814" t="s">
        <v>1185</v>
      </c>
      <c r="E459" s="814"/>
      <c r="F459" s="814"/>
      <c r="G459" s="814"/>
      <c r="H459" s="814"/>
      <c r="I459" s="814"/>
      <c r="J459" s="814"/>
      <c r="K459" s="814"/>
      <c r="L459" s="814"/>
      <c r="M459" s="814"/>
      <c r="N459" s="814"/>
      <c r="O459" s="814"/>
      <c r="P459" s="814"/>
      <c r="Q459" s="814"/>
      <c r="R459" s="815"/>
    </row>
    <row r="460" spans="1:23" ht="13.15" customHeight="1">
      <c r="D460" s="814"/>
      <c r="E460" s="814"/>
      <c r="F460" s="814"/>
      <c r="G460" s="814"/>
      <c r="H460" s="814"/>
      <c r="I460" s="814"/>
      <c r="J460" s="814"/>
      <c r="K460" s="814"/>
      <c r="L460" s="814"/>
      <c r="M460" s="814"/>
      <c r="N460" s="814"/>
      <c r="O460" s="814"/>
      <c r="P460" s="814"/>
      <c r="Q460" s="814"/>
      <c r="R460" s="815"/>
      <c r="S460" s="816" t="s">
        <v>1186</v>
      </c>
      <c r="T460" s="816"/>
    </row>
    <row r="461" spans="1:23">
      <c r="Q461" s="807"/>
      <c r="S461" s="816"/>
      <c r="T461" s="816"/>
    </row>
    <row r="462" spans="1:23" ht="15.6" customHeight="1">
      <c r="H462" s="817" t="s">
        <v>1187</v>
      </c>
      <c r="I462" s="817"/>
      <c r="J462" s="817"/>
      <c r="K462" s="817"/>
      <c r="L462" s="817"/>
      <c r="M462" s="817"/>
      <c r="N462" s="817"/>
      <c r="Q462" s="807"/>
    </row>
    <row r="463" spans="1:23" ht="13.15" customHeight="1">
      <c r="Q463" s="816" t="s">
        <v>1391</v>
      </c>
      <c r="R463" s="818"/>
      <c r="S463" s="816"/>
    </row>
    <row r="464" spans="1:23">
      <c r="H464" s="816" t="s">
        <v>1189</v>
      </c>
      <c r="I464" s="816"/>
      <c r="J464" s="819">
        <v>41640</v>
      </c>
      <c r="K464" s="819"/>
      <c r="L464" s="816" t="s">
        <v>1190</v>
      </c>
      <c r="M464" s="816"/>
      <c r="N464" s="819">
        <v>41993</v>
      </c>
      <c r="O464" s="819"/>
      <c r="Q464" s="816"/>
      <c r="R464" s="818"/>
      <c r="S464" s="816"/>
    </row>
    <row r="465" spans="1:23">
      <c r="H465" s="816"/>
      <c r="I465" s="816"/>
      <c r="J465" s="819"/>
      <c r="K465" s="819"/>
      <c r="L465" s="816"/>
      <c r="M465" s="816"/>
      <c r="N465" s="819"/>
      <c r="O465" s="819"/>
      <c r="Q465" s="807"/>
    </row>
    <row r="466" spans="1:23">
      <c r="Q466" s="807"/>
    </row>
    <row r="467" spans="1:23" ht="13.15" customHeight="1">
      <c r="H467" s="809" t="s">
        <v>1191</v>
      </c>
      <c r="I467" s="809"/>
      <c r="J467" s="809"/>
      <c r="K467" s="809" t="s">
        <v>1192</v>
      </c>
      <c r="L467" s="809"/>
      <c r="M467" s="809" t="s">
        <v>1193</v>
      </c>
      <c r="N467" s="809"/>
      <c r="O467" s="809" t="s">
        <v>1194</v>
      </c>
      <c r="P467" s="809"/>
      <c r="Q467" s="809" t="s">
        <v>1195</v>
      </c>
      <c r="R467" s="820"/>
      <c r="S467" s="809" t="s">
        <v>1196</v>
      </c>
      <c r="T467" s="809"/>
    </row>
    <row r="468" spans="1:23">
      <c r="Q468" s="807"/>
    </row>
    <row r="469" spans="1:23" ht="13.15" customHeight="1">
      <c r="A469" s="809" t="s">
        <v>1203</v>
      </c>
      <c r="B469" s="809"/>
      <c r="C469" s="809" t="s">
        <v>1392</v>
      </c>
      <c r="D469" s="809"/>
      <c r="E469" s="809" t="s">
        <v>1198</v>
      </c>
      <c r="F469" s="809"/>
      <c r="G469" s="809" t="s">
        <v>1393</v>
      </c>
      <c r="H469" s="809"/>
      <c r="I469" s="809"/>
      <c r="J469" s="809"/>
      <c r="K469" s="809"/>
      <c r="L469" s="809"/>
      <c r="M469" s="809"/>
      <c r="N469" s="809"/>
      <c r="Q469" s="807"/>
    </row>
    <row r="470" spans="1:23">
      <c r="Q470" s="807"/>
    </row>
    <row r="471" spans="1:23" ht="13.15" customHeight="1">
      <c r="G471" s="810" t="s">
        <v>1200</v>
      </c>
      <c r="H471" s="810"/>
      <c r="O471" s="810" t="s">
        <v>1201</v>
      </c>
      <c r="P471" s="810"/>
      <c r="Q471" s="807"/>
      <c r="U471" s="810" t="s">
        <v>1202</v>
      </c>
      <c r="V471" s="810"/>
    </row>
    <row r="472" spans="1:23" ht="13.15" customHeight="1">
      <c r="B472" s="811" t="s">
        <v>1204</v>
      </c>
      <c r="D472" s="810" t="s">
        <v>1205</v>
      </c>
      <c r="E472" s="810"/>
      <c r="G472" s="810"/>
      <c r="H472" s="810"/>
      <c r="I472" s="810" t="s">
        <v>1206</v>
      </c>
      <c r="J472" s="810"/>
      <c r="K472" s="810" t="s">
        <v>1207</v>
      </c>
      <c r="L472" s="810"/>
      <c r="M472" s="810" t="s">
        <v>1208</v>
      </c>
      <c r="N472" s="810"/>
      <c r="O472" s="810"/>
      <c r="P472" s="810"/>
      <c r="Q472" s="810" t="s">
        <v>1209</v>
      </c>
      <c r="R472" s="812"/>
      <c r="S472" s="810" t="s">
        <v>1210</v>
      </c>
      <c r="T472" s="810"/>
      <c r="U472" s="810"/>
      <c r="V472" s="810"/>
    </row>
    <row r="473" spans="1:23" ht="13.15" customHeight="1">
      <c r="A473" s="821" t="s">
        <v>1214</v>
      </c>
      <c r="B473" s="821"/>
      <c r="D473" s="821" t="s">
        <v>32</v>
      </c>
      <c r="E473" s="821"/>
      <c r="F473" s="821"/>
      <c r="G473" s="821"/>
      <c r="Q473" s="807"/>
    </row>
    <row r="474" spans="1:23">
      <c r="A474" s="821"/>
      <c r="B474" s="821"/>
      <c r="D474" s="821"/>
      <c r="E474" s="821"/>
      <c r="F474" s="821"/>
      <c r="G474" s="821"/>
      <c r="H474" s="822">
        <v>0</v>
      </c>
      <c r="I474" s="822"/>
      <c r="J474" s="822">
        <v>900</v>
      </c>
      <c r="K474" s="822"/>
      <c r="L474" s="822">
        <v>900</v>
      </c>
      <c r="M474" s="822"/>
      <c r="N474" s="822">
        <v>875.11</v>
      </c>
      <c r="O474" s="822"/>
      <c r="P474" s="822">
        <v>24.89</v>
      </c>
      <c r="Q474" s="822"/>
      <c r="R474" s="826">
        <v>875.11</v>
      </c>
      <c r="S474" s="822"/>
      <c r="T474" s="822">
        <v>875.11</v>
      </c>
      <c r="U474" s="822"/>
      <c r="V474" s="822">
        <v>24.89</v>
      </c>
      <c r="W474" s="822"/>
    </row>
    <row r="475" spans="1:23" ht="13.15" customHeight="1">
      <c r="A475" s="821" t="s">
        <v>1215</v>
      </c>
      <c r="B475" s="821"/>
      <c r="D475" s="821" t="s">
        <v>33</v>
      </c>
      <c r="E475" s="821"/>
      <c r="F475" s="821"/>
      <c r="G475" s="821"/>
      <c r="Q475" s="807"/>
    </row>
    <row r="476" spans="1:23">
      <c r="A476" s="821"/>
      <c r="B476" s="821"/>
      <c r="D476" s="821"/>
      <c r="E476" s="821"/>
      <c r="F476" s="821"/>
      <c r="G476" s="821"/>
      <c r="H476" s="822">
        <v>0</v>
      </c>
      <c r="I476" s="822"/>
      <c r="J476" s="822">
        <v>340</v>
      </c>
      <c r="K476" s="822"/>
      <c r="L476" s="822">
        <v>340</v>
      </c>
      <c r="M476" s="822"/>
      <c r="N476" s="822">
        <v>283.3</v>
      </c>
      <c r="O476" s="822"/>
      <c r="P476" s="822">
        <v>56.7</v>
      </c>
      <c r="Q476" s="822"/>
      <c r="R476" s="826">
        <v>283.3</v>
      </c>
      <c r="S476" s="822"/>
      <c r="T476" s="822">
        <v>283.3</v>
      </c>
      <c r="U476" s="822"/>
      <c r="V476" s="822">
        <v>56.7</v>
      </c>
      <c r="W476" s="822"/>
    </row>
    <row r="477" spans="1:23" ht="13.15" customHeight="1">
      <c r="A477" s="821" t="s">
        <v>1225</v>
      </c>
      <c r="B477" s="821"/>
      <c r="D477" s="821" t="s">
        <v>1226</v>
      </c>
      <c r="E477" s="821"/>
      <c r="F477" s="821"/>
      <c r="G477" s="821"/>
      <c r="Q477" s="807"/>
    </row>
    <row r="478" spans="1:23">
      <c r="A478" s="821"/>
      <c r="B478" s="821"/>
      <c r="D478" s="821"/>
      <c r="E478" s="821"/>
      <c r="F478" s="821"/>
      <c r="G478" s="821"/>
      <c r="H478" s="822">
        <v>0</v>
      </c>
      <c r="I478" s="822"/>
      <c r="J478" s="822">
        <v>8800</v>
      </c>
      <c r="K478" s="822"/>
      <c r="L478" s="822">
        <v>8800</v>
      </c>
      <c r="M478" s="822"/>
      <c r="N478" s="822">
        <v>8800</v>
      </c>
      <c r="O478" s="822"/>
      <c r="P478" s="822">
        <v>0</v>
      </c>
      <c r="Q478" s="822"/>
      <c r="R478" s="826">
        <v>8800</v>
      </c>
      <c r="S478" s="822"/>
      <c r="T478" s="822">
        <v>8800</v>
      </c>
      <c r="U478" s="822"/>
      <c r="V478" s="822">
        <v>0</v>
      </c>
      <c r="W478" s="822"/>
    </row>
    <row r="479" spans="1:23" ht="13.15" customHeight="1">
      <c r="A479" s="821" t="s">
        <v>1229</v>
      </c>
      <c r="B479" s="821"/>
      <c r="D479" s="821" t="s">
        <v>36</v>
      </c>
      <c r="E479" s="821"/>
      <c r="F479" s="821"/>
      <c r="G479" s="821"/>
      <c r="Q479" s="807"/>
    </row>
    <row r="480" spans="1:23">
      <c r="A480" s="821"/>
      <c r="B480" s="821"/>
      <c r="D480" s="821"/>
      <c r="E480" s="821"/>
      <c r="F480" s="821"/>
      <c r="G480" s="821"/>
      <c r="H480" s="822">
        <v>0</v>
      </c>
      <c r="I480" s="822"/>
      <c r="J480" s="822">
        <v>1000</v>
      </c>
      <c r="K480" s="822"/>
      <c r="L480" s="822">
        <v>1000</v>
      </c>
      <c r="M480" s="822"/>
      <c r="N480" s="822">
        <v>820.16</v>
      </c>
      <c r="O480" s="822"/>
      <c r="P480" s="822">
        <v>179.84</v>
      </c>
      <c r="Q480" s="822"/>
      <c r="R480" s="826">
        <v>820.16</v>
      </c>
      <c r="S480" s="822"/>
      <c r="T480" s="822">
        <v>820.16</v>
      </c>
      <c r="U480" s="822"/>
      <c r="V480" s="822">
        <v>179.84</v>
      </c>
      <c r="W480" s="822"/>
    </row>
    <row r="481" spans="1:23" ht="13.15" customHeight="1">
      <c r="A481" s="821" t="s">
        <v>1230</v>
      </c>
      <c r="B481" s="821"/>
      <c r="D481" s="821" t="s">
        <v>1231</v>
      </c>
      <c r="E481" s="821"/>
      <c r="F481" s="821"/>
      <c r="G481" s="821"/>
      <c r="Q481" s="807"/>
    </row>
    <row r="482" spans="1:23">
      <c r="A482" s="821"/>
      <c r="B482" s="821"/>
      <c r="D482" s="821"/>
      <c r="E482" s="821"/>
      <c r="F482" s="821"/>
      <c r="G482" s="821"/>
      <c r="H482" s="822">
        <v>0</v>
      </c>
      <c r="I482" s="822"/>
      <c r="J482" s="822">
        <v>750</v>
      </c>
      <c r="K482" s="822"/>
      <c r="L482" s="822">
        <v>750</v>
      </c>
      <c r="M482" s="822"/>
      <c r="N482" s="822">
        <v>733.05000000000007</v>
      </c>
      <c r="O482" s="822"/>
      <c r="P482" s="822">
        <v>16.95</v>
      </c>
      <c r="Q482" s="822"/>
      <c r="R482" s="826">
        <v>733.05000000000007</v>
      </c>
      <c r="S482" s="822"/>
      <c r="T482" s="822">
        <v>733.05000000000007</v>
      </c>
      <c r="U482" s="822"/>
      <c r="V482" s="822">
        <v>16.95</v>
      </c>
      <c r="W482" s="822"/>
    </row>
    <row r="483" spans="1:23" ht="13.15" customHeight="1">
      <c r="A483" s="821" t="s">
        <v>1237</v>
      </c>
      <c r="B483" s="821"/>
      <c r="D483" s="821" t="s">
        <v>1238</v>
      </c>
      <c r="E483" s="821"/>
      <c r="F483" s="821"/>
      <c r="G483" s="821"/>
      <c r="Q483" s="807"/>
    </row>
    <row r="484" spans="1:23">
      <c r="A484" s="821"/>
      <c r="B484" s="821"/>
      <c r="D484" s="821"/>
      <c r="E484" s="821"/>
      <c r="F484" s="821"/>
      <c r="G484" s="821"/>
      <c r="H484" s="822">
        <v>0</v>
      </c>
      <c r="I484" s="822"/>
      <c r="J484" s="822">
        <v>3000</v>
      </c>
      <c r="K484" s="822"/>
      <c r="L484" s="822">
        <v>3000</v>
      </c>
      <c r="M484" s="822"/>
      <c r="N484" s="822">
        <v>2926</v>
      </c>
      <c r="O484" s="822"/>
      <c r="P484" s="822">
        <v>74</v>
      </c>
      <c r="Q484" s="822"/>
      <c r="R484" s="826">
        <v>2926</v>
      </c>
      <c r="S484" s="822"/>
      <c r="T484" s="822">
        <v>2926</v>
      </c>
      <c r="U484" s="822"/>
      <c r="V484" s="822">
        <v>74</v>
      </c>
      <c r="W484" s="822"/>
    </row>
    <row r="485" spans="1:23" ht="13.15" customHeight="1">
      <c r="A485" s="821" t="s">
        <v>1274</v>
      </c>
      <c r="B485" s="821"/>
      <c r="D485" s="821" t="s">
        <v>1275</v>
      </c>
      <c r="E485" s="821"/>
      <c r="F485" s="821"/>
      <c r="G485" s="821"/>
      <c r="H485" s="822"/>
      <c r="I485" s="822"/>
      <c r="J485" s="822"/>
      <c r="K485" s="822"/>
      <c r="L485" s="822"/>
      <c r="M485" s="822"/>
      <c r="N485" s="822"/>
      <c r="O485" s="822"/>
      <c r="P485" s="822"/>
      <c r="Q485" s="822"/>
      <c r="R485" s="826"/>
      <c r="S485" s="822"/>
      <c r="T485" s="822"/>
      <c r="U485" s="822"/>
      <c r="V485" s="822"/>
      <c r="W485" s="822"/>
    </row>
    <row r="486" spans="1:23">
      <c r="A486" s="821"/>
      <c r="B486" s="821"/>
      <c r="D486" s="821"/>
      <c r="E486" s="821"/>
      <c r="F486" s="821"/>
      <c r="G486" s="821"/>
      <c r="Q486" s="807"/>
    </row>
    <row r="487" spans="1:23">
      <c r="A487" s="821"/>
      <c r="B487" s="821"/>
      <c r="D487" s="821"/>
      <c r="E487" s="821"/>
      <c r="F487" s="821"/>
      <c r="G487" s="821"/>
      <c r="H487" s="822">
        <v>0</v>
      </c>
      <c r="I487" s="822"/>
      <c r="J487" s="822">
        <v>20</v>
      </c>
      <c r="K487" s="822"/>
      <c r="L487" s="822">
        <v>20</v>
      </c>
      <c r="M487" s="822"/>
      <c r="N487" s="822">
        <v>18.5</v>
      </c>
      <c r="O487" s="822"/>
      <c r="P487" s="822">
        <v>1.5</v>
      </c>
      <c r="Q487" s="822"/>
      <c r="R487" s="826">
        <v>18.5</v>
      </c>
      <c r="S487" s="822"/>
      <c r="T487" s="822">
        <v>18.5</v>
      </c>
      <c r="U487" s="822"/>
      <c r="V487" s="822">
        <v>1.5</v>
      </c>
      <c r="W487" s="822"/>
    </row>
    <row r="488" spans="1:23" ht="13.15" customHeight="1">
      <c r="A488" s="821" t="s">
        <v>1288</v>
      </c>
      <c r="B488" s="821"/>
      <c r="D488" s="821" t="s">
        <v>52</v>
      </c>
      <c r="E488" s="821"/>
      <c r="F488" s="821"/>
      <c r="G488" s="821"/>
      <c r="Q488" s="807"/>
    </row>
    <row r="489" spans="1:23">
      <c r="A489" s="821"/>
      <c r="B489" s="821"/>
      <c r="D489" s="821"/>
      <c r="E489" s="821"/>
      <c r="F489" s="821"/>
      <c r="G489" s="821"/>
      <c r="H489" s="822">
        <v>0</v>
      </c>
      <c r="I489" s="822"/>
      <c r="J489" s="822">
        <v>268665.93</v>
      </c>
      <c r="K489" s="822"/>
      <c r="L489" s="822">
        <v>268665.93</v>
      </c>
      <c r="M489" s="822"/>
      <c r="N489" s="822">
        <v>129991.73</v>
      </c>
      <c r="O489" s="822"/>
      <c r="P489" s="822">
        <v>138674.20000000001</v>
      </c>
      <c r="Q489" s="822"/>
      <c r="R489" s="826">
        <v>129991.73</v>
      </c>
      <c r="S489" s="822"/>
      <c r="T489" s="822">
        <v>129991.73</v>
      </c>
      <c r="U489" s="822"/>
      <c r="V489" s="822">
        <v>138674.20000000001</v>
      </c>
      <c r="W489" s="822"/>
    </row>
    <row r="490" spans="1:23">
      <c r="A490" s="821" t="s">
        <v>1289</v>
      </c>
      <c r="B490" s="821"/>
      <c r="D490" s="821" t="s">
        <v>1284</v>
      </c>
      <c r="E490" s="821"/>
      <c r="F490" s="821"/>
      <c r="G490" s="821"/>
      <c r="Q490" s="807"/>
    </row>
    <row r="491" spans="1:23">
      <c r="A491" s="821"/>
      <c r="B491" s="821"/>
      <c r="D491" s="821"/>
      <c r="E491" s="821"/>
      <c r="F491" s="821"/>
      <c r="G491" s="821"/>
      <c r="H491" s="822">
        <v>0</v>
      </c>
      <c r="I491" s="822"/>
      <c r="J491" s="822">
        <v>9180</v>
      </c>
      <c r="K491" s="822"/>
      <c r="L491" s="822">
        <v>9180</v>
      </c>
      <c r="M491" s="822"/>
      <c r="N491" s="822">
        <v>0</v>
      </c>
      <c r="O491" s="822"/>
      <c r="P491" s="822">
        <v>9180</v>
      </c>
      <c r="Q491" s="822"/>
      <c r="R491" s="826">
        <v>0</v>
      </c>
      <c r="S491" s="822"/>
      <c r="T491" s="822">
        <v>0</v>
      </c>
      <c r="U491" s="822"/>
      <c r="V491" s="822">
        <v>9180</v>
      </c>
      <c r="W491" s="822"/>
    </row>
    <row r="492" spans="1:23" ht="13.15" customHeight="1">
      <c r="A492" s="821" t="s">
        <v>1300</v>
      </c>
      <c r="B492" s="821"/>
      <c r="D492" s="821" t="s">
        <v>1394</v>
      </c>
      <c r="E492" s="821"/>
      <c r="F492" s="821"/>
      <c r="G492" s="821"/>
      <c r="Q492" s="807"/>
    </row>
    <row r="493" spans="1:23">
      <c r="A493" s="821"/>
      <c r="B493" s="821"/>
      <c r="D493" s="821"/>
      <c r="E493" s="821"/>
      <c r="F493" s="821"/>
      <c r="G493" s="821"/>
      <c r="H493" s="822">
        <v>0</v>
      </c>
      <c r="I493" s="822"/>
      <c r="J493" s="822">
        <v>427.84000000000003</v>
      </c>
      <c r="K493" s="822"/>
      <c r="L493" s="822">
        <v>427.84000000000003</v>
      </c>
      <c r="M493" s="822"/>
      <c r="N493" s="822">
        <v>0</v>
      </c>
      <c r="O493" s="822"/>
      <c r="P493" s="822">
        <v>427.84000000000003</v>
      </c>
      <c r="Q493" s="822"/>
      <c r="R493" s="826">
        <v>0</v>
      </c>
      <c r="S493" s="822"/>
      <c r="T493" s="822">
        <v>0</v>
      </c>
      <c r="U493" s="822"/>
      <c r="V493" s="822">
        <v>427.84000000000003</v>
      </c>
      <c r="W493" s="822"/>
    </row>
    <row r="494" spans="1:23" ht="13.15" customHeight="1">
      <c r="A494" s="821" t="s">
        <v>1301</v>
      </c>
      <c r="B494" s="821"/>
      <c r="D494" s="821" t="s">
        <v>1302</v>
      </c>
      <c r="E494" s="821"/>
      <c r="F494" s="821"/>
      <c r="G494" s="821"/>
      <c r="Q494" s="807"/>
    </row>
    <row r="495" spans="1:23">
      <c r="A495" s="821"/>
      <c r="B495" s="821"/>
      <c r="D495" s="821"/>
      <c r="E495" s="821"/>
      <c r="F495" s="821"/>
      <c r="G495" s="821"/>
      <c r="H495" s="822">
        <v>0</v>
      </c>
      <c r="I495" s="822"/>
      <c r="J495" s="822">
        <v>2500</v>
      </c>
      <c r="K495" s="822"/>
      <c r="L495" s="822">
        <v>2500</v>
      </c>
      <c r="M495" s="822"/>
      <c r="N495" s="822">
        <v>0</v>
      </c>
      <c r="O495" s="822"/>
      <c r="P495" s="822">
        <v>2500</v>
      </c>
      <c r="Q495" s="822"/>
      <c r="R495" s="826">
        <v>0</v>
      </c>
      <c r="S495" s="822"/>
      <c r="T495" s="822">
        <v>0</v>
      </c>
      <c r="U495" s="822"/>
      <c r="V495" s="822">
        <v>2500</v>
      </c>
      <c r="W495" s="822"/>
    </row>
    <row r="496" spans="1:23" ht="13.15" customHeight="1">
      <c r="A496" s="821" t="s">
        <v>1303</v>
      </c>
      <c r="B496" s="821"/>
      <c r="D496" s="821" t="s">
        <v>1395</v>
      </c>
      <c r="E496" s="821"/>
      <c r="F496" s="821"/>
      <c r="G496" s="821"/>
      <c r="H496" s="822"/>
      <c r="I496" s="822"/>
      <c r="J496" s="822"/>
      <c r="K496" s="822"/>
      <c r="L496" s="822"/>
      <c r="M496" s="822"/>
      <c r="N496" s="822"/>
      <c r="O496" s="822"/>
      <c r="P496" s="822"/>
      <c r="Q496" s="822"/>
      <c r="R496" s="826"/>
      <c r="S496" s="822"/>
      <c r="T496" s="822"/>
      <c r="U496" s="822"/>
      <c r="V496" s="822"/>
      <c r="W496" s="822"/>
    </row>
    <row r="497" spans="1:23">
      <c r="A497" s="821"/>
      <c r="B497" s="821"/>
      <c r="D497" s="821"/>
      <c r="E497" s="821"/>
      <c r="F497" s="821"/>
      <c r="G497" s="821"/>
      <c r="Q497" s="807"/>
    </row>
    <row r="498" spans="1:23">
      <c r="A498" s="821"/>
      <c r="B498" s="821"/>
      <c r="D498" s="821"/>
      <c r="E498" s="821"/>
      <c r="F498" s="821"/>
      <c r="G498" s="821"/>
      <c r="H498" s="822">
        <v>0</v>
      </c>
      <c r="I498" s="822"/>
      <c r="J498" s="822">
        <v>17312.09</v>
      </c>
      <c r="K498" s="822"/>
      <c r="L498" s="822">
        <v>17312.09</v>
      </c>
      <c r="M498" s="822"/>
      <c r="N498" s="822">
        <v>16215.68</v>
      </c>
      <c r="O498" s="822"/>
      <c r="P498" s="822">
        <v>1096.4100000000001</v>
      </c>
      <c r="Q498" s="822"/>
      <c r="R498" s="826">
        <v>16215.68</v>
      </c>
      <c r="S498" s="822"/>
      <c r="T498" s="822">
        <v>16215.68</v>
      </c>
      <c r="U498" s="822"/>
      <c r="V498" s="822">
        <v>1096.4100000000001</v>
      </c>
      <c r="W498" s="822"/>
    </row>
    <row r="499" spans="1:23" ht="13.15" customHeight="1">
      <c r="A499" s="821" t="s">
        <v>1316</v>
      </c>
      <c r="B499" s="821"/>
      <c r="D499" s="821" t="s">
        <v>1396</v>
      </c>
      <c r="E499" s="821"/>
      <c r="F499" s="821"/>
      <c r="G499" s="821"/>
      <c r="Q499" s="807"/>
    </row>
    <row r="500" spans="1:23">
      <c r="A500" s="821"/>
      <c r="B500" s="821"/>
      <c r="D500" s="821"/>
      <c r="E500" s="821"/>
      <c r="F500" s="821"/>
      <c r="G500" s="821"/>
      <c r="H500" s="822">
        <v>0</v>
      </c>
      <c r="I500" s="822"/>
      <c r="J500" s="822">
        <v>54074.22</v>
      </c>
      <c r="K500" s="822"/>
      <c r="L500" s="822">
        <v>54074.22</v>
      </c>
      <c r="M500" s="822"/>
      <c r="N500" s="822">
        <v>0</v>
      </c>
      <c r="O500" s="822"/>
      <c r="P500" s="822">
        <v>54074.22</v>
      </c>
      <c r="Q500" s="822"/>
      <c r="R500" s="826">
        <v>0</v>
      </c>
      <c r="S500" s="822"/>
      <c r="T500" s="822">
        <v>0</v>
      </c>
      <c r="U500" s="822"/>
      <c r="V500" s="822">
        <v>54074.22</v>
      </c>
      <c r="W500" s="822"/>
    </row>
    <row r="501" spans="1:23" ht="13.15" customHeight="1">
      <c r="A501" s="821" t="s">
        <v>1397</v>
      </c>
      <c r="B501" s="821"/>
      <c r="D501" s="821" t="s">
        <v>1398</v>
      </c>
      <c r="E501" s="821"/>
      <c r="F501" s="821"/>
      <c r="G501" s="821"/>
    </row>
    <row r="502" spans="1:23">
      <c r="A502" s="821"/>
      <c r="B502" s="821"/>
      <c r="D502" s="821"/>
      <c r="E502" s="821"/>
      <c r="F502" s="821"/>
      <c r="G502" s="821"/>
      <c r="H502" s="822">
        <v>0</v>
      </c>
      <c r="I502" s="822"/>
      <c r="J502" s="822">
        <v>250</v>
      </c>
      <c r="K502" s="822"/>
      <c r="L502" s="822">
        <v>250</v>
      </c>
      <c r="M502" s="822"/>
      <c r="N502" s="822">
        <v>0</v>
      </c>
      <c r="O502" s="822"/>
      <c r="P502" s="822">
        <v>250</v>
      </c>
      <c r="Q502" s="822"/>
      <c r="R502" s="826">
        <v>0</v>
      </c>
      <c r="S502" s="822"/>
      <c r="T502" s="822">
        <v>0</v>
      </c>
      <c r="U502" s="822"/>
      <c r="V502" s="822">
        <v>250</v>
      </c>
      <c r="W502" s="822"/>
    </row>
    <row r="503" spans="1:23" ht="13.15" customHeight="1">
      <c r="A503" s="821" t="s">
        <v>1334</v>
      </c>
      <c r="B503" s="821"/>
      <c r="D503" s="821" t="s">
        <v>65</v>
      </c>
      <c r="E503" s="821"/>
      <c r="F503" s="821"/>
      <c r="G503" s="821"/>
      <c r="H503" s="822"/>
      <c r="I503" s="822"/>
      <c r="J503" s="822"/>
      <c r="K503" s="822"/>
      <c r="L503" s="822"/>
      <c r="M503" s="822"/>
      <c r="N503" s="822"/>
      <c r="O503" s="822"/>
      <c r="P503" s="822"/>
      <c r="Q503" s="822"/>
      <c r="R503" s="826"/>
      <c r="S503" s="822"/>
      <c r="T503" s="822"/>
      <c r="U503" s="822"/>
      <c r="V503" s="822"/>
      <c r="W503" s="822"/>
    </row>
    <row r="504" spans="1:23">
      <c r="A504" s="821"/>
      <c r="B504" s="821"/>
      <c r="D504" s="821"/>
      <c r="E504" s="821"/>
      <c r="F504" s="821"/>
      <c r="G504" s="821"/>
      <c r="Q504" s="807"/>
    </row>
    <row r="505" spans="1:23">
      <c r="A505" s="821"/>
      <c r="B505" s="821"/>
      <c r="D505" s="821"/>
      <c r="E505" s="821"/>
      <c r="F505" s="821"/>
      <c r="G505" s="821"/>
      <c r="H505" s="822">
        <v>0</v>
      </c>
      <c r="I505" s="822"/>
      <c r="J505" s="822">
        <v>100</v>
      </c>
      <c r="K505" s="822"/>
      <c r="L505" s="822">
        <v>100</v>
      </c>
      <c r="M505" s="822"/>
      <c r="N505" s="822">
        <v>3.85</v>
      </c>
      <c r="O505" s="822"/>
      <c r="P505" s="822">
        <v>96.15</v>
      </c>
      <c r="Q505" s="822"/>
      <c r="R505" s="826">
        <v>3.85</v>
      </c>
      <c r="S505" s="822"/>
      <c r="T505" s="822">
        <v>3.85</v>
      </c>
      <c r="U505" s="822"/>
      <c r="V505" s="822">
        <v>96.15</v>
      </c>
      <c r="W505" s="822"/>
    </row>
    <row r="506" spans="1:23" ht="13.15" customHeight="1">
      <c r="A506" s="821" t="s">
        <v>1342</v>
      </c>
      <c r="B506" s="821"/>
      <c r="D506" s="821" t="s">
        <v>1343</v>
      </c>
      <c r="E506" s="821"/>
      <c r="F506" s="821"/>
      <c r="G506" s="821"/>
      <c r="Q506" s="807"/>
    </row>
    <row r="507" spans="1:23">
      <c r="A507" s="821"/>
      <c r="B507" s="821"/>
      <c r="D507" s="821"/>
      <c r="E507" s="821"/>
      <c r="F507" s="821"/>
      <c r="G507" s="821"/>
      <c r="H507" s="822">
        <v>0</v>
      </c>
      <c r="I507" s="822"/>
      <c r="J507" s="822">
        <v>157510.62</v>
      </c>
      <c r="K507" s="822"/>
      <c r="L507" s="822">
        <v>157510.62</v>
      </c>
      <c r="M507" s="822"/>
      <c r="N507" s="822">
        <v>157510.62</v>
      </c>
      <c r="O507" s="822"/>
      <c r="P507" s="822">
        <v>0</v>
      </c>
      <c r="Q507" s="822"/>
      <c r="R507" s="826">
        <v>157510.59</v>
      </c>
      <c r="S507" s="822"/>
      <c r="T507" s="822">
        <v>157510.59</v>
      </c>
      <c r="U507" s="822"/>
      <c r="V507" s="822">
        <v>0.03</v>
      </c>
      <c r="W507" s="822"/>
    </row>
    <row r="508" spans="1:23">
      <c r="Q508" s="807"/>
    </row>
    <row r="509" spans="1:23" ht="13.15" customHeight="1">
      <c r="D509" s="816" t="s">
        <v>1344</v>
      </c>
      <c r="E509" s="816"/>
      <c r="F509" s="825">
        <v>0</v>
      </c>
      <c r="G509" s="825"/>
      <c r="H509" s="825"/>
      <c r="I509" s="825">
        <v>524830.69999999995</v>
      </c>
      <c r="J509" s="825"/>
      <c r="K509" s="825">
        <v>524830.69999999995</v>
      </c>
      <c r="L509" s="825"/>
      <c r="M509" s="825">
        <v>318178</v>
      </c>
      <c r="N509" s="825"/>
      <c r="O509" s="825">
        <v>206652.7</v>
      </c>
      <c r="P509" s="825"/>
      <c r="Q509" s="825">
        <v>318177.97000000003</v>
      </c>
      <c r="R509" s="828"/>
      <c r="S509" s="825">
        <v>318177.97000000003</v>
      </c>
      <c r="T509" s="825"/>
      <c r="U509" s="825">
        <v>206652.73</v>
      </c>
      <c r="V509" s="825"/>
    </row>
    <row r="510" spans="1:23">
      <c r="Q510" s="807"/>
    </row>
    <row r="511" spans="1:23">
      <c r="Q511" s="807"/>
    </row>
    <row r="512" spans="1:23" ht="13.15" customHeight="1">
      <c r="A512" s="813" t="s">
        <v>1243</v>
      </c>
      <c r="E512" s="823" t="s">
        <v>1244</v>
      </c>
      <c r="F512" s="823"/>
      <c r="J512" s="823" t="s">
        <v>1245</v>
      </c>
      <c r="K512" s="823"/>
      <c r="O512" s="823" t="s">
        <v>1246</v>
      </c>
      <c r="P512" s="823"/>
      <c r="Q512" s="823"/>
    </row>
    <row r="513" spans="1:22" ht="13.15" customHeight="1">
      <c r="B513" s="824" t="s">
        <v>1247</v>
      </c>
      <c r="C513" s="824"/>
      <c r="D513" s="824"/>
      <c r="E513" s="824" t="s">
        <v>1248</v>
      </c>
      <c r="F513" s="824"/>
      <c r="G513" s="824"/>
      <c r="H513" s="824"/>
      <c r="J513" s="824" t="s">
        <v>1249</v>
      </c>
      <c r="K513" s="824"/>
      <c r="L513" s="824"/>
      <c r="Q513" s="807"/>
    </row>
    <row r="514" spans="1:22">
      <c r="Q514" s="807"/>
    </row>
    <row r="515" spans="1:22">
      <c r="Q515" s="807"/>
    </row>
    <row r="516" spans="1:22" ht="13.15" customHeight="1">
      <c r="D516" s="814" t="s">
        <v>1185</v>
      </c>
      <c r="E516" s="814"/>
      <c r="F516" s="814"/>
      <c r="G516" s="814"/>
      <c r="H516" s="814"/>
      <c r="I516" s="814"/>
      <c r="J516" s="814"/>
      <c r="K516" s="814"/>
      <c r="L516" s="814"/>
      <c r="M516" s="814"/>
      <c r="N516" s="814"/>
      <c r="O516" s="814"/>
      <c r="P516" s="814"/>
      <c r="Q516" s="814"/>
      <c r="R516" s="815"/>
    </row>
    <row r="517" spans="1:22" ht="13.15" customHeight="1">
      <c r="D517" s="814"/>
      <c r="E517" s="814"/>
      <c r="F517" s="814"/>
      <c r="G517" s="814"/>
      <c r="H517" s="814"/>
      <c r="I517" s="814"/>
      <c r="J517" s="814"/>
      <c r="K517" s="814"/>
      <c r="L517" s="814"/>
      <c r="M517" s="814"/>
      <c r="N517" s="814"/>
      <c r="O517" s="814"/>
      <c r="P517" s="814"/>
      <c r="Q517" s="814"/>
      <c r="R517" s="815"/>
      <c r="S517" s="816" t="s">
        <v>1186</v>
      </c>
      <c r="T517" s="816"/>
    </row>
    <row r="518" spans="1:22">
      <c r="Q518" s="807"/>
      <c r="S518" s="816"/>
      <c r="T518" s="816"/>
    </row>
    <row r="519" spans="1:22" ht="15.6" customHeight="1">
      <c r="H519" s="817" t="s">
        <v>1187</v>
      </c>
      <c r="I519" s="817"/>
      <c r="J519" s="817"/>
      <c r="K519" s="817"/>
      <c r="L519" s="817"/>
      <c r="M519" s="817"/>
      <c r="N519" s="817"/>
      <c r="Q519" s="807"/>
    </row>
    <row r="520" spans="1:22" ht="13.15" customHeight="1">
      <c r="Q520" s="816" t="s">
        <v>1399</v>
      </c>
      <c r="R520" s="818"/>
      <c r="S520" s="816"/>
    </row>
    <row r="521" spans="1:22">
      <c r="H521" s="816" t="s">
        <v>1189</v>
      </c>
      <c r="I521" s="816"/>
      <c r="J521" s="819">
        <v>41640</v>
      </c>
      <c r="K521" s="819"/>
      <c r="L521" s="816" t="s">
        <v>1190</v>
      </c>
      <c r="M521" s="816"/>
      <c r="N521" s="819">
        <v>41993</v>
      </c>
      <c r="O521" s="819"/>
      <c r="Q521" s="816"/>
      <c r="R521" s="818"/>
      <c r="S521" s="816"/>
    </row>
    <row r="522" spans="1:22">
      <c r="H522" s="816"/>
      <c r="I522" s="816"/>
      <c r="J522" s="819"/>
      <c r="K522" s="819"/>
      <c r="L522" s="816"/>
      <c r="M522" s="816"/>
      <c r="N522" s="819"/>
      <c r="O522" s="819"/>
      <c r="Q522" s="807"/>
    </row>
    <row r="523" spans="1:22">
      <c r="Q523" s="807"/>
    </row>
    <row r="524" spans="1:22" ht="13.15" customHeight="1">
      <c r="H524" s="809" t="s">
        <v>1191</v>
      </c>
      <c r="I524" s="809"/>
      <c r="J524" s="809"/>
      <c r="K524" s="809" t="s">
        <v>1192</v>
      </c>
      <c r="L524" s="809"/>
      <c r="M524" s="809" t="s">
        <v>1193</v>
      </c>
      <c r="N524" s="809"/>
      <c r="O524" s="809" t="s">
        <v>1194</v>
      </c>
      <c r="P524" s="809"/>
      <c r="Q524" s="809" t="s">
        <v>1195</v>
      </c>
      <c r="R524" s="820"/>
      <c r="S524" s="809" t="s">
        <v>1196</v>
      </c>
      <c r="T524" s="809"/>
    </row>
    <row r="525" spans="1:22">
      <c r="Q525" s="807"/>
    </row>
    <row r="526" spans="1:22" ht="13.15" customHeight="1">
      <c r="A526" s="809" t="s">
        <v>1203</v>
      </c>
      <c r="B526" s="809"/>
      <c r="C526" s="809" t="s">
        <v>1400</v>
      </c>
      <c r="D526" s="809"/>
      <c r="E526" s="809" t="s">
        <v>1198</v>
      </c>
      <c r="F526" s="809"/>
      <c r="G526" s="809" t="s">
        <v>1401</v>
      </c>
      <c r="H526" s="809"/>
      <c r="I526" s="809"/>
      <c r="J526" s="809"/>
      <c r="K526" s="809"/>
      <c r="L526" s="809"/>
      <c r="M526" s="809"/>
      <c r="N526" s="809"/>
      <c r="Q526" s="807"/>
    </row>
    <row r="527" spans="1:22">
      <c r="Q527" s="807"/>
    </row>
    <row r="528" spans="1:22" ht="13.15" customHeight="1">
      <c r="G528" s="810" t="s">
        <v>1200</v>
      </c>
      <c r="H528" s="810"/>
      <c r="O528" s="810" t="s">
        <v>1201</v>
      </c>
      <c r="P528" s="810"/>
      <c r="Q528" s="807"/>
      <c r="U528" s="810" t="s">
        <v>1202</v>
      </c>
      <c r="V528" s="810"/>
    </row>
    <row r="529" spans="1:23" ht="13.15" customHeight="1">
      <c r="B529" s="811" t="s">
        <v>1204</v>
      </c>
      <c r="D529" s="810" t="s">
        <v>1205</v>
      </c>
      <c r="E529" s="810"/>
      <c r="G529" s="810"/>
      <c r="H529" s="810"/>
      <c r="I529" s="810" t="s">
        <v>1206</v>
      </c>
      <c r="J529" s="810"/>
      <c r="K529" s="810" t="s">
        <v>1207</v>
      </c>
      <c r="L529" s="810"/>
      <c r="M529" s="810" t="s">
        <v>1208</v>
      </c>
      <c r="N529" s="810"/>
      <c r="O529" s="810"/>
      <c r="P529" s="810"/>
      <c r="Q529" s="810" t="s">
        <v>1209</v>
      </c>
      <c r="R529" s="812"/>
      <c r="S529" s="810" t="s">
        <v>1210</v>
      </c>
      <c r="T529" s="810"/>
      <c r="U529" s="810"/>
      <c r="V529" s="810"/>
    </row>
    <row r="530" spans="1:23" ht="13.15" customHeight="1">
      <c r="A530" s="821" t="s">
        <v>1342</v>
      </c>
      <c r="B530" s="821"/>
      <c r="D530" s="821" t="s">
        <v>1343</v>
      </c>
      <c r="E530" s="821"/>
      <c r="F530" s="821"/>
      <c r="G530" s="821"/>
      <c r="Q530" s="807"/>
    </row>
    <row r="531" spans="1:23">
      <c r="A531" s="821"/>
      <c r="B531" s="821"/>
      <c r="D531" s="821"/>
      <c r="E531" s="821"/>
      <c r="F531" s="821"/>
      <c r="G531" s="821"/>
      <c r="H531" s="822">
        <v>0</v>
      </c>
      <c r="I531" s="822"/>
      <c r="J531" s="822">
        <v>14512.49</v>
      </c>
      <c r="K531" s="822"/>
      <c r="L531" s="822">
        <v>14512.49</v>
      </c>
      <c r="M531" s="822"/>
      <c r="N531" s="822">
        <v>14512.49</v>
      </c>
      <c r="O531" s="822"/>
      <c r="P531" s="822">
        <v>0</v>
      </c>
      <c r="Q531" s="822"/>
      <c r="R531" s="826">
        <v>14512.49</v>
      </c>
      <c r="S531" s="822"/>
      <c r="T531" s="822">
        <v>0</v>
      </c>
      <c r="U531" s="822"/>
      <c r="V531" s="822">
        <v>0</v>
      </c>
      <c r="W531" s="822"/>
    </row>
    <row r="532" spans="1:23">
      <c r="Q532" s="807"/>
    </row>
    <row r="533" spans="1:23" ht="13.15" customHeight="1">
      <c r="D533" s="816" t="s">
        <v>1344</v>
      </c>
      <c r="E533" s="816"/>
      <c r="F533" s="825">
        <v>0</v>
      </c>
      <c r="G533" s="825"/>
      <c r="H533" s="825"/>
      <c r="I533" s="825">
        <v>14512.49</v>
      </c>
      <c r="J533" s="825"/>
      <c r="K533" s="825">
        <v>14512.49</v>
      </c>
      <c r="L533" s="825"/>
      <c r="M533" s="825">
        <v>14512.49</v>
      </c>
      <c r="N533" s="825"/>
      <c r="O533" s="825">
        <v>0</v>
      </c>
      <c r="P533" s="825"/>
      <c r="Q533" s="825">
        <v>14512.49</v>
      </c>
      <c r="R533" s="828"/>
      <c r="S533" s="825">
        <v>0</v>
      </c>
      <c r="T533" s="825"/>
      <c r="U533" s="825">
        <v>0</v>
      </c>
      <c r="V533" s="825"/>
    </row>
    <row r="534" spans="1:23">
      <c r="Q534" s="807"/>
    </row>
    <row r="535" spans="1:23">
      <c r="Q535" s="807"/>
    </row>
    <row r="536" spans="1:23" ht="13.15" customHeight="1">
      <c r="A536" s="813" t="s">
        <v>1243</v>
      </c>
      <c r="E536" s="823" t="s">
        <v>1244</v>
      </c>
      <c r="F536" s="823"/>
      <c r="J536" s="823" t="s">
        <v>1245</v>
      </c>
      <c r="K536" s="823"/>
      <c r="O536" s="823" t="s">
        <v>1246</v>
      </c>
      <c r="P536" s="823"/>
      <c r="Q536" s="823"/>
    </row>
    <row r="537" spans="1:23" ht="13.15" customHeight="1">
      <c r="B537" s="824" t="s">
        <v>1247</v>
      </c>
      <c r="C537" s="824"/>
      <c r="D537" s="824"/>
      <c r="E537" s="824" t="s">
        <v>1248</v>
      </c>
      <c r="F537" s="824"/>
      <c r="G537" s="824"/>
      <c r="H537" s="824"/>
      <c r="J537" s="824" t="s">
        <v>1249</v>
      </c>
      <c r="K537" s="824"/>
      <c r="L537" s="824"/>
      <c r="Q537" s="807"/>
    </row>
    <row r="538" spans="1:23">
      <c r="Q538" s="807"/>
    </row>
    <row r="539" spans="1:23">
      <c r="Q539" s="807"/>
    </row>
    <row r="540" spans="1:23" ht="13.15" customHeight="1">
      <c r="D540" s="814" t="s">
        <v>1185</v>
      </c>
      <c r="E540" s="814"/>
      <c r="F540" s="814"/>
      <c r="G540" s="814"/>
      <c r="H540" s="814"/>
      <c r="I540" s="814"/>
      <c r="J540" s="814"/>
      <c r="K540" s="814"/>
      <c r="L540" s="814"/>
      <c r="M540" s="814"/>
      <c r="N540" s="814"/>
      <c r="O540" s="814"/>
      <c r="P540" s="814"/>
      <c r="Q540" s="814"/>
      <c r="R540" s="815"/>
    </row>
    <row r="541" spans="1:23" ht="13.15" customHeight="1">
      <c r="D541" s="814"/>
      <c r="E541" s="814"/>
      <c r="F541" s="814"/>
      <c r="G541" s="814"/>
      <c r="H541" s="814"/>
      <c r="I541" s="814"/>
      <c r="J541" s="814"/>
      <c r="K541" s="814"/>
      <c r="L541" s="814"/>
      <c r="M541" s="814"/>
      <c r="N541" s="814"/>
      <c r="O541" s="814"/>
      <c r="P541" s="814"/>
      <c r="Q541" s="814"/>
      <c r="R541" s="815"/>
      <c r="S541" s="816" t="s">
        <v>1186</v>
      </c>
      <c r="T541" s="816"/>
    </row>
    <row r="542" spans="1:23">
      <c r="Q542" s="807"/>
      <c r="S542" s="816"/>
      <c r="T542" s="816"/>
    </row>
    <row r="543" spans="1:23" ht="15.6" customHeight="1">
      <c r="H543" s="817" t="s">
        <v>1187</v>
      </c>
      <c r="I543" s="817"/>
      <c r="J543" s="817"/>
      <c r="K543" s="817"/>
      <c r="L543" s="817"/>
      <c r="M543" s="817"/>
      <c r="N543" s="817"/>
      <c r="Q543" s="807"/>
    </row>
    <row r="544" spans="1:23" ht="13.15" customHeight="1">
      <c r="Q544" s="816" t="s">
        <v>1402</v>
      </c>
      <c r="R544" s="818"/>
      <c r="S544" s="816"/>
    </row>
    <row r="545" spans="1:23">
      <c r="H545" s="816" t="s">
        <v>1189</v>
      </c>
      <c r="I545" s="816"/>
      <c r="J545" s="819">
        <v>41640</v>
      </c>
      <c r="K545" s="819"/>
      <c r="L545" s="816" t="s">
        <v>1190</v>
      </c>
      <c r="M545" s="816"/>
      <c r="N545" s="819">
        <v>41993</v>
      </c>
      <c r="O545" s="819"/>
      <c r="Q545" s="816"/>
      <c r="R545" s="818"/>
      <c r="S545" s="816"/>
    </row>
    <row r="546" spans="1:23">
      <c r="H546" s="816"/>
      <c r="I546" s="816"/>
      <c r="J546" s="819"/>
      <c r="K546" s="819"/>
      <c r="L546" s="816"/>
      <c r="M546" s="816"/>
      <c r="N546" s="819"/>
      <c r="O546" s="819"/>
      <c r="Q546" s="807"/>
    </row>
    <row r="547" spans="1:23">
      <c r="Q547" s="807"/>
    </row>
    <row r="548" spans="1:23" ht="13.15" customHeight="1">
      <c r="H548" s="809" t="s">
        <v>1191</v>
      </c>
      <c r="I548" s="809"/>
      <c r="J548" s="809"/>
      <c r="K548" s="809" t="s">
        <v>1192</v>
      </c>
      <c r="L548" s="809"/>
      <c r="M548" s="809" t="s">
        <v>1193</v>
      </c>
      <c r="N548" s="809"/>
      <c r="O548" s="809" t="s">
        <v>1194</v>
      </c>
      <c r="P548" s="809"/>
      <c r="Q548" s="809" t="s">
        <v>1195</v>
      </c>
      <c r="R548" s="820"/>
      <c r="S548" s="809" t="s">
        <v>1196</v>
      </c>
      <c r="T548" s="809"/>
    </row>
    <row r="549" spans="1:23">
      <c r="Q549" s="807"/>
    </row>
    <row r="550" spans="1:23" ht="13.15" customHeight="1">
      <c r="A550" s="809" t="s">
        <v>1203</v>
      </c>
      <c r="B550" s="809"/>
      <c r="C550" s="809" t="s">
        <v>1403</v>
      </c>
      <c r="D550" s="809"/>
      <c r="E550" s="809" t="s">
        <v>1198</v>
      </c>
      <c r="F550" s="809"/>
      <c r="G550" s="809" t="s">
        <v>1404</v>
      </c>
      <c r="H550" s="809"/>
      <c r="I550" s="809"/>
      <c r="J550" s="809"/>
      <c r="K550" s="809"/>
      <c r="L550" s="809"/>
      <c r="M550" s="809"/>
      <c r="N550" s="809"/>
      <c r="Q550" s="807"/>
    </row>
    <row r="551" spans="1:23">
      <c r="Q551" s="807"/>
    </row>
    <row r="552" spans="1:23" ht="13.15" customHeight="1">
      <c r="G552" s="810" t="s">
        <v>1200</v>
      </c>
      <c r="H552" s="810"/>
      <c r="O552" s="810" t="s">
        <v>1201</v>
      </c>
      <c r="P552" s="810"/>
      <c r="Q552" s="807"/>
      <c r="U552" s="810" t="s">
        <v>1202</v>
      </c>
      <c r="V552" s="810"/>
    </row>
    <row r="553" spans="1:23" ht="13.15" customHeight="1">
      <c r="B553" s="811" t="s">
        <v>1204</v>
      </c>
      <c r="D553" s="810" t="s">
        <v>1205</v>
      </c>
      <c r="E553" s="810"/>
      <c r="G553" s="810"/>
      <c r="H553" s="810"/>
      <c r="I553" s="810" t="s">
        <v>1206</v>
      </c>
      <c r="J553" s="810"/>
      <c r="K553" s="810" t="s">
        <v>1207</v>
      </c>
      <c r="L553" s="810"/>
      <c r="M553" s="810" t="s">
        <v>1208</v>
      </c>
      <c r="N553" s="810"/>
      <c r="O553" s="810"/>
      <c r="P553" s="810"/>
      <c r="Q553" s="810" t="s">
        <v>1209</v>
      </c>
      <c r="R553" s="812"/>
      <c r="S553" s="810" t="s">
        <v>1210</v>
      </c>
      <c r="T553" s="810"/>
      <c r="U553" s="810"/>
      <c r="V553" s="810"/>
    </row>
    <row r="554" spans="1:23" ht="13.15" customHeight="1">
      <c r="A554" s="821" t="s">
        <v>1290</v>
      </c>
      <c r="B554" s="821"/>
      <c r="D554" s="821" t="s">
        <v>1348</v>
      </c>
      <c r="E554" s="821"/>
      <c r="F554" s="821"/>
      <c r="G554" s="821"/>
      <c r="Q554" s="807"/>
    </row>
    <row r="555" spans="1:23">
      <c r="A555" s="821"/>
      <c r="B555" s="821"/>
      <c r="D555" s="821"/>
      <c r="E555" s="821"/>
      <c r="F555" s="821"/>
      <c r="G555" s="821"/>
      <c r="H555" s="822">
        <v>0</v>
      </c>
      <c r="I555" s="822"/>
      <c r="J555" s="822">
        <v>18074.22</v>
      </c>
      <c r="K555" s="822"/>
      <c r="L555" s="822">
        <v>18074.22</v>
      </c>
      <c r="M555" s="822"/>
      <c r="N555" s="822">
        <v>10160.01</v>
      </c>
      <c r="O555" s="822"/>
      <c r="P555" s="822">
        <v>7914.21</v>
      </c>
      <c r="Q555" s="822"/>
      <c r="R555" s="826">
        <v>0</v>
      </c>
      <c r="S555" s="822"/>
      <c r="T555" s="822">
        <v>0</v>
      </c>
      <c r="U555" s="822"/>
      <c r="V555" s="822">
        <v>18074.22</v>
      </c>
      <c r="W555" s="822"/>
    </row>
    <row r="556" spans="1:23">
      <c r="H556" s="822"/>
      <c r="I556" s="822"/>
      <c r="J556" s="822"/>
      <c r="K556" s="822"/>
      <c r="L556" s="822"/>
      <c r="M556" s="822"/>
      <c r="N556" s="822"/>
      <c r="O556" s="822"/>
      <c r="P556" s="822"/>
      <c r="Q556" s="822"/>
      <c r="R556" s="826"/>
      <c r="S556" s="822"/>
      <c r="T556" s="822"/>
      <c r="U556" s="822"/>
      <c r="V556" s="822"/>
      <c r="W556" s="822"/>
    </row>
    <row r="557" spans="1:23">
      <c r="Q557" s="807"/>
    </row>
    <row r="558" spans="1:23" ht="13.15" customHeight="1">
      <c r="D558" s="816" t="s">
        <v>1344</v>
      </c>
      <c r="E558" s="816"/>
      <c r="F558" s="825">
        <v>0</v>
      </c>
      <c r="G558" s="825"/>
      <c r="H558" s="825"/>
      <c r="I558" s="825">
        <v>18074.22</v>
      </c>
      <c r="J558" s="825"/>
      <c r="K558" s="825">
        <v>18074.22</v>
      </c>
      <c r="L558" s="825"/>
      <c r="M558" s="825">
        <v>10160.01</v>
      </c>
      <c r="N558" s="825"/>
      <c r="O558" s="825">
        <v>7914.21</v>
      </c>
      <c r="P558" s="825"/>
      <c r="Q558" s="825">
        <v>0</v>
      </c>
      <c r="R558" s="828"/>
      <c r="S558" s="825">
        <v>0</v>
      </c>
      <c r="T558" s="825"/>
      <c r="U558" s="825">
        <v>18074.22</v>
      </c>
      <c r="V558" s="825"/>
    </row>
    <row r="559" spans="1:23">
      <c r="Q559" s="807"/>
    </row>
    <row r="560" spans="1:23">
      <c r="Q560" s="807"/>
    </row>
    <row r="561" spans="1:20" ht="13.15" customHeight="1">
      <c r="A561" s="813" t="s">
        <v>1243</v>
      </c>
      <c r="E561" s="823" t="s">
        <v>1244</v>
      </c>
      <c r="F561" s="823"/>
      <c r="J561" s="823" t="s">
        <v>1245</v>
      </c>
      <c r="K561" s="823"/>
      <c r="O561" s="823" t="s">
        <v>1246</v>
      </c>
      <c r="P561" s="823"/>
      <c r="Q561" s="823"/>
    </row>
    <row r="562" spans="1:20" ht="13.15" customHeight="1">
      <c r="B562" s="824" t="s">
        <v>1247</v>
      </c>
      <c r="C562" s="824"/>
      <c r="D562" s="824"/>
      <c r="E562" s="824" t="s">
        <v>1248</v>
      </c>
      <c r="F562" s="824"/>
      <c r="G562" s="824"/>
      <c r="H562" s="824"/>
      <c r="J562" s="824" t="s">
        <v>1249</v>
      </c>
      <c r="K562" s="824"/>
      <c r="L562" s="824"/>
      <c r="Q562" s="807"/>
    </row>
    <row r="563" spans="1:20">
      <c r="Q563" s="807"/>
    </row>
    <row r="564" spans="1:20">
      <c r="Q564" s="807"/>
    </row>
    <row r="565" spans="1:20" ht="13.15" customHeight="1">
      <c r="D565" s="814" t="s">
        <v>1185</v>
      </c>
      <c r="E565" s="814"/>
      <c r="F565" s="814"/>
      <c r="G565" s="814"/>
      <c r="H565" s="814"/>
      <c r="I565" s="814"/>
      <c r="J565" s="814"/>
      <c r="K565" s="814"/>
      <c r="L565" s="814"/>
      <c r="M565" s="814"/>
      <c r="N565" s="814"/>
      <c r="O565" s="814"/>
      <c r="P565" s="814"/>
      <c r="Q565" s="814"/>
      <c r="R565" s="815"/>
    </row>
    <row r="566" spans="1:20" ht="13.15" customHeight="1">
      <c r="D566" s="814"/>
      <c r="E566" s="814"/>
      <c r="F566" s="814"/>
      <c r="G566" s="814"/>
      <c r="H566" s="814"/>
      <c r="I566" s="814"/>
      <c r="J566" s="814"/>
      <c r="K566" s="814"/>
      <c r="L566" s="814"/>
      <c r="M566" s="814"/>
      <c r="N566" s="814"/>
      <c r="O566" s="814"/>
      <c r="P566" s="814"/>
      <c r="Q566" s="814"/>
      <c r="R566" s="815"/>
      <c r="S566" s="816" t="s">
        <v>1186</v>
      </c>
      <c r="T566" s="816"/>
    </row>
    <row r="567" spans="1:20">
      <c r="Q567" s="807"/>
      <c r="S567" s="816"/>
      <c r="T567" s="816"/>
    </row>
    <row r="568" spans="1:20" ht="15.6" customHeight="1">
      <c r="H568" s="817" t="s">
        <v>1187</v>
      </c>
      <c r="I568" s="817"/>
      <c r="J568" s="817"/>
      <c r="K568" s="817"/>
      <c r="L568" s="817"/>
      <c r="M568" s="817"/>
      <c r="N568" s="817"/>
      <c r="Q568" s="807"/>
    </row>
    <row r="569" spans="1:20" ht="13.15" customHeight="1">
      <c r="Q569" s="816" t="s">
        <v>1405</v>
      </c>
      <c r="R569" s="818"/>
      <c r="S569" s="816"/>
    </row>
    <row r="570" spans="1:20">
      <c r="H570" s="816" t="s">
        <v>1189</v>
      </c>
      <c r="I570" s="816"/>
      <c r="J570" s="819">
        <v>41640</v>
      </c>
      <c r="K570" s="819"/>
      <c r="L570" s="816" t="s">
        <v>1190</v>
      </c>
      <c r="M570" s="816"/>
      <c r="N570" s="819">
        <v>41993</v>
      </c>
      <c r="O570" s="819"/>
      <c r="Q570" s="816"/>
      <c r="R570" s="818"/>
      <c r="S570" s="816"/>
    </row>
    <row r="571" spans="1:20">
      <c r="H571" s="816"/>
      <c r="I571" s="816"/>
      <c r="J571" s="819"/>
      <c r="K571" s="819"/>
      <c r="L571" s="816"/>
      <c r="M571" s="816"/>
      <c r="N571" s="819"/>
      <c r="O571" s="819"/>
      <c r="Q571" s="807"/>
    </row>
    <row r="572" spans="1:20">
      <c r="Q572" s="807"/>
    </row>
    <row r="573" spans="1:20" ht="13.15" customHeight="1">
      <c r="H573" s="809" t="s">
        <v>1191</v>
      </c>
      <c r="I573" s="809"/>
      <c r="J573" s="809"/>
      <c r="K573" s="809" t="s">
        <v>1192</v>
      </c>
      <c r="L573" s="809"/>
      <c r="M573" s="809" t="s">
        <v>1193</v>
      </c>
      <c r="N573" s="809"/>
      <c r="O573" s="809" t="s">
        <v>1194</v>
      </c>
      <c r="P573" s="809"/>
      <c r="Q573" s="809" t="s">
        <v>1195</v>
      </c>
      <c r="R573" s="820"/>
      <c r="S573" s="809" t="s">
        <v>1196</v>
      </c>
      <c r="T573" s="809"/>
    </row>
    <row r="574" spans="1:20">
      <c r="Q574" s="807"/>
    </row>
    <row r="575" spans="1:20" ht="13.15" customHeight="1">
      <c r="A575" s="809" t="s">
        <v>1203</v>
      </c>
      <c r="B575" s="809"/>
      <c r="C575" s="809" t="s">
        <v>1406</v>
      </c>
      <c r="D575" s="809"/>
      <c r="E575" s="809" t="s">
        <v>1198</v>
      </c>
      <c r="F575" s="809"/>
      <c r="G575" s="809" t="s">
        <v>1407</v>
      </c>
      <c r="H575" s="809"/>
      <c r="I575" s="809"/>
      <c r="J575" s="809"/>
      <c r="K575" s="809"/>
      <c r="L575" s="809"/>
      <c r="M575" s="809"/>
      <c r="N575" s="809"/>
      <c r="Q575" s="807"/>
    </row>
    <row r="576" spans="1:20">
      <c r="Q576" s="807"/>
    </row>
    <row r="577" spans="1:23" ht="13.15" customHeight="1">
      <c r="G577" s="810" t="s">
        <v>1200</v>
      </c>
      <c r="H577" s="810"/>
      <c r="O577" s="810" t="s">
        <v>1201</v>
      </c>
      <c r="P577" s="810"/>
      <c r="Q577" s="807"/>
      <c r="U577" s="810" t="s">
        <v>1202</v>
      </c>
      <c r="V577" s="810"/>
    </row>
    <row r="578" spans="1:23" ht="13.15" customHeight="1">
      <c r="B578" s="811" t="s">
        <v>1204</v>
      </c>
      <c r="D578" s="810" t="s">
        <v>1205</v>
      </c>
      <c r="E578" s="810"/>
      <c r="G578" s="810"/>
      <c r="H578" s="810"/>
      <c r="I578" s="810" t="s">
        <v>1206</v>
      </c>
      <c r="J578" s="810"/>
      <c r="K578" s="810" t="s">
        <v>1207</v>
      </c>
      <c r="L578" s="810"/>
      <c r="M578" s="810" t="s">
        <v>1208</v>
      </c>
      <c r="N578" s="810"/>
      <c r="O578" s="810"/>
      <c r="P578" s="810"/>
      <c r="Q578" s="810" t="s">
        <v>1209</v>
      </c>
      <c r="R578" s="812"/>
      <c r="S578" s="810" t="s">
        <v>1210</v>
      </c>
      <c r="T578" s="810"/>
      <c r="U578" s="810"/>
      <c r="V578" s="810"/>
    </row>
    <row r="579" spans="1:23" ht="13.15" customHeight="1">
      <c r="A579" s="821" t="s">
        <v>1286</v>
      </c>
      <c r="B579" s="821"/>
      <c r="D579" s="821" t="s">
        <v>1408</v>
      </c>
      <c r="E579" s="821"/>
      <c r="F579" s="821"/>
      <c r="G579" s="821"/>
      <c r="Q579" s="807"/>
    </row>
    <row r="580" spans="1:23">
      <c r="A580" s="821"/>
      <c r="B580" s="821"/>
      <c r="D580" s="821"/>
      <c r="E580" s="821"/>
      <c r="F580" s="821"/>
      <c r="G580" s="821"/>
      <c r="H580" s="822">
        <v>0</v>
      </c>
      <c r="I580" s="822"/>
      <c r="J580" s="822">
        <v>400</v>
      </c>
      <c r="K580" s="822"/>
      <c r="L580" s="822">
        <v>400</v>
      </c>
      <c r="M580" s="822"/>
      <c r="N580" s="822">
        <v>0</v>
      </c>
      <c r="O580" s="822"/>
      <c r="P580" s="822">
        <v>400</v>
      </c>
      <c r="Q580" s="822"/>
      <c r="R580" s="826">
        <v>0</v>
      </c>
      <c r="S580" s="822"/>
      <c r="T580" s="822">
        <v>0</v>
      </c>
      <c r="U580" s="822"/>
      <c r="V580" s="822">
        <v>400</v>
      </c>
      <c r="W580" s="822"/>
    </row>
    <row r="581" spans="1:23" ht="13.15" customHeight="1">
      <c r="A581" s="821" t="s">
        <v>1289</v>
      </c>
      <c r="B581" s="821"/>
      <c r="D581" s="821" t="s">
        <v>1409</v>
      </c>
      <c r="E581" s="821"/>
      <c r="F581" s="821"/>
      <c r="G581" s="821"/>
      <c r="H581" s="822"/>
      <c r="I581" s="822"/>
      <c r="J581" s="822"/>
      <c r="K581" s="822"/>
      <c r="L581" s="822"/>
      <c r="M581" s="822"/>
      <c r="N581" s="822"/>
      <c r="O581" s="822"/>
      <c r="P581" s="822"/>
      <c r="Q581" s="822"/>
      <c r="R581" s="826"/>
      <c r="S581" s="822"/>
      <c r="T581" s="822"/>
      <c r="U581" s="822"/>
      <c r="V581" s="822"/>
      <c r="W581" s="822"/>
    </row>
    <row r="582" spans="1:23">
      <c r="A582" s="821"/>
      <c r="B582" s="821"/>
      <c r="D582" s="821"/>
      <c r="E582" s="821"/>
      <c r="F582" s="821"/>
      <c r="G582" s="821"/>
      <c r="Q582" s="807"/>
    </row>
    <row r="583" spans="1:23">
      <c r="A583" s="821"/>
      <c r="B583" s="821"/>
      <c r="D583" s="821"/>
      <c r="E583" s="821"/>
      <c r="F583" s="821"/>
      <c r="G583" s="821"/>
      <c r="H583" s="822">
        <v>0</v>
      </c>
      <c r="I583" s="822"/>
      <c r="J583" s="822">
        <v>3248</v>
      </c>
      <c r="K583" s="822"/>
      <c r="L583" s="822">
        <v>3248</v>
      </c>
      <c r="M583" s="822"/>
      <c r="N583" s="822">
        <v>2900</v>
      </c>
      <c r="O583" s="822"/>
      <c r="P583" s="822">
        <v>348</v>
      </c>
      <c r="Q583" s="822"/>
      <c r="R583" s="826">
        <v>2900</v>
      </c>
      <c r="S583" s="822"/>
      <c r="T583" s="822">
        <v>2900</v>
      </c>
      <c r="U583" s="822"/>
      <c r="V583" s="822">
        <v>348</v>
      </c>
      <c r="W583" s="822"/>
    </row>
    <row r="584" spans="1:23" ht="13.15" customHeight="1">
      <c r="A584" s="821" t="s">
        <v>1300</v>
      </c>
      <c r="B584" s="821"/>
      <c r="D584" s="821" t="s">
        <v>1394</v>
      </c>
      <c r="E584" s="821"/>
      <c r="F584" s="821"/>
      <c r="G584" s="821"/>
      <c r="Q584" s="807"/>
    </row>
    <row r="585" spans="1:23">
      <c r="A585" s="821"/>
      <c r="B585" s="821"/>
      <c r="D585" s="821"/>
      <c r="E585" s="821"/>
      <c r="F585" s="821"/>
      <c r="G585" s="821"/>
      <c r="H585" s="822">
        <v>0</v>
      </c>
      <c r="I585" s="822"/>
      <c r="J585" s="822">
        <v>3895.36</v>
      </c>
      <c r="K585" s="822"/>
      <c r="L585" s="822">
        <v>3895.36</v>
      </c>
      <c r="M585" s="822"/>
      <c r="N585" s="822">
        <v>3478</v>
      </c>
      <c r="O585" s="822"/>
      <c r="P585" s="822">
        <v>417.36</v>
      </c>
      <c r="Q585" s="822"/>
      <c r="R585" s="826">
        <v>3478</v>
      </c>
      <c r="S585" s="822"/>
      <c r="T585" s="822">
        <v>3478</v>
      </c>
      <c r="U585" s="822"/>
      <c r="V585" s="822">
        <v>417.36</v>
      </c>
      <c r="W585" s="822"/>
    </row>
    <row r="586" spans="1:23" ht="13.15" customHeight="1">
      <c r="A586" s="821" t="s">
        <v>1314</v>
      </c>
      <c r="B586" s="821"/>
      <c r="D586" s="821" t="s">
        <v>1378</v>
      </c>
      <c r="E586" s="821"/>
      <c r="F586" s="821"/>
      <c r="G586" s="821"/>
      <c r="Q586" s="807"/>
    </row>
    <row r="587" spans="1:23">
      <c r="A587" s="821"/>
      <c r="B587" s="821"/>
      <c r="D587" s="821"/>
      <c r="E587" s="821"/>
      <c r="F587" s="821"/>
      <c r="G587" s="821"/>
      <c r="H587" s="822">
        <v>0</v>
      </c>
      <c r="I587" s="822"/>
      <c r="J587" s="822">
        <v>29268.29</v>
      </c>
      <c r="K587" s="822"/>
      <c r="L587" s="822">
        <v>29268.29</v>
      </c>
      <c r="M587" s="822"/>
      <c r="N587" s="822">
        <v>25327.200000000001</v>
      </c>
      <c r="O587" s="822"/>
      <c r="P587" s="822">
        <v>3941.09</v>
      </c>
      <c r="Q587" s="822"/>
      <c r="R587" s="826">
        <v>25327.200000000001</v>
      </c>
      <c r="S587" s="822"/>
      <c r="T587" s="822">
        <v>25327.200000000001</v>
      </c>
      <c r="U587" s="822"/>
      <c r="V587" s="822">
        <v>3941.09</v>
      </c>
      <c r="W587" s="822"/>
    </row>
    <row r="588" spans="1:23" ht="13.15" customHeight="1">
      <c r="A588" s="821" t="s">
        <v>1410</v>
      </c>
      <c r="B588" s="821"/>
      <c r="D588" s="821" t="s">
        <v>1411</v>
      </c>
      <c r="E588" s="821"/>
      <c r="F588" s="821"/>
      <c r="G588" s="821"/>
      <c r="H588" s="822"/>
      <c r="I588" s="822"/>
      <c r="J588" s="822"/>
      <c r="K588" s="822"/>
      <c r="L588" s="822"/>
      <c r="M588" s="822"/>
      <c r="N588" s="822"/>
      <c r="O588" s="822"/>
      <c r="P588" s="822"/>
      <c r="Q588" s="826"/>
      <c r="R588" s="826"/>
      <c r="S588" s="822"/>
      <c r="T588" s="822"/>
      <c r="U588" s="822"/>
      <c r="V588" s="822"/>
      <c r="W588" s="822"/>
    </row>
    <row r="589" spans="1:23">
      <c r="A589" s="821"/>
      <c r="B589" s="821"/>
      <c r="D589" s="821"/>
      <c r="E589" s="821"/>
      <c r="F589" s="821"/>
      <c r="G589" s="821"/>
      <c r="Q589" s="807"/>
    </row>
    <row r="590" spans="1:23">
      <c r="A590" s="821"/>
      <c r="B590" s="821"/>
      <c r="D590" s="821"/>
      <c r="E590" s="821"/>
      <c r="F590" s="821"/>
      <c r="G590" s="821"/>
      <c r="H590" s="822">
        <v>0</v>
      </c>
      <c r="I590" s="822"/>
      <c r="J590" s="822">
        <v>73042.92</v>
      </c>
      <c r="K590" s="822"/>
      <c r="L590" s="822">
        <v>73042.92</v>
      </c>
      <c r="M590" s="822"/>
      <c r="N590" s="822">
        <v>1250</v>
      </c>
      <c r="O590" s="822"/>
      <c r="P590" s="822">
        <v>71792.92</v>
      </c>
      <c r="Q590" s="822"/>
      <c r="R590" s="826">
        <v>1250</v>
      </c>
      <c r="S590" s="822"/>
      <c r="T590" s="822">
        <v>1250</v>
      </c>
      <c r="U590" s="822"/>
      <c r="V590" s="822">
        <v>71792.92</v>
      </c>
      <c r="W590" s="822"/>
    </row>
    <row r="591" spans="1:23">
      <c r="H591" s="822"/>
      <c r="I591" s="822"/>
      <c r="J591" s="822"/>
      <c r="K591" s="822"/>
      <c r="L591" s="822"/>
      <c r="M591" s="822"/>
      <c r="N591" s="822"/>
      <c r="O591" s="822"/>
      <c r="P591" s="822"/>
      <c r="Q591" s="822"/>
      <c r="R591" s="826"/>
      <c r="S591" s="822"/>
      <c r="T591" s="822"/>
      <c r="U591" s="822"/>
      <c r="V591" s="822"/>
      <c r="W591" s="822"/>
    </row>
    <row r="592" spans="1:23">
      <c r="Q592" s="807"/>
    </row>
    <row r="593" spans="1:22" ht="13.15" customHeight="1">
      <c r="D593" s="816" t="s">
        <v>1344</v>
      </c>
      <c r="E593" s="816"/>
      <c r="F593" s="825">
        <v>0</v>
      </c>
      <c r="G593" s="825"/>
      <c r="H593" s="825"/>
      <c r="I593" s="825">
        <v>109854.57</v>
      </c>
      <c r="J593" s="825"/>
      <c r="K593" s="825">
        <v>109854.57</v>
      </c>
      <c r="L593" s="825"/>
      <c r="M593" s="825">
        <v>32955.199999999997</v>
      </c>
      <c r="N593" s="825"/>
      <c r="O593" s="825">
        <v>76899.37</v>
      </c>
      <c r="P593" s="825"/>
      <c r="Q593" s="825">
        <v>32955.199999999997</v>
      </c>
      <c r="R593" s="828"/>
      <c r="S593" s="825">
        <v>32955.199999999997</v>
      </c>
      <c r="T593" s="825"/>
      <c r="U593" s="825">
        <v>76899.37</v>
      </c>
      <c r="V593" s="825"/>
    </row>
    <row r="594" spans="1:22">
      <c r="Q594" s="807"/>
    </row>
    <row r="595" spans="1:22">
      <c r="Q595" s="807"/>
    </row>
    <row r="596" spans="1:22" ht="13.15" customHeight="1">
      <c r="A596" s="813" t="s">
        <v>1243</v>
      </c>
      <c r="E596" s="823" t="s">
        <v>1244</v>
      </c>
      <c r="F596" s="823"/>
      <c r="J596" s="823" t="s">
        <v>1245</v>
      </c>
      <c r="K596" s="823"/>
      <c r="O596" s="823" t="s">
        <v>1246</v>
      </c>
      <c r="P596" s="823"/>
      <c r="Q596" s="823"/>
    </row>
    <row r="597" spans="1:22" ht="13.15" customHeight="1">
      <c r="B597" s="824" t="s">
        <v>1247</v>
      </c>
      <c r="C597" s="824"/>
      <c r="D597" s="824"/>
      <c r="E597" s="824" t="s">
        <v>1248</v>
      </c>
      <c r="F597" s="824"/>
      <c r="G597" s="824"/>
      <c r="H597" s="824"/>
      <c r="J597" s="824" t="s">
        <v>1249</v>
      </c>
      <c r="K597" s="824"/>
      <c r="L597" s="824"/>
      <c r="Q597" s="807"/>
    </row>
    <row r="598" spans="1:22">
      <c r="Q598" s="807"/>
    </row>
    <row r="599" spans="1:22">
      <c r="Q599" s="807"/>
    </row>
    <row r="600" spans="1:22" ht="13.15" customHeight="1">
      <c r="D600" s="814" t="s">
        <v>1185</v>
      </c>
      <c r="E600" s="814"/>
      <c r="F600" s="814"/>
      <c r="G600" s="814"/>
      <c r="H600" s="814"/>
      <c r="I600" s="814"/>
      <c r="J600" s="814"/>
      <c r="K600" s="814"/>
      <c r="L600" s="814"/>
      <c r="M600" s="814"/>
      <c r="N600" s="814"/>
      <c r="O600" s="814"/>
      <c r="P600" s="814"/>
      <c r="Q600" s="814"/>
      <c r="R600" s="815"/>
    </row>
    <row r="601" spans="1:22" ht="13.15" customHeight="1">
      <c r="D601" s="814"/>
      <c r="E601" s="814"/>
      <c r="F601" s="814"/>
      <c r="G601" s="814"/>
      <c r="H601" s="814"/>
      <c r="I601" s="814"/>
      <c r="J601" s="814"/>
      <c r="K601" s="814"/>
      <c r="L601" s="814"/>
      <c r="M601" s="814"/>
      <c r="N601" s="814"/>
      <c r="O601" s="814"/>
      <c r="P601" s="814"/>
      <c r="Q601" s="814"/>
      <c r="R601" s="815"/>
      <c r="S601" s="816" t="s">
        <v>1186</v>
      </c>
      <c r="T601" s="816"/>
    </row>
    <row r="602" spans="1:22">
      <c r="Q602" s="807"/>
      <c r="S602" s="816"/>
      <c r="T602" s="816"/>
    </row>
    <row r="603" spans="1:22" ht="15.6" customHeight="1">
      <c r="H603" s="817" t="s">
        <v>1187</v>
      </c>
      <c r="I603" s="817"/>
      <c r="J603" s="817"/>
      <c r="K603" s="817"/>
      <c r="L603" s="817"/>
      <c r="M603" s="817"/>
      <c r="N603" s="817"/>
      <c r="Q603" s="807"/>
    </row>
    <row r="604" spans="1:22" ht="13.15" customHeight="1">
      <c r="Q604" s="816" t="s">
        <v>1412</v>
      </c>
      <c r="R604" s="818"/>
      <c r="S604" s="816"/>
    </row>
    <row r="605" spans="1:22">
      <c r="H605" s="816" t="s">
        <v>1189</v>
      </c>
      <c r="I605" s="816"/>
      <c r="J605" s="819">
        <v>41640</v>
      </c>
      <c r="K605" s="819"/>
      <c r="L605" s="816" t="s">
        <v>1190</v>
      </c>
      <c r="M605" s="816"/>
      <c r="N605" s="819">
        <v>41993</v>
      </c>
      <c r="O605" s="819"/>
      <c r="Q605" s="816"/>
      <c r="R605" s="818"/>
      <c r="S605" s="816"/>
    </row>
    <row r="606" spans="1:22">
      <c r="H606" s="816"/>
      <c r="I606" s="816"/>
      <c r="J606" s="819"/>
      <c r="K606" s="819"/>
      <c r="L606" s="816"/>
      <c r="M606" s="816"/>
      <c r="N606" s="819"/>
      <c r="O606" s="819"/>
      <c r="Q606" s="807"/>
    </row>
    <row r="607" spans="1:22">
      <c r="Q607" s="807"/>
    </row>
    <row r="608" spans="1:22" ht="13.15" customHeight="1">
      <c r="H608" s="809" t="s">
        <v>1191</v>
      </c>
      <c r="I608" s="809"/>
      <c r="J608" s="809"/>
      <c r="K608" s="809" t="s">
        <v>1192</v>
      </c>
      <c r="L608" s="809"/>
      <c r="M608" s="809" t="s">
        <v>1193</v>
      </c>
      <c r="N608" s="809"/>
      <c r="O608" s="809" t="s">
        <v>1194</v>
      </c>
      <c r="P608" s="809"/>
      <c r="Q608" s="809" t="s">
        <v>1195</v>
      </c>
      <c r="R608" s="820"/>
      <c r="S608" s="809" t="s">
        <v>1196</v>
      </c>
      <c r="T608" s="809"/>
    </row>
    <row r="609" spans="1:23">
      <c r="Q609" s="807"/>
    </row>
    <row r="610" spans="1:23" ht="13.15" customHeight="1">
      <c r="A610" s="809" t="s">
        <v>1203</v>
      </c>
      <c r="B610" s="809"/>
      <c r="C610" s="809" t="s">
        <v>1413</v>
      </c>
      <c r="D610" s="809"/>
      <c r="E610" s="809" t="s">
        <v>1198</v>
      </c>
      <c r="F610" s="809"/>
      <c r="G610" s="809" t="s">
        <v>1414</v>
      </c>
      <c r="H610" s="809"/>
      <c r="I610" s="809"/>
      <c r="J610" s="809"/>
      <c r="K610" s="809"/>
      <c r="L610" s="809"/>
      <c r="M610" s="809"/>
      <c r="N610" s="809"/>
      <c r="Q610" s="807"/>
    </row>
    <row r="611" spans="1:23">
      <c r="Q611" s="807"/>
    </row>
    <row r="612" spans="1:23" ht="13.15" customHeight="1">
      <c r="G612" s="810" t="s">
        <v>1200</v>
      </c>
      <c r="H612" s="810"/>
      <c r="O612" s="810" t="s">
        <v>1201</v>
      </c>
      <c r="P612" s="810"/>
      <c r="Q612" s="807"/>
      <c r="U612" s="810" t="s">
        <v>1202</v>
      </c>
      <c r="V612" s="810"/>
    </row>
    <row r="613" spans="1:23" ht="13.15" customHeight="1">
      <c r="B613" s="811" t="s">
        <v>1204</v>
      </c>
      <c r="D613" s="810" t="s">
        <v>1205</v>
      </c>
      <c r="E613" s="810"/>
      <c r="G613" s="810"/>
      <c r="H613" s="810"/>
      <c r="I613" s="810" t="s">
        <v>1206</v>
      </c>
      <c r="J613" s="810"/>
      <c r="K613" s="810" t="s">
        <v>1207</v>
      </c>
      <c r="L613" s="810"/>
      <c r="M613" s="810" t="s">
        <v>1208</v>
      </c>
      <c r="N613" s="810"/>
      <c r="O613" s="810"/>
      <c r="P613" s="810"/>
      <c r="Q613" s="810" t="s">
        <v>1209</v>
      </c>
      <c r="R613" s="812"/>
      <c r="S613" s="810" t="s">
        <v>1210</v>
      </c>
      <c r="T613" s="810"/>
      <c r="U613" s="810"/>
      <c r="V613" s="810"/>
    </row>
    <row r="614" spans="1:23" ht="13.15" customHeight="1">
      <c r="A614" s="821" t="s">
        <v>1415</v>
      </c>
      <c r="B614" s="821"/>
      <c r="D614" s="821" t="s">
        <v>1416</v>
      </c>
      <c r="E614" s="821"/>
      <c r="F614" s="821"/>
      <c r="G614" s="821"/>
    </row>
    <row r="615" spans="1:23">
      <c r="A615" s="821"/>
      <c r="B615" s="821"/>
      <c r="D615" s="821"/>
      <c r="E615" s="821"/>
      <c r="F615" s="821"/>
      <c r="G615" s="821"/>
      <c r="H615" s="822">
        <v>0</v>
      </c>
      <c r="I615" s="822"/>
      <c r="J615" s="822">
        <v>603427.6</v>
      </c>
      <c r="K615" s="822"/>
      <c r="L615" s="822">
        <v>603427.6</v>
      </c>
      <c r="M615" s="822"/>
      <c r="N615" s="822">
        <v>402869.13</v>
      </c>
      <c r="O615" s="822"/>
      <c r="P615" s="822">
        <v>200558.47</v>
      </c>
      <c r="Q615" s="822"/>
      <c r="R615" s="826">
        <v>384305.13</v>
      </c>
      <c r="S615" s="822"/>
      <c r="T615" s="822">
        <v>384305.13</v>
      </c>
      <c r="U615" s="822"/>
      <c r="V615" s="822">
        <v>219122.47</v>
      </c>
      <c r="W615" s="822"/>
    </row>
    <row r="616" spans="1:23">
      <c r="H616" s="822"/>
      <c r="I616" s="822"/>
      <c r="J616" s="822"/>
      <c r="K616" s="822"/>
      <c r="L616" s="822"/>
      <c r="M616" s="822"/>
      <c r="N616" s="822"/>
      <c r="O616" s="822"/>
      <c r="P616" s="822"/>
      <c r="Q616" s="822"/>
      <c r="R616" s="826"/>
      <c r="S616" s="822"/>
      <c r="T616" s="822"/>
      <c r="U616" s="822"/>
      <c r="V616" s="822"/>
      <c r="W616" s="822"/>
    </row>
    <row r="617" spans="1:23">
      <c r="Q617" s="807"/>
    </row>
    <row r="618" spans="1:23" ht="13.15" customHeight="1">
      <c r="D618" s="816" t="s">
        <v>1344</v>
      </c>
      <c r="E618" s="816"/>
      <c r="F618" s="825">
        <v>0</v>
      </c>
      <c r="G618" s="825"/>
      <c r="H618" s="825"/>
      <c r="I618" s="825">
        <v>603427.6</v>
      </c>
      <c r="J618" s="825"/>
      <c r="K618" s="825">
        <v>603427.6</v>
      </c>
      <c r="L618" s="825"/>
      <c r="M618" s="825">
        <v>402869.13</v>
      </c>
      <c r="N618" s="825"/>
      <c r="O618" s="825">
        <v>200558.47</v>
      </c>
      <c r="P618" s="825"/>
      <c r="Q618" s="825">
        <v>384305.13</v>
      </c>
      <c r="R618" s="828"/>
      <c r="S618" s="825">
        <v>384305.13</v>
      </c>
      <c r="T618" s="825"/>
      <c r="U618" s="825">
        <v>219122.47</v>
      </c>
      <c r="V618" s="825"/>
    </row>
    <row r="619" spans="1:23">
      <c r="Q619" s="807"/>
    </row>
    <row r="620" spans="1:23">
      <c r="Q620" s="807"/>
    </row>
    <row r="621" spans="1:23" ht="13.15" customHeight="1">
      <c r="A621" s="813" t="s">
        <v>1243</v>
      </c>
      <c r="E621" s="823" t="s">
        <v>1244</v>
      </c>
      <c r="F621" s="823"/>
      <c r="J621" s="823" t="s">
        <v>1245</v>
      </c>
      <c r="K621" s="823"/>
      <c r="O621" s="823" t="s">
        <v>1246</v>
      </c>
      <c r="P621" s="823"/>
      <c r="Q621" s="823"/>
    </row>
    <row r="622" spans="1:23" ht="13.15" customHeight="1">
      <c r="B622" s="824" t="s">
        <v>1247</v>
      </c>
      <c r="C622" s="824"/>
      <c r="D622" s="824"/>
      <c r="E622" s="824" t="s">
        <v>1248</v>
      </c>
      <c r="F622" s="824"/>
      <c r="G622" s="824"/>
      <c r="H622" s="824"/>
      <c r="J622" s="824" t="s">
        <v>1249</v>
      </c>
      <c r="K622" s="824"/>
      <c r="L622" s="824"/>
      <c r="Q622" s="807"/>
    </row>
    <row r="623" spans="1:23">
      <c r="Q623" s="807"/>
    </row>
    <row r="624" spans="1:23">
      <c r="Q624" s="807"/>
    </row>
    <row r="625" spans="1:23" ht="13.15" customHeight="1">
      <c r="D625" s="814" t="s">
        <v>1185</v>
      </c>
      <c r="E625" s="814"/>
      <c r="F625" s="814"/>
      <c r="G625" s="814"/>
      <c r="H625" s="814"/>
      <c r="I625" s="814"/>
      <c r="J625" s="814"/>
      <c r="K625" s="814"/>
      <c r="L625" s="814"/>
      <c r="M625" s="814"/>
      <c r="N625" s="814"/>
      <c r="O625" s="814"/>
      <c r="P625" s="814"/>
      <c r="Q625" s="814"/>
      <c r="R625" s="815"/>
    </row>
    <row r="626" spans="1:23" ht="13.15" customHeight="1">
      <c r="D626" s="814"/>
      <c r="E626" s="814"/>
      <c r="F626" s="814"/>
      <c r="G626" s="814"/>
      <c r="H626" s="814"/>
      <c r="I626" s="814"/>
      <c r="J626" s="814"/>
      <c r="K626" s="814"/>
      <c r="L626" s="814"/>
      <c r="M626" s="814"/>
      <c r="N626" s="814"/>
      <c r="O626" s="814"/>
      <c r="P626" s="814"/>
      <c r="Q626" s="814"/>
      <c r="R626" s="815"/>
      <c r="S626" s="816" t="s">
        <v>1186</v>
      </c>
      <c r="T626" s="816"/>
    </row>
    <row r="627" spans="1:23">
      <c r="Q627" s="807"/>
      <c r="S627" s="816"/>
      <c r="T627" s="816"/>
    </row>
    <row r="628" spans="1:23" ht="15.6" customHeight="1">
      <c r="H628" s="817" t="s">
        <v>1187</v>
      </c>
      <c r="I628" s="817"/>
      <c r="J628" s="817"/>
      <c r="K628" s="817"/>
      <c r="L628" s="817"/>
      <c r="M628" s="817"/>
      <c r="N628" s="817"/>
      <c r="Q628" s="807"/>
    </row>
    <row r="629" spans="1:23" ht="13.15" customHeight="1">
      <c r="Q629" s="816" t="s">
        <v>1417</v>
      </c>
      <c r="R629" s="818"/>
      <c r="S629" s="816"/>
    </row>
    <row r="630" spans="1:23">
      <c r="H630" s="816" t="s">
        <v>1189</v>
      </c>
      <c r="I630" s="816"/>
      <c r="J630" s="819">
        <v>41640</v>
      </c>
      <c r="K630" s="819"/>
      <c r="L630" s="816" t="s">
        <v>1190</v>
      </c>
      <c r="M630" s="816"/>
      <c r="N630" s="819">
        <v>41993</v>
      </c>
      <c r="O630" s="819"/>
      <c r="Q630" s="816"/>
      <c r="R630" s="818"/>
      <c r="S630" s="816"/>
    </row>
    <row r="631" spans="1:23">
      <c r="H631" s="816"/>
      <c r="I631" s="816"/>
      <c r="J631" s="819"/>
      <c r="K631" s="819"/>
      <c r="L631" s="816"/>
      <c r="M631" s="816"/>
      <c r="N631" s="819"/>
      <c r="O631" s="819"/>
      <c r="Q631" s="807"/>
    </row>
    <row r="632" spans="1:23">
      <c r="Q632" s="807"/>
    </row>
    <row r="633" spans="1:23" ht="13.15" customHeight="1">
      <c r="H633" s="809" t="s">
        <v>1191</v>
      </c>
      <c r="I633" s="809"/>
      <c r="J633" s="809"/>
      <c r="K633" s="809" t="s">
        <v>1192</v>
      </c>
      <c r="L633" s="809"/>
      <c r="M633" s="809" t="s">
        <v>1193</v>
      </c>
      <c r="N633" s="809"/>
      <c r="O633" s="809" t="s">
        <v>1194</v>
      </c>
      <c r="P633" s="809"/>
      <c r="Q633" s="809" t="s">
        <v>1195</v>
      </c>
      <c r="R633" s="820"/>
      <c r="S633" s="809" t="s">
        <v>1196</v>
      </c>
      <c r="T633" s="809"/>
    </row>
    <row r="634" spans="1:23">
      <c r="Q634" s="807"/>
    </row>
    <row r="635" spans="1:23" ht="13.15" customHeight="1">
      <c r="A635" s="809" t="s">
        <v>1203</v>
      </c>
      <c r="B635" s="809"/>
      <c r="C635" s="809" t="s">
        <v>1418</v>
      </c>
      <c r="D635" s="809"/>
      <c r="E635" s="809" t="s">
        <v>1198</v>
      </c>
      <c r="F635" s="809"/>
      <c r="G635" s="809" t="s">
        <v>1419</v>
      </c>
      <c r="H635" s="809"/>
      <c r="I635" s="809"/>
      <c r="J635" s="809"/>
      <c r="K635" s="809"/>
      <c r="L635" s="809"/>
      <c r="M635" s="809"/>
      <c r="N635" s="809"/>
      <c r="Q635" s="807"/>
    </row>
    <row r="636" spans="1:23">
      <c r="Q636" s="807"/>
    </row>
    <row r="637" spans="1:23" ht="13.15" customHeight="1">
      <c r="G637" s="810" t="s">
        <v>1200</v>
      </c>
      <c r="H637" s="810"/>
      <c r="O637" s="810" t="s">
        <v>1201</v>
      </c>
      <c r="P637" s="810"/>
      <c r="Q637" s="807"/>
      <c r="U637" s="810" t="s">
        <v>1202</v>
      </c>
      <c r="V637" s="810"/>
    </row>
    <row r="638" spans="1:23" ht="13.15" customHeight="1">
      <c r="B638" s="811" t="s">
        <v>1204</v>
      </c>
      <c r="D638" s="810" t="s">
        <v>1205</v>
      </c>
      <c r="E638" s="810"/>
      <c r="G638" s="810"/>
      <c r="H638" s="810"/>
      <c r="I638" s="810" t="s">
        <v>1206</v>
      </c>
      <c r="J638" s="810"/>
      <c r="K638" s="810" t="s">
        <v>1207</v>
      </c>
      <c r="L638" s="810"/>
      <c r="M638" s="810" t="s">
        <v>1208</v>
      </c>
      <c r="N638" s="810"/>
      <c r="O638" s="810"/>
      <c r="P638" s="810"/>
      <c r="Q638" s="810" t="s">
        <v>1209</v>
      </c>
      <c r="R638" s="812"/>
      <c r="S638" s="810" t="s">
        <v>1210</v>
      </c>
      <c r="T638" s="810"/>
      <c r="U638" s="810"/>
      <c r="V638" s="810"/>
    </row>
    <row r="639" spans="1:23" ht="13.15" customHeight="1">
      <c r="A639" s="821" t="s">
        <v>1286</v>
      </c>
      <c r="B639" s="821"/>
      <c r="D639" s="821" t="s">
        <v>1408</v>
      </c>
      <c r="E639" s="821"/>
      <c r="F639" s="821"/>
      <c r="G639" s="821"/>
      <c r="Q639" s="807"/>
    </row>
    <row r="640" spans="1:23">
      <c r="A640" s="821"/>
      <c r="B640" s="821"/>
      <c r="D640" s="821"/>
      <c r="E640" s="821"/>
      <c r="F640" s="821"/>
      <c r="G640" s="821"/>
      <c r="H640" s="822">
        <v>0</v>
      </c>
      <c r="I640" s="822"/>
      <c r="J640" s="822">
        <v>592.56000000000006</v>
      </c>
      <c r="K640" s="822"/>
      <c r="L640" s="822">
        <v>592.56000000000006</v>
      </c>
      <c r="M640" s="822"/>
      <c r="N640" s="822">
        <v>0</v>
      </c>
      <c r="O640" s="822"/>
      <c r="P640" s="822">
        <v>592.56000000000006</v>
      </c>
      <c r="Q640" s="822"/>
      <c r="R640" s="826">
        <v>0</v>
      </c>
      <c r="S640" s="822"/>
      <c r="T640" s="822">
        <v>0</v>
      </c>
      <c r="U640" s="822"/>
      <c r="V640" s="822">
        <v>592.56000000000006</v>
      </c>
      <c r="W640" s="822"/>
    </row>
    <row r="641" spans="1:23" ht="13.15" customHeight="1">
      <c r="A641" s="821" t="s">
        <v>1420</v>
      </c>
      <c r="B641" s="821"/>
      <c r="D641" s="821" t="s">
        <v>1421</v>
      </c>
      <c r="E641" s="821"/>
      <c r="F641" s="821"/>
      <c r="G641" s="821"/>
      <c r="H641" s="822"/>
      <c r="I641" s="822"/>
      <c r="J641" s="822"/>
      <c r="K641" s="822"/>
      <c r="L641" s="822"/>
      <c r="M641" s="822"/>
      <c r="N641" s="822"/>
      <c r="O641" s="822"/>
      <c r="P641" s="822"/>
      <c r="Q641" s="826"/>
      <c r="R641" s="826"/>
      <c r="S641" s="822"/>
      <c r="T641" s="822"/>
      <c r="U641" s="822"/>
      <c r="V641" s="822"/>
      <c r="W641" s="822"/>
    </row>
    <row r="642" spans="1:23">
      <c r="A642" s="821"/>
      <c r="B642" s="821"/>
      <c r="D642" s="821"/>
      <c r="E642" s="821"/>
      <c r="F642" s="821"/>
      <c r="G642" s="821"/>
      <c r="Q642" s="807"/>
    </row>
    <row r="643" spans="1:23">
      <c r="A643" s="821"/>
      <c r="B643" s="821"/>
      <c r="D643" s="821"/>
      <c r="E643" s="821"/>
      <c r="F643" s="821"/>
      <c r="G643" s="821"/>
      <c r="H643" s="822">
        <v>0</v>
      </c>
      <c r="I643" s="822"/>
      <c r="J643" s="822">
        <v>169.89000000000001</v>
      </c>
      <c r="K643" s="822"/>
      <c r="L643" s="822">
        <v>169.89000000000001</v>
      </c>
      <c r="M643" s="822"/>
      <c r="N643" s="822">
        <v>0</v>
      </c>
      <c r="O643" s="822"/>
      <c r="P643" s="822">
        <v>169.89000000000001</v>
      </c>
      <c r="Q643" s="822"/>
      <c r="R643" s="826">
        <v>0</v>
      </c>
      <c r="S643" s="822"/>
      <c r="T643" s="822">
        <v>0</v>
      </c>
      <c r="U643" s="822"/>
      <c r="V643" s="822">
        <v>169.89000000000001</v>
      </c>
      <c r="W643" s="822"/>
    </row>
    <row r="644" spans="1:23">
      <c r="H644" s="822"/>
      <c r="I644" s="822"/>
      <c r="J644" s="822"/>
      <c r="K644" s="822"/>
      <c r="L644" s="822"/>
      <c r="M644" s="822"/>
      <c r="N644" s="822"/>
      <c r="O644" s="822"/>
      <c r="P644" s="822"/>
      <c r="Q644" s="822"/>
      <c r="R644" s="826"/>
      <c r="S644" s="822"/>
      <c r="T644" s="822"/>
      <c r="U644" s="822"/>
      <c r="V644" s="822"/>
      <c r="W644" s="822"/>
    </row>
    <row r="645" spans="1:23">
      <c r="Q645" s="807"/>
    </row>
    <row r="646" spans="1:23" ht="13.15" customHeight="1">
      <c r="D646" s="816" t="s">
        <v>1344</v>
      </c>
      <c r="E646" s="816"/>
      <c r="F646" s="825">
        <v>0</v>
      </c>
      <c r="G646" s="825"/>
      <c r="H646" s="825"/>
      <c r="I646" s="825">
        <v>762.45</v>
      </c>
      <c r="J646" s="825"/>
      <c r="K646" s="825">
        <v>762.45</v>
      </c>
      <c r="L646" s="825"/>
      <c r="M646" s="825">
        <v>0</v>
      </c>
      <c r="N646" s="825"/>
      <c r="O646" s="825">
        <v>762.45</v>
      </c>
      <c r="P646" s="825"/>
      <c r="Q646" s="825">
        <v>0</v>
      </c>
      <c r="R646" s="828"/>
      <c r="S646" s="825">
        <v>0</v>
      </c>
      <c r="T646" s="825"/>
      <c r="U646" s="825">
        <v>762.45</v>
      </c>
      <c r="V646" s="825"/>
    </row>
    <row r="647" spans="1:23">
      <c r="Q647" s="807"/>
    </row>
    <row r="648" spans="1:23">
      <c r="Q648" s="807"/>
    </row>
    <row r="649" spans="1:23" ht="13.15" customHeight="1">
      <c r="A649" s="813" t="s">
        <v>1243</v>
      </c>
      <c r="E649" s="823" t="s">
        <v>1244</v>
      </c>
      <c r="F649" s="823"/>
      <c r="J649" s="823" t="s">
        <v>1245</v>
      </c>
      <c r="K649" s="823"/>
      <c r="O649" s="823" t="s">
        <v>1246</v>
      </c>
      <c r="P649" s="823"/>
      <c r="Q649" s="823"/>
    </row>
    <row r="650" spans="1:23" ht="13.15" customHeight="1">
      <c r="B650" s="824" t="s">
        <v>1247</v>
      </c>
      <c r="C650" s="824"/>
      <c r="D650" s="824"/>
      <c r="E650" s="824" t="s">
        <v>1248</v>
      </c>
      <c r="F650" s="824"/>
      <c r="G650" s="824"/>
      <c r="H650" s="824"/>
      <c r="J650" s="824" t="s">
        <v>1249</v>
      </c>
      <c r="K650" s="824"/>
      <c r="L650" s="824"/>
      <c r="Q650" s="807"/>
    </row>
    <row r="651" spans="1:23">
      <c r="Q651" s="807"/>
    </row>
    <row r="652" spans="1:23">
      <c r="Q652" s="807"/>
    </row>
    <row r="653" spans="1:23" ht="13.15" customHeight="1">
      <c r="D653" s="814" t="s">
        <v>1185</v>
      </c>
      <c r="E653" s="814"/>
      <c r="F653" s="814"/>
      <c r="G653" s="814"/>
      <c r="H653" s="814"/>
      <c r="I653" s="814"/>
      <c r="J653" s="814"/>
      <c r="K653" s="814"/>
      <c r="L653" s="814"/>
      <c r="M653" s="814"/>
      <c r="N653" s="814"/>
      <c r="O653" s="814"/>
      <c r="P653" s="814"/>
      <c r="Q653" s="814"/>
      <c r="R653" s="815"/>
    </row>
    <row r="654" spans="1:23" ht="13.15" customHeight="1">
      <c r="D654" s="814"/>
      <c r="E654" s="814"/>
      <c r="F654" s="814"/>
      <c r="G654" s="814"/>
      <c r="H654" s="814"/>
      <c r="I654" s="814"/>
      <c r="J654" s="814"/>
      <c r="K654" s="814"/>
      <c r="L654" s="814"/>
      <c r="M654" s="814"/>
      <c r="N654" s="814"/>
      <c r="O654" s="814"/>
      <c r="P654" s="814"/>
      <c r="Q654" s="814"/>
      <c r="R654" s="815"/>
      <c r="S654" s="816" t="s">
        <v>1186</v>
      </c>
      <c r="T654" s="816"/>
    </row>
    <row r="655" spans="1:23">
      <c r="Q655" s="807"/>
      <c r="S655" s="816"/>
      <c r="T655" s="816"/>
    </row>
    <row r="656" spans="1:23" ht="15.6" customHeight="1">
      <c r="H656" s="817" t="s">
        <v>1187</v>
      </c>
      <c r="I656" s="817"/>
      <c r="J656" s="817"/>
      <c r="K656" s="817"/>
      <c r="L656" s="817"/>
      <c r="M656" s="817"/>
      <c r="N656" s="817"/>
      <c r="Q656" s="807"/>
    </row>
    <row r="657" spans="1:23" ht="13.15" customHeight="1">
      <c r="Q657" s="816" t="s">
        <v>1422</v>
      </c>
      <c r="R657" s="818"/>
      <c r="S657" s="816"/>
    </row>
    <row r="658" spans="1:23">
      <c r="H658" s="816" t="s">
        <v>1189</v>
      </c>
      <c r="I658" s="816"/>
      <c r="J658" s="819">
        <v>41640</v>
      </c>
      <c r="K658" s="819"/>
      <c r="L658" s="816" t="s">
        <v>1190</v>
      </c>
      <c r="M658" s="816"/>
      <c r="N658" s="819">
        <v>41993</v>
      </c>
      <c r="O658" s="819"/>
      <c r="Q658" s="816"/>
      <c r="R658" s="818"/>
      <c r="S658" s="816"/>
    </row>
    <row r="659" spans="1:23">
      <c r="H659" s="816"/>
      <c r="I659" s="816"/>
      <c r="J659" s="819"/>
      <c r="K659" s="819"/>
      <c r="L659" s="816"/>
      <c r="M659" s="816"/>
      <c r="N659" s="819"/>
      <c r="O659" s="819"/>
      <c r="Q659" s="807"/>
    </row>
    <row r="660" spans="1:23">
      <c r="Q660" s="807"/>
    </row>
    <row r="661" spans="1:23" ht="13.15" customHeight="1">
      <c r="H661" s="809" t="s">
        <v>1191</v>
      </c>
      <c r="I661" s="809"/>
      <c r="J661" s="809"/>
      <c r="K661" s="809" t="s">
        <v>1192</v>
      </c>
      <c r="L661" s="809"/>
      <c r="M661" s="809" t="s">
        <v>1193</v>
      </c>
      <c r="N661" s="809"/>
      <c r="O661" s="809" t="s">
        <v>1194</v>
      </c>
      <c r="P661" s="809"/>
      <c r="Q661" s="809" t="s">
        <v>1195</v>
      </c>
      <c r="R661" s="820"/>
      <c r="S661" s="809" t="s">
        <v>1196</v>
      </c>
      <c r="T661" s="809"/>
    </row>
    <row r="662" spans="1:23">
      <c r="Q662" s="807"/>
    </row>
    <row r="663" spans="1:23" ht="13.15" customHeight="1">
      <c r="A663" s="809" t="s">
        <v>1203</v>
      </c>
      <c r="B663" s="809"/>
      <c r="C663" s="809" t="s">
        <v>1423</v>
      </c>
      <c r="D663" s="809"/>
      <c r="E663" s="809" t="s">
        <v>1198</v>
      </c>
      <c r="F663" s="809"/>
      <c r="G663" s="809" t="s">
        <v>1424</v>
      </c>
      <c r="H663" s="809"/>
      <c r="I663" s="809"/>
      <c r="J663" s="809"/>
      <c r="K663" s="809"/>
      <c r="L663" s="809"/>
      <c r="M663" s="809"/>
      <c r="N663" s="809"/>
      <c r="Q663" s="807"/>
    </row>
    <row r="664" spans="1:23">
      <c r="Q664" s="807"/>
    </row>
    <row r="665" spans="1:23" ht="13.15" customHeight="1">
      <c r="G665" s="810" t="s">
        <v>1200</v>
      </c>
      <c r="H665" s="810"/>
      <c r="O665" s="810" t="s">
        <v>1201</v>
      </c>
      <c r="P665" s="810"/>
      <c r="Q665" s="807"/>
      <c r="U665" s="810" t="s">
        <v>1202</v>
      </c>
      <c r="V665" s="810"/>
    </row>
    <row r="666" spans="1:23" ht="13.15" customHeight="1">
      <c r="B666" s="811" t="s">
        <v>1204</v>
      </c>
      <c r="D666" s="810" t="s">
        <v>1205</v>
      </c>
      <c r="E666" s="810"/>
      <c r="G666" s="810"/>
      <c r="H666" s="810"/>
      <c r="I666" s="810" t="s">
        <v>1206</v>
      </c>
      <c r="J666" s="810"/>
      <c r="K666" s="810" t="s">
        <v>1207</v>
      </c>
      <c r="L666" s="810"/>
      <c r="M666" s="810" t="s">
        <v>1208</v>
      </c>
      <c r="N666" s="810"/>
      <c r="O666" s="810"/>
      <c r="P666" s="810"/>
      <c r="Q666" s="810" t="s">
        <v>1209</v>
      </c>
      <c r="R666" s="812"/>
      <c r="S666" s="810" t="s">
        <v>1210</v>
      </c>
      <c r="T666" s="810"/>
      <c r="U666" s="810"/>
      <c r="V666" s="810"/>
    </row>
    <row r="667" spans="1:23" ht="13.15" customHeight="1">
      <c r="A667" s="821" t="s">
        <v>1286</v>
      </c>
      <c r="B667" s="821"/>
      <c r="D667" s="821" t="s">
        <v>1408</v>
      </c>
      <c r="E667" s="821"/>
      <c r="F667" s="821"/>
      <c r="G667" s="821"/>
      <c r="Q667" s="807"/>
    </row>
    <row r="668" spans="1:23">
      <c r="A668" s="821"/>
      <c r="B668" s="821"/>
      <c r="D668" s="821"/>
      <c r="E668" s="821"/>
      <c r="F668" s="821"/>
      <c r="G668" s="821"/>
      <c r="H668" s="822">
        <v>0</v>
      </c>
      <c r="I668" s="822"/>
      <c r="J668" s="822">
        <v>250</v>
      </c>
      <c r="K668" s="822"/>
      <c r="L668" s="822">
        <v>250</v>
      </c>
      <c r="M668" s="822"/>
      <c r="N668" s="822">
        <v>0</v>
      </c>
      <c r="O668" s="822"/>
      <c r="P668" s="822">
        <v>250</v>
      </c>
      <c r="Q668" s="822"/>
      <c r="R668" s="826">
        <v>0</v>
      </c>
      <c r="S668" s="822"/>
      <c r="T668" s="822">
        <v>0</v>
      </c>
      <c r="U668" s="822"/>
      <c r="V668" s="822">
        <v>250</v>
      </c>
      <c r="W668" s="822"/>
    </row>
    <row r="669" spans="1:23" ht="13.15" customHeight="1">
      <c r="A669" s="821" t="s">
        <v>1425</v>
      </c>
      <c r="B669" s="821"/>
      <c r="D669" s="821" t="s">
        <v>1426</v>
      </c>
      <c r="E669" s="821"/>
      <c r="F669" s="821"/>
      <c r="G669" s="821"/>
      <c r="H669" s="822"/>
      <c r="I669" s="822"/>
      <c r="J669" s="822"/>
      <c r="K669" s="822"/>
      <c r="L669" s="822"/>
      <c r="M669" s="822"/>
      <c r="N669" s="822"/>
      <c r="O669" s="822"/>
      <c r="P669" s="822"/>
      <c r="Q669" s="826"/>
      <c r="R669" s="826"/>
      <c r="S669" s="822"/>
      <c r="T669" s="822"/>
      <c r="U669" s="822"/>
      <c r="V669" s="822"/>
      <c r="W669" s="822"/>
    </row>
    <row r="670" spans="1:23">
      <c r="A670" s="821"/>
      <c r="B670" s="821"/>
      <c r="D670" s="821"/>
      <c r="E670" s="821"/>
      <c r="F670" s="821"/>
      <c r="G670" s="821"/>
      <c r="Q670" s="807"/>
    </row>
    <row r="671" spans="1:23">
      <c r="A671" s="821"/>
      <c r="B671" s="821"/>
      <c r="D671" s="821"/>
      <c r="E671" s="821"/>
      <c r="F671" s="821"/>
      <c r="G671" s="821"/>
      <c r="H671" s="822">
        <v>0</v>
      </c>
      <c r="I671" s="822"/>
      <c r="J671" s="822">
        <v>100.61</v>
      </c>
      <c r="K671" s="822"/>
      <c r="L671" s="822">
        <v>100.61</v>
      </c>
      <c r="M671" s="822"/>
      <c r="N671" s="822">
        <v>0</v>
      </c>
      <c r="O671" s="822"/>
      <c r="P671" s="822">
        <v>100.61</v>
      </c>
      <c r="Q671" s="822"/>
      <c r="R671" s="826">
        <v>0</v>
      </c>
      <c r="S671" s="822"/>
      <c r="T671" s="822">
        <v>0</v>
      </c>
      <c r="U671" s="822"/>
      <c r="V671" s="822">
        <v>100.61</v>
      </c>
      <c r="W671" s="822"/>
    </row>
    <row r="672" spans="1:23">
      <c r="H672" s="822"/>
      <c r="I672" s="822"/>
      <c r="J672" s="822"/>
      <c r="K672" s="822"/>
      <c r="L672" s="822"/>
      <c r="M672" s="822"/>
      <c r="N672" s="822"/>
      <c r="O672" s="822"/>
      <c r="P672" s="822"/>
      <c r="Q672" s="822"/>
      <c r="R672" s="826"/>
      <c r="S672" s="822"/>
      <c r="T672" s="822"/>
      <c r="U672" s="822"/>
      <c r="V672" s="822"/>
      <c r="W672" s="822"/>
    </row>
    <row r="673" spans="1:22">
      <c r="Q673" s="807"/>
    </row>
    <row r="674" spans="1:22" ht="13.15" customHeight="1">
      <c r="D674" s="816" t="s">
        <v>1344</v>
      </c>
      <c r="E674" s="816"/>
      <c r="F674" s="825">
        <v>0</v>
      </c>
      <c r="G674" s="825"/>
      <c r="H674" s="825"/>
      <c r="I674" s="825">
        <v>350.61</v>
      </c>
      <c r="J674" s="825"/>
      <c r="K674" s="825">
        <v>350.61</v>
      </c>
      <c r="L674" s="825"/>
      <c r="M674" s="825">
        <v>0</v>
      </c>
      <c r="N674" s="825"/>
      <c r="O674" s="825">
        <v>350.61</v>
      </c>
      <c r="P674" s="825"/>
      <c r="Q674" s="825">
        <v>0</v>
      </c>
      <c r="R674" s="828"/>
      <c r="S674" s="825">
        <v>0</v>
      </c>
      <c r="T674" s="825"/>
      <c r="U674" s="825">
        <v>350.61</v>
      </c>
      <c r="V674" s="825"/>
    </row>
    <row r="675" spans="1:22">
      <c r="Q675" s="807"/>
    </row>
    <row r="676" spans="1:22">
      <c r="Q676" s="807"/>
    </row>
    <row r="677" spans="1:22" ht="13.15" customHeight="1">
      <c r="A677" s="813" t="s">
        <v>1243</v>
      </c>
      <c r="E677" s="823" t="s">
        <v>1244</v>
      </c>
      <c r="F677" s="823"/>
      <c r="J677" s="823" t="s">
        <v>1245</v>
      </c>
      <c r="K677" s="823"/>
      <c r="O677" s="823" t="s">
        <v>1246</v>
      </c>
      <c r="P677" s="823"/>
      <c r="Q677" s="823"/>
    </row>
    <row r="678" spans="1:22" ht="13.15" customHeight="1">
      <c r="B678" s="824" t="s">
        <v>1247</v>
      </c>
      <c r="C678" s="824"/>
      <c r="D678" s="824"/>
      <c r="E678" s="824" t="s">
        <v>1248</v>
      </c>
      <c r="F678" s="824"/>
      <c r="G678" s="824"/>
      <c r="H678" s="824"/>
      <c r="J678" s="824" t="s">
        <v>1249</v>
      </c>
      <c r="K678" s="824"/>
      <c r="L678" s="824"/>
      <c r="Q678" s="807"/>
    </row>
    <row r="679" spans="1:22">
      <c r="Q679" s="807"/>
    </row>
    <row r="680" spans="1:22">
      <c r="Q680" s="807"/>
    </row>
    <row r="681" spans="1:22" ht="13.15" customHeight="1">
      <c r="D681" s="814" t="s">
        <v>1185</v>
      </c>
      <c r="E681" s="814"/>
      <c r="F681" s="814"/>
      <c r="G681" s="814"/>
      <c r="H681" s="814"/>
      <c r="I681" s="814"/>
      <c r="J681" s="814"/>
      <c r="K681" s="814"/>
      <c r="L681" s="814"/>
      <c r="M681" s="814"/>
      <c r="N681" s="814"/>
      <c r="O681" s="814"/>
      <c r="P681" s="814"/>
      <c r="Q681" s="814"/>
      <c r="R681" s="815"/>
    </row>
    <row r="682" spans="1:22" ht="13.15" customHeight="1">
      <c r="D682" s="814"/>
      <c r="E682" s="814"/>
      <c r="F682" s="814"/>
      <c r="G682" s="814"/>
      <c r="H682" s="814"/>
      <c r="I682" s="814"/>
      <c r="J682" s="814"/>
      <c r="K682" s="814"/>
      <c r="L682" s="814"/>
      <c r="M682" s="814"/>
      <c r="N682" s="814"/>
      <c r="O682" s="814"/>
      <c r="P682" s="814"/>
      <c r="Q682" s="814"/>
      <c r="R682" s="815"/>
      <c r="S682" s="816" t="s">
        <v>1186</v>
      </c>
      <c r="T682" s="816"/>
    </row>
    <row r="683" spans="1:22">
      <c r="Q683" s="807"/>
      <c r="S683" s="816"/>
      <c r="T683" s="816"/>
    </row>
    <row r="684" spans="1:22" ht="15.6" customHeight="1">
      <c r="H684" s="817" t="s">
        <v>1187</v>
      </c>
      <c r="I684" s="817"/>
      <c r="J684" s="817"/>
      <c r="K684" s="817"/>
      <c r="L684" s="817"/>
      <c r="M684" s="817"/>
      <c r="N684" s="817"/>
      <c r="Q684" s="807"/>
    </row>
    <row r="685" spans="1:22" ht="13.15" customHeight="1">
      <c r="Q685" s="816" t="s">
        <v>1427</v>
      </c>
      <c r="R685" s="818"/>
      <c r="S685" s="816"/>
    </row>
    <row r="686" spans="1:22">
      <c r="H686" s="816" t="s">
        <v>1189</v>
      </c>
      <c r="I686" s="816"/>
      <c r="J686" s="819">
        <v>41640</v>
      </c>
      <c r="K686" s="819"/>
      <c r="L686" s="816" t="s">
        <v>1190</v>
      </c>
      <c r="M686" s="816"/>
      <c r="N686" s="819">
        <v>41993</v>
      </c>
      <c r="O686" s="819"/>
      <c r="Q686" s="816"/>
      <c r="R686" s="818"/>
      <c r="S686" s="816"/>
    </row>
    <row r="687" spans="1:22">
      <c r="H687" s="816"/>
      <c r="I687" s="816"/>
      <c r="J687" s="819"/>
      <c r="K687" s="819"/>
      <c r="L687" s="816"/>
      <c r="M687" s="816"/>
      <c r="N687" s="819"/>
      <c r="O687" s="819"/>
      <c r="Q687" s="807"/>
    </row>
    <row r="688" spans="1:22">
      <c r="Q688" s="807"/>
    </row>
    <row r="689" spans="1:23" ht="13.15" customHeight="1">
      <c r="H689" s="809" t="s">
        <v>1191</v>
      </c>
      <c r="I689" s="809"/>
      <c r="J689" s="809"/>
      <c r="K689" s="809" t="s">
        <v>1192</v>
      </c>
      <c r="L689" s="809"/>
      <c r="M689" s="809" t="s">
        <v>1193</v>
      </c>
      <c r="N689" s="809"/>
      <c r="O689" s="809" t="s">
        <v>1194</v>
      </c>
      <c r="P689" s="809"/>
      <c r="Q689" s="809" t="s">
        <v>1195</v>
      </c>
      <c r="R689" s="820"/>
      <c r="S689" s="809" t="s">
        <v>1196</v>
      </c>
      <c r="T689" s="809"/>
    </row>
    <row r="690" spans="1:23">
      <c r="Q690" s="807"/>
    </row>
    <row r="691" spans="1:23" ht="13.15" customHeight="1">
      <c r="A691" s="809" t="s">
        <v>1203</v>
      </c>
      <c r="B691" s="809"/>
      <c r="C691" s="809" t="s">
        <v>1428</v>
      </c>
      <c r="D691" s="809"/>
      <c r="E691" s="809" t="s">
        <v>1198</v>
      </c>
      <c r="F691" s="809"/>
      <c r="G691" s="809" t="s">
        <v>1429</v>
      </c>
      <c r="H691" s="809"/>
      <c r="I691" s="809"/>
      <c r="J691" s="809"/>
      <c r="K691" s="809"/>
      <c r="L691" s="809"/>
      <c r="M691" s="809"/>
      <c r="N691" s="809"/>
      <c r="Q691" s="807"/>
    </row>
    <row r="692" spans="1:23">
      <c r="Q692" s="807"/>
    </row>
    <row r="693" spans="1:23" ht="13.15" customHeight="1">
      <c r="G693" s="810" t="s">
        <v>1200</v>
      </c>
      <c r="H693" s="810"/>
      <c r="O693" s="810" t="s">
        <v>1201</v>
      </c>
      <c r="P693" s="810"/>
      <c r="Q693" s="807"/>
      <c r="U693" s="810" t="s">
        <v>1202</v>
      </c>
      <c r="V693" s="810"/>
    </row>
    <row r="694" spans="1:23" ht="13.15" customHeight="1">
      <c r="B694" s="811" t="s">
        <v>1204</v>
      </c>
      <c r="D694" s="810" t="s">
        <v>1205</v>
      </c>
      <c r="E694" s="810"/>
      <c r="G694" s="810"/>
      <c r="H694" s="810"/>
      <c r="I694" s="810" t="s">
        <v>1206</v>
      </c>
      <c r="J694" s="810"/>
      <c r="K694" s="810" t="s">
        <v>1207</v>
      </c>
      <c r="L694" s="810"/>
      <c r="M694" s="810" t="s">
        <v>1208</v>
      </c>
      <c r="N694" s="810"/>
      <c r="O694" s="810"/>
      <c r="P694" s="810"/>
      <c r="Q694" s="810" t="s">
        <v>1209</v>
      </c>
      <c r="R694" s="812"/>
      <c r="S694" s="810" t="s">
        <v>1210</v>
      </c>
      <c r="T694" s="810"/>
      <c r="U694" s="810"/>
      <c r="V694" s="810"/>
    </row>
    <row r="695" spans="1:23" ht="13.15" customHeight="1">
      <c r="A695" s="821" t="s">
        <v>1314</v>
      </c>
      <c r="B695" s="821"/>
      <c r="D695" s="821" t="s">
        <v>1378</v>
      </c>
      <c r="E695" s="821"/>
      <c r="F695" s="821"/>
      <c r="G695" s="821"/>
      <c r="Q695" s="807"/>
    </row>
    <row r="696" spans="1:23">
      <c r="A696" s="821"/>
      <c r="B696" s="821"/>
      <c r="D696" s="821"/>
      <c r="E696" s="821"/>
      <c r="F696" s="821"/>
      <c r="G696" s="821"/>
      <c r="H696" s="822">
        <v>0</v>
      </c>
      <c r="I696" s="822"/>
      <c r="J696" s="822">
        <v>37651.47</v>
      </c>
      <c r="K696" s="822"/>
      <c r="L696" s="822">
        <v>37651.47</v>
      </c>
      <c r="M696" s="822"/>
      <c r="N696" s="822">
        <v>0</v>
      </c>
      <c r="O696" s="822"/>
      <c r="P696" s="822">
        <v>37651.47</v>
      </c>
      <c r="Q696" s="822"/>
      <c r="R696" s="826">
        <v>0</v>
      </c>
      <c r="S696" s="822"/>
      <c r="T696" s="822">
        <v>0</v>
      </c>
      <c r="U696" s="822"/>
      <c r="V696" s="822">
        <v>37651.47</v>
      </c>
      <c r="W696" s="822"/>
    </row>
    <row r="697" spans="1:23" ht="13.15" customHeight="1">
      <c r="A697" s="821" t="s">
        <v>1430</v>
      </c>
      <c r="B697" s="821"/>
      <c r="D697" s="821" t="s">
        <v>1431</v>
      </c>
      <c r="E697" s="821"/>
      <c r="F697" s="821"/>
      <c r="G697" s="821"/>
      <c r="H697" s="822"/>
      <c r="I697" s="822"/>
      <c r="J697" s="822"/>
      <c r="K697" s="822"/>
      <c r="L697" s="822"/>
      <c r="M697" s="822"/>
      <c r="N697" s="822"/>
      <c r="O697" s="822"/>
      <c r="P697" s="822"/>
      <c r="Q697" s="826"/>
      <c r="R697" s="826"/>
      <c r="S697" s="822"/>
      <c r="T697" s="822"/>
      <c r="U697" s="822"/>
      <c r="V697" s="822"/>
      <c r="W697" s="822"/>
    </row>
    <row r="698" spans="1:23">
      <c r="A698" s="821"/>
      <c r="B698" s="821"/>
      <c r="D698" s="821"/>
      <c r="E698" s="821"/>
      <c r="F698" s="821"/>
      <c r="G698" s="821"/>
      <c r="Q698" s="807"/>
    </row>
    <row r="699" spans="1:23">
      <c r="A699" s="821"/>
      <c r="B699" s="821"/>
      <c r="D699" s="821"/>
      <c r="E699" s="821"/>
      <c r="F699" s="821"/>
      <c r="G699" s="821"/>
      <c r="H699" s="822">
        <v>0</v>
      </c>
      <c r="I699" s="822"/>
      <c r="J699" s="822">
        <v>22274.350000000002</v>
      </c>
      <c r="K699" s="822"/>
      <c r="L699" s="822">
        <v>22274.350000000002</v>
      </c>
      <c r="M699" s="822"/>
      <c r="N699" s="822">
        <v>21511.93</v>
      </c>
      <c r="O699" s="822"/>
      <c r="P699" s="822">
        <v>762.42</v>
      </c>
      <c r="Q699" s="822"/>
      <c r="R699" s="826">
        <v>0</v>
      </c>
      <c r="S699" s="822"/>
      <c r="T699" s="822">
        <v>0</v>
      </c>
      <c r="U699" s="822"/>
      <c r="V699" s="822">
        <v>22274.350000000002</v>
      </c>
      <c r="W699" s="822"/>
    </row>
    <row r="700" spans="1:23">
      <c r="H700" s="822"/>
      <c r="I700" s="822"/>
      <c r="J700" s="822"/>
      <c r="K700" s="822"/>
      <c r="L700" s="822"/>
      <c r="M700" s="822"/>
      <c r="N700" s="822"/>
      <c r="O700" s="822"/>
      <c r="P700" s="822"/>
      <c r="Q700" s="822"/>
      <c r="R700" s="826"/>
      <c r="S700" s="822"/>
      <c r="T700" s="822"/>
      <c r="U700" s="822"/>
      <c r="V700" s="822"/>
      <c r="W700" s="822"/>
    </row>
    <row r="701" spans="1:23">
      <c r="Q701" s="807"/>
    </row>
    <row r="702" spans="1:23" ht="13.15" customHeight="1">
      <c r="D702" s="816" t="s">
        <v>1344</v>
      </c>
      <c r="E702" s="816"/>
      <c r="F702" s="825">
        <v>0</v>
      </c>
      <c r="G702" s="825"/>
      <c r="H702" s="825"/>
      <c r="I702" s="825">
        <v>59925.82</v>
      </c>
      <c r="J702" s="825"/>
      <c r="K702" s="825">
        <v>59925.82</v>
      </c>
      <c r="L702" s="825"/>
      <c r="M702" s="825">
        <v>21511.93</v>
      </c>
      <c r="N702" s="825"/>
      <c r="O702" s="825">
        <v>38413.89</v>
      </c>
      <c r="P702" s="825"/>
      <c r="Q702" s="825">
        <v>0</v>
      </c>
      <c r="R702" s="828"/>
      <c r="S702" s="825">
        <v>0</v>
      </c>
      <c r="T702" s="825"/>
      <c r="U702" s="825">
        <v>59925.82</v>
      </c>
      <c r="V702" s="825"/>
    </row>
    <row r="703" spans="1:23">
      <c r="Q703" s="807"/>
    </row>
    <row r="704" spans="1:23">
      <c r="Q704" s="807"/>
    </row>
    <row r="705" spans="1:20" ht="13.15" customHeight="1">
      <c r="A705" s="813" t="s">
        <v>1243</v>
      </c>
      <c r="E705" s="823" t="s">
        <v>1244</v>
      </c>
      <c r="F705" s="823"/>
      <c r="J705" s="823" t="s">
        <v>1245</v>
      </c>
      <c r="K705" s="823"/>
      <c r="O705" s="823" t="s">
        <v>1246</v>
      </c>
      <c r="P705" s="823"/>
      <c r="Q705" s="823"/>
    </row>
    <row r="706" spans="1:20" ht="13.15" customHeight="1">
      <c r="B706" s="824" t="s">
        <v>1247</v>
      </c>
      <c r="C706" s="824"/>
      <c r="D706" s="824"/>
      <c r="E706" s="824" t="s">
        <v>1248</v>
      </c>
      <c r="F706" s="824"/>
      <c r="G706" s="824"/>
      <c r="H706" s="824"/>
      <c r="J706" s="824" t="s">
        <v>1249</v>
      </c>
      <c r="K706" s="824"/>
      <c r="L706" s="824"/>
      <c r="Q706" s="807"/>
    </row>
    <row r="707" spans="1:20">
      <c r="Q707" s="807"/>
    </row>
    <row r="708" spans="1:20">
      <c r="Q708" s="807"/>
    </row>
    <row r="709" spans="1:20" ht="13.15" customHeight="1">
      <c r="D709" s="814" t="s">
        <v>1185</v>
      </c>
      <c r="E709" s="814"/>
      <c r="F709" s="814"/>
      <c r="G709" s="814"/>
      <c r="H709" s="814"/>
      <c r="I709" s="814"/>
      <c r="J709" s="814"/>
      <c r="K709" s="814"/>
      <c r="L709" s="814"/>
      <c r="M709" s="814"/>
      <c r="N709" s="814"/>
      <c r="O709" s="814"/>
      <c r="P709" s="814"/>
      <c r="Q709" s="814"/>
      <c r="R709" s="815"/>
    </row>
    <row r="710" spans="1:20" ht="13.15" customHeight="1">
      <c r="D710" s="814"/>
      <c r="E710" s="814"/>
      <c r="F710" s="814"/>
      <c r="G710" s="814"/>
      <c r="H710" s="814"/>
      <c r="I710" s="814"/>
      <c r="J710" s="814"/>
      <c r="K710" s="814"/>
      <c r="L710" s="814"/>
      <c r="M710" s="814"/>
      <c r="N710" s="814"/>
      <c r="O710" s="814"/>
      <c r="P710" s="814"/>
      <c r="Q710" s="814"/>
      <c r="R710" s="815"/>
      <c r="S710" s="816" t="s">
        <v>1186</v>
      </c>
      <c r="T710" s="816"/>
    </row>
    <row r="711" spans="1:20">
      <c r="Q711" s="807"/>
      <c r="S711" s="816"/>
      <c r="T711" s="816"/>
    </row>
    <row r="712" spans="1:20" ht="15.6" customHeight="1">
      <c r="H712" s="817" t="s">
        <v>1187</v>
      </c>
      <c r="I712" s="817"/>
      <c r="J712" s="817"/>
      <c r="K712" s="817"/>
      <c r="L712" s="817"/>
      <c r="M712" s="817"/>
      <c r="N712" s="817"/>
      <c r="Q712" s="807"/>
    </row>
    <row r="713" spans="1:20" ht="13.15" customHeight="1">
      <c r="Q713" s="816" t="s">
        <v>1432</v>
      </c>
      <c r="R713" s="818"/>
      <c r="S713" s="816"/>
    </row>
    <row r="714" spans="1:20">
      <c r="H714" s="816" t="s">
        <v>1189</v>
      </c>
      <c r="I714" s="816"/>
      <c r="J714" s="819">
        <v>41640</v>
      </c>
      <c r="K714" s="819"/>
      <c r="L714" s="816" t="s">
        <v>1190</v>
      </c>
      <c r="M714" s="816"/>
      <c r="N714" s="819">
        <v>41993</v>
      </c>
      <c r="O714" s="819"/>
      <c r="Q714" s="816"/>
      <c r="R714" s="818"/>
      <c r="S714" s="816"/>
    </row>
    <row r="715" spans="1:20">
      <c r="H715" s="816"/>
      <c r="I715" s="816"/>
      <c r="J715" s="819"/>
      <c r="K715" s="819"/>
      <c r="L715" s="816"/>
      <c r="M715" s="816"/>
      <c r="N715" s="819"/>
      <c r="O715" s="819"/>
      <c r="Q715" s="807"/>
    </row>
    <row r="716" spans="1:20">
      <c r="Q716" s="807"/>
    </row>
    <row r="717" spans="1:20" ht="13.15" customHeight="1">
      <c r="H717" s="809" t="s">
        <v>1191</v>
      </c>
      <c r="I717" s="809"/>
      <c r="J717" s="809"/>
      <c r="K717" s="809" t="s">
        <v>1192</v>
      </c>
      <c r="L717" s="809"/>
      <c r="M717" s="809" t="s">
        <v>1193</v>
      </c>
      <c r="N717" s="809"/>
      <c r="O717" s="809" t="s">
        <v>1194</v>
      </c>
      <c r="P717" s="809"/>
      <c r="Q717" s="809" t="s">
        <v>1195</v>
      </c>
      <c r="R717" s="820"/>
      <c r="S717" s="809" t="s">
        <v>1196</v>
      </c>
      <c r="T717" s="809"/>
    </row>
    <row r="718" spans="1:20">
      <c r="Q718" s="807"/>
    </row>
    <row r="719" spans="1:20" ht="13.15" customHeight="1">
      <c r="A719" s="809" t="s">
        <v>1203</v>
      </c>
      <c r="B719" s="809"/>
      <c r="C719" s="809" t="s">
        <v>1433</v>
      </c>
      <c r="D719" s="809"/>
      <c r="E719" s="809" t="s">
        <v>1198</v>
      </c>
      <c r="F719" s="809"/>
      <c r="G719" s="809" t="s">
        <v>1434</v>
      </c>
      <c r="H719" s="809"/>
      <c r="I719" s="809"/>
      <c r="J719" s="809"/>
      <c r="K719" s="809"/>
      <c r="L719" s="809"/>
      <c r="M719" s="809"/>
      <c r="N719" s="809"/>
      <c r="Q719" s="807"/>
    </row>
    <row r="720" spans="1:20">
      <c r="Q720" s="807"/>
    </row>
    <row r="721" spans="1:23" ht="13.15" customHeight="1">
      <c r="G721" s="810" t="s">
        <v>1200</v>
      </c>
      <c r="H721" s="810"/>
      <c r="O721" s="810" t="s">
        <v>1201</v>
      </c>
      <c r="P721" s="810"/>
      <c r="Q721" s="807"/>
      <c r="U721" s="810" t="s">
        <v>1202</v>
      </c>
      <c r="V721" s="810"/>
    </row>
    <row r="722" spans="1:23" ht="13.15" customHeight="1">
      <c r="B722" s="811" t="s">
        <v>1204</v>
      </c>
      <c r="D722" s="810" t="s">
        <v>1205</v>
      </c>
      <c r="E722" s="810"/>
      <c r="G722" s="810"/>
      <c r="H722" s="810"/>
      <c r="I722" s="810" t="s">
        <v>1206</v>
      </c>
      <c r="J722" s="810"/>
      <c r="K722" s="810" t="s">
        <v>1207</v>
      </c>
      <c r="L722" s="810"/>
      <c r="M722" s="810" t="s">
        <v>1208</v>
      </c>
      <c r="N722" s="810"/>
      <c r="O722" s="810"/>
      <c r="P722" s="810"/>
      <c r="Q722" s="810" t="s">
        <v>1209</v>
      </c>
      <c r="R722" s="812"/>
      <c r="S722" s="810" t="s">
        <v>1210</v>
      </c>
      <c r="T722" s="810"/>
      <c r="U722" s="810"/>
      <c r="V722" s="810"/>
    </row>
    <row r="723" spans="1:23" ht="13.15" customHeight="1">
      <c r="A723" s="821" t="s">
        <v>1286</v>
      </c>
      <c r="B723" s="821"/>
      <c r="D723" s="821" t="s">
        <v>1408</v>
      </c>
      <c r="E723" s="821"/>
      <c r="F723" s="821"/>
      <c r="G723" s="821"/>
      <c r="Q723" s="807"/>
    </row>
    <row r="724" spans="1:23">
      <c r="A724" s="821"/>
      <c r="B724" s="821"/>
      <c r="D724" s="821"/>
      <c r="E724" s="821"/>
      <c r="F724" s="821"/>
      <c r="G724" s="821"/>
      <c r="H724" s="822">
        <v>0</v>
      </c>
      <c r="I724" s="822"/>
      <c r="J724" s="822">
        <v>349.76</v>
      </c>
      <c r="K724" s="822"/>
      <c r="L724" s="822">
        <v>349.76</v>
      </c>
      <c r="M724" s="822"/>
      <c r="N724" s="822">
        <v>0</v>
      </c>
      <c r="O724" s="822"/>
      <c r="P724" s="822">
        <v>349.76</v>
      </c>
      <c r="Q724" s="822"/>
      <c r="R724" s="826">
        <v>0</v>
      </c>
      <c r="S724" s="822"/>
      <c r="T724" s="822">
        <v>0</v>
      </c>
      <c r="U724" s="822"/>
      <c r="V724" s="822">
        <v>349.76</v>
      </c>
      <c r="W724" s="822"/>
    </row>
    <row r="725" spans="1:23" ht="13.15" customHeight="1">
      <c r="A725" s="821" t="s">
        <v>1314</v>
      </c>
      <c r="B725" s="821"/>
      <c r="D725" s="821" t="s">
        <v>1378</v>
      </c>
      <c r="E725" s="821"/>
      <c r="F725" s="821"/>
      <c r="G725" s="821"/>
      <c r="H725" s="822"/>
      <c r="I725" s="822"/>
      <c r="J725" s="822"/>
      <c r="K725" s="822"/>
      <c r="L725" s="822"/>
      <c r="M725" s="822"/>
      <c r="N725" s="822"/>
      <c r="O725" s="822"/>
      <c r="P725" s="822"/>
      <c r="Q725" s="822"/>
      <c r="R725" s="826"/>
      <c r="S725" s="822"/>
      <c r="T725" s="822"/>
      <c r="U725" s="822"/>
      <c r="V725" s="822"/>
      <c r="W725" s="822"/>
    </row>
    <row r="726" spans="1:23">
      <c r="A726" s="821"/>
      <c r="B726" s="821"/>
      <c r="D726" s="821"/>
      <c r="E726" s="821"/>
      <c r="F726" s="821"/>
      <c r="G726" s="821"/>
      <c r="Q726" s="807"/>
    </row>
    <row r="727" spans="1:23">
      <c r="A727" s="821"/>
      <c r="B727" s="821"/>
      <c r="D727" s="821"/>
      <c r="E727" s="821"/>
      <c r="F727" s="821"/>
      <c r="G727" s="821"/>
      <c r="H727" s="822">
        <v>0</v>
      </c>
      <c r="I727" s="822"/>
      <c r="J727" s="822">
        <v>295</v>
      </c>
      <c r="K727" s="822"/>
      <c r="L727" s="822">
        <v>295</v>
      </c>
      <c r="M727" s="822"/>
      <c r="N727" s="822">
        <v>0</v>
      </c>
      <c r="O727" s="822"/>
      <c r="P727" s="822">
        <v>295</v>
      </c>
      <c r="Q727" s="822"/>
      <c r="R727" s="826">
        <v>0</v>
      </c>
      <c r="S727" s="822"/>
      <c r="T727" s="822">
        <v>0</v>
      </c>
      <c r="U727" s="822"/>
      <c r="V727" s="822">
        <v>295</v>
      </c>
      <c r="W727" s="822"/>
    </row>
    <row r="728" spans="1:23" ht="13.15" customHeight="1">
      <c r="A728" s="821" t="s">
        <v>1435</v>
      </c>
      <c r="B728" s="821"/>
      <c r="D728" s="821" t="s">
        <v>1436</v>
      </c>
      <c r="E728" s="821"/>
      <c r="F728" s="821"/>
      <c r="G728" s="821"/>
      <c r="H728" s="822"/>
      <c r="I728" s="822"/>
      <c r="J728" s="822"/>
      <c r="K728" s="822"/>
      <c r="L728" s="822"/>
      <c r="M728" s="822"/>
      <c r="N728" s="822"/>
      <c r="O728" s="822"/>
      <c r="P728" s="822"/>
      <c r="Q728" s="826"/>
      <c r="R728" s="826"/>
      <c r="S728" s="822"/>
      <c r="T728" s="822"/>
      <c r="U728" s="822"/>
      <c r="V728" s="822"/>
      <c r="W728" s="822"/>
    </row>
    <row r="729" spans="1:23">
      <c r="A729" s="821"/>
      <c r="B729" s="821"/>
      <c r="D729" s="821"/>
      <c r="E729" s="821"/>
      <c r="F729" s="821"/>
      <c r="G729" s="821"/>
      <c r="Q729" s="807"/>
    </row>
    <row r="730" spans="1:23">
      <c r="A730" s="821"/>
      <c r="B730" s="821"/>
      <c r="D730" s="821"/>
      <c r="E730" s="821"/>
      <c r="F730" s="821"/>
      <c r="G730" s="821"/>
      <c r="H730" s="822">
        <v>0</v>
      </c>
      <c r="I730" s="822"/>
      <c r="J730" s="822">
        <v>24344.29</v>
      </c>
      <c r="K730" s="822"/>
      <c r="L730" s="822">
        <v>24344.29</v>
      </c>
      <c r="M730" s="822"/>
      <c r="N730" s="822">
        <v>0</v>
      </c>
      <c r="O730" s="822"/>
      <c r="P730" s="822">
        <v>24344.29</v>
      </c>
      <c r="Q730" s="822"/>
      <c r="R730" s="826">
        <v>0</v>
      </c>
      <c r="S730" s="822"/>
      <c r="T730" s="822">
        <v>0</v>
      </c>
      <c r="U730" s="822"/>
      <c r="V730" s="822">
        <v>24344.29</v>
      </c>
      <c r="W730" s="822"/>
    </row>
    <row r="731" spans="1:23">
      <c r="H731" s="822"/>
      <c r="I731" s="822"/>
      <c r="J731" s="822"/>
      <c r="K731" s="822"/>
      <c r="L731" s="822"/>
      <c r="M731" s="822"/>
      <c r="N731" s="822"/>
      <c r="O731" s="822"/>
      <c r="P731" s="822"/>
      <c r="Q731" s="822"/>
      <c r="R731" s="826"/>
      <c r="S731" s="822"/>
      <c r="T731" s="822"/>
      <c r="U731" s="822"/>
      <c r="V731" s="822"/>
      <c r="W731" s="822"/>
    </row>
    <row r="732" spans="1:23">
      <c r="Q732" s="807"/>
    </row>
    <row r="733" spans="1:23" ht="13.15" customHeight="1">
      <c r="D733" s="816" t="s">
        <v>1344</v>
      </c>
      <c r="E733" s="816"/>
      <c r="F733" s="825">
        <v>0</v>
      </c>
      <c r="G733" s="825"/>
      <c r="H733" s="825"/>
      <c r="I733" s="825">
        <v>24989.05</v>
      </c>
      <c r="J733" s="825"/>
      <c r="K733" s="825">
        <v>24989.05</v>
      </c>
      <c r="L733" s="825"/>
      <c r="M733" s="825">
        <v>0</v>
      </c>
      <c r="N733" s="825"/>
      <c r="O733" s="825">
        <v>24989.05</v>
      </c>
      <c r="P733" s="825"/>
      <c r="Q733" s="825">
        <v>0</v>
      </c>
      <c r="R733" s="828"/>
      <c r="S733" s="825">
        <v>0</v>
      </c>
      <c r="T733" s="825"/>
      <c r="U733" s="825">
        <v>24989.05</v>
      </c>
      <c r="V733" s="825"/>
    </row>
    <row r="734" spans="1:23">
      <c r="Q734" s="807"/>
    </row>
    <row r="735" spans="1:23">
      <c r="Q735" s="807"/>
    </row>
    <row r="736" spans="1:23" ht="13.15" customHeight="1">
      <c r="A736" s="813" t="s">
        <v>1243</v>
      </c>
      <c r="E736" s="823" t="s">
        <v>1244</v>
      </c>
      <c r="F736" s="823"/>
      <c r="J736" s="823" t="s">
        <v>1245</v>
      </c>
      <c r="K736" s="823"/>
      <c r="O736" s="823" t="s">
        <v>1246</v>
      </c>
      <c r="P736" s="823"/>
      <c r="Q736" s="823"/>
    </row>
    <row r="737" spans="1:22" ht="13.15" customHeight="1">
      <c r="B737" s="824" t="s">
        <v>1247</v>
      </c>
      <c r="C737" s="824"/>
      <c r="D737" s="824"/>
      <c r="E737" s="824" t="s">
        <v>1248</v>
      </c>
      <c r="F737" s="824"/>
      <c r="G737" s="824"/>
      <c r="H737" s="824"/>
      <c r="J737" s="824" t="s">
        <v>1249</v>
      </c>
      <c r="K737" s="824"/>
      <c r="L737" s="824"/>
      <c r="Q737" s="807"/>
    </row>
    <row r="738" spans="1:22">
      <c r="Q738" s="807"/>
    </row>
    <row r="739" spans="1:22">
      <c r="Q739" s="807"/>
    </row>
    <row r="740" spans="1:22" ht="13.15" customHeight="1">
      <c r="D740" s="814" t="s">
        <v>1185</v>
      </c>
      <c r="E740" s="814"/>
      <c r="F740" s="814"/>
      <c r="G740" s="814"/>
      <c r="H740" s="814"/>
      <c r="I740" s="814"/>
      <c r="J740" s="814"/>
      <c r="K740" s="814"/>
      <c r="L740" s="814"/>
      <c r="M740" s="814"/>
      <c r="N740" s="814"/>
      <c r="O740" s="814"/>
      <c r="P740" s="814"/>
      <c r="Q740" s="814"/>
      <c r="R740" s="815"/>
    </row>
    <row r="741" spans="1:22" ht="13.15" customHeight="1">
      <c r="D741" s="814"/>
      <c r="E741" s="814"/>
      <c r="F741" s="814"/>
      <c r="G741" s="814"/>
      <c r="H741" s="814"/>
      <c r="I741" s="814"/>
      <c r="J741" s="814"/>
      <c r="K741" s="814"/>
      <c r="L741" s="814"/>
      <c r="M741" s="814"/>
      <c r="N741" s="814"/>
      <c r="O741" s="814"/>
      <c r="P741" s="814"/>
      <c r="Q741" s="814"/>
      <c r="R741" s="815"/>
      <c r="S741" s="816" t="s">
        <v>1186</v>
      </c>
      <c r="T741" s="816"/>
    </row>
    <row r="742" spans="1:22">
      <c r="Q742" s="807"/>
      <c r="S742" s="816"/>
      <c r="T742" s="816"/>
    </row>
    <row r="743" spans="1:22" ht="15.6" customHeight="1">
      <c r="H743" s="817" t="s">
        <v>1187</v>
      </c>
      <c r="I743" s="817"/>
      <c r="J743" s="817"/>
      <c r="K743" s="817"/>
      <c r="L743" s="817"/>
      <c r="M743" s="817"/>
      <c r="N743" s="817"/>
      <c r="Q743" s="807"/>
    </row>
    <row r="744" spans="1:22" ht="13.15" customHeight="1">
      <c r="Q744" s="816" t="s">
        <v>1437</v>
      </c>
      <c r="R744" s="818"/>
      <c r="S744" s="816"/>
    </row>
    <row r="745" spans="1:22">
      <c r="H745" s="816" t="s">
        <v>1189</v>
      </c>
      <c r="I745" s="816"/>
      <c r="J745" s="819">
        <v>41640</v>
      </c>
      <c r="K745" s="819"/>
      <c r="L745" s="816" t="s">
        <v>1190</v>
      </c>
      <c r="M745" s="816"/>
      <c r="N745" s="819">
        <v>41993</v>
      </c>
      <c r="O745" s="819"/>
      <c r="Q745" s="816"/>
      <c r="R745" s="818"/>
      <c r="S745" s="816"/>
    </row>
    <row r="746" spans="1:22">
      <c r="H746" s="816"/>
      <c r="I746" s="816"/>
      <c r="J746" s="819"/>
      <c r="K746" s="819"/>
      <c r="L746" s="816"/>
      <c r="M746" s="816"/>
      <c r="N746" s="819"/>
      <c r="O746" s="819"/>
      <c r="Q746" s="807"/>
    </row>
    <row r="747" spans="1:22">
      <c r="Q747" s="807"/>
    </row>
    <row r="748" spans="1:22" ht="13.15" customHeight="1">
      <c r="H748" s="809" t="s">
        <v>1191</v>
      </c>
      <c r="I748" s="809"/>
      <c r="J748" s="809"/>
      <c r="K748" s="809" t="s">
        <v>1192</v>
      </c>
      <c r="L748" s="809"/>
      <c r="M748" s="809" t="s">
        <v>1193</v>
      </c>
      <c r="N748" s="809"/>
      <c r="O748" s="809" t="s">
        <v>1194</v>
      </c>
      <c r="P748" s="809"/>
      <c r="Q748" s="809" t="s">
        <v>1195</v>
      </c>
      <c r="R748" s="820"/>
      <c r="S748" s="809" t="s">
        <v>1196</v>
      </c>
      <c r="T748" s="809"/>
    </row>
    <row r="749" spans="1:22">
      <c r="Q749" s="807"/>
    </row>
    <row r="750" spans="1:22" ht="13.15" customHeight="1">
      <c r="A750" s="809" t="s">
        <v>1203</v>
      </c>
      <c r="B750" s="809"/>
      <c r="C750" s="809" t="s">
        <v>1438</v>
      </c>
      <c r="D750" s="809"/>
      <c r="E750" s="809" t="s">
        <v>1198</v>
      </c>
      <c r="F750" s="809"/>
      <c r="G750" s="809" t="s">
        <v>1439</v>
      </c>
      <c r="H750" s="809"/>
      <c r="I750" s="809"/>
      <c r="J750" s="809"/>
      <c r="K750" s="809"/>
      <c r="L750" s="809"/>
      <c r="M750" s="809"/>
      <c r="N750" s="809"/>
      <c r="Q750" s="807"/>
    </row>
    <row r="751" spans="1:22">
      <c r="Q751" s="807"/>
    </row>
    <row r="752" spans="1:22" ht="13.15" customHeight="1">
      <c r="G752" s="810" t="s">
        <v>1200</v>
      </c>
      <c r="H752" s="810"/>
      <c r="O752" s="810" t="s">
        <v>1201</v>
      </c>
      <c r="P752" s="810"/>
      <c r="Q752" s="807"/>
      <c r="U752" s="810" t="s">
        <v>1202</v>
      </c>
      <c r="V752" s="810"/>
    </row>
    <row r="753" spans="1:23" ht="13.15" customHeight="1">
      <c r="B753" s="811" t="s">
        <v>1204</v>
      </c>
      <c r="D753" s="810" t="s">
        <v>1205</v>
      </c>
      <c r="E753" s="810"/>
      <c r="G753" s="810"/>
      <c r="H753" s="810"/>
      <c r="I753" s="810" t="s">
        <v>1206</v>
      </c>
      <c r="J753" s="810"/>
      <c r="K753" s="810" t="s">
        <v>1207</v>
      </c>
      <c r="L753" s="810"/>
      <c r="M753" s="810" t="s">
        <v>1208</v>
      </c>
      <c r="N753" s="810"/>
      <c r="O753" s="810"/>
      <c r="P753" s="810"/>
      <c r="Q753" s="810" t="s">
        <v>1209</v>
      </c>
      <c r="R753" s="812"/>
      <c r="S753" s="810" t="s">
        <v>1210</v>
      </c>
      <c r="T753" s="810"/>
      <c r="U753" s="810"/>
      <c r="V753" s="810"/>
    </row>
    <row r="754" spans="1:23" ht="13.15" customHeight="1">
      <c r="A754" s="821" t="s">
        <v>1440</v>
      </c>
      <c r="B754" s="821"/>
      <c r="D754" s="821" t="s">
        <v>1441</v>
      </c>
      <c r="E754" s="821"/>
      <c r="F754" s="821"/>
      <c r="G754" s="821"/>
    </row>
    <row r="755" spans="1:23">
      <c r="A755" s="821"/>
      <c r="B755" s="821"/>
      <c r="D755" s="821"/>
      <c r="E755" s="821"/>
      <c r="F755" s="821"/>
      <c r="G755" s="821"/>
      <c r="H755" s="822">
        <v>0</v>
      </c>
      <c r="I755" s="822"/>
      <c r="J755" s="822">
        <v>873527.81</v>
      </c>
      <c r="K755" s="822"/>
      <c r="L755" s="822">
        <v>873527.81</v>
      </c>
      <c r="M755" s="822"/>
      <c r="N755" s="822">
        <v>843163.44000000006</v>
      </c>
      <c r="O755" s="822"/>
      <c r="P755" s="822">
        <v>30364.37</v>
      </c>
      <c r="Q755" s="822"/>
      <c r="R755" s="826">
        <v>843163.44000000006</v>
      </c>
      <c r="S755" s="822"/>
      <c r="T755" s="822">
        <v>843163.44000000006</v>
      </c>
      <c r="U755" s="822"/>
      <c r="V755" s="822">
        <v>30364.37</v>
      </c>
      <c r="W755" s="822"/>
    </row>
    <row r="756" spans="1:23" ht="13.15" customHeight="1">
      <c r="A756" s="821" t="s">
        <v>1442</v>
      </c>
      <c r="B756" s="821"/>
      <c r="D756" s="821" t="s">
        <v>1443</v>
      </c>
      <c r="E756" s="821"/>
      <c r="F756" s="821"/>
      <c r="G756" s="821"/>
    </row>
    <row r="757" spans="1:23">
      <c r="A757" s="821"/>
      <c r="B757" s="821"/>
      <c r="D757" s="821"/>
      <c r="E757" s="821"/>
      <c r="F757" s="821"/>
      <c r="G757" s="821"/>
      <c r="H757" s="822">
        <v>0</v>
      </c>
      <c r="I757" s="822"/>
      <c r="J757" s="822">
        <v>525691.82000000007</v>
      </c>
      <c r="K757" s="822"/>
      <c r="L757" s="822">
        <v>525691.82000000007</v>
      </c>
      <c r="M757" s="822"/>
      <c r="N757" s="822">
        <v>451199.89</v>
      </c>
      <c r="O757" s="822"/>
      <c r="P757" s="822">
        <v>74491.930000000008</v>
      </c>
      <c r="Q757" s="822"/>
      <c r="R757" s="826">
        <v>422316.34</v>
      </c>
      <c r="S757" s="822"/>
      <c r="T757" s="822">
        <v>422316.34</v>
      </c>
      <c r="U757" s="822"/>
      <c r="V757" s="822">
        <v>103375.48</v>
      </c>
      <c r="W757" s="822"/>
    </row>
    <row r="758" spans="1:23" ht="13.15" customHeight="1">
      <c r="A758" s="821" t="s">
        <v>1444</v>
      </c>
      <c r="B758" s="821"/>
      <c r="D758" s="821" t="s">
        <v>1445</v>
      </c>
      <c r="E758" s="821"/>
      <c r="F758" s="821"/>
      <c r="G758" s="821"/>
    </row>
    <row r="759" spans="1:23">
      <c r="A759" s="821"/>
      <c r="B759" s="821"/>
      <c r="D759" s="821"/>
      <c r="E759" s="821"/>
      <c r="F759" s="821"/>
      <c r="G759" s="821"/>
      <c r="H759" s="822">
        <v>0</v>
      </c>
      <c r="I759" s="822"/>
      <c r="J759" s="822">
        <v>13538.48</v>
      </c>
      <c r="K759" s="822"/>
      <c r="L759" s="822">
        <v>13538.48</v>
      </c>
      <c r="M759" s="822"/>
      <c r="N759" s="822">
        <v>0</v>
      </c>
      <c r="O759" s="822"/>
      <c r="P759" s="822">
        <v>13538.48</v>
      </c>
      <c r="Q759" s="822"/>
      <c r="R759" s="826">
        <v>0</v>
      </c>
      <c r="S759" s="822"/>
      <c r="T759" s="822">
        <v>0</v>
      </c>
      <c r="U759" s="822"/>
      <c r="V759" s="822">
        <v>13538.48</v>
      </c>
      <c r="W759" s="822"/>
    </row>
    <row r="760" spans="1:23" ht="13.15" customHeight="1">
      <c r="A760" s="821" t="s">
        <v>1446</v>
      </c>
      <c r="B760" s="821"/>
      <c r="D760" s="821" t="s">
        <v>1447</v>
      </c>
      <c r="E760" s="821"/>
      <c r="F760" s="821"/>
      <c r="G760" s="821"/>
    </row>
    <row r="761" spans="1:23">
      <c r="A761" s="821"/>
      <c r="B761" s="821"/>
      <c r="D761" s="821"/>
      <c r="E761" s="821"/>
      <c r="F761" s="821"/>
      <c r="G761" s="821"/>
      <c r="H761" s="822">
        <v>0</v>
      </c>
      <c r="I761" s="822"/>
      <c r="J761" s="822">
        <v>7761.9400000000005</v>
      </c>
      <c r="K761" s="822"/>
      <c r="L761" s="822">
        <v>7761.9400000000005</v>
      </c>
      <c r="M761" s="822"/>
      <c r="N761" s="822">
        <v>0</v>
      </c>
      <c r="O761" s="822"/>
      <c r="P761" s="822">
        <v>7761.9400000000005</v>
      </c>
      <c r="Q761" s="822"/>
      <c r="R761" s="826">
        <v>0</v>
      </c>
      <c r="S761" s="822"/>
      <c r="T761" s="822">
        <v>0</v>
      </c>
      <c r="U761" s="822"/>
      <c r="V761" s="822">
        <v>7761.9400000000005</v>
      </c>
      <c r="W761" s="822"/>
    </row>
    <row r="762" spans="1:23" ht="13.15" customHeight="1">
      <c r="A762" s="821" t="s">
        <v>1448</v>
      </c>
      <c r="B762" s="821"/>
      <c r="D762" s="821" t="s">
        <v>1449</v>
      </c>
      <c r="E762" s="821"/>
      <c r="F762" s="821"/>
      <c r="G762" s="821"/>
      <c r="H762" s="822"/>
      <c r="I762" s="822"/>
      <c r="J762" s="822"/>
      <c r="K762" s="822"/>
      <c r="L762" s="822"/>
      <c r="M762" s="822"/>
      <c r="N762" s="822"/>
      <c r="O762" s="822"/>
      <c r="P762" s="822"/>
      <c r="Q762" s="826"/>
      <c r="R762" s="826"/>
      <c r="S762" s="822"/>
      <c r="T762" s="822"/>
      <c r="U762" s="822"/>
      <c r="V762" s="822"/>
      <c r="W762" s="822"/>
    </row>
    <row r="763" spans="1:23">
      <c r="A763" s="821"/>
      <c r="B763" s="821"/>
      <c r="D763" s="821"/>
      <c r="E763" s="821"/>
      <c r="F763" s="821"/>
      <c r="G763" s="821"/>
      <c r="Q763" s="807"/>
    </row>
    <row r="764" spans="1:23">
      <c r="A764" s="821"/>
      <c r="B764" s="821"/>
      <c r="D764" s="821"/>
      <c r="E764" s="821"/>
      <c r="F764" s="821"/>
      <c r="G764" s="821"/>
      <c r="H764" s="822">
        <v>0</v>
      </c>
      <c r="I764" s="822"/>
      <c r="J764" s="822">
        <v>7657.75</v>
      </c>
      <c r="K764" s="822"/>
      <c r="L764" s="822">
        <v>7657.75</v>
      </c>
      <c r="M764" s="822"/>
      <c r="N764" s="822">
        <v>7637.75</v>
      </c>
      <c r="O764" s="822"/>
      <c r="P764" s="822">
        <v>20</v>
      </c>
      <c r="Q764" s="822"/>
      <c r="R764" s="826">
        <v>7637.75</v>
      </c>
      <c r="S764" s="822"/>
      <c r="T764" s="822">
        <v>7637.75</v>
      </c>
      <c r="U764" s="822"/>
      <c r="V764" s="822">
        <v>20</v>
      </c>
      <c r="W764" s="822"/>
    </row>
    <row r="765" spans="1:23" ht="13.15" customHeight="1">
      <c r="A765" s="821" t="s">
        <v>1450</v>
      </c>
      <c r="B765" s="821"/>
      <c r="D765" s="821" t="s">
        <v>1451</v>
      </c>
      <c r="E765" s="821"/>
      <c r="F765" s="821"/>
      <c r="G765" s="821"/>
      <c r="H765" s="822"/>
      <c r="I765" s="822"/>
      <c r="J765" s="822"/>
      <c r="K765" s="822"/>
      <c r="L765" s="822"/>
      <c r="M765" s="822"/>
      <c r="N765" s="822"/>
      <c r="O765" s="822"/>
      <c r="P765" s="822"/>
      <c r="Q765" s="826"/>
      <c r="R765" s="826"/>
      <c r="S765" s="822"/>
      <c r="T765" s="822"/>
      <c r="U765" s="822"/>
      <c r="V765" s="822"/>
      <c r="W765" s="822"/>
    </row>
    <row r="766" spans="1:23">
      <c r="A766" s="821"/>
      <c r="B766" s="821"/>
      <c r="D766" s="821"/>
      <c r="E766" s="821"/>
      <c r="F766" s="821"/>
      <c r="G766" s="821"/>
      <c r="Q766" s="807"/>
    </row>
    <row r="767" spans="1:23">
      <c r="A767" s="821"/>
      <c r="B767" s="821"/>
      <c r="D767" s="821"/>
      <c r="E767" s="821"/>
      <c r="F767" s="821"/>
      <c r="G767" s="821"/>
      <c r="H767" s="822">
        <v>0</v>
      </c>
      <c r="I767" s="822"/>
      <c r="J767" s="822">
        <v>15752.02</v>
      </c>
      <c r="K767" s="822"/>
      <c r="L767" s="822">
        <v>15752.02</v>
      </c>
      <c r="M767" s="822"/>
      <c r="N767" s="822">
        <v>0</v>
      </c>
      <c r="O767" s="822"/>
      <c r="P767" s="822">
        <v>15752.02</v>
      </c>
      <c r="Q767" s="822"/>
      <c r="R767" s="826">
        <v>0</v>
      </c>
      <c r="S767" s="822"/>
      <c r="T767" s="822">
        <v>0</v>
      </c>
      <c r="U767" s="822"/>
      <c r="V767" s="822">
        <v>15752.02</v>
      </c>
      <c r="W767" s="822"/>
    </row>
    <row r="768" spans="1:23">
      <c r="Q768" s="807"/>
    </row>
    <row r="769" spans="1:22" ht="13.15" customHeight="1">
      <c r="D769" s="816" t="s">
        <v>1344</v>
      </c>
      <c r="E769" s="816"/>
      <c r="F769" s="825">
        <v>0</v>
      </c>
      <c r="G769" s="825"/>
      <c r="H769" s="825"/>
      <c r="I769" s="825">
        <v>1443929.82</v>
      </c>
      <c r="J769" s="825"/>
      <c r="K769" s="825">
        <v>1443929.82</v>
      </c>
      <c r="L769" s="825"/>
      <c r="M769" s="825">
        <v>1302001.08</v>
      </c>
      <c r="N769" s="825"/>
      <c r="O769" s="825">
        <v>141928.74</v>
      </c>
      <c r="P769" s="825"/>
      <c r="Q769" s="825">
        <v>1273117.53</v>
      </c>
      <c r="R769" s="828"/>
      <c r="S769" s="825">
        <v>1273117.53</v>
      </c>
      <c r="T769" s="825"/>
      <c r="U769" s="825">
        <v>170812.29</v>
      </c>
      <c r="V769" s="825"/>
    </row>
    <row r="772" spans="1:22" ht="13.15" customHeight="1">
      <c r="A772" s="813" t="s">
        <v>1243</v>
      </c>
      <c r="E772" s="823" t="s">
        <v>1244</v>
      </c>
      <c r="F772" s="823"/>
      <c r="J772" s="823" t="s">
        <v>1245</v>
      </c>
      <c r="K772" s="823"/>
      <c r="O772" s="823" t="s">
        <v>1246</v>
      </c>
      <c r="P772" s="823"/>
      <c r="Q772" s="827"/>
    </row>
    <row r="773" spans="1:22" ht="13.15" customHeight="1">
      <c r="B773" s="824" t="s">
        <v>1247</v>
      </c>
      <c r="C773" s="824"/>
      <c r="D773" s="824"/>
      <c r="E773" s="824" t="s">
        <v>1248</v>
      </c>
      <c r="F773" s="824"/>
      <c r="G773" s="824"/>
      <c r="H773" s="824"/>
      <c r="J773" s="824" t="s">
        <v>1249</v>
      </c>
      <c r="K773" s="824"/>
      <c r="L773" s="824"/>
    </row>
    <row r="776" spans="1:22" ht="13.15" customHeight="1">
      <c r="D776" s="814" t="s">
        <v>1185</v>
      </c>
      <c r="E776" s="814"/>
      <c r="F776" s="814"/>
      <c r="G776" s="814"/>
      <c r="H776" s="814"/>
      <c r="I776" s="814"/>
      <c r="J776" s="814"/>
      <c r="K776" s="814"/>
      <c r="L776" s="814"/>
      <c r="M776" s="814"/>
      <c r="N776" s="814"/>
      <c r="O776" s="814"/>
      <c r="P776" s="814"/>
      <c r="Q776" s="815"/>
      <c r="R776" s="815"/>
    </row>
    <row r="777" spans="1:22" ht="13.15" customHeight="1">
      <c r="D777" s="814"/>
      <c r="E777" s="814"/>
      <c r="F777" s="814"/>
      <c r="G777" s="814"/>
      <c r="H777" s="814"/>
      <c r="I777" s="814"/>
      <c r="J777" s="814"/>
      <c r="K777" s="814"/>
      <c r="L777" s="814"/>
      <c r="M777" s="814"/>
      <c r="N777" s="814"/>
      <c r="O777" s="814"/>
      <c r="P777" s="814"/>
      <c r="Q777" s="815"/>
      <c r="R777" s="815"/>
      <c r="S777" s="816" t="s">
        <v>1186</v>
      </c>
      <c r="T777" s="816"/>
    </row>
    <row r="778" spans="1:22">
      <c r="S778" s="816"/>
      <c r="T778" s="816"/>
    </row>
    <row r="779" spans="1:22" ht="15.6" customHeight="1">
      <c r="H779" s="817" t="s">
        <v>1187</v>
      </c>
      <c r="I779" s="817"/>
      <c r="J779" s="817"/>
      <c r="K779" s="817"/>
      <c r="L779" s="817"/>
      <c r="M779" s="817"/>
      <c r="N779" s="817"/>
    </row>
    <row r="780" spans="1:22" ht="13.15" customHeight="1">
      <c r="Q780" s="818" t="s">
        <v>1452</v>
      </c>
      <c r="R780" s="818"/>
      <c r="S780" s="816"/>
    </row>
    <row r="781" spans="1:22">
      <c r="H781" s="816" t="s">
        <v>1189</v>
      </c>
      <c r="I781" s="816"/>
      <c r="J781" s="819">
        <v>41640</v>
      </c>
      <c r="K781" s="819"/>
      <c r="L781" s="816" t="s">
        <v>1190</v>
      </c>
      <c r="M781" s="816"/>
      <c r="N781" s="819">
        <v>41993</v>
      </c>
      <c r="O781" s="819"/>
      <c r="Q781" s="818"/>
      <c r="R781" s="818"/>
      <c r="S781" s="816"/>
    </row>
    <row r="782" spans="1:22">
      <c r="H782" s="816"/>
      <c r="I782" s="816"/>
      <c r="J782" s="819"/>
      <c r="K782" s="819"/>
      <c r="L782" s="816"/>
      <c r="M782" s="816"/>
      <c r="N782" s="819"/>
      <c r="O782" s="819"/>
    </row>
    <row r="784" spans="1:22" ht="13.15" customHeight="1">
      <c r="H784" s="809" t="s">
        <v>1191</v>
      </c>
      <c r="I784" s="809"/>
      <c r="J784" s="809"/>
      <c r="K784" s="809" t="s">
        <v>1192</v>
      </c>
      <c r="L784" s="809"/>
      <c r="M784" s="809" t="s">
        <v>1193</v>
      </c>
      <c r="N784" s="809"/>
      <c r="O784" s="809" t="s">
        <v>1194</v>
      </c>
      <c r="P784" s="809"/>
      <c r="Q784" s="820" t="s">
        <v>1195</v>
      </c>
      <c r="R784" s="820"/>
      <c r="S784" s="809" t="s">
        <v>1196</v>
      </c>
      <c r="T784" s="809"/>
    </row>
    <row r="786" spans="1:23" ht="13.15" customHeight="1">
      <c r="A786" s="809" t="s">
        <v>1203</v>
      </c>
      <c r="B786" s="809"/>
      <c r="C786" s="809" t="s">
        <v>1453</v>
      </c>
      <c r="D786" s="809"/>
      <c r="E786" s="809" t="s">
        <v>1198</v>
      </c>
      <c r="F786" s="809"/>
      <c r="G786" s="809" t="s">
        <v>1454</v>
      </c>
      <c r="H786" s="809"/>
      <c r="I786" s="809"/>
      <c r="J786" s="809"/>
      <c r="K786" s="809"/>
      <c r="L786" s="809"/>
      <c r="M786" s="809"/>
      <c r="N786" s="809"/>
    </row>
    <row r="788" spans="1:23" ht="13.15" customHeight="1">
      <c r="G788" s="810" t="s">
        <v>1200</v>
      </c>
      <c r="H788" s="810"/>
      <c r="O788" s="810" t="s">
        <v>1201</v>
      </c>
      <c r="P788" s="810"/>
      <c r="U788" s="810" t="s">
        <v>1202</v>
      </c>
      <c r="V788" s="810"/>
    </row>
    <row r="789" spans="1:23" ht="13.15" customHeight="1">
      <c r="B789" s="811" t="s">
        <v>1204</v>
      </c>
      <c r="D789" s="810" t="s">
        <v>1205</v>
      </c>
      <c r="E789" s="810"/>
      <c r="G789" s="810"/>
      <c r="H789" s="810"/>
      <c r="I789" s="810" t="s">
        <v>1206</v>
      </c>
      <c r="J789" s="810"/>
      <c r="K789" s="810" t="s">
        <v>1207</v>
      </c>
      <c r="L789" s="810"/>
      <c r="M789" s="810" t="s">
        <v>1208</v>
      </c>
      <c r="N789" s="810"/>
      <c r="O789" s="810"/>
      <c r="P789" s="810"/>
      <c r="Q789" s="812" t="s">
        <v>1209</v>
      </c>
      <c r="R789" s="812"/>
      <c r="S789" s="810" t="s">
        <v>1210</v>
      </c>
      <c r="T789" s="810"/>
      <c r="U789" s="810"/>
      <c r="V789" s="810"/>
    </row>
    <row r="790" spans="1:23" ht="13.15" customHeight="1">
      <c r="A790" s="821" t="s">
        <v>1214</v>
      </c>
      <c r="B790" s="821"/>
      <c r="D790" s="821" t="s">
        <v>32</v>
      </c>
      <c r="E790" s="821"/>
      <c r="F790" s="821"/>
      <c r="G790" s="821"/>
    </row>
    <row r="791" spans="1:23">
      <c r="A791" s="821"/>
      <c r="B791" s="821"/>
      <c r="D791" s="821"/>
      <c r="E791" s="821"/>
      <c r="F791" s="821"/>
      <c r="G791" s="821"/>
      <c r="H791" s="822">
        <v>0</v>
      </c>
      <c r="I791" s="822"/>
      <c r="J791" s="822">
        <v>23475.66</v>
      </c>
      <c r="K791" s="822"/>
      <c r="L791" s="822">
        <v>23475.66</v>
      </c>
      <c r="M791" s="822"/>
      <c r="N791" s="822">
        <v>7657.4000000000005</v>
      </c>
      <c r="O791" s="822"/>
      <c r="P791" s="822">
        <v>15818.26</v>
      </c>
      <c r="Q791" s="826"/>
      <c r="R791" s="826">
        <v>7699.5</v>
      </c>
      <c r="S791" s="822"/>
      <c r="T791" s="822">
        <v>7699.5</v>
      </c>
      <c r="U791" s="822"/>
      <c r="V791" s="822">
        <v>15776.16</v>
      </c>
      <c r="W791" s="822"/>
    </row>
    <row r="792" spans="1:23" ht="13.15" customHeight="1">
      <c r="A792" s="821" t="s">
        <v>1215</v>
      </c>
      <c r="B792" s="821"/>
      <c r="D792" s="821" t="s">
        <v>33</v>
      </c>
      <c r="E792" s="821"/>
      <c r="F792" s="821"/>
      <c r="G792" s="821"/>
    </row>
    <row r="793" spans="1:23">
      <c r="A793" s="821"/>
      <c r="B793" s="821"/>
      <c r="D793" s="821"/>
      <c r="E793" s="821"/>
      <c r="F793" s="821"/>
      <c r="G793" s="821"/>
      <c r="H793" s="822">
        <v>0</v>
      </c>
      <c r="I793" s="822"/>
      <c r="J793" s="822">
        <v>10785.42</v>
      </c>
      <c r="K793" s="822"/>
      <c r="L793" s="822">
        <v>10785.42</v>
      </c>
      <c r="M793" s="822"/>
      <c r="N793" s="822">
        <v>5881.99</v>
      </c>
      <c r="O793" s="822"/>
      <c r="P793" s="822">
        <v>4903.43</v>
      </c>
      <c r="Q793" s="826"/>
      <c r="R793" s="826">
        <v>6025.42</v>
      </c>
      <c r="S793" s="822"/>
      <c r="T793" s="822">
        <v>6025.42</v>
      </c>
      <c r="U793" s="822"/>
      <c r="V793" s="822">
        <v>4760</v>
      </c>
      <c r="W793" s="822"/>
    </row>
    <row r="794" spans="1:23" ht="13.15" customHeight="1">
      <c r="A794" s="821" t="s">
        <v>1223</v>
      </c>
      <c r="B794" s="821"/>
      <c r="D794" s="821" t="s">
        <v>1455</v>
      </c>
      <c r="E794" s="821"/>
      <c r="F794" s="821"/>
      <c r="G794" s="821"/>
    </row>
    <row r="795" spans="1:23">
      <c r="A795" s="821"/>
      <c r="B795" s="821"/>
      <c r="D795" s="821"/>
      <c r="E795" s="821"/>
      <c r="F795" s="821"/>
      <c r="G795" s="821"/>
      <c r="H795" s="822">
        <v>0</v>
      </c>
      <c r="I795" s="822"/>
      <c r="J795" s="822">
        <v>11000</v>
      </c>
      <c r="K795" s="822"/>
      <c r="L795" s="822">
        <v>11000</v>
      </c>
      <c r="M795" s="822"/>
      <c r="N795" s="822">
        <v>9238.35</v>
      </c>
      <c r="O795" s="822"/>
      <c r="P795" s="822">
        <v>1761.65</v>
      </c>
      <c r="Q795" s="826"/>
      <c r="R795" s="826">
        <v>9238.35</v>
      </c>
      <c r="S795" s="822"/>
      <c r="T795" s="822">
        <v>9238.35</v>
      </c>
      <c r="U795" s="822"/>
      <c r="V795" s="822">
        <v>1761.65</v>
      </c>
      <c r="W795" s="822"/>
    </row>
    <row r="796" spans="1:23" ht="13.15" customHeight="1">
      <c r="A796" s="821" t="s">
        <v>1225</v>
      </c>
      <c r="B796" s="821"/>
      <c r="D796" s="821" t="s">
        <v>1456</v>
      </c>
      <c r="E796" s="821"/>
      <c r="F796" s="821"/>
      <c r="G796" s="821"/>
    </row>
    <row r="797" spans="1:23">
      <c r="A797" s="821"/>
      <c r="B797" s="821"/>
      <c r="D797" s="821"/>
      <c r="E797" s="821"/>
      <c r="F797" s="821"/>
      <c r="G797" s="821"/>
      <c r="H797" s="822">
        <v>0</v>
      </c>
      <c r="I797" s="822"/>
      <c r="J797" s="822">
        <v>233711.51</v>
      </c>
      <c r="K797" s="822"/>
      <c r="L797" s="822">
        <v>233711.51</v>
      </c>
      <c r="M797" s="822"/>
      <c r="N797" s="822">
        <v>115028.64</v>
      </c>
      <c r="O797" s="822"/>
      <c r="P797" s="822">
        <v>118682.87</v>
      </c>
      <c r="Q797" s="826"/>
      <c r="R797" s="826">
        <v>107224.6</v>
      </c>
      <c r="S797" s="822"/>
      <c r="T797" s="822">
        <v>106789.58</v>
      </c>
      <c r="U797" s="822"/>
      <c r="V797" s="822">
        <v>126486.91</v>
      </c>
      <c r="W797" s="822"/>
    </row>
    <row r="798" spans="1:23" ht="13.15" customHeight="1">
      <c r="A798" s="821" t="s">
        <v>1229</v>
      </c>
      <c r="B798" s="821"/>
      <c r="D798" s="821" t="s">
        <v>36</v>
      </c>
      <c r="E798" s="821"/>
      <c r="F798" s="821"/>
      <c r="G798" s="821"/>
      <c r="H798" s="822"/>
      <c r="I798" s="822"/>
      <c r="J798" s="822"/>
      <c r="K798" s="822"/>
      <c r="L798" s="822"/>
      <c r="M798" s="822"/>
      <c r="N798" s="822"/>
      <c r="O798" s="822"/>
      <c r="P798" s="822"/>
      <c r="Q798" s="826"/>
      <c r="R798" s="826"/>
      <c r="S798" s="822"/>
      <c r="T798" s="822"/>
      <c r="U798" s="822"/>
      <c r="V798" s="822"/>
      <c r="W798" s="822"/>
    </row>
    <row r="799" spans="1:23">
      <c r="A799" s="821"/>
      <c r="B799" s="821"/>
      <c r="D799" s="821"/>
      <c r="E799" s="821"/>
      <c r="F799" s="821"/>
      <c r="G799" s="821"/>
    </row>
    <row r="800" spans="1:23">
      <c r="A800" s="821"/>
      <c r="B800" s="821"/>
      <c r="D800" s="821"/>
      <c r="E800" s="821"/>
      <c r="F800" s="821"/>
      <c r="G800" s="821"/>
      <c r="H800" s="822">
        <v>0</v>
      </c>
      <c r="I800" s="822"/>
      <c r="J800" s="822">
        <v>30854.18</v>
      </c>
      <c r="K800" s="822"/>
      <c r="L800" s="822">
        <v>30854.18</v>
      </c>
      <c r="M800" s="822"/>
      <c r="N800" s="822">
        <v>14924.54</v>
      </c>
      <c r="O800" s="822"/>
      <c r="P800" s="822">
        <v>15929.640000000001</v>
      </c>
      <c r="Q800" s="826"/>
      <c r="R800" s="826">
        <v>13984.61</v>
      </c>
      <c r="S800" s="822"/>
      <c r="T800" s="822">
        <v>13984.61</v>
      </c>
      <c r="U800" s="822"/>
      <c r="V800" s="822">
        <v>16869.57</v>
      </c>
      <c r="W800" s="822"/>
    </row>
    <row r="801" spans="1:23" ht="13.15" customHeight="1">
      <c r="A801" s="821" t="s">
        <v>1230</v>
      </c>
      <c r="B801" s="821"/>
      <c r="D801" s="821" t="s">
        <v>1231</v>
      </c>
      <c r="E801" s="821"/>
      <c r="F801" s="821"/>
      <c r="G801" s="821"/>
    </row>
    <row r="802" spans="1:23">
      <c r="A802" s="821"/>
      <c r="B802" s="821"/>
      <c r="D802" s="821"/>
      <c r="E802" s="821"/>
      <c r="F802" s="821"/>
      <c r="G802" s="821"/>
      <c r="H802" s="822">
        <v>0</v>
      </c>
      <c r="I802" s="822"/>
      <c r="J802" s="822">
        <v>3000</v>
      </c>
      <c r="K802" s="822"/>
      <c r="L802" s="822">
        <v>3000</v>
      </c>
      <c r="M802" s="822"/>
      <c r="N802" s="822">
        <v>2167.39</v>
      </c>
      <c r="O802" s="822"/>
      <c r="P802" s="822">
        <v>832.61</v>
      </c>
      <c r="Q802" s="826"/>
      <c r="R802" s="826">
        <v>2029.78</v>
      </c>
      <c r="S802" s="822"/>
      <c r="T802" s="822">
        <v>2029.78</v>
      </c>
      <c r="U802" s="822"/>
      <c r="V802" s="822">
        <v>970.22</v>
      </c>
      <c r="W802" s="822"/>
    </row>
    <row r="803" spans="1:23" ht="13.15" customHeight="1">
      <c r="A803" s="821" t="s">
        <v>1237</v>
      </c>
      <c r="B803" s="821"/>
      <c r="D803" s="821" t="s">
        <v>1457</v>
      </c>
      <c r="E803" s="821"/>
      <c r="F803" s="821"/>
      <c r="G803" s="821"/>
    </row>
    <row r="804" spans="1:23">
      <c r="A804" s="821"/>
      <c r="B804" s="821"/>
      <c r="D804" s="821"/>
      <c r="E804" s="821"/>
      <c r="F804" s="821"/>
      <c r="G804" s="821"/>
      <c r="H804" s="822">
        <v>0</v>
      </c>
      <c r="I804" s="822"/>
      <c r="J804" s="822">
        <v>17763.48</v>
      </c>
      <c r="K804" s="822"/>
      <c r="L804" s="822">
        <v>17763.48</v>
      </c>
      <c r="M804" s="822"/>
      <c r="N804" s="822">
        <v>3789.87</v>
      </c>
      <c r="O804" s="822"/>
      <c r="P804" s="822">
        <v>13973.61</v>
      </c>
      <c r="Q804" s="826"/>
      <c r="R804" s="826">
        <v>3896.54</v>
      </c>
      <c r="S804" s="822"/>
      <c r="T804" s="822">
        <v>3896.54</v>
      </c>
      <c r="U804" s="822"/>
      <c r="V804" s="822">
        <v>13866.94</v>
      </c>
      <c r="W804" s="822"/>
    </row>
    <row r="805" spans="1:23" ht="13.15" customHeight="1">
      <c r="A805" s="821" t="s">
        <v>1257</v>
      </c>
      <c r="B805" s="821"/>
      <c r="D805" s="821" t="s">
        <v>1458</v>
      </c>
      <c r="E805" s="821"/>
      <c r="F805" s="821"/>
      <c r="G805" s="821"/>
      <c r="H805" s="822"/>
      <c r="I805" s="822"/>
      <c r="J805" s="822"/>
      <c r="K805" s="822"/>
      <c r="L805" s="822"/>
      <c r="M805" s="822"/>
      <c r="N805" s="822"/>
      <c r="O805" s="822"/>
      <c r="P805" s="822"/>
      <c r="Q805" s="826"/>
      <c r="R805" s="826"/>
      <c r="S805" s="822"/>
      <c r="T805" s="822"/>
      <c r="U805" s="822"/>
      <c r="V805" s="822"/>
      <c r="W805" s="822"/>
    </row>
    <row r="806" spans="1:23">
      <c r="A806" s="821"/>
      <c r="B806" s="821"/>
      <c r="D806" s="821"/>
      <c r="E806" s="821"/>
      <c r="F806" s="821"/>
      <c r="G806" s="821"/>
    </row>
    <row r="807" spans="1:23">
      <c r="A807" s="821"/>
      <c r="B807" s="821"/>
      <c r="D807" s="821"/>
      <c r="E807" s="821"/>
      <c r="F807" s="821"/>
      <c r="G807" s="821"/>
      <c r="H807" s="822">
        <v>0</v>
      </c>
      <c r="I807" s="822"/>
      <c r="J807" s="822">
        <v>300</v>
      </c>
      <c r="K807" s="822"/>
      <c r="L807" s="822">
        <v>300</v>
      </c>
      <c r="M807" s="822"/>
      <c r="N807" s="822">
        <v>0</v>
      </c>
      <c r="O807" s="822"/>
      <c r="P807" s="822">
        <v>300</v>
      </c>
      <c r="Q807" s="826"/>
      <c r="R807" s="826">
        <v>0</v>
      </c>
      <c r="S807" s="822"/>
      <c r="T807" s="822">
        <v>0</v>
      </c>
      <c r="U807" s="822"/>
      <c r="V807" s="822">
        <v>300</v>
      </c>
      <c r="W807" s="822"/>
    </row>
    <row r="808" spans="1:23" ht="13.15" customHeight="1">
      <c r="A808" s="821" t="s">
        <v>1259</v>
      </c>
      <c r="B808" s="821"/>
      <c r="D808" s="821" t="s">
        <v>1459</v>
      </c>
      <c r="E808" s="821"/>
      <c r="F808" s="821"/>
      <c r="G808" s="821"/>
      <c r="H808" s="822"/>
      <c r="I808" s="822"/>
      <c r="J808" s="822"/>
      <c r="K808" s="822"/>
      <c r="L808" s="822"/>
      <c r="M808" s="822"/>
      <c r="N808" s="822"/>
      <c r="O808" s="822"/>
      <c r="P808" s="822"/>
      <c r="Q808" s="826"/>
      <c r="R808" s="826"/>
      <c r="S808" s="822"/>
      <c r="T808" s="822"/>
      <c r="U808" s="822"/>
      <c r="V808" s="822"/>
      <c r="W808" s="822"/>
    </row>
    <row r="809" spans="1:23">
      <c r="A809" s="821"/>
      <c r="B809" s="821"/>
      <c r="D809" s="821"/>
      <c r="E809" s="821"/>
      <c r="F809" s="821"/>
      <c r="G809" s="821"/>
    </row>
    <row r="810" spans="1:23">
      <c r="A810" s="821"/>
      <c r="B810" s="821"/>
      <c r="D810" s="821"/>
      <c r="E810" s="821"/>
      <c r="F810" s="821"/>
      <c r="G810" s="821"/>
      <c r="H810" s="822">
        <v>0</v>
      </c>
      <c r="I810" s="822"/>
      <c r="J810" s="822">
        <v>350</v>
      </c>
      <c r="K810" s="822"/>
      <c r="L810" s="822">
        <v>350</v>
      </c>
      <c r="M810" s="822"/>
      <c r="N810" s="822">
        <v>45</v>
      </c>
      <c r="O810" s="822"/>
      <c r="P810" s="822">
        <v>305</v>
      </c>
      <c r="Q810" s="826"/>
      <c r="R810" s="826">
        <v>0</v>
      </c>
      <c r="S810" s="822"/>
      <c r="T810" s="822">
        <v>0</v>
      </c>
      <c r="U810" s="822"/>
      <c r="V810" s="822">
        <v>350</v>
      </c>
      <c r="W810" s="822"/>
    </row>
    <row r="811" spans="1:23" ht="13.15" customHeight="1">
      <c r="A811" s="821" t="s">
        <v>1460</v>
      </c>
      <c r="B811" s="821"/>
      <c r="D811" s="821" t="s">
        <v>1461</v>
      </c>
      <c r="E811" s="821"/>
      <c r="F811" s="821"/>
      <c r="G811" s="821"/>
      <c r="H811" s="822"/>
      <c r="I811" s="822"/>
      <c r="J811" s="822"/>
      <c r="K811" s="822"/>
      <c r="L811" s="822"/>
      <c r="M811" s="822"/>
      <c r="N811" s="822"/>
      <c r="O811" s="822"/>
      <c r="P811" s="822"/>
      <c r="Q811" s="826"/>
      <c r="R811" s="826"/>
      <c r="S811" s="822"/>
      <c r="T811" s="822"/>
      <c r="U811" s="822"/>
      <c r="V811" s="822"/>
      <c r="W811" s="822"/>
    </row>
    <row r="812" spans="1:23">
      <c r="A812" s="821"/>
      <c r="B812" s="821"/>
      <c r="D812" s="821"/>
      <c r="E812" s="821"/>
      <c r="F812" s="821"/>
      <c r="G812" s="821"/>
    </row>
    <row r="813" spans="1:23">
      <c r="A813" s="821"/>
      <c r="B813" s="821"/>
      <c r="D813" s="821"/>
      <c r="E813" s="821"/>
      <c r="F813" s="821"/>
      <c r="G813" s="821"/>
      <c r="H813" s="822">
        <v>0</v>
      </c>
      <c r="I813" s="822"/>
      <c r="J813" s="822">
        <v>14434.880000000001</v>
      </c>
      <c r="K813" s="822"/>
      <c r="L813" s="822">
        <v>14434.880000000001</v>
      </c>
      <c r="M813" s="822"/>
      <c r="N813" s="822">
        <v>0</v>
      </c>
      <c r="O813" s="822"/>
      <c r="P813" s="822">
        <v>14434.880000000001</v>
      </c>
      <c r="Q813" s="826"/>
      <c r="R813" s="826">
        <v>0</v>
      </c>
      <c r="S813" s="822"/>
      <c r="T813" s="822">
        <v>0</v>
      </c>
      <c r="U813" s="822"/>
      <c r="V813" s="822">
        <v>14434.880000000001</v>
      </c>
      <c r="W813" s="822"/>
    </row>
    <row r="814" spans="1:23" ht="13.15" customHeight="1">
      <c r="A814" s="821" t="s">
        <v>1269</v>
      </c>
      <c r="B814" s="821"/>
      <c r="D814" s="821" t="s">
        <v>1270</v>
      </c>
      <c r="E814" s="821"/>
      <c r="F814" s="821"/>
      <c r="G814" s="821"/>
      <c r="H814" s="822"/>
      <c r="I814" s="822"/>
      <c r="J814" s="822"/>
      <c r="K814" s="822"/>
      <c r="L814" s="822"/>
      <c r="M814" s="822"/>
      <c r="N814" s="822"/>
      <c r="O814" s="822"/>
      <c r="P814" s="822"/>
      <c r="Q814" s="826"/>
      <c r="R814" s="826"/>
      <c r="S814" s="822"/>
      <c r="T814" s="822"/>
      <c r="U814" s="822"/>
      <c r="V814" s="822"/>
      <c r="W814" s="822"/>
    </row>
    <row r="815" spans="1:23">
      <c r="A815" s="821"/>
      <c r="B815" s="821"/>
      <c r="D815" s="821"/>
      <c r="E815" s="821"/>
      <c r="F815" s="821"/>
      <c r="G815" s="821"/>
    </row>
    <row r="816" spans="1:23">
      <c r="A816" s="821"/>
      <c r="B816" s="821"/>
      <c r="D816" s="821"/>
      <c r="E816" s="821"/>
      <c r="F816" s="821"/>
      <c r="G816" s="821"/>
      <c r="H816" s="822">
        <v>0</v>
      </c>
      <c r="I816" s="822"/>
      <c r="J816" s="822">
        <v>19367.420000000002</v>
      </c>
      <c r="K816" s="822"/>
      <c r="L816" s="822">
        <v>19367.420000000002</v>
      </c>
      <c r="M816" s="822"/>
      <c r="N816" s="822">
        <v>0</v>
      </c>
      <c r="O816" s="822"/>
      <c r="P816" s="822">
        <v>19367.420000000002</v>
      </c>
      <c r="Q816" s="826"/>
      <c r="R816" s="826">
        <v>0</v>
      </c>
      <c r="S816" s="822"/>
      <c r="T816" s="822">
        <v>0</v>
      </c>
      <c r="U816" s="822"/>
      <c r="V816" s="822">
        <v>19367.420000000002</v>
      </c>
      <c r="W816" s="822"/>
    </row>
    <row r="817" spans="1:23" ht="13.15" customHeight="1">
      <c r="A817" s="821" t="s">
        <v>1271</v>
      </c>
      <c r="B817" s="821"/>
      <c r="D817" s="821" t="s">
        <v>1272</v>
      </c>
      <c r="E817" s="821"/>
      <c r="F817" s="821"/>
      <c r="G817" s="821"/>
      <c r="H817" s="822"/>
      <c r="I817" s="822"/>
      <c r="J817" s="822"/>
      <c r="K817" s="822"/>
      <c r="L817" s="822"/>
      <c r="M817" s="822"/>
      <c r="N817" s="822"/>
      <c r="O817" s="822"/>
      <c r="P817" s="822"/>
      <c r="Q817" s="826"/>
      <c r="R817" s="826"/>
      <c r="S817" s="822"/>
      <c r="T817" s="822"/>
      <c r="U817" s="822"/>
      <c r="V817" s="822"/>
      <c r="W817" s="822"/>
    </row>
    <row r="818" spans="1:23">
      <c r="A818" s="821"/>
      <c r="B818" s="821"/>
      <c r="D818" s="821"/>
      <c r="E818" s="821"/>
      <c r="F818" s="821"/>
      <c r="G818" s="821"/>
    </row>
    <row r="819" spans="1:23">
      <c r="A819" s="821"/>
      <c r="B819" s="821"/>
      <c r="D819" s="821"/>
      <c r="E819" s="821"/>
      <c r="F819" s="821"/>
      <c r="G819" s="821"/>
      <c r="H819" s="822">
        <v>0</v>
      </c>
      <c r="I819" s="822"/>
      <c r="J819" s="822">
        <v>1000</v>
      </c>
      <c r="K819" s="822"/>
      <c r="L819" s="822">
        <v>1000</v>
      </c>
      <c r="M819" s="822"/>
      <c r="N819" s="822">
        <v>980.4</v>
      </c>
      <c r="O819" s="822"/>
      <c r="P819" s="822">
        <v>19.600000000000001</v>
      </c>
      <c r="Q819" s="826"/>
      <c r="R819" s="826">
        <v>980.4</v>
      </c>
      <c r="S819" s="822"/>
      <c r="T819" s="822">
        <v>980.4</v>
      </c>
      <c r="U819" s="822"/>
      <c r="V819" s="822">
        <v>19.600000000000001</v>
      </c>
      <c r="W819" s="822"/>
    </row>
    <row r="820" spans="1:23" ht="13.15" customHeight="1">
      <c r="A820" s="821" t="s">
        <v>1274</v>
      </c>
      <c r="B820" s="821"/>
      <c r="D820" s="821" t="s">
        <v>1275</v>
      </c>
      <c r="E820" s="821"/>
      <c r="F820" s="821"/>
      <c r="G820" s="821"/>
    </row>
    <row r="821" spans="1:23">
      <c r="A821" s="821"/>
      <c r="B821" s="821"/>
      <c r="D821" s="821"/>
      <c r="E821" s="821"/>
      <c r="F821" s="821"/>
      <c r="G821" s="821"/>
      <c r="H821" s="822">
        <v>0</v>
      </c>
      <c r="I821" s="822"/>
      <c r="J821" s="822">
        <v>12306.39</v>
      </c>
      <c r="K821" s="822"/>
      <c r="L821" s="822">
        <v>12306.39</v>
      </c>
      <c r="M821" s="822"/>
      <c r="N821" s="822">
        <v>7423.43</v>
      </c>
      <c r="O821" s="822"/>
      <c r="P821" s="822">
        <v>4882.96</v>
      </c>
      <c r="Q821" s="826"/>
      <c r="R821" s="826">
        <v>7444.43</v>
      </c>
      <c r="S821" s="822"/>
      <c r="T821" s="822">
        <v>7444.43</v>
      </c>
      <c r="U821" s="822"/>
      <c r="V821" s="822">
        <v>4861.96</v>
      </c>
      <c r="W821" s="822"/>
    </row>
    <row r="822" spans="1:23" ht="13.15" customHeight="1">
      <c r="A822" s="821" t="s">
        <v>1281</v>
      </c>
      <c r="B822" s="821"/>
      <c r="D822" s="821" t="s">
        <v>1462</v>
      </c>
      <c r="E822" s="821"/>
      <c r="F822" s="821"/>
      <c r="G822" s="821"/>
    </row>
    <row r="823" spans="1:23">
      <c r="A823" s="821"/>
      <c r="B823" s="821"/>
      <c r="D823" s="821"/>
      <c r="E823" s="821"/>
      <c r="F823" s="821"/>
      <c r="G823" s="821"/>
      <c r="H823" s="822">
        <v>0</v>
      </c>
      <c r="I823" s="822"/>
      <c r="J823" s="822">
        <v>33800</v>
      </c>
      <c r="K823" s="822"/>
      <c r="L823" s="822">
        <v>33800</v>
      </c>
      <c r="M823" s="822"/>
      <c r="N823" s="822">
        <v>4978.43</v>
      </c>
      <c r="O823" s="822"/>
      <c r="P823" s="822">
        <v>28821.57</v>
      </c>
      <c r="Q823" s="826"/>
      <c r="R823" s="826">
        <v>4978.43</v>
      </c>
      <c r="S823" s="822"/>
      <c r="T823" s="822">
        <v>4978.43</v>
      </c>
      <c r="U823" s="822"/>
      <c r="V823" s="822">
        <v>28821.57</v>
      </c>
      <c r="W823" s="822"/>
    </row>
    <row r="824" spans="1:23" ht="13.15" customHeight="1">
      <c r="A824" s="821" t="s">
        <v>1283</v>
      </c>
      <c r="B824" s="821"/>
      <c r="D824" s="821" t="s">
        <v>1463</v>
      </c>
      <c r="E824" s="821"/>
      <c r="F824" s="821"/>
      <c r="G824" s="821"/>
    </row>
    <row r="825" spans="1:23">
      <c r="A825" s="821"/>
      <c r="B825" s="821"/>
      <c r="D825" s="821"/>
      <c r="E825" s="821"/>
      <c r="F825" s="821"/>
      <c r="G825" s="821"/>
      <c r="H825" s="822">
        <v>0</v>
      </c>
      <c r="I825" s="822"/>
      <c r="J825" s="822">
        <v>7000</v>
      </c>
      <c r="K825" s="822"/>
      <c r="L825" s="822">
        <v>7000</v>
      </c>
      <c r="M825" s="822"/>
      <c r="N825" s="822">
        <v>57.120000000000005</v>
      </c>
      <c r="O825" s="822"/>
      <c r="P825" s="822">
        <v>6942.88</v>
      </c>
      <c r="Q825" s="826"/>
      <c r="R825" s="826">
        <v>57.120000000000005</v>
      </c>
      <c r="S825" s="822"/>
      <c r="T825" s="822">
        <v>57.120000000000005</v>
      </c>
      <c r="U825" s="822"/>
      <c r="V825" s="822">
        <v>6942.88</v>
      </c>
      <c r="W825" s="822"/>
    </row>
    <row r="826" spans="1:23">
      <c r="A826" s="821" t="s">
        <v>1464</v>
      </c>
      <c r="B826" s="821"/>
      <c r="D826" s="821" t="s">
        <v>1465</v>
      </c>
      <c r="E826" s="821"/>
      <c r="F826" s="821"/>
      <c r="G826" s="821"/>
    </row>
    <row r="827" spans="1:23">
      <c r="A827" s="821"/>
      <c r="B827" s="821"/>
      <c r="D827" s="821"/>
      <c r="E827" s="821"/>
      <c r="F827" s="821"/>
      <c r="G827" s="821"/>
      <c r="H827" s="822">
        <v>0</v>
      </c>
      <c r="I827" s="822"/>
      <c r="J827" s="822">
        <v>7000</v>
      </c>
      <c r="K827" s="822"/>
      <c r="L827" s="822">
        <v>7000</v>
      </c>
      <c r="M827" s="822"/>
      <c r="N827" s="822">
        <v>6000</v>
      </c>
      <c r="O827" s="822"/>
      <c r="P827" s="822">
        <v>1000</v>
      </c>
      <c r="Q827" s="826"/>
      <c r="R827" s="826">
        <v>3600</v>
      </c>
      <c r="S827" s="822"/>
      <c r="T827" s="822">
        <v>3600</v>
      </c>
      <c r="U827" s="822"/>
      <c r="V827" s="822">
        <v>3400</v>
      </c>
      <c r="W827" s="822"/>
    </row>
    <row r="828" spans="1:23" ht="13.15" customHeight="1">
      <c r="A828" s="821" t="s">
        <v>1286</v>
      </c>
      <c r="B828" s="821"/>
      <c r="D828" s="821" t="s">
        <v>1408</v>
      </c>
      <c r="E828" s="821"/>
      <c r="F828" s="821"/>
      <c r="G828" s="821"/>
    </row>
    <row r="829" spans="1:23">
      <c r="A829" s="821"/>
      <c r="B829" s="821"/>
      <c r="D829" s="821"/>
      <c r="E829" s="821"/>
      <c r="F829" s="821"/>
      <c r="G829" s="821"/>
      <c r="H829" s="822">
        <v>0</v>
      </c>
      <c r="I829" s="822"/>
      <c r="J829" s="822">
        <v>18000</v>
      </c>
      <c r="K829" s="822"/>
      <c r="L829" s="822">
        <v>18000</v>
      </c>
      <c r="M829" s="822"/>
      <c r="N829" s="822">
        <v>12840</v>
      </c>
      <c r="O829" s="822"/>
      <c r="P829" s="822">
        <v>5160</v>
      </c>
      <c r="Q829" s="826"/>
      <c r="R829" s="826">
        <v>9000</v>
      </c>
      <c r="S829" s="822"/>
      <c r="T829" s="822">
        <v>9000</v>
      </c>
      <c r="U829" s="822"/>
      <c r="V829" s="822">
        <v>9000</v>
      </c>
      <c r="W829" s="822"/>
    </row>
    <row r="830" spans="1:23" ht="13.15" customHeight="1">
      <c r="A830" s="821" t="s">
        <v>1288</v>
      </c>
      <c r="B830" s="821"/>
      <c r="D830" s="821" t="s">
        <v>1466</v>
      </c>
      <c r="E830" s="821"/>
      <c r="F830" s="821"/>
      <c r="G830" s="821"/>
      <c r="H830" s="822"/>
      <c r="I830" s="822"/>
      <c r="J830" s="822"/>
      <c r="K830" s="822"/>
      <c r="L830" s="822"/>
      <c r="M830" s="822"/>
      <c r="N830" s="822"/>
      <c r="O830" s="822"/>
      <c r="P830" s="822"/>
      <c r="Q830" s="826"/>
      <c r="R830" s="826"/>
      <c r="S830" s="822"/>
      <c r="T830" s="822"/>
      <c r="U830" s="822"/>
      <c r="V830" s="822"/>
      <c r="W830" s="822"/>
    </row>
    <row r="831" spans="1:23">
      <c r="A831" s="821"/>
      <c r="B831" s="821"/>
      <c r="D831" s="821"/>
      <c r="E831" s="821"/>
      <c r="F831" s="821"/>
      <c r="G831" s="821"/>
    </row>
    <row r="832" spans="1:23">
      <c r="A832" s="821"/>
      <c r="B832" s="821"/>
      <c r="D832" s="821"/>
      <c r="E832" s="821"/>
      <c r="F832" s="821"/>
      <c r="G832" s="821"/>
      <c r="H832" s="822">
        <v>0</v>
      </c>
      <c r="I832" s="822"/>
      <c r="J832" s="822">
        <v>74619.490000000005</v>
      </c>
      <c r="K832" s="822"/>
      <c r="L832" s="822">
        <v>74619.490000000005</v>
      </c>
      <c r="M832" s="822"/>
      <c r="N832" s="822">
        <v>70784.479999999996</v>
      </c>
      <c r="O832" s="822"/>
      <c r="P832" s="822">
        <v>3835.01</v>
      </c>
      <c r="Q832" s="826"/>
      <c r="R832" s="826">
        <v>70784.479999999996</v>
      </c>
      <c r="S832" s="822"/>
      <c r="T832" s="822">
        <v>70784.479999999996</v>
      </c>
      <c r="U832" s="822"/>
      <c r="V832" s="822">
        <v>3835.01</v>
      </c>
      <c r="W832" s="822"/>
    </row>
    <row r="833" spans="1:23" ht="13.15" customHeight="1">
      <c r="A833" s="821" t="s">
        <v>1289</v>
      </c>
      <c r="B833" s="821"/>
      <c r="D833" s="821" t="s">
        <v>1409</v>
      </c>
      <c r="E833" s="821"/>
      <c r="F833" s="821"/>
      <c r="G833" s="821"/>
    </row>
    <row r="834" spans="1:23">
      <c r="A834" s="821"/>
      <c r="B834" s="821"/>
      <c r="D834" s="821"/>
      <c r="E834" s="821"/>
      <c r="F834" s="821"/>
      <c r="G834" s="821"/>
      <c r="H834" s="822">
        <v>0</v>
      </c>
      <c r="I834" s="822"/>
      <c r="J834" s="822">
        <v>208761.54</v>
      </c>
      <c r="K834" s="822"/>
      <c r="L834" s="822">
        <v>208761.54</v>
      </c>
      <c r="M834" s="822"/>
      <c r="N834" s="822">
        <v>197651.72</v>
      </c>
      <c r="O834" s="822"/>
      <c r="P834" s="822">
        <v>11109.82</v>
      </c>
      <c r="Q834" s="826"/>
      <c r="R834" s="826">
        <v>87559.76</v>
      </c>
      <c r="S834" s="822"/>
      <c r="T834" s="822">
        <v>87559.76</v>
      </c>
      <c r="U834" s="822"/>
      <c r="V834" s="822">
        <v>121201.78</v>
      </c>
      <c r="W834" s="822"/>
    </row>
    <row r="835" spans="1:23" ht="13.15" customHeight="1">
      <c r="A835" s="821" t="s">
        <v>1290</v>
      </c>
      <c r="B835" s="821"/>
      <c r="D835" s="821" t="s">
        <v>1348</v>
      </c>
      <c r="E835" s="821"/>
      <c r="F835" s="821"/>
      <c r="G835" s="821"/>
    </row>
    <row r="836" spans="1:23">
      <c r="A836" s="821"/>
      <c r="B836" s="821"/>
      <c r="D836" s="821"/>
      <c r="E836" s="821"/>
      <c r="F836" s="821"/>
      <c r="G836" s="821"/>
      <c r="H836" s="822">
        <v>0</v>
      </c>
      <c r="I836" s="822"/>
      <c r="J836" s="822">
        <v>5250</v>
      </c>
      <c r="K836" s="822"/>
      <c r="L836" s="822">
        <v>5250</v>
      </c>
      <c r="M836" s="822"/>
      <c r="N836" s="822">
        <v>0</v>
      </c>
      <c r="O836" s="822"/>
      <c r="P836" s="822">
        <v>5250</v>
      </c>
      <c r="Q836" s="826"/>
      <c r="R836" s="826">
        <v>0</v>
      </c>
      <c r="S836" s="822"/>
      <c r="T836" s="822">
        <v>0</v>
      </c>
      <c r="U836" s="822"/>
      <c r="V836" s="822">
        <v>5250</v>
      </c>
      <c r="W836" s="822"/>
    </row>
    <row r="837" spans="1:23" ht="13.15" customHeight="1">
      <c r="A837" s="821" t="s">
        <v>1300</v>
      </c>
      <c r="B837" s="821"/>
      <c r="D837" s="821" t="s">
        <v>1394</v>
      </c>
      <c r="E837" s="821"/>
      <c r="F837" s="821"/>
      <c r="G837" s="821"/>
      <c r="H837" s="822"/>
      <c r="I837" s="822"/>
      <c r="J837" s="822"/>
      <c r="K837" s="822"/>
      <c r="L837" s="822"/>
      <c r="M837" s="822"/>
      <c r="N837" s="822"/>
      <c r="O837" s="822"/>
      <c r="P837" s="822"/>
      <c r="Q837" s="826"/>
      <c r="R837" s="826"/>
      <c r="S837" s="822"/>
      <c r="T837" s="822"/>
      <c r="U837" s="822"/>
      <c r="V837" s="822"/>
      <c r="W837" s="822"/>
    </row>
    <row r="838" spans="1:23">
      <c r="A838" s="821"/>
      <c r="B838" s="821"/>
      <c r="D838" s="821"/>
      <c r="E838" s="821"/>
      <c r="F838" s="821"/>
      <c r="G838" s="821"/>
    </row>
    <row r="839" spans="1:23">
      <c r="A839" s="821"/>
      <c r="B839" s="821"/>
      <c r="D839" s="821"/>
      <c r="E839" s="821"/>
      <c r="F839" s="821"/>
      <c r="G839" s="821"/>
      <c r="H839" s="822">
        <v>0</v>
      </c>
      <c r="I839" s="822"/>
      <c r="J839" s="822">
        <v>40000</v>
      </c>
      <c r="K839" s="822"/>
      <c r="L839" s="822">
        <v>40000</v>
      </c>
      <c r="M839" s="822"/>
      <c r="N839" s="822">
        <v>16566.189999999999</v>
      </c>
      <c r="O839" s="822"/>
      <c r="P839" s="822">
        <v>23433.81</v>
      </c>
      <c r="Q839" s="826"/>
      <c r="R839" s="826">
        <v>6726.1900000000005</v>
      </c>
      <c r="S839" s="822"/>
      <c r="T839" s="822">
        <v>6726.1900000000005</v>
      </c>
      <c r="U839" s="822"/>
      <c r="V839" s="822">
        <v>33273.81</v>
      </c>
      <c r="W839" s="822"/>
    </row>
    <row r="841" spans="1:23" ht="13.15" customHeight="1">
      <c r="A841" s="813" t="s">
        <v>1243</v>
      </c>
      <c r="E841" s="823" t="s">
        <v>1244</v>
      </c>
      <c r="F841" s="823"/>
      <c r="J841" s="823" t="s">
        <v>1245</v>
      </c>
      <c r="K841" s="823"/>
      <c r="O841" s="823" t="s">
        <v>1246</v>
      </c>
      <c r="P841" s="823"/>
      <c r="Q841" s="827"/>
    </row>
    <row r="842" spans="1:23" ht="13.15" customHeight="1">
      <c r="B842" s="824" t="s">
        <v>1247</v>
      </c>
      <c r="C842" s="824"/>
      <c r="D842" s="824"/>
      <c r="E842" s="824" t="s">
        <v>1248</v>
      </c>
      <c r="F842" s="824"/>
      <c r="G842" s="824"/>
      <c r="H842" s="824"/>
      <c r="J842" s="824" t="s">
        <v>1249</v>
      </c>
      <c r="K842" s="824"/>
      <c r="L842" s="824"/>
    </row>
    <row r="845" spans="1:23" ht="13.15" customHeight="1">
      <c r="D845" s="814" t="s">
        <v>1185</v>
      </c>
      <c r="E845" s="814"/>
      <c r="F845" s="814"/>
      <c r="G845" s="814"/>
      <c r="H845" s="814"/>
      <c r="I845" s="814"/>
      <c r="J845" s="814"/>
      <c r="K845" s="814"/>
      <c r="L845" s="814"/>
      <c r="M845" s="814"/>
      <c r="N845" s="814"/>
      <c r="O845" s="814"/>
      <c r="P845" s="814"/>
      <c r="Q845" s="815"/>
      <c r="R845" s="815"/>
    </row>
    <row r="846" spans="1:23" ht="13.15" customHeight="1">
      <c r="D846" s="814"/>
      <c r="E846" s="814"/>
      <c r="F846" s="814"/>
      <c r="G846" s="814"/>
      <c r="H846" s="814"/>
      <c r="I846" s="814"/>
      <c r="J846" s="814"/>
      <c r="K846" s="814"/>
      <c r="L846" s="814"/>
      <c r="M846" s="814"/>
      <c r="N846" s="814"/>
      <c r="O846" s="814"/>
      <c r="P846" s="814"/>
      <c r="Q846" s="815"/>
      <c r="R846" s="815"/>
      <c r="S846" s="816" t="s">
        <v>1186</v>
      </c>
      <c r="T846" s="816"/>
    </row>
    <row r="847" spans="1:23">
      <c r="S847" s="816"/>
      <c r="T847" s="816"/>
    </row>
    <row r="848" spans="1:23" ht="15.6" customHeight="1">
      <c r="H848" s="817" t="s">
        <v>1187</v>
      </c>
      <c r="I848" s="817"/>
      <c r="J848" s="817"/>
      <c r="K848" s="817"/>
      <c r="L848" s="817"/>
      <c r="M848" s="817"/>
      <c r="N848" s="817"/>
    </row>
    <row r="849" spans="1:23" ht="13.15" customHeight="1">
      <c r="Q849" s="818" t="s">
        <v>1467</v>
      </c>
      <c r="R849" s="818"/>
      <c r="S849" s="816"/>
    </row>
    <row r="850" spans="1:23">
      <c r="H850" s="816" t="s">
        <v>1189</v>
      </c>
      <c r="I850" s="816"/>
      <c r="J850" s="819">
        <v>41640</v>
      </c>
      <c r="K850" s="819"/>
      <c r="L850" s="816" t="s">
        <v>1190</v>
      </c>
      <c r="M850" s="816"/>
      <c r="N850" s="819">
        <v>41993</v>
      </c>
      <c r="O850" s="819"/>
      <c r="Q850" s="818"/>
      <c r="R850" s="818"/>
      <c r="S850" s="816"/>
    </row>
    <row r="851" spans="1:23">
      <c r="H851" s="816"/>
      <c r="I851" s="816"/>
      <c r="J851" s="819"/>
      <c r="K851" s="819"/>
      <c r="L851" s="816"/>
      <c r="M851" s="816"/>
      <c r="N851" s="819"/>
      <c r="O851" s="819"/>
    </row>
    <row r="853" spans="1:23" ht="13.15" customHeight="1">
      <c r="H853" s="809" t="s">
        <v>1191</v>
      </c>
      <c r="I853" s="809"/>
      <c r="J853" s="809"/>
      <c r="K853" s="809" t="s">
        <v>1192</v>
      </c>
      <c r="L853" s="809"/>
      <c r="M853" s="809" t="s">
        <v>1193</v>
      </c>
      <c r="N853" s="809"/>
      <c r="O853" s="809" t="s">
        <v>1194</v>
      </c>
      <c r="P853" s="809"/>
      <c r="Q853" s="820" t="s">
        <v>1195</v>
      </c>
      <c r="R853" s="820"/>
      <c r="S853" s="809" t="s">
        <v>1196</v>
      </c>
      <c r="T853" s="809"/>
    </row>
    <row r="855" spans="1:23" ht="13.15" customHeight="1">
      <c r="A855" s="809" t="s">
        <v>1203</v>
      </c>
      <c r="B855" s="809"/>
      <c r="C855" s="809" t="s">
        <v>1453</v>
      </c>
      <c r="D855" s="809"/>
      <c r="E855" s="809" t="s">
        <v>1198</v>
      </c>
      <c r="F855" s="809"/>
      <c r="G855" s="809" t="s">
        <v>1454</v>
      </c>
      <c r="H855" s="809"/>
      <c r="I855" s="809"/>
      <c r="J855" s="809"/>
      <c r="K855" s="809"/>
      <c r="L855" s="809"/>
      <c r="M855" s="809"/>
      <c r="N855" s="809"/>
    </row>
    <row r="857" spans="1:23" ht="13.15" customHeight="1">
      <c r="G857" s="810" t="s">
        <v>1200</v>
      </c>
      <c r="H857" s="810"/>
      <c r="O857" s="810" t="s">
        <v>1201</v>
      </c>
      <c r="P857" s="810"/>
      <c r="U857" s="810" t="s">
        <v>1202</v>
      </c>
      <c r="V857" s="810"/>
    </row>
    <row r="858" spans="1:23" ht="13.15" customHeight="1">
      <c r="B858" s="811" t="s">
        <v>1204</v>
      </c>
      <c r="D858" s="810" t="s">
        <v>1205</v>
      </c>
      <c r="E858" s="810"/>
      <c r="G858" s="810"/>
      <c r="H858" s="810"/>
      <c r="I858" s="810" t="s">
        <v>1206</v>
      </c>
      <c r="J858" s="810"/>
      <c r="K858" s="810" t="s">
        <v>1207</v>
      </c>
      <c r="L858" s="810"/>
      <c r="M858" s="810" t="s">
        <v>1208</v>
      </c>
      <c r="N858" s="810"/>
      <c r="O858" s="810"/>
      <c r="P858" s="810"/>
      <c r="Q858" s="812" t="s">
        <v>1209</v>
      </c>
      <c r="R858" s="812"/>
      <c r="S858" s="810" t="s">
        <v>1210</v>
      </c>
      <c r="T858" s="810"/>
      <c r="U858" s="810"/>
      <c r="V858" s="810"/>
    </row>
    <row r="859" spans="1:23" ht="13.15" customHeight="1">
      <c r="A859" s="821" t="s">
        <v>1301</v>
      </c>
      <c r="B859" s="821"/>
      <c r="D859" s="821" t="s">
        <v>1302</v>
      </c>
      <c r="E859" s="821"/>
      <c r="F859" s="821"/>
      <c r="G859" s="821"/>
    </row>
    <row r="860" spans="1:23">
      <c r="A860" s="821"/>
      <c r="B860" s="821"/>
      <c r="D860" s="821"/>
      <c r="E860" s="821"/>
      <c r="F860" s="821"/>
      <c r="G860" s="821"/>
      <c r="H860" s="822">
        <v>0</v>
      </c>
      <c r="I860" s="822"/>
      <c r="J860" s="822">
        <v>1310.45</v>
      </c>
      <c r="K860" s="822"/>
      <c r="L860" s="822">
        <v>1310.45</v>
      </c>
      <c r="M860" s="822"/>
      <c r="N860" s="822">
        <v>368</v>
      </c>
      <c r="O860" s="822"/>
      <c r="P860" s="822">
        <v>942.45</v>
      </c>
      <c r="Q860" s="826"/>
      <c r="R860" s="826">
        <v>368</v>
      </c>
      <c r="S860" s="822"/>
      <c r="T860" s="822">
        <v>368</v>
      </c>
      <c r="U860" s="822"/>
      <c r="V860" s="822">
        <v>942.45</v>
      </c>
      <c r="W860" s="822"/>
    </row>
    <row r="861" spans="1:23" ht="13.15" customHeight="1">
      <c r="A861" s="821" t="s">
        <v>1303</v>
      </c>
      <c r="B861" s="821"/>
      <c r="D861" s="821" t="s">
        <v>1395</v>
      </c>
      <c r="E861" s="821"/>
      <c r="F861" s="821"/>
      <c r="G861" s="821"/>
      <c r="H861" s="822"/>
      <c r="I861" s="822"/>
      <c r="J861" s="822"/>
      <c r="K861" s="822"/>
      <c r="L861" s="822"/>
      <c r="M861" s="822"/>
      <c r="N861" s="822"/>
      <c r="O861" s="822"/>
      <c r="P861" s="822"/>
      <c r="Q861" s="826"/>
      <c r="R861" s="826"/>
      <c r="S861" s="822"/>
      <c r="T861" s="822"/>
      <c r="U861" s="822"/>
      <c r="V861" s="822"/>
      <c r="W861" s="822"/>
    </row>
    <row r="862" spans="1:23">
      <c r="A862" s="821"/>
      <c r="B862" s="821"/>
      <c r="D862" s="821"/>
      <c r="E862" s="821"/>
      <c r="F862" s="821"/>
      <c r="G862" s="821"/>
    </row>
    <row r="863" spans="1:23">
      <c r="A863" s="821"/>
      <c r="B863" s="821"/>
      <c r="D863" s="821"/>
      <c r="E863" s="821"/>
      <c r="F863" s="821"/>
      <c r="G863" s="821"/>
      <c r="H863" s="822">
        <v>0</v>
      </c>
      <c r="I863" s="822"/>
      <c r="J863" s="822">
        <v>38319.629999999997</v>
      </c>
      <c r="K863" s="822"/>
      <c r="L863" s="822">
        <v>38319.629999999997</v>
      </c>
      <c r="M863" s="822"/>
      <c r="N863" s="822">
        <v>6507.1900000000005</v>
      </c>
      <c r="O863" s="822"/>
      <c r="P863" s="822">
        <v>31812.440000000002</v>
      </c>
      <c r="Q863" s="826"/>
      <c r="R863" s="826">
        <v>33.980000000000004</v>
      </c>
      <c r="S863" s="822"/>
      <c r="T863" s="822">
        <v>33.980000000000004</v>
      </c>
      <c r="U863" s="822"/>
      <c r="V863" s="822">
        <v>38285.65</v>
      </c>
      <c r="W863" s="822"/>
    </row>
    <row r="864" spans="1:23" ht="13.15" customHeight="1">
      <c r="A864" s="821" t="s">
        <v>1304</v>
      </c>
      <c r="B864" s="821"/>
      <c r="D864" s="821" t="s">
        <v>1305</v>
      </c>
      <c r="E864" s="821"/>
      <c r="F864" s="821"/>
      <c r="G864" s="821"/>
    </row>
    <row r="865" spans="1:23">
      <c r="A865" s="821"/>
      <c r="B865" s="821"/>
      <c r="D865" s="821"/>
      <c r="E865" s="821"/>
      <c r="F865" s="821"/>
      <c r="G865" s="821"/>
      <c r="H865" s="822">
        <v>0</v>
      </c>
      <c r="I865" s="822"/>
      <c r="J865" s="822">
        <v>3466.61</v>
      </c>
      <c r="K865" s="822"/>
      <c r="L865" s="822">
        <v>3466.61</v>
      </c>
      <c r="M865" s="822"/>
      <c r="N865" s="822">
        <v>0</v>
      </c>
      <c r="O865" s="822"/>
      <c r="P865" s="822">
        <v>3466.61</v>
      </c>
      <c r="Q865" s="826"/>
      <c r="R865" s="826">
        <v>0</v>
      </c>
      <c r="S865" s="822"/>
      <c r="T865" s="822">
        <v>0</v>
      </c>
      <c r="U865" s="822"/>
      <c r="V865" s="822">
        <v>3466.61</v>
      </c>
      <c r="W865" s="822"/>
    </row>
    <row r="866" spans="1:23" ht="13.15" customHeight="1">
      <c r="A866" s="821" t="s">
        <v>1307</v>
      </c>
      <c r="B866" s="821"/>
      <c r="D866" s="821" t="s">
        <v>1468</v>
      </c>
      <c r="E866" s="821"/>
      <c r="F866" s="821"/>
      <c r="G866" s="821"/>
    </row>
    <row r="867" spans="1:23">
      <c r="A867" s="821"/>
      <c r="B867" s="821"/>
      <c r="D867" s="821"/>
      <c r="E867" s="821"/>
      <c r="F867" s="821"/>
      <c r="G867" s="821"/>
      <c r="H867" s="822">
        <v>0</v>
      </c>
      <c r="I867" s="822"/>
      <c r="J867" s="822">
        <v>4194.47</v>
      </c>
      <c r="K867" s="822"/>
      <c r="L867" s="822">
        <v>4194.47</v>
      </c>
      <c r="M867" s="822"/>
      <c r="N867" s="822">
        <v>51.660000000000004</v>
      </c>
      <c r="O867" s="822"/>
      <c r="P867" s="822">
        <v>4142.8100000000004</v>
      </c>
      <c r="Q867" s="826"/>
      <c r="R867" s="826">
        <v>51.660000000000004</v>
      </c>
      <c r="S867" s="822"/>
      <c r="T867" s="822">
        <v>51.660000000000004</v>
      </c>
      <c r="U867" s="822"/>
      <c r="V867" s="822">
        <v>4142.8100000000004</v>
      </c>
      <c r="W867" s="822"/>
    </row>
    <row r="868" spans="1:23" ht="13.15" customHeight="1">
      <c r="A868" s="821" t="s">
        <v>1314</v>
      </c>
      <c r="B868" s="821"/>
      <c r="D868" s="821" t="s">
        <v>1378</v>
      </c>
      <c r="E868" s="821"/>
      <c r="F868" s="821"/>
      <c r="G868" s="821"/>
    </row>
    <row r="869" spans="1:23">
      <c r="A869" s="821"/>
      <c r="B869" s="821"/>
      <c r="D869" s="821"/>
      <c r="E869" s="821"/>
      <c r="F869" s="821"/>
      <c r="G869" s="821"/>
      <c r="H869" s="822">
        <v>0</v>
      </c>
      <c r="I869" s="822"/>
      <c r="J869" s="822">
        <v>450665.3</v>
      </c>
      <c r="K869" s="822"/>
      <c r="L869" s="822">
        <v>450665.3</v>
      </c>
      <c r="M869" s="822"/>
      <c r="N869" s="822">
        <v>240033.86000000002</v>
      </c>
      <c r="O869" s="822"/>
      <c r="P869" s="822">
        <v>210631.44</v>
      </c>
      <c r="Q869" s="826"/>
      <c r="R869" s="826">
        <v>49069.62</v>
      </c>
      <c r="S869" s="822"/>
      <c r="T869" s="822">
        <v>49069.62</v>
      </c>
      <c r="U869" s="822"/>
      <c r="V869" s="822">
        <v>401595.68</v>
      </c>
      <c r="W869" s="822"/>
    </row>
    <row r="870" spans="1:23" ht="13.15" customHeight="1">
      <c r="A870" s="821" t="s">
        <v>1316</v>
      </c>
      <c r="B870" s="821"/>
      <c r="D870" s="821" t="s">
        <v>1396</v>
      </c>
      <c r="E870" s="821"/>
      <c r="F870" s="821"/>
      <c r="G870" s="821"/>
      <c r="H870" s="822"/>
      <c r="I870" s="822"/>
      <c r="J870" s="822"/>
      <c r="K870" s="822"/>
      <c r="L870" s="822"/>
      <c r="M870" s="822"/>
      <c r="N870" s="822"/>
      <c r="O870" s="822"/>
      <c r="P870" s="822"/>
      <c r="Q870" s="826"/>
      <c r="R870" s="826"/>
      <c r="S870" s="822"/>
      <c r="T870" s="822"/>
      <c r="U870" s="822"/>
      <c r="V870" s="822"/>
      <c r="W870" s="822"/>
    </row>
    <row r="871" spans="1:23">
      <c r="A871" s="821"/>
      <c r="B871" s="821"/>
      <c r="D871" s="821"/>
      <c r="E871" s="821"/>
      <c r="F871" s="821"/>
      <c r="G871" s="821"/>
    </row>
    <row r="872" spans="1:23">
      <c r="A872" s="821"/>
      <c r="B872" s="821"/>
      <c r="D872" s="821"/>
      <c r="E872" s="821"/>
      <c r="F872" s="821"/>
      <c r="G872" s="821"/>
      <c r="H872" s="822">
        <v>0</v>
      </c>
      <c r="I872" s="822"/>
      <c r="J872" s="822">
        <v>81128.17</v>
      </c>
      <c r="K872" s="822"/>
      <c r="L872" s="822">
        <v>81128.17</v>
      </c>
      <c r="M872" s="822"/>
      <c r="N872" s="822">
        <v>19348.32</v>
      </c>
      <c r="O872" s="822"/>
      <c r="P872" s="822">
        <v>61779.85</v>
      </c>
      <c r="Q872" s="826"/>
      <c r="R872" s="826">
        <v>15620.12</v>
      </c>
      <c r="S872" s="822"/>
      <c r="T872" s="822">
        <v>15620.12</v>
      </c>
      <c r="U872" s="822"/>
      <c r="V872" s="822">
        <v>65508.05</v>
      </c>
      <c r="W872" s="822"/>
    </row>
    <row r="873" spans="1:23" ht="13.15" customHeight="1">
      <c r="A873" s="821" t="s">
        <v>1323</v>
      </c>
      <c r="B873" s="821"/>
      <c r="D873" s="821" t="s">
        <v>62</v>
      </c>
      <c r="E873" s="821"/>
      <c r="F873" s="821"/>
      <c r="G873" s="821"/>
    </row>
    <row r="874" spans="1:23">
      <c r="A874" s="821"/>
      <c r="B874" s="821"/>
      <c r="D874" s="821"/>
      <c r="E874" s="821"/>
      <c r="F874" s="821"/>
      <c r="G874" s="821"/>
      <c r="H874" s="822">
        <v>0</v>
      </c>
      <c r="I874" s="822"/>
      <c r="J874" s="822">
        <v>3823.9</v>
      </c>
      <c r="K874" s="822"/>
      <c r="L874" s="822">
        <v>3823.9</v>
      </c>
      <c r="M874" s="822"/>
      <c r="N874" s="822">
        <v>0</v>
      </c>
      <c r="O874" s="822"/>
      <c r="P874" s="822">
        <v>3823.9</v>
      </c>
      <c r="Q874" s="826"/>
      <c r="R874" s="826">
        <v>0</v>
      </c>
      <c r="S874" s="822"/>
      <c r="T874" s="822">
        <v>0</v>
      </c>
      <c r="U874" s="822"/>
      <c r="V874" s="822">
        <v>3823.9</v>
      </c>
      <c r="W874" s="822"/>
    </row>
    <row r="875" spans="1:23" ht="13.15" customHeight="1">
      <c r="A875" s="821" t="s">
        <v>1324</v>
      </c>
      <c r="B875" s="821"/>
      <c r="D875" s="821" t="s">
        <v>1282</v>
      </c>
      <c r="E875" s="821"/>
      <c r="F875" s="821"/>
      <c r="G875" s="821"/>
    </row>
    <row r="876" spans="1:23">
      <c r="A876" s="821"/>
      <c r="B876" s="821"/>
      <c r="D876" s="821"/>
      <c r="E876" s="821"/>
      <c r="F876" s="821"/>
      <c r="G876" s="821"/>
      <c r="H876" s="822">
        <v>0</v>
      </c>
      <c r="I876" s="822"/>
      <c r="J876" s="822">
        <v>4894.95</v>
      </c>
      <c r="K876" s="822"/>
      <c r="L876" s="822">
        <v>4894.95</v>
      </c>
      <c r="M876" s="822"/>
      <c r="N876" s="822">
        <v>32.51</v>
      </c>
      <c r="O876" s="822"/>
      <c r="P876" s="822">
        <v>4862.4400000000005</v>
      </c>
      <c r="Q876" s="826"/>
      <c r="R876" s="826">
        <v>32.51</v>
      </c>
      <c r="S876" s="822"/>
      <c r="T876" s="822">
        <v>32.51</v>
      </c>
      <c r="U876" s="822"/>
      <c r="V876" s="822">
        <v>4862.4400000000005</v>
      </c>
      <c r="W876" s="822"/>
    </row>
    <row r="877" spans="1:23" ht="13.15" customHeight="1">
      <c r="A877" s="821" t="s">
        <v>1325</v>
      </c>
      <c r="B877" s="821"/>
      <c r="D877" s="821" t="s">
        <v>63</v>
      </c>
      <c r="E877" s="821"/>
      <c r="F877" s="821"/>
      <c r="G877" s="821"/>
    </row>
    <row r="878" spans="1:23">
      <c r="A878" s="821"/>
      <c r="B878" s="821"/>
      <c r="D878" s="821"/>
      <c r="E878" s="821"/>
      <c r="F878" s="821"/>
      <c r="G878" s="821"/>
      <c r="H878" s="822">
        <v>0</v>
      </c>
      <c r="I878" s="822"/>
      <c r="J878" s="822">
        <v>3431.2400000000002</v>
      </c>
      <c r="K878" s="822"/>
      <c r="L878" s="822">
        <v>3431.2400000000002</v>
      </c>
      <c r="M878" s="822"/>
      <c r="N878" s="822">
        <v>40.619999999999997</v>
      </c>
      <c r="O878" s="822"/>
      <c r="P878" s="822">
        <v>3390.62</v>
      </c>
      <c r="Q878" s="826"/>
      <c r="R878" s="826">
        <v>40.619999999999997</v>
      </c>
      <c r="S878" s="822"/>
      <c r="T878" s="822">
        <v>40.619999999999997</v>
      </c>
      <c r="U878" s="822"/>
      <c r="V878" s="822">
        <v>3390.62</v>
      </c>
      <c r="W878" s="822"/>
    </row>
    <row r="879" spans="1:23" ht="13.15" customHeight="1">
      <c r="A879" s="821" t="s">
        <v>1331</v>
      </c>
      <c r="B879" s="821"/>
      <c r="D879" s="821" t="s">
        <v>1469</v>
      </c>
      <c r="E879" s="821"/>
      <c r="F879" s="821"/>
      <c r="G879" s="821"/>
    </row>
    <row r="880" spans="1:23">
      <c r="A880" s="821"/>
      <c r="B880" s="821"/>
      <c r="D880" s="821"/>
      <c r="E880" s="821"/>
      <c r="F880" s="821"/>
      <c r="G880" s="821"/>
      <c r="H880" s="822">
        <v>0</v>
      </c>
      <c r="I880" s="822"/>
      <c r="J880" s="822">
        <v>1640</v>
      </c>
      <c r="K880" s="822"/>
      <c r="L880" s="822">
        <v>1640</v>
      </c>
      <c r="M880" s="822"/>
      <c r="N880" s="822">
        <v>0</v>
      </c>
      <c r="O880" s="822"/>
      <c r="P880" s="822">
        <v>1640</v>
      </c>
      <c r="Q880" s="826"/>
      <c r="R880" s="826">
        <v>0</v>
      </c>
      <c r="S880" s="822"/>
      <c r="T880" s="822">
        <v>0</v>
      </c>
      <c r="U880" s="822"/>
      <c r="V880" s="822">
        <v>1640</v>
      </c>
      <c r="W880" s="822"/>
    </row>
    <row r="881" spans="1:23" ht="13.15" customHeight="1">
      <c r="A881" s="821" t="s">
        <v>1334</v>
      </c>
      <c r="B881" s="821"/>
      <c r="D881" s="821" t="s">
        <v>65</v>
      </c>
      <c r="E881" s="821"/>
      <c r="F881" s="821"/>
      <c r="G881" s="821"/>
      <c r="H881" s="822"/>
      <c r="I881" s="822"/>
      <c r="J881" s="822"/>
      <c r="K881" s="822"/>
      <c r="L881" s="822"/>
      <c r="M881" s="822"/>
      <c r="N881" s="822"/>
      <c r="O881" s="822"/>
      <c r="P881" s="822"/>
      <c r="Q881" s="826"/>
      <c r="R881" s="826"/>
      <c r="S881" s="822"/>
      <c r="T881" s="822"/>
      <c r="U881" s="822"/>
      <c r="V881" s="822"/>
      <c r="W881" s="822"/>
    </row>
    <row r="882" spans="1:23">
      <c r="A882" s="821"/>
      <c r="B882" s="821"/>
      <c r="D882" s="821"/>
      <c r="E882" s="821"/>
      <c r="F882" s="821"/>
      <c r="G882" s="821"/>
    </row>
    <row r="883" spans="1:23">
      <c r="A883" s="821"/>
      <c r="B883" s="821"/>
      <c r="D883" s="821"/>
      <c r="E883" s="821"/>
      <c r="F883" s="821"/>
      <c r="G883" s="821"/>
      <c r="H883" s="822">
        <v>0</v>
      </c>
      <c r="I883" s="822"/>
      <c r="J883" s="822">
        <v>217.9</v>
      </c>
      <c r="K883" s="822"/>
      <c r="L883" s="822">
        <v>217.9</v>
      </c>
      <c r="M883" s="822"/>
      <c r="N883" s="822">
        <v>62.9</v>
      </c>
      <c r="O883" s="822"/>
      <c r="P883" s="822">
        <v>155</v>
      </c>
      <c r="Q883" s="826"/>
      <c r="R883" s="826">
        <v>62.9</v>
      </c>
      <c r="S883" s="822"/>
      <c r="T883" s="822">
        <v>62.9</v>
      </c>
      <c r="U883" s="822"/>
      <c r="V883" s="822">
        <v>155</v>
      </c>
      <c r="W883" s="822"/>
    </row>
    <row r="884" spans="1:23" ht="13.15" customHeight="1">
      <c r="A884" s="821" t="s">
        <v>1336</v>
      </c>
      <c r="B884" s="821"/>
      <c r="D884" s="821" t="s">
        <v>62</v>
      </c>
      <c r="E884" s="821"/>
      <c r="F884" s="821"/>
      <c r="G884" s="821"/>
    </row>
    <row r="885" spans="1:23">
      <c r="A885" s="821"/>
      <c r="B885" s="821"/>
      <c r="D885" s="821"/>
      <c r="E885" s="821"/>
      <c r="F885" s="821"/>
      <c r="G885" s="821"/>
      <c r="H885" s="822">
        <v>0</v>
      </c>
      <c r="I885" s="822"/>
      <c r="J885" s="822">
        <v>10969.050000000001</v>
      </c>
      <c r="K885" s="822"/>
      <c r="L885" s="822">
        <v>10969.050000000001</v>
      </c>
      <c r="M885" s="822"/>
      <c r="N885" s="822">
        <v>5200</v>
      </c>
      <c r="O885" s="822"/>
      <c r="P885" s="822">
        <v>5769.05</v>
      </c>
      <c r="Q885" s="826"/>
      <c r="R885" s="826">
        <v>5200</v>
      </c>
      <c r="S885" s="822"/>
      <c r="T885" s="822">
        <v>5200</v>
      </c>
      <c r="U885" s="822"/>
      <c r="V885" s="822">
        <v>5769.05</v>
      </c>
      <c r="W885" s="822"/>
    </row>
    <row r="886" spans="1:23" ht="13.15" customHeight="1">
      <c r="A886" s="821" t="s">
        <v>1337</v>
      </c>
      <c r="B886" s="821"/>
      <c r="D886" s="821" t="s">
        <v>1282</v>
      </c>
      <c r="E886" s="821"/>
      <c r="F886" s="821"/>
      <c r="G886" s="821"/>
    </row>
    <row r="887" spans="1:23">
      <c r="A887" s="821"/>
      <c r="B887" s="821"/>
      <c r="D887" s="821"/>
      <c r="E887" s="821"/>
      <c r="F887" s="821"/>
      <c r="G887" s="821"/>
      <c r="H887" s="822">
        <v>0</v>
      </c>
      <c r="I887" s="822"/>
      <c r="J887" s="822">
        <v>33107.15</v>
      </c>
      <c r="K887" s="822"/>
      <c r="L887" s="822">
        <v>33107.15</v>
      </c>
      <c r="M887" s="822"/>
      <c r="N887" s="822">
        <v>5238.5200000000004</v>
      </c>
      <c r="O887" s="822"/>
      <c r="P887" s="822">
        <v>27868.63</v>
      </c>
      <c r="Q887" s="826"/>
      <c r="R887" s="826">
        <v>5238.5200000000004</v>
      </c>
      <c r="S887" s="822"/>
      <c r="T887" s="822">
        <v>5238.5200000000004</v>
      </c>
      <c r="U887" s="822"/>
      <c r="V887" s="822">
        <v>27868.63</v>
      </c>
      <c r="W887" s="822"/>
    </row>
    <row r="888" spans="1:23" ht="13.15" customHeight="1">
      <c r="A888" s="821" t="s">
        <v>1339</v>
      </c>
      <c r="B888" s="821"/>
      <c r="D888" s="821" t="s">
        <v>1340</v>
      </c>
      <c r="E888" s="821"/>
      <c r="F888" s="821"/>
      <c r="G888" s="821"/>
    </row>
    <row r="889" spans="1:23">
      <c r="A889" s="821"/>
      <c r="B889" s="821"/>
      <c r="D889" s="821"/>
      <c r="E889" s="821"/>
      <c r="F889" s="821"/>
      <c r="G889" s="821"/>
      <c r="H889" s="822">
        <v>0</v>
      </c>
      <c r="I889" s="822"/>
      <c r="J889" s="822">
        <v>1352.8700000000001</v>
      </c>
      <c r="K889" s="822"/>
      <c r="L889" s="822">
        <v>1352.8700000000001</v>
      </c>
      <c r="M889" s="822"/>
      <c r="N889" s="822">
        <v>0</v>
      </c>
      <c r="O889" s="822"/>
      <c r="P889" s="822">
        <v>1352.8700000000001</v>
      </c>
      <c r="Q889" s="826"/>
      <c r="R889" s="826">
        <v>0</v>
      </c>
      <c r="S889" s="822"/>
      <c r="T889" s="822">
        <v>0</v>
      </c>
      <c r="U889" s="822"/>
      <c r="V889" s="822">
        <v>1352.8700000000001</v>
      </c>
      <c r="W889" s="822"/>
    </row>
    <row r="890" spans="1:23" ht="13.15" customHeight="1">
      <c r="A890" s="821" t="s">
        <v>1342</v>
      </c>
      <c r="B890" s="821"/>
      <c r="D890" s="821" t="s">
        <v>1343</v>
      </c>
      <c r="E890" s="821"/>
      <c r="F890" s="821"/>
      <c r="G890" s="821"/>
      <c r="H890" s="822"/>
      <c r="I890" s="822"/>
      <c r="J890" s="822"/>
      <c r="K890" s="822"/>
      <c r="L890" s="822"/>
      <c r="M890" s="822"/>
      <c r="N890" s="822"/>
      <c r="O890" s="822"/>
      <c r="P890" s="822"/>
      <c r="Q890" s="826"/>
      <c r="R890" s="826"/>
      <c r="S890" s="822"/>
      <c r="T890" s="822"/>
      <c r="U890" s="822"/>
      <c r="V890" s="822"/>
      <c r="W890" s="822"/>
    </row>
    <row r="891" spans="1:23">
      <c r="A891" s="821"/>
      <c r="B891" s="821"/>
      <c r="D891" s="821"/>
      <c r="E891" s="821"/>
      <c r="F891" s="821"/>
      <c r="G891" s="821"/>
    </row>
    <row r="892" spans="1:23">
      <c r="A892" s="821"/>
      <c r="B892" s="821"/>
      <c r="D892" s="821"/>
      <c r="E892" s="821"/>
      <c r="F892" s="821"/>
      <c r="G892" s="821"/>
      <c r="H892" s="822">
        <v>0</v>
      </c>
      <c r="I892" s="822"/>
      <c r="J892" s="822">
        <v>853684.46</v>
      </c>
      <c r="K892" s="822"/>
      <c r="L892" s="822">
        <v>853684.46</v>
      </c>
      <c r="M892" s="822"/>
      <c r="N892" s="822">
        <v>0</v>
      </c>
      <c r="O892" s="822"/>
      <c r="P892" s="822">
        <v>853684.46</v>
      </c>
      <c r="Q892" s="826"/>
      <c r="R892" s="826">
        <v>0</v>
      </c>
      <c r="S892" s="822"/>
      <c r="T892" s="822">
        <v>0</v>
      </c>
      <c r="U892" s="822"/>
      <c r="V892" s="822">
        <v>853684.46</v>
      </c>
      <c r="W892" s="822"/>
    </row>
    <row r="894" spans="1:23" ht="13.15" customHeight="1">
      <c r="D894" s="816" t="s">
        <v>1344</v>
      </c>
      <c r="E894" s="816"/>
      <c r="F894" s="825">
        <v>0</v>
      </c>
      <c r="G894" s="825"/>
      <c r="H894" s="825"/>
      <c r="I894" s="825">
        <v>2264986.12</v>
      </c>
      <c r="J894" s="825"/>
      <c r="K894" s="825">
        <v>2264986.12</v>
      </c>
      <c r="L894" s="825"/>
      <c r="M894" s="825">
        <v>752898.53</v>
      </c>
      <c r="N894" s="825"/>
      <c r="O894" s="825">
        <v>1512087.59</v>
      </c>
      <c r="P894" s="825"/>
      <c r="Q894" s="828">
        <v>416947.54000000004</v>
      </c>
      <c r="R894" s="828"/>
      <c r="S894" s="825">
        <v>416512.52</v>
      </c>
      <c r="T894" s="825"/>
      <c r="U894" s="825">
        <v>1848038.58</v>
      </c>
      <c r="V894" s="825"/>
    </row>
    <row r="897" spans="1:20" ht="13.15" customHeight="1">
      <c r="A897" s="813" t="s">
        <v>1243</v>
      </c>
      <c r="E897" s="823" t="s">
        <v>1244</v>
      </c>
      <c r="F897" s="823"/>
      <c r="J897" s="823" t="s">
        <v>1245</v>
      </c>
      <c r="K897" s="823"/>
      <c r="O897" s="823" t="s">
        <v>1246</v>
      </c>
      <c r="P897" s="823"/>
      <c r="Q897" s="827"/>
    </row>
    <row r="898" spans="1:20" ht="13.15" customHeight="1">
      <c r="B898" s="824" t="s">
        <v>1247</v>
      </c>
      <c r="C898" s="824"/>
      <c r="D898" s="824"/>
      <c r="E898" s="824" t="s">
        <v>1248</v>
      </c>
      <c r="F898" s="824"/>
      <c r="G898" s="824"/>
      <c r="H898" s="824"/>
      <c r="J898" s="824" t="s">
        <v>1249</v>
      </c>
      <c r="K898" s="824"/>
      <c r="L898" s="824"/>
    </row>
    <row r="901" spans="1:20" ht="13.15" customHeight="1">
      <c r="D901" s="814" t="s">
        <v>1185</v>
      </c>
      <c r="E901" s="814"/>
      <c r="F901" s="814"/>
      <c r="G901" s="814"/>
      <c r="H901" s="814"/>
      <c r="I901" s="814"/>
      <c r="J901" s="814"/>
      <c r="K901" s="814"/>
      <c r="L901" s="814"/>
      <c r="M901" s="814"/>
      <c r="N901" s="814"/>
      <c r="O901" s="814"/>
      <c r="P901" s="814"/>
      <c r="Q901" s="815"/>
      <c r="R901" s="815"/>
    </row>
    <row r="902" spans="1:20" ht="13.15" customHeight="1">
      <c r="D902" s="814"/>
      <c r="E902" s="814"/>
      <c r="F902" s="814"/>
      <c r="G902" s="814"/>
      <c r="H902" s="814"/>
      <c r="I902" s="814"/>
      <c r="J902" s="814"/>
      <c r="K902" s="814"/>
      <c r="L902" s="814"/>
      <c r="M902" s="814"/>
      <c r="N902" s="814"/>
      <c r="O902" s="814"/>
      <c r="P902" s="814"/>
      <c r="Q902" s="815"/>
      <c r="R902" s="815"/>
      <c r="S902" s="816" t="s">
        <v>1186</v>
      </c>
      <c r="T902" s="816"/>
    </row>
    <row r="903" spans="1:20">
      <c r="S903" s="816"/>
      <c r="T903" s="816"/>
    </row>
    <row r="904" spans="1:20" ht="15.6" customHeight="1">
      <c r="H904" s="817" t="s">
        <v>1187</v>
      </c>
      <c r="I904" s="817"/>
      <c r="J904" s="817"/>
      <c r="K904" s="817"/>
      <c r="L904" s="817"/>
      <c r="M904" s="817"/>
      <c r="N904" s="817"/>
    </row>
    <row r="905" spans="1:20" ht="13.15" customHeight="1">
      <c r="Q905" s="818" t="s">
        <v>1470</v>
      </c>
      <c r="R905" s="818"/>
      <c r="S905" s="816"/>
    </row>
    <row r="906" spans="1:20">
      <c r="H906" s="816" t="s">
        <v>1189</v>
      </c>
      <c r="I906" s="816"/>
      <c r="J906" s="819">
        <v>41640</v>
      </c>
      <c r="K906" s="819"/>
      <c r="L906" s="816" t="s">
        <v>1190</v>
      </c>
      <c r="M906" s="816"/>
      <c r="N906" s="819">
        <v>41993</v>
      </c>
      <c r="O906" s="819"/>
      <c r="Q906" s="818"/>
      <c r="R906" s="818"/>
      <c r="S906" s="816"/>
    </row>
    <row r="907" spans="1:20">
      <c r="H907" s="816"/>
      <c r="I907" s="816"/>
      <c r="J907" s="819"/>
      <c r="K907" s="819"/>
      <c r="L907" s="816"/>
      <c r="M907" s="816"/>
      <c r="N907" s="819"/>
      <c r="O907" s="819"/>
    </row>
    <row r="909" spans="1:20" ht="13.15" customHeight="1">
      <c r="H909" s="809" t="s">
        <v>1191</v>
      </c>
      <c r="I909" s="809"/>
      <c r="J909" s="809"/>
      <c r="K909" s="809" t="s">
        <v>1192</v>
      </c>
      <c r="L909" s="809"/>
      <c r="M909" s="809" t="s">
        <v>1193</v>
      </c>
      <c r="N909" s="809"/>
      <c r="O909" s="809" t="s">
        <v>1194</v>
      </c>
      <c r="P909" s="809"/>
      <c r="Q909" s="820" t="s">
        <v>1195</v>
      </c>
      <c r="R909" s="820"/>
      <c r="S909" s="809" t="s">
        <v>1196</v>
      </c>
      <c r="T909" s="809"/>
    </row>
    <row r="911" spans="1:20" ht="13.15" customHeight="1">
      <c r="A911" s="809" t="s">
        <v>1203</v>
      </c>
      <c r="B911" s="809"/>
      <c r="C911" s="809" t="s">
        <v>1471</v>
      </c>
      <c r="D911" s="809"/>
      <c r="E911" s="809" t="s">
        <v>1198</v>
      </c>
      <c r="F911" s="809"/>
      <c r="G911" s="809" t="s">
        <v>1472</v>
      </c>
      <c r="H911" s="809"/>
      <c r="I911" s="809"/>
      <c r="J911" s="809"/>
      <c r="K911" s="809"/>
      <c r="L911" s="809"/>
      <c r="M911" s="809"/>
      <c r="N911" s="809"/>
    </row>
    <row r="913" spans="1:23" ht="13.15" customHeight="1">
      <c r="G913" s="810" t="s">
        <v>1200</v>
      </c>
      <c r="H913" s="810"/>
      <c r="O913" s="810" t="s">
        <v>1201</v>
      </c>
      <c r="P913" s="810"/>
      <c r="U913" s="810" t="s">
        <v>1202</v>
      </c>
      <c r="V913" s="810"/>
    </row>
    <row r="914" spans="1:23" ht="13.15" customHeight="1">
      <c r="B914" s="811" t="s">
        <v>1204</v>
      </c>
      <c r="D914" s="810" t="s">
        <v>1205</v>
      </c>
      <c r="E914" s="810"/>
      <c r="G914" s="810"/>
      <c r="H914" s="810"/>
      <c r="I914" s="810" t="s">
        <v>1206</v>
      </c>
      <c r="J914" s="810"/>
      <c r="K914" s="810" t="s">
        <v>1207</v>
      </c>
      <c r="L914" s="810"/>
      <c r="M914" s="810" t="s">
        <v>1208</v>
      </c>
      <c r="N914" s="810"/>
      <c r="O914" s="810"/>
      <c r="P914" s="810"/>
      <c r="Q914" s="812" t="s">
        <v>1209</v>
      </c>
      <c r="R914" s="812"/>
      <c r="S914" s="810" t="s">
        <v>1210</v>
      </c>
      <c r="T914" s="810"/>
      <c r="U914" s="810"/>
      <c r="V914" s="810"/>
    </row>
    <row r="915" spans="1:23" ht="13.15" customHeight="1">
      <c r="A915" s="821" t="s">
        <v>1473</v>
      </c>
      <c r="B915" s="821"/>
      <c r="D915" s="821" t="s">
        <v>1474</v>
      </c>
      <c r="E915" s="821"/>
      <c r="F915" s="821"/>
      <c r="G915" s="821"/>
    </row>
    <row r="916" spans="1:23">
      <c r="A916" s="821"/>
      <c r="B916" s="821"/>
      <c r="D916" s="821"/>
      <c r="E916" s="821"/>
      <c r="F916" s="821"/>
      <c r="G916" s="821"/>
      <c r="H916" s="822">
        <v>0</v>
      </c>
      <c r="I916" s="822"/>
      <c r="J916" s="822">
        <v>79430.080000000002</v>
      </c>
      <c r="K916" s="822"/>
      <c r="L916" s="822">
        <v>79430.080000000002</v>
      </c>
      <c r="M916" s="822"/>
      <c r="N916" s="822">
        <v>39512.980000000003</v>
      </c>
      <c r="O916" s="822"/>
      <c r="P916" s="822">
        <v>39917.1</v>
      </c>
      <c r="Q916" s="826"/>
      <c r="R916" s="826">
        <v>39511.57</v>
      </c>
      <c r="S916" s="822"/>
      <c r="T916" s="822">
        <v>39511.57</v>
      </c>
      <c r="U916" s="822"/>
      <c r="V916" s="822">
        <v>39918.51</v>
      </c>
      <c r="W916" s="822"/>
    </row>
    <row r="917" spans="1:23">
      <c r="H917" s="822"/>
      <c r="I917" s="822"/>
      <c r="J917" s="822"/>
      <c r="K917" s="822"/>
      <c r="L917" s="822"/>
      <c r="M917" s="822"/>
      <c r="N917" s="822"/>
      <c r="O917" s="822"/>
      <c r="P917" s="822"/>
      <c r="Q917" s="826"/>
      <c r="R917" s="826"/>
      <c r="S917" s="822"/>
      <c r="T917" s="822"/>
      <c r="U917" s="822"/>
      <c r="V917" s="822"/>
      <c r="W917" s="822"/>
    </row>
    <row r="919" spans="1:23" ht="13.15" customHeight="1">
      <c r="D919" s="816" t="s">
        <v>1344</v>
      </c>
      <c r="E919" s="816"/>
      <c r="F919" s="825">
        <v>0</v>
      </c>
      <c r="G919" s="825"/>
      <c r="H919" s="825"/>
      <c r="I919" s="825">
        <v>79430.080000000002</v>
      </c>
      <c r="J919" s="825"/>
      <c r="K919" s="825">
        <v>79430.080000000002</v>
      </c>
      <c r="L919" s="825"/>
      <c r="M919" s="825">
        <v>39512.980000000003</v>
      </c>
      <c r="N919" s="825"/>
      <c r="O919" s="825">
        <v>39917.1</v>
      </c>
      <c r="P919" s="825"/>
      <c r="Q919" s="828">
        <v>39511.57</v>
      </c>
      <c r="R919" s="828"/>
      <c r="S919" s="825">
        <v>39511.57</v>
      </c>
      <c r="T919" s="825"/>
      <c r="U919" s="825">
        <v>39918.51</v>
      </c>
      <c r="V919" s="825"/>
    </row>
    <row r="921" spans="1:23" ht="13.15" customHeight="1">
      <c r="E921" s="816" t="s">
        <v>1475</v>
      </c>
      <c r="F921" s="816"/>
      <c r="G921" s="825">
        <v>6000000</v>
      </c>
      <c r="H921" s="825"/>
      <c r="I921" s="825"/>
      <c r="J921" s="825">
        <v>10102497.200000001</v>
      </c>
      <c r="K921" s="825"/>
      <c r="L921" s="825">
        <v>16102497.200000001</v>
      </c>
      <c r="M921" s="825"/>
      <c r="N921" s="825">
        <v>11647441.92</v>
      </c>
      <c r="O921" s="825"/>
      <c r="P921" s="825">
        <v>4455055.28</v>
      </c>
      <c r="Q921" s="828"/>
      <c r="R921" s="828">
        <v>9727004.3900000006</v>
      </c>
      <c r="S921" s="825"/>
      <c r="T921" s="825">
        <v>9727004.3900000006</v>
      </c>
      <c r="U921" s="825"/>
      <c r="V921" s="825">
        <v>6375492.8100000005</v>
      </c>
      <c r="W921" s="825"/>
    </row>
    <row r="923" spans="1:23" ht="13.15" customHeight="1">
      <c r="B923" s="816" t="s">
        <v>1476</v>
      </c>
      <c r="C923" s="816"/>
      <c r="D923" s="816"/>
      <c r="J923" s="816" t="s">
        <v>1477</v>
      </c>
      <c r="K923" s="816"/>
      <c r="L923" s="816"/>
      <c r="M923" s="816"/>
      <c r="Q923" s="818" t="s">
        <v>1478</v>
      </c>
      <c r="R923" s="818"/>
      <c r="S923" s="816"/>
      <c r="T923" s="816"/>
    </row>
    <row r="924" spans="1:23">
      <c r="J924" s="816"/>
      <c r="K924" s="816"/>
      <c r="L924" s="816"/>
      <c r="M924" s="816"/>
      <c r="Q924" s="818"/>
      <c r="R924" s="818"/>
      <c r="S924" s="816"/>
      <c r="T924" s="816"/>
    </row>
    <row r="925" spans="1:23">
      <c r="J925" s="816"/>
      <c r="K925" s="816"/>
      <c r="L925" s="816"/>
      <c r="M925" s="816"/>
    </row>
    <row r="929" spans="1:17" ht="13.15" customHeight="1">
      <c r="A929" s="813" t="s">
        <v>1243</v>
      </c>
      <c r="E929" s="823" t="s">
        <v>1244</v>
      </c>
      <c r="F929" s="823"/>
      <c r="J929" s="823" t="s">
        <v>1245</v>
      </c>
      <c r="K929" s="823"/>
      <c r="O929" s="823" t="s">
        <v>1246</v>
      </c>
      <c r="P929" s="823"/>
      <c r="Q929" s="827"/>
    </row>
    <row r="930" spans="1:17" ht="13.15" customHeight="1">
      <c r="B930" s="824" t="s">
        <v>1247</v>
      </c>
      <c r="C930" s="824"/>
      <c r="D930" s="824"/>
      <c r="E930" s="824" t="s">
        <v>1248</v>
      </c>
      <c r="F930" s="824"/>
      <c r="G930" s="824"/>
      <c r="H930" s="824"/>
      <c r="J930" s="824" t="s">
        <v>1249</v>
      </c>
      <c r="K930" s="824"/>
      <c r="L930" s="824"/>
    </row>
  </sheetData>
  <autoFilter ref="A15:W769"/>
  <pageMargins left="0" right="0" top="0" bottom="0" header="0" footer="0"/>
  <pageSetup paperSize="0" scale="0" fitToWidth="0" fitToHeight="0" orientation="portrait" usePrinterDefaults="0" horizontalDpi="0" verticalDpi="0" copies="0"/>
  <headerFooter alignWithMargins="0"/>
  <rowBreaks count="23" manualBreakCount="23">
    <brk id="62" min="1" max="256" man="1"/>
    <brk id="128" min="1" max="256" man="1"/>
    <brk id="198" min="1" max="256" man="1"/>
    <brk id="256" min="1" max="256" man="1"/>
    <brk id="302" min="1" max="256" man="1"/>
    <brk id="331" min="1" max="256" man="1"/>
    <brk id="363" min="1" max="256" man="1"/>
    <brk id="398" min="1" max="256" man="1"/>
    <brk id="430" min="1" max="256" man="1"/>
    <brk id="457" min="1" max="256" man="1"/>
    <brk id="514" min="1" max="256" man="1"/>
    <brk id="538" min="1" max="256" man="1"/>
    <brk id="563" min="1" max="256" man="1"/>
    <brk id="598" min="1" max="256" man="1"/>
    <brk id="623" min="1" max="256" man="1"/>
    <brk id="651" min="1" max="256" man="1"/>
    <brk id="679" min="1" max="256" man="1"/>
    <brk id="707" min="1" max="256" man="1"/>
    <brk id="738" min="1" max="256" man="1"/>
    <brk id="774" min="1" max="256" man="1"/>
    <brk id="843" min="1" max="256" man="1"/>
    <brk id="899" min="1" max="256" man="1"/>
    <brk id="931" min="1" max="256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2"/>
  <sheetViews>
    <sheetView topLeftCell="C1" zoomScale="55" zoomScaleNormal="55" workbookViewId="0">
      <selection activeCell="A15" sqref="A15"/>
    </sheetView>
  </sheetViews>
  <sheetFormatPr baseColWidth="10" defaultRowHeight="12.75"/>
  <cols>
    <col min="1" max="1" width="22.5703125" customWidth="1"/>
    <col min="2" max="2" width="49.5703125" style="535" bestFit="1" customWidth="1"/>
  </cols>
  <sheetData>
    <row r="1" spans="1:2">
      <c r="A1" s="145" t="s">
        <v>142</v>
      </c>
      <c r="B1" t="s">
        <v>1546</v>
      </c>
    </row>
    <row r="2" spans="1:2">
      <c r="B2"/>
    </row>
    <row r="3" spans="1:2">
      <c r="A3" s="145" t="s">
        <v>663</v>
      </c>
      <c r="B3" s="535" t="s">
        <v>667</v>
      </c>
    </row>
    <row r="4" spans="1:2">
      <c r="A4" s="146" t="s">
        <v>171</v>
      </c>
      <c r="B4" s="535">
        <v>1310149.1199999996</v>
      </c>
    </row>
    <row r="5" spans="1:2">
      <c r="A5" s="146" t="s">
        <v>275</v>
      </c>
      <c r="B5" s="535">
        <v>1134777.3499999999</v>
      </c>
    </row>
    <row r="6" spans="1:2">
      <c r="A6" s="146" t="s">
        <v>330</v>
      </c>
      <c r="B6" s="535">
        <v>1389440.1499999994</v>
      </c>
    </row>
    <row r="7" spans="1:2">
      <c r="A7" s="146" t="s">
        <v>415</v>
      </c>
      <c r="B7" s="535">
        <v>918194.38</v>
      </c>
    </row>
    <row r="8" spans="1:2">
      <c r="A8" s="146" t="s">
        <v>665</v>
      </c>
      <c r="B8" s="535">
        <v>4752560.9999999991</v>
      </c>
    </row>
    <row r="9" spans="1:2">
      <c r="B9"/>
    </row>
    <row r="10" spans="1:2">
      <c r="B10"/>
    </row>
    <row r="11" spans="1:2">
      <c r="B11"/>
    </row>
    <row r="12" spans="1:2">
      <c r="B12"/>
    </row>
    <row r="13" spans="1:2">
      <c r="B13"/>
    </row>
    <row r="14" spans="1:2">
      <c r="B14"/>
    </row>
    <row r="15" spans="1:2">
      <c r="B15"/>
    </row>
    <row r="16" spans="1:2">
      <c r="B16"/>
    </row>
    <row r="17" spans="2:2">
      <c r="B17"/>
    </row>
    <row r="18" spans="2:2">
      <c r="B18"/>
    </row>
    <row r="19" spans="2:2">
      <c r="B19"/>
    </row>
    <row r="20" spans="2:2">
      <c r="B20"/>
    </row>
    <row r="21" spans="2:2">
      <c r="B21"/>
    </row>
    <row r="22" spans="2:2">
      <c r="B22"/>
    </row>
    <row r="23" spans="2:2">
      <c r="B23"/>
    </row>
    <row r="24" spans="2:2">
      <c r="B24"/>
    </row>
    <row r="25" spans="2:2">
      <c r="B25"/>
    </row>
    <row r="26" spans="2:2">
      <c r="B26"/>
    </row>
    <row r="27" spans="2:2">
      <c r="B27"/>
    </row>
    <row r="28" spans="2:2">
      <c r="B28"/>
    </row>
    <row r="29" spans="2:2">
      <c r="B29"/>
    </row>
    <row r="30" spans="2:2">
      <c r="B30"/>
    </row>
    <row r="31" spans="2:2">
      <c r="B31"/>
    </row>
    <row r="32" spans="2:2">
      <c r="B32"/>
    </row>
    <row r="33" spans="2:2">
      <c r="B33"/>
    </row>
    <row r="34" spans="2:2">
      <c r="B34"/>
    </row>
    <row r="35" spans="2:2">
      <c r="B35"/>
    </row>
    <row r="36" spans="2:2">
      <c r="B36"/>
    </row>
    <row r="37" spans="2:2">
      <c r="B37"/>
    </row>
    <row r="38" spans="2:2">
      <c r="B38"/>
    </row>
    <row r="39" spans="2:2">
      <c r="B39"/>
    </row>
    <row r="40" spans="2:2">
      <c r="B40"/>
    </row>
    <row r="41" spans="2:2">
      <c r="B41"/>
    </row>
    <row r="42" spans="2:2">
      <c r="B42"/>
    </row>
    <row r="43" spans="2:2">
      <c r="B43"/>
    </row>
    <row r="44" spans="2:2">
      <c r="B44"/>
    </row>
    <row r="45" spans="2:2">
      <c r="B45"/>
    </row>
    <row r="46" spans="2:2">
      <c r="B46"/>
    </row>
    <row r="47" spans="2:2">
      <c r="B47"/>
    </row>
    <row r="48" spans="2: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</sheetData>
  <pageMargins left="0.7" right="0.7" top="0.75" bottom="0.75" header="0.3" footer="0.3"/>
  <pageSetup paperSize="9" orientation="portrait" horizontalDpi="300" verticalDpi="30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M701"/>
  <sheetViews>
    <sheetView showZeros="0" tabSelected="1" topLeftCell="A10" zoomScale="70" zoomScaleNormal="70" zoomScaleSheetLayoutView="55" workbookViewId="0">
      <pane xSplit="5" ySplit="2" topLeftCell="G505" activePane="bottomRight" state="frozen"/>
      <selection activeCell="A10" sqref="A10"/>
      <selection pane="topRight" activeCell="F10" sqref="F10"/>
      <selection pane="bottomLeft" activeCell="A12" sqref="A12"/>
      <selection pane="bottomRight" activeCell="G382" sqref="G382"/>
    </sheetView>
  </sheetViews>
  <sheetFormatPr baseColWidth="10" defaultColWidth="11.42578125" defaultRowHeight="23.25"/>
  <cols>
    <col min="1" max="1" width="13.140625" style="201" hidden="1" customWidth="1"/>
    <col min="2" max="2" width="32.28515625" style="202" hidden="1" customWidth="1"/>
    <col min="3" max="3" width="22.7109375" style="92" customWidth="1"/>
    <col min="4" max="4" width="53.5703125" style="92" customWidth="1"/>
    <col min="5" max="5" width="67.28515625" style="530" customWidth="1"/>
    <col min="6" max="6" width="21.42578125" style="92" customWidth="1"/>
    <col min="7" max="7" width="20.7109375" style="92" customWidth="1"/>
    <col min="8" max="8" width="18.140625" style="92" customWidth="1"/>
    <col min="9" max="9" width="16.7109375" style="92" customWidth="1"/>
    <col min="10" max="10" width="15.5703125" style="92" customWidth="1"/>
    <col min="11" max="11" width="13.7109375" style="92" customWidth="1"/>
    <col min="12" max="12" width="23.28515625" style="92" customWidth="1"/>
    <col min="13" max="13" width="29.28515625" style="92" customWidth="1"/>
    <col min="14" max="14" width="62.42578125" style="92" customWidth="1"/>
    <col min="15" max="15" width="14.140625" style="909" customWidth="1"/>
    <col min="16" max="16" width="11.7109375" style="909" customWidth="1"/>
    <col min="17" max="17" width="28.42578125" style="549" customWidth="1"/>
    <col min="18" max="18" width="54.5703125" style="961" bestFit="1" customWidth="1"/>
    <col min="19" max="19" width="54.5703125" style="953" bestFit="1" customWidth="1"/>
    <col min="20" max="20" width="26" style="869" bestFit="1" customWidth="1"/>
    <col min="21" max="21" width="28.7109375" style="92" customWidth="1"/>
    <col min="22" max="22" width="21" style="111" customWidth="1"/>
    <col min="23" max="23" width="20.140625" style="111" customWidth="1"/>
    <col min="24" max="24" width="29.42578125" style="112" customWidth="1"/>
    <col min="25" max="25" width="11.42578125" style="92" customWidth="1"/>
    <col min="26" max="26" width="24" style="92" customWidth="1"/>
    <col min="27" max="27" width="13.42578125" style="92" customWidth="1"/>
    <col min="28" max="28" width="21.42578125" style="92" customWidth="1"/>
    <col min="29" max="29" width="16.28515625" style="102" customWidth="1"/>
    <col min="30" max="30" width="14.7109375" style="92" bestFit="1" customWidth="1"/>
    <col min="31" max="31" width="13.5703125" style="92" customWidth="1"/>
    <col min="32" max="49" width="11.42578125" style="92" customWidth="1"/>
    <col min="50" max="16384" width="11.42578125" style="92"/>
  </cols>
  <sheetData>
    <row r="1" spans="1:31" ht="34.5" thickTop="1">
      <c r="A1" s="917"/>
      <c r="B1" s="918"/>
      <c r="C1" s="919" t="s">
        <v>125</v>
      </c>
      <c r="D1" s="920"/>
      <c r="E1" s="921"/>
      <c r="F1" s="920"/>
      <c r="G1" s="920"/>
      <c r="H1" s="920"/>
      <c r="I1" s="920"/>
      <c r="J1" s="920"/>
      <c r="K1" s="920"/>
      <c r="L1" s="920"/>
      <c r="M1" s="920"/>
      <c r="N1" s="920"/>
      <c r="O1" s="920"/>
      <c r="P1" s="920"/>
      <c r="Q1" s="922"/>
      <c r="R1" s="949"/>
      <c r="S1" s="949"/>
      <c r="T1" s="954"/>
      <c r="U1" s="920"/>
      <c r="V1" s="920"/>
      <c r="W1" s="920"/>
      <c r="X1" s="923"/>
      <c r="Y1" s="920"/>
      <c r="Z1" s="920"/>
      <c r="AA1" s="920"/>
      <c r="AB1" s="920"/>
      <c r="AC1" s="924"/>
      <c r="AD1" s="91"/>
      <c r="AE1" s="91"/>
    </row>
    <row r="2" spans="1:31" s="783" customFormat="1">
      <c r="A2" s="771"/>
      <c r="B2" s="772"/>
      <c r="C2" s="773" t="s">
        <v>126</v>
      </c>
      <c r="D2" s="774"/>
      <c r="E2" s="775"/>
      <c r="F2" s="776"/>
      <c r="G2" s="121" t="s">
        <v>132</v>
      </c>
      <c r="H2" s="788" t="s">
        <v>133</v>
      </c>
      <c r="I2" s="777"/>
      <c r="K2" s="98"/>
      <c r="M2" s="98"/>
      <c r="N2" s="98"/>
      <c r="O2" s="778"/>
      <c r="P2" s="778"/>
      <c r="Q2" s="779"/>
      <c r="R2" s="950"/>
      <c r="S2" s="950"/>
      <c r="T2" s="777"/>
      <c r="U2" s="777"/>
      <c r="V2" s="777"/>
      <c r="W2" s="777"/>
      <c r="X2" s="780"/>
      <c r="Y2" s="777"/>
      <c r="Z2" s="777"/>
      <c r="AA2" s="777"/>
      <c r="AB2" s="781"/>
      <c r="AC2" s="782"/>
      <c r="AD2" s="91"/>
      <c r="AE2" s="91"/>
    </row>
    <row r="3" spans="1:31" s="783" customFormat="1">
      <c r="A3" s="771"/>
      <c r="B3" s="772"/>
      <c r="C3" s="214" t="s">
        <v>127</v>
      </c>
      <c r="D3" s="774"/>
      <c r="E3" s="775"/>
      <c r="F3" s="776"/>
      <c r="G3" s="121" t="s">
        <v>128</v>
      </c>
      <c r="H3" s="785" t="s">
        <v>1490</v>
      </c>
      <c r="I3" s="784"/>
      <c r="K3" s="777"/>
      <c r="M3" s="777"/>
      <c r="N3" s="777"/>
      <c r="O3" s="778"/>
      <c r="P3" s="778"/>
      <c r="Q3" s="779"/>
      <c r="R3" s="950"/>
      <c r="S3" s="950"/>
      <c r="T3" s="777"/>
      <c r="U3" s="777"/>
      <c r="V3" s="777"/>
      <c r="W3" s="777"/>
      <c r="X3" s="780"/>
      <c r="Y3" s="777"/>
      <c r="Z3" s="777"/>
      <c r="AA3" s="777"/>
      <c r="AB3" s="781"/>
      <c r="AC3" s="782"/>
      <c r="AD3" s="91"/>
      <c r="AE3" s="91"/>
    </row>
    <row r="4" spans="1:31" s="783" customFormat="1">
      <c r="A4" s="771"/>
      <c r="B4" s="772"/>
      <c r="C4" s="214"/>
      <c r="D4" s="774"/>
      <c r="E4" s="775"/>
      <c r="F4" s="776"/>
      <c r="G4" s="777"/>
      <c r="H4" s="777"/>
      <c r="I4" s="784"/>
      <c r="J4" s="121"/>
      <c r="K4" s="777"/>
      <c r="L4" s="785"/>
      <c r="M4" s="777"/>
      <c r="N4" s="777"/>
      <c r="O4" s="778"/>
      <c r="P4" s="778"/>
      <c r="Q4" s="779"/>
      <c r="R4" s="950"/>
      <c r="S4" s="950"/>
      <c r="T4" s="777"/>
      <c r="U4" s="777"/>
      <c r="V4" s="777"/>
      <c r="W4" s="777"/>
      <c r="X4" s="780"/>
      <c r="Y4" s="777"/>
      <c r="Z4" s="777"/>
      <c r="AA4" s="777"/>
      <c r="AB4" s="781"/>
      <c r="AC4" s="782"/>
      <c r="AD4" s="91"/>
      <c r="AE4" s="91"/>
    </row>
    <row r="5" spans="1:31" ht="23.45" customHeight="1" thickBot="1">
      <c r="A5" s="771"/>
      <c r="B5" s="772"/>
      <c r="C5" s="605" t="s">
        <v>130</v>
      </c>
      <c r="D5" s="915">
        <v>41641</v>
      </c>
      <c r="E5" s="786"/>
      <c r="F5" s="787" t="s">
        <v>131</v>
      </c>
      <c r="G5" s="1129">
        <v>41973</v>
      </c>
      <c r="H5" s="1129"/>
      <c r="I5" s="1129"/>
      <c r="O5" s="99"/>
      <c r="P5" s="99"/>
      <c r="Q5" s="548"/>
      <c r="R5" s="951"/>
      <c r="S5" s="951"/>
      <c r="T5" s="522"/>
      <c r="U5" s="75"/>
      <c r="V5" s="75"/>
      <c r="W5" s="75"/>
      <c r="X5" s="789"/>
      <c r="Y5" s="790"/>
      <c r="Z5" s="790"/>
      <c r="AA5" s="790"/>
      <c r="AB5" s="791"/>
      <c r="AC5" s="792"/>
      <c r="AD5" s="91"/>
      <c r="AE5" s="91"/>
    </row>
    <row r="6" spans="1:31" ht="24" hidden="1" customHeight="1" thickBot="1">
      <c r="A6" s="771"/>
      <c r="B6" s="772"/>
      <c r="C6" s="605"/>
      <c r="D6" s="793"/>
      <c r="E6" s="794"/>
      <c r="F6" s="787"/>
      <c r="G6" s="795"/>
      <c r="H6" s="795"/>
      <c r="I6" s="795"/>
      <c r="J6" s="75"/>
      <c r="K6" s="98"/>
      <c r="L6" s="98"/>
      <c r="M6" s="98"/>
      <c r="N6" s="98"/>
      <c r="O6" s="99"/>
      <c r="P6" s="99"/>
      <c r="Q6" s="548"/>
      <c r="R6" s="951"/>
      <c r="S6" s="951"/>
      <c r="T6" s="522"/>
      <c r="U6" s="75"/>
      <c r="V6" s="75"/>
      <c r="W6" s="75"/>
      <c r="X6" s="789"/>
      <c r="Y6" s="790"/>
      <c r="Z6" s="790"/>
      <c r="AA6" s="790"/>
      <c r="AB6" s="791"/>
      <c r="AC6" s="792"/>
      <c r="AD6" s="91"/>
      <c r="AE6" s="91"/>
    </row>
    <row r="7" spans="1:31" ht="18.600000000000001" hidden="1" customHeight="1" thickTop="1">
      <c r="B7" s="1138" t="s">
        <v>134</v>
      </c>
      <c r="C7" s="606" t="s">
        <v>135</v>
      </c>
      <c r="D7" s="796">
        <f>SUBTOTAL(3,B12:B685)</f>
        <v>26</v>
      </c>
      <c r="E7" s="797"/>
      <c r="F7" s="787"/>
      <c r="G7" s="795"/>
      <c r="H7" s="795"/>
      <c r="I7" s="795"/>
      <c r="J7" s="75"/>
      <c r="K7" s="798"/>
      <c r="L7" s="98"/>
      <c r="M7" s="98"/>
      <c r="N7" s="98"/>
      <c r="O7" s="99"/>
      <c r="P7" s="99"/>
      <c r="Q7" s="548"/>
      <c r="R7" s="951"/>
      <c r="S7" s="951"/>
      <c r="T7" s="522"/>
      <c r="U7" s="75"/>
      <c r="V7" s="75"/>
      <c r="W7" s="75"/>
      <c r="X7" s="789"/>
      <c r="Y7" s="790"/>
      <c r="Z7" s="790"/>
      <c r="AA7" s="790"/>
      <c r="AB7" s="791"/>
      <c r="AC7" s="792"/>
      <c r="AD7" s="91"/>
      <c r="AE7" s="91"/>
    </row>
    <row r="8" spans="1:31" ht="11.45" hidden="1" customHeight="1">
      <c r="A8" s="799"/>
      <c r="B8" s="1139"/>
      <c r="C8" s="608" t="s">
        <v>136</v>
      </c>
      <c r="D8" s="800">
        <f>+D9-D7</f>
        <v>195</v>
      </c>
      <c r="E8" s="797"/>
      <c r="F8" s="787"/>
      <c r="G8" s="795"/>
      <c r="H8" s="795"/>
      <c r="I8" s="795"/>
      <c r="J8" s="75"/>
      <c r="K8" s="98"/>
      <c r="L8" s="98"/>
      <c r="M8" s="98"/>
      <c r="N8" s="98"/>
      <c r="O8" s="99"/>
      <c r="P8" s="99"/>
      <c r="Q8" s="548"/>
      <c r="R8" s="951"/>
      <c r="S8" s="951"/>
      <c r="T8" s="522"/>
      <c r="U8" s="75"/>
      <c r="V8" s="75"/>
      <c r="W8" s="75"/>
      <c r="X8" s="789"/>
      <c r="Y8" s="790"/>
      <c r="Z8" s="790"/>
      <c r="AA8" s="790"/>
      <c r="AB8" s="791"/>
      <c r="AC8" s="792"/>
      <c r="AD8" s="91"/>
      <c r="AE8" s="91"/>
    </row>
    <row r="9" spans="1:31" ht="19.899999999999999" hidden="1" customHeight="1" thickBot="1">
      <c r="A9" s="799"/>
      <c r="B9" s="1139"/>
      <c r="C9" s="925" t="s">
        <v>9</v>
      </c>
      <c r="D9" s="843">
        <f>+SUBTOTAL(3,D12:D685)</f>
        <v>221</v>
      </c>
      <c r="E9" s="797"/>
      <c r="F9" s="801"/>
      <c r="G9" s="802"/>
      <c r="H9" s="802"/>
      <c r="I9" s="98"/>
      <c r="J9" s="75"/>
      <c r="K9" s="98"/>
      <c r="L9" s="98"/>
      <c r="M9" s="98"/>
      <c r="N9" s="98"/>
      <c r="O9" s="99"/>
      <c r="P9" s="99"/>
      <c r="Q9" s="548"/>
      <c r="R9" s="951"/>
      <c r="S9" s="951"/>
      <c r="T9" s="522"/>
      <c r="U9" s="75"/>
      <c r="V9" s="75"/>
      <c r="W9" s="75"/>
      <c r="X9" s="789"/>
      <c r="Y9" s="790"/>
      <c r="Z9" s="790"/>
      <c r="AA9" s="790"/>
      <c r="AB9" s="791"/>
      <c r="AC9" s="792"/>
      <c r="AD9" s="91"/>
      <c r="AE9" s="91"/>
    </row>
    <row r="10" spans="1:31" s="124" customFormat="1" ht="54.75" thickTop="1">
      <c r="A10" s="1131" t="s">
        <v>539</v>
      </c>
      <c r="B10" s="1132"/>
      <c r="C10" s="1133"/>
      <c r="D10" s="844">
        <f>+U687</f>
        <v>10064341.500000006</v>
      </c>
      <c r="E10" s="845"/>
      <c r="F10" s="846" t="s">
        <v>538</v>
      </c>
      <c r="G10" s="847" t="str">
        <f>ROUND(L687,2)&amp;" km"</f>
        <v>2014.72 km</v>
      </c>
      <c r="H10" s="916"/>
      <c r="I10" s="1130"/>
      <c r="J10" s="1130"/>
      <c r="K10" s="1130"/>
      <c r="L10" s="916"/>
      <c r="M10" s="848" t="s">
        <v>137</v>
      </c>
      <c r="N10" s="849">
        <f>+M687</f>
        <v>192494</v>
      </c>
      <c r="O10" s="850"/>
      <c r="P10" s="850"/>
      <c r="Q10" s="851"/>
      <c r="R10" s="1134" t="s">
        <v>138</v>
      </c>
      <c r="S10" s="1135"/>
      <c r="T10" s="955"/>
      <c r="U10" s="1136"/>
      <c r="V10" s="1136"/>
      <c r="W10" s="1136"/>
      <c r="X10" s="852"/>
      <c r="Y10" s="841"/>
      <c r="Z10" s="926"/>
      <c r="AA10" s="1137" t="s">
        <v>139</v>
      </c>
      <c r="AB10" s="1137"/>
      <c r="AC10" s="1137"/>
      <c r="AD10" s="123"/>
      <c r="AE10" s="123"/>
    </row>
    <row r="11" spans="1:31" s="869" customFormat="1" ht="35.450000000000003" customHeight="1">
      <c r="A11" s="879" t="s">
        <v>140</v>
      </c>
      <c r="B11" s="880" t="s">
        <v>141</v>
      </c>
      <c r="C11" s="881" t="s">
        <v>142</v>
      </c>
      <c r="D11" s="881" t="s">
        <v>143</v>
      </c>
      <c r="E11" s="882" t="s">
        <v>666</v>
      </c>
      <c r="F11" s="881" t="s">
        <v>145</v>
      </c>
      <c r="G11" s="881" t="s">
        <v>146</v>
      </c>
      <c r="H11" s="881" t="s">
        <v>147</v>
      </c>
      <c r="I11" s="962" t="s">
        <v>148</v>
      </c>
      <c r="J11" s="883" t="s">
        <v>149</v>
      </c>
      <c r="K11" s="883" t="s">
        <v>150</v>
      </c>
      <c r="L11" s="883" t="s">
        <v>151</v>
      </c>
      <c r="M11" s="883" t="s">
        <v>137</v>
      </c>
      <c r="N11" s="883" t="s">
        <v>152</v>
      </c>
      <c r="O11" s="883" t="s">
        <v>153</v>
      </c>
      <c r="P11" s="883" t="s">
        <v>154</v>
      </c>
      <c r="Q11" s="884" t="s">
        <v>155</v>
      </c>
      <c r="R11" s="952" t="s">
        <v>157</v>
      </c>
      <c r="S11" s="952" t="s">
        <v>158</v>
      </c>
      <c r="T11" s="881" t="s">
        <v>159</v>
      </c>
      <c r="U11" s="885" t="s">
        <v>160</v>
      </c>
      <c r="V11" s="885" t="s">
        <v>161</v>
      </c>
      <c r="W11" s="885" t="s">
        <v>162</v>
      </c>
      <c r="X11" s="886" t="s">
        <v>163</v>
      </c>
      <c r="Y11" s="887" t="s">
        <v>164</v>
      </c>
      <c r="Z11" s="883" t="s">
        <v>165</v>
      </c>
      <c r="AA11" s="883" t="s">
        <v>166</v>
      </c>
      <c r="AB11" s="881" t="s">
        <v>167</v>
      </c>
      <c r="AC11" s="881" t="s">
        <v>168</v>
      </c>
      <c r="AD11" s="878"/>
      <c r="AE11" s="878"/>
    </row>
    <row r="12" spans="1:31" s="94" customFormat="1" ht="50.1" customHeight="1">
      <c r="A12" s="1068"/>
      <c r="B12" s="913"/>
      <c r="C12" s="927" t="s">
        <v>182</v>
      </c>
      <c r="D12" s="1117" t="s">
        <v>170</v>
      </c>
      <c r="E12" s="636" t="str">
        <f>+D12</f>
        <v>TERMINACIÓN DE RECONFORMACIÓN DE LA VÍA PURUNUMA - CHINGUILAMACA  ( L TOTAL = 18,8Km, TRABAJO EJECUTADO, 1 KM DE RECONFORMACIÓN Y 3KM DE RESANTEO EN ESTA JORNADA FINAL)</v>
      </c>
      <c r="F12" s="831" t="s">
        <v>171</v>
      </c>
      <c r="G12" s="831" t="str">
        <f>VLOOKUP(H12,'Pob. Ext, Parroquial'!$B$9:$C$117,2,0)</f>
        <v>GONZANAMA</v>
      </c>
      <c r="H12" s="831" t="s">
        <v>172</v>
      </c>
      <c r="I12" s="831" t="s">
        <v>173</v>
      </c>
      <c r="J12" s="831" t="s">
        <v>174</v>
      </c>
      <c r="K12" s="831">
        <v>18.8</v>
      </c>
      <c r="L12" s="537"/>
      <c r="M12" s="538">
        <f>IF(K12&gt;0,VLOOKUP(H12,'[5]Pob. Ext, Parroquial'!$B$8:$F$117,4,FALSE),0)</f>
        <v>494</v>
      </c>
      <c r="N12" s="834" t="s">
        <v>175</v>
      </c>
      <c r="O12" s="836" t="s">
        <v>176</v>
      </c>
      <c r="P12" s="836">
        <v>1.62</v>
      </c>
      <c r="Q12" s="836">
        <v>1200</v>
      </c>
      <c r="R12" s="948">
        <v>41640</v>
      </c>
      <c r="S12" s="948">
        <v>41670</v>
      </c>
      <c r="T12" s="686" t="str">
        <f t="shared" ref="T12:T95" si="0">IF(S12&lt;$G$5,"EJECUTADO","EN EJECUCION")</f>
        <v>EJECUTADO</v>
      </c>
      <c r="U12" s="837">
        <f t="shared" ref="U12:U75" si="1">ROUND(P12*Q12,2)</f>
        <v>1944</v>
      </c>
      <c r="V12" s="544"/>
      <c r="W12" s="544"/>
      <c r="X12" s="660">
        <f>SUM(U12:U15)</f>
        <v>7584</v>
      </c>
      <c r="Y12" s="640"/>
      <c r="Z12" s="545" t="s">
        <v>177</v>
      </c>
      <c r="AA12" s="545" t="s">
        <v>178</v>
      </c>
      <c r="AB12" s="546" t="s">
        <v>179</v>
      </c>
      <c r="AC12" s="547">
        <v>2014</v>
      </c>
      <c r="AD12" s="93"/>
      <c r="AE12" s="93"/>
    </row>
    <row r="13" spans="1:31" s="94" customFormat="1" ht="50.1" customHeight="1">
      <c r="A13" s="1068"/>
      <c r="B13" s="913"/>
      <c r="C13" s="985" t="s">
        <v>182</v>
      </c>
      <c r="D13" s="1118"/>
      <c r="E13" s="636" t="str">
        <f>+E12</f>
        <v>TERMINACIÓN DE RECONFORMACIÓN DE LA VÍA PURUNUMA - CHINGUILAMACA  ( L TOTAL = 18,8Km, TRABAJO EJECUTADO, 1 KM DE RECONFORMACIÓN Y 3KM DE RESANTEO EN ESTA JORNADA FINAL)</v>
      </c>
      <c r="F13" s="831" t="s">
        <v>171</v>
      </c>
      <c r="G13" s="831" t="str">
        <f>VLOOKUP(H13,'Pob. Ext, Parroquial'!$B$9:$C$117,2,0)</f>
        <v>GONZANAMA</v>
      </c>
      <c r="H13" s="831" t="s">
        <v>172</v>
      </c>
      <c r="I13" s="831" t="s">
        <v>173</v>
      </c>
      <c r="J13" s="831" t="s">
        <v>174</v>
      </c>
      <c r="K13" s="831"/>
      <c r="L13" s="537"/>
      <c r="M13" s="538">
        <f>IF(K13&gt;0,VLOOKUP(H13,'[5]Pob. Ext, Parroquial'!$B$8:$F$117,4,FALSE),0)</f>
        <v>0</v>
      </c>
      <c r="N13" s="834" t="s">
        <v>180</v>
      </c>
      <c r="O13" s="836" t="s">
        <v>181</v>
      </c>
      <c r="P13" s="836">
        <v>0.35</v>
      </c>
      <c r="Q13" s="836">
        <v>6000</v>
      </c>
      <c r="R13" s="948">
        <v>41640</v>
      </c>
      <c r="S13" s="948">
        <v>41670</v>
      </c>
      <c r="T13" s="686" t="str">
        <f t="shared" si="0"/>
        <v>EJECUTADO</v>
      </c>
      <c r="U13" s="837">
        <f t="shared" si="1"/>
        <v>2100</v>
      </c>
      <c r="V13" s="544"/>
      <c r="W13" s="544"/>
      <c r="X13" s="662"/>
      <c r="Y13" s="640"/>
      <c r="Z13" s="545" t="s">
        <v>177</v>
      </c>
      <c r="AA13" s="545" t="s">
        <v>178</v>
      </c>
      <c r="AB13" s="546" t="s">
        <v>179</v>
      </c>
      <c r="AC13" s="547">
        <v>2014</v>
      </c>
      <c r="AD13" s="93"/>
      <c r="AE13" s="93"/>
    </row>
    <row r="14" spans="1:31" s="94" customFormat="1" ht="50.1" customHeight="1">
      <c r="A14" s="1068"/>
      <c r="B14" s="913"/>
      <c r="C14" s="985" t="s">
        <v>182</v>
      </c>
      <c r="D14" s="1118"/>
      <c r="E14" s="636" t="str">
        <f t="shared" ref="E14:E15" si="2">+E13</f>
        <v>TERMINACIÓN DE RECONFORMACIÓN DE LA VÍA PURUNUMA - CHINGUILAMACA  ( L TOTAL = 18,8Km, TRABAJO EJECUTADO, 1 KM DE RECONFORMACIÓN Y 3KM DE RESANTEO EN ESTA JORNADA FINAL)</v>
      </c>
      <c r="F14" s="831" t="s">
        <v>171</v>
      </c>
      <c r="G14" s="831" t="str">
        <f>VLOOKUP(H14,'Pob. Ext, Parroquial'!$B$9:$C$117,2,0)</f>
        <v>GONZANAMA</v>
      </c>
      <c r="H14" s="831" t="s">
        <v>172</v>
      </c>
      <c r="I14" s="831" t="s">
        <v>173</v>
      </c>
      <c r="J14" s="831" t="s">
        <v>174</v>
      </c>
      <c r="K14" s="831"/>
      <c r="L14" s="537">
        <f>ROUNDUP(Q14/5.5/1000,2)</f>
        <v>1.1000000000000001</v>
      </c>
      <c r="M14" s="538">
        <f>IF(K14&gt;0,VLOOKUP(H14,'[5]Pob. Ext, Parroquial'!$B$8:$F$117,4,FALSE),0)</f>
        <v>0</v>
      </c>
      <c r="N14" s="834" t="s">
        <v>183</v>
      </c>
      <c r="O14" s="836" t="s">
        <v>184</v>
      </c>
      <c r="P14" s="836">
        <v>0.35</v>
      </c>
      <c r="Q14" s="836">
        <v>6000</v>
      </c>
      <c r="R14" s="948">
        <v>41640</v>
      </c>
      <c r="S14" s="948">
        <v>41670</v>
      </c>
      <c r="T14" s="686" t="str">
        <f t="shared" si="0"/>
        <v>EJECUTADO</v>
      </c>
      <c r="U14" s="837">
        <f t="shared" si="1"/>
        <v>2100</v>
      </c>
      <c r="V14" s="544"/>
      <c r="W14" s="544"/>
      <c r="X14" s="662"/>
      <c r="Y14" s="640"/>
      <c r="Z14" s="545" t="s">
        <v>177</v>
      </c>
      <c r="AA14" s="545" t="s">
        <v>178</v>
      </c>
      <c r="AB14" s="546" t="s">
        <v>179</v>
      </c>
      <c r="AC14" s="547">
        <v>2014</v>
      </c>
      <c r="AD14" s="93"/>
      <c r="AE14" s="93"/>
    </row>
    <row r="15" spans="1:31" s="94" customFormat="1" ht="50.1" customHeight="1">
      <c r="A15" s="1068"/>
      <c r="B15" s="913"/>
      <c r="C15" s="985" t="s">
        <v>182</v>
      </c>
      <c r="D15" s="1120"/>
      <c r="E15" s="636" t="str">
        <f t="shared" si="2"/>
        <v>TERMINACIÓN DE RECONFORMACIÓN DE LA VÍA PURUNUMA - CHINGUILAMACA  ( L TOTAL = 18,8Km, TRABAJO EJECUTADO, 1 KM DE RECONFORMACIÓN Y 3KM DE RESANTEO EN ESTA JORNADA FINAL)</v>
      </c>
      <c r="F15" s="831" t="s">
        <v>171</v>
      </c>
      <c r="G15" s="831" t="str">
        <f>VLOOKUP(H15,'Pob. Ext, Parroquial'!$B$9:$C$117,2,0)</f>
        <v>GONZANAMA</v>
      </c>
      <c r="H15" s="831" t="s">
        <v>172</v>
      </c>
      <c r="I15" s="831" t="s">
        <v>173</v>
      </c>
      <c r="J15" s="831" t="s">
        <v>174</v>
      </c>
      <c r="K15" s="831"/>
      <c r="L15" s="537">
        <f>ROUNDUP(Q15/5.5/1000,2)</f>
        <v>3.28</v>
      </c>
      <c r="M15" s="538">
        <f>IF(K15&gt;0,VLOOKUP(H15,'[5]Pob. Ext, Parroquial'!$B$8:$F$117,4,FALSE),0)</f>
        <v>0</v>
      </c>
      <c r="N15" s="834" t="s">
        <v>185</v>
      </c>
      <c r="O15" s="836" t="s">
        <v>184</v>
      </c>
      <c r="P15" s="836">
        <v>0.08</v>
      </c>
      <c r="Q15" s="836">
        <v>18000</v>
      </c>
      <c r="R15" s="948">
        <v>41640</v>
      </c>
      <c r="S15" s="948">
        <v>41670</v>
      </c>
      <c r="T15" s="686" t="str">
        <f t="shared" si="0"/>
        <v>EJECUTADO</v>
      </c>
      <c r="U15" s="837">
        <f t="shared" si="1"/>
        <v>1440</v>
      </c>
      <c r="V15" s="544"/>
      <c r="W15" s="544"/>
      <c r="X15" s="664"/>
      <c r="Y15" s="640"/>
      <c r="Z15" s="545" t="s">
        <v>177</v>
      </c>
      <c r="AA15" s="545" t="s">
        <v>178</v>
      </c>
      <c r="AB15" s="546" t="s">
        <v>179</v>
      </c>
      <c r="AC15" s="547">
        <v>2014</v>
      </c>
      <c r="AD15" s="93"/>
      <c r="AE15" s="93"/>
    </row>
    <row r="16" spans="1:31" s="94" customFormat="1" ht="50.1" customHeight="1">
      <c r="A16" s="1068"/>
      <c r="B16" s="913"/>
      <c r="C16" s="985" t="s">
        <v>182</v>
      </c>
      <c r="D16" s="1117" t="s">
        <v>186</v>
      </c>
      <c r="E16" s="636" t="str">
        <f>+D16</f>
        <v>RECONFORMACIÓN DE LA VÍA PURUNUMA GONZANAMÁ (L INTERVENCIÓN = 5KM A LA FECHA, SON EN TOTAL 7KM)</v>
      </c>
      <c r="F16" s="831" t="s">
        <v>171</v>
      </c>
      <c r="G16" s="831" t="str">
        <f>VLOOKUP(H16,'Pob. Ext, Parroquial'!$B$9:$C$117,2,0)</f>
        <v>GONZANAMA</v>
      </c>
      <c r="H16" s="831" t="s">
        <v>172</v>
      </c>
      <c r="I16" s="831" t="s">
        <v>173</v>
      </c>
      <c r="J16" s="831" t="s">
        <v>174</v>
      </c>
      <c r="K16" s="831">
        <v>5</v>
      </c>
      <c r="L16" s="537"/>
      <c r="M16" s="538">
        <f>IF(K16&gt;0,VLOOKUP(H16,'[5]Pob. Ext, Parroquial'!$B$8:$F$117,4,FALSE),0)</f>
        <v>494</v>
      </c>
      <c r="N16" s="834" t="s">
        <v>175</v>
      </c>
      <c r="O16" s="836" t="s">
        <v>176</v>
      </c>
      <c r="P16" s="836">
        <v>1.62</v>
      </c>
      <c r="Q16" s="836">
        <v>2080</v>
      </c>
      <c r="R16" s="948">
        <v>41640</v>
      </c>
      <c r="S16" s="948">
        <v>41729</v>
      </c>
      <c r="T16" s="686" t="str">
        <f t="shared" si="0"/>
        <v>EJECUTADO</v>
      </c>
      <c r="U16" s="837">
        <f t="shared" si="1"/>
        <v>3369.6</v>
      </c>
      <c r="V16" s="544"/>
      <c r="W16" s="544"/>
      <c r="X16" s="660">
        <f>SUM(U16:U18)</f>
        <v>31590.799999999999</v>
      </c>
      <c r="Y16" s="640"/>
      <c r="Z16" s="545" t="s">
        <v>177</v>
      </c>
      <c r="AA16" s="545" t="s">
        <v>178</v>
      </c>
      <c r="AB16" s="546" t="s">
        <v>187</v>
      </c>
      <c r="AC16" s="547">
        <v>2014</v>
      </c>
      <c r="AD16" s="93"/>
      <c r="AE16" s="93"/>
    </row>
    <row r="17" spans="1:31" s="94" customFormat="1" ht="50.1" customHeight="1">
      <c r="A17" s="1068"/>
      <c r="B17" s="913"/>
      <c r="C17" s="985" t="s">
        <v>182</v>
      </c>
      <c r="D17" s="1118"/>
      <c r="E17" s="636" t="str">
        <f>+E16</f>
        <v>RECONFORMACIÓN DE LA VÍA PURUNUMA GONZANAMÁ (L INTERVENCIÓN = 5KM A LA FECHA, SON EN TOTAL 7KM)</v>
      </c>
      <c r="F17" s="831" t="s">
        <v>171</v>
      </c>
      <c r="G17" s="831" t="str">
        <f>VLOOKUP(H17,'Pob. Ext, Parroquial'!$B$9:$C$117,2,0)</f>
        <v>GONZANAMA</v>
      </c>
      <c r="H17" s="831" t="s">
        <v>172</v>
      </c>
      <c r="I17" s="831" t="s">
        <v>173</v>
      </c>
      <c r="J17" s="831" t="s">
        <v>174</v>
      </c>
      <c r="K17" s="831"/>
      <c r="L17" s="537"/>
      <c r="M17" s="538">
        <f>IF(K17&gt;0,VLOOKUP(H17,'[5]Pob. Ext, Parroquial'!$B$8:$F$117,4,FALSE),0)</f>
        <v>0</v>
      </c>
      <c r="N17" s="834" t="s">
        <v>180</v>
      </c>
      <c r="O17" s="836" t="s">
        <v>181</v>
      </c>
      <c r="P17" s="836">
        <v>0.35</v>
      </c>
      <c r="Q17" s="836">
        <v>46632</v>
      </c>
      <c r="R17" s="948">
        <v>41640</v>
      </c>
      <c r="S17" s="948">
        <v>41729</v>
      </c>
      <c r="T17" s="686" t="str">
        <f t="shared" si="0"/>
        <v>EJECUTADO</v>
      </c>
      <c r="U17" s="837">
        <f t="shared" si="1"/>
        <v>16321.2</v>
      </c>
      <c r="V17" s="544"/>
      <c r="W17" s="544"/>
      <c r="X17" s="662"/>
      <c r="Y17" s="640"/>
      <c r="Z17" s="545" t="s">
        <v>177</v>
      </c>
      <c r="AA17" s="545" t="s">
        <v>178</v>
      </c>
      <c r="AB17" s="546" t="s">
        <v>187</v>
      </c>
      <c r="AC17" s="547">
        <v>2014</v>
      </c>
      <c r="AD17" s="93"/>
      <c r="AE17" s="93"/>
    </row>
    <row r="18" spans="1:31" s="94" customFormat="1" ht="50.1" customHeight="1">
      <c r="A18" s="1068"/>
      <c r="B18" s="913"/>
      <c r="C18" s="985" t="s">
        <v>182</v>
      </c>
      <c r="D18" s="1120"/>
      <c r="E18" s="636" t="str">
        <f>+E17</f>
        <v>RECONFORMACIÓN DE LA VÍA PURUNUMA GONZANAMÁ (L INTERVENCIÓN = 5KM A LA FECHA, SON EN TOTAL 7KM)</v>
      </c>
      <c r="F18" s="831" t="s">
        <v>171</v>
      </c>
      <c r="G18" s="831" t="str">
        <f>VLOOKUP(H18,'Pob. Ext, Parroquial'!$B$9:$C$117,2,0)</f>
        <v>GONZANAMA</v>
      </c>
      <c r="H18" s="831" t="s">
        <v>172</v>
      </c>
      <c r="I18" s="831" t="s">
        <v>173</v>
      </c>
      <c r="J18" s="831" t="s">
        <v>174</v>
      </c>
      <c r="K18" s="831"/>
      <c r="L18" s="537">
        <f>ROUNDUP(Q18/5.5/1000,2)</f>
        <v>6.1899999999999995</v>
      </c>
      <c r="M18" s="538">
        <f>IF(K18&gt;0,VLOOKUP(H18,'[5]Pob. Ext, Parroquial'!$B$8:$F$117,4,FALSE),0)</f>
        <v>0</v>
      </c>
      <c r="N18" s="834" t="s">
        <v>183</v>
      </c>
      <c r="O18" s="836" t="s">
        <v>184</v>
      </c>
      <c r="P18" s="836">
        <v>0.35</v>
      </c>
      <c r="Q18" s="836">
        <v>34000</v>
      </c>
      <c r="R18" s="948">
        <v>41640</v>
      </c>
      <c r="S18" s="948">
        <v>41729</v>
      </c>
      <c r="T18" s="686" t="str">
        <f t="shared" si="0"/>
        <v>EJECUTADO</v>
      </c>
      <c r="U18" s="837">
        <f t="shared" si="1"/>
        <v>11900</v>
      </c>
      <c r="V18" s="544"/>
      <c r="W18" s="544"/>
      <c r="X18" s="664"/>
      <c r="Y18" s="640"/>
      <c r="Z18" s="545" t="s">
        <v>177</v>
      </c>
      <c r="AA18" s="545" t="s">
        <v>178</v>
      </c>
      <c r="AB18" s="546" t="s">
        <v>187</v>
      </c>
      <c r="AC18" s="547">
        <v>2014</v>
      </c>
      <c r="AD18" s="93"/>
      <c r="AE18" s="93"/>
    </row>
    <row r="19" spans="1:31" s="94" customFormat="1" ht="50.1" customHeight="1">
      <c r="A19" s="1068"/>
      <c r="B19" s="913"/>
      <c r="C19" s="927" t="s">
        <v>1494</v>
      </c>
      <c r="D19" s="1117" t="s">
        <v>188</v>
      </c>
      <c r="E19" s="636" t="str">
        <f>+D19</f>
        <v xml:space="preserve">CONSTRUCCIÓN DE OBRAS DE ARTE EN LA VÍA CHIRIHUALA-CHANGAIMINA </v>
      </c>
      <c r="F19" s="831" t="s">
        <v>171</v>
      </c>
      <c r="G19" s="831" t="str">
        <f>VLOOKUP(H19,'Pob. Ext, Parroquial'!$B$9:$C$117,2,0)</f>
        <v>GONZANAMA</v>
      </c>
      <c r="H19" s="831" t="s">
        <v>189</v>
      </c>
      <c r="I19" s="831" t="s">
        <v>173</v>
      </c>
      <c r="J19" s="831" t="s">
        <v>174</v>
      </c>
      <c r="K19" s="831"/>
      <c r="L19" s="537"/>
      <c r="M19" s="538">
        <f>IF(K19&gt;0,VLOOKUP(H19,'[5]Pob. Ext, Parroquial'!$B$8:$F$117,4,FALSE),0)</f>
        <v>0</v>
      </c>
      <c r="N19" s="834" t="s">
        <v>190</v>
      </c>
      <c r="O19" s="836" t="s">
        <v>176</v>
      </c>
      <c r="P19" s="836">
        <v>10.55</v>
      </c>
      <c r="Q19" s="836">
        <v>42.16</v>
      </c>
      <c r="R19" s="948">
        <v>41640</v>
      </c>
      <c r="S19" s="948">
        <v>41729</v>
      </c>
      <c r="T19" s="686" t="str">
        <f t="shared" si="0"/>
        <v>EJECUTADO</v>
      </c>
      <c r="U19" s="837">
        <f t="shared" si="1"/>
        <v>444.79</v>
      </c>
      <c r="V19" s="544"/>
      <c r="W19" s="544"/>
      <c r="X19" s="660">
        <f>SUM(U19:U23)</f>
        <v>17934.11</v>
      </c>
      <c r="Y19" s="640"/>
      <c r="Z19" s="545" t="s">
        <v>177</v>
      </c>
      <c r="AA19" s="545" t="s">
        <v>178</v>
      </c>
      <c r="AB19" s="546" t="s">
        <v>187</v>
      </c>
      <c r="AC19" s="547">
        <v>2014</v>
      </c>
      <c r="AD19" s="93"/>
      <c r="AE19" s="93"/>
    </row>
    <row r="20" spans="1:31" s="94" customFormat="1" ht="50.1" customHeight="1">
      <c r="A20" s="1068"/>
      <c r="B20" s="913"/>
      <c r="C20" s="927" t="s">
        <v>1494</v>
      </c>
      <c r="D20" s="1118"/>
      <c r="E20" s="636" t="str">
        <f>+E19</f>
        <v xml:space="preserve">CONSTRUCCIÓN DE OBRAS DE ARTE EN LA VÍA CHIRIHUALA-CHANGAIMINA </v>
      </c>
      <c r="F20" s="831" t="s">
        <v>171</v>
      </c>
      <c r="G20" s="831" t="str">
        <f>VLOOKUP(H20,'Pob. Ext, Parroquial'!$B$9:$C$117,2,0)</f>
        <v>GONZANAMA</v>
      </c>
      <c r="H20" s="831" t="s">
        <v>189</v>
      </c>
      <c r="I20" s="831" t="s">
        <v>173</v>
      </c>
      <c r="J20" s="831" t="s">
        <v>174</v>
      </c>
      <c r="K20" s="831"/>
      <c r="L20" s="537"/>
      <c r="M20" s="538">
        <f>IF(K20&gt;0,VLOOKUP(H20,'[5]Pob. Ext, Parroquial'!$B$8:$F$117,4,FALSE),0)</f>
        <v>0</v>
      </c>
      <c r="N20" s="834" t="s">
        <v>192</v>
      </c>
      <c r="O20" s="836" t="s">
        <v>176</v>
      </c>
      <c r="P20" s="836">
        <v>178.13</v>
      </c>
      <c r="Q20" s="836">
        <v>96.34</v>
      </c>
      <c r="R20" s="948">
        <v>41640</v>
      </c>
      <c r="S20" s="948">
        <v>41729</v>
      </c>
      <c r="T20" s="686" t="str">
        <f t="shared" si="0"/>
        <v>EJECUTADO</v>
      </c>
      <c r="U20" s="837">
        <f t="shared" si="1"/>
        <v>17161.04</v>
      </c>
      <c r="V20" s="544"/>
      <c r="W20" s="544"/>
      <c r="X20" s="662"/>
      <c r="Y20" s="640"/>
      <c r="Z20" s="545" t="s">
        <v>177</v>
      </c>
      <c r="AA20" s="545" t="s">
        <v>178</v>
      </c>
      <c r="AB20" s="546" t="s">
        <v>187</v>
      </c>
      <c r="AC20" s="547">
        <v>2014</v>
      </c>
      <c r="AD20" s="93"/>
      <c r="AE20" s="93"/>
    </row>
    <row r="21" spans="1:31" s="94" customFormat="1" ht="50.1" customHeight="1">
      <c r="A21" s="1068"/>
      <c r="B21" s="913"/>
      <c r="C21" s="927" t="s">
        <v>1494</v>
      </c>
      <c r="D21" s="1118"/>
      <c r="E21" s="636" t="str">
        <f t="shared" ref="E21:E23" si="3">+E20</f>
        <v xml:space="preserve">CONSTRUCCIÓN DE OBRAS DE ARTE EN LA VÍA CHIRIHUALA-CHANGAIMINA </v>
      </c>
      <c r="F21" s="831" t="s">
        <v>171</v>
      </c>
      <c r="G21" s="831" t="str">
        <f>VLOOKUP(H21,'Pob. Ext, Parroquial'!$B$9:$C$117,2,0)</f>
        <v>GONZANAMA</v>
      </c>
      <c r="H21" s="831" t="s">
        <v>189</v>
      </c>
      <c r="I21" s="831" t="s">
        <v>173</v>
      </c>
      <c r="J21" s="831" t="s">
        <v>174</v>
      </c>
      <c r="K21" s="831"/>
      <c r="L21" s="537"/>
      <c r="M21" s="538">
        <f>IF(K21&gt;0,VLOOKUP(H21,'[5]Pob. Ext, Parroquial'!$B$8:$F$117,4,FALSE),0)</f>
        <v>0</v>
      </c>
      <c r="N21" s="834" t="s">
        <v>193</v>
      </c>
      <c r="O21" s="836" t="s">
        <v>194</v>
      </c>
      <c r="P21" s="836">
        <v>15.04</v>
      </c>
      <c r="Q21" s="836"/>
      <c r="R21" s="948">
        <v>41640</v>
      </c>
      <c r="S21" s="948">
        <v>41670</v>
      </c>
      <c r="T21" s="686" t="str">
        <f t="shared" si="0"/>
        <v>EJECUTADO</v>
      </c>
      <c r="U21" s="837">
        <f t="shared" si="1"/>
        <v>0</v>
      </c>
      <c r="V21" s="544"/>
      <c r="W21" s="544"/>
      <c r="X21" s="662"/>
      <c r="Y21" s="640"/>
      <c r="Z21" s="545" t="s">
        <v>177</v>
      </c>
      <c r="AA21" s="545" t="s">
        <v>178</v>
      </c>
      <c r="AB21" s="546" t="s">
        <v>179</v>
      </c>
      <c r="AC21" s="547">
        <v>2014</v>
      </c>
      <c r="AD21" s="93"/>
      <c r="AE21" s="93"/>
    </row>
    <row r="22" spans="1:31" s="94" customFormat="1" ht="50.1" customHeight="1">
      <c r="A22" s="1068"/>
      <c r="B22" s="913"/>
      <c r="C22" s="927" t="s">
        <v>1494</v>
      </c>
      <c r="D22" s="1118"/>
      <c r="E22" s="636" t="str">
        <f t="shared" si="3"/>
        <v xml:space="preserve">CONSTRUCCIÓN DE OBRAS DE ARTE EN LA VÍA CHIRIHUALA-CHANGAIMINA </v>
      </c>
      <c r="F22" s="831" t="s">
        <v>171</v>
      </c>
      <c r="G22" s="831" t="str">
        <f>VLOOKUP(H22,'Pob. Ext, Parroquial'!$B$9:$C$117,2,0)</f>
        <v>GONZANAMA</v>
      </c>
      <c r="H22" s="831" t="s">
        <v>189</v>
      </c>
      <c r="I22" s="831" t="s">
        <v>173</v>
      </c>
      <c r="J22" s="831" t="s">
        <v>174</v>
      </c>
      <c r="K22" s="831"/>
      <c r="L22" s="537"/>
      <c r="M22" s="538">
        <f>IF(K22&gt;0,VLOOKUP(H22,'[5]Pob. Ext, Parroquial'!$B$8:$F$117,4,FALSE),0)</f>
        <v>0</v>
      </c>
      <c r="N22" s="834" t="s">
        <v>195</v>
      </c>
      <c r="O22" s="836" t="s">
        <v>176</v>
      </c>
      <c r="P22" s="836">
        <v>141.09</v>
      </c>
      <c r="Q22" s="836"/>
      <c r="R22" s="948">
        <v>41640</v>
      </c>
      <c r="S22" s="948">
        <v>41670</v>
      </c>
      <c r="T22" s="686" t="str">
        <f t="shared" si="0"/>
        <v>EJECUTADO</v>
      </c>
      <c r="U22" s="837">
        <f t="shared" si="1"/>
        <v>0</v>
      </c>
      <c r="V22" s="544"/>
      <c r="W22" s="544"/>
      <c r="X22" s="662"/>
      <c r="Y22" s="640"/>
      <c r="Z22" s="545" t="s">
        <v>177</v>
      </c>
      <c r="AA22" s="545" t="s">
        <v>178</v>
      </c>
      <c r="AB22" s="546" t="s">
        <v>179</v>
      </c>
      <c r="AC22" s="547">
        <v>2014</v>
      </c>
      <c r="AD22" s="93"/>
      <c r="AE22" s="93"/>
    </row>
    <row r="23" spans="1:31" s="94" customFormat="1" ht="50.1" customHeight="1">
      <c r="A23" s="1068"/>
      <c r="B23" s="913"/>
      <c r="C23" s="927" t="s">
        <v>1494</v>
      </c>
      <c r="D23" s="1120"/>
      <c r="E23" s="636" t="str">
        <f t="shared" si="3"/>
        <v xml:space="preserve">CONSTRUCCIÓN DE OBRAS DE ARTE EN LA VÍA CHIRIHUALA-CHANGAIMINA </v>
      </c>
      <c r="F23" s="831" t="s">
        <v>171</v>
      </c>
      <c r="G23" s="831" t="str">
        <f>VLOOKUP(H23,'Pob. Ext, Parroquial'!$B$9:$C$117,2,0)</f>
        <v>GONZANAMA</v>
      </c>
      <c r="H23" s="831" t="s">
        <v>189</v>
      </c>
      <c r="I23" s="831" t="s">
        <v>173</v>
      </c>
      <c r="J23" s="831" t="s">
        <v>174</v>
      </c>
      <c r="K23" s="831"/>
      <c r="L23" s="537"/>
      <c r="M23" s="538">
        <f>IF(K23&gt;0,VLOOKUP(H23,'[5]Pob. Ext, Parroquial'!$B$8:$F$117,4,FALSE),0)</f>
        <v>0</v>
      </c>
      <c r="N23" s="834" t="s">
        <v>197</v>
      </c>
      <c r="O23" s="836" t="s">
        <v>153</v>
      </c>
      <c r="P23" s="836">
        <v>11.32</v>
      </c>
      <c r="Q23" s="836">
        <v>29</v>
      </c>
      <c r="R23" s="948">
        <v>41640</v>
      </c>
      <c r="S23" s="948">
        <v>41698</v>
      </c>
      <c r="T23" s="686" t="str">
        <f t="shared" si="0"/>
        <v>EJECUTADO</v>
      </c>
      <c r="U23" s="837">
        <f t="shared" si="1"/>
        <v>328.28</v>
      </c>
      <c r="V23" s="544"/>
      <c r="W23" s="544"/>
      <c r="X23" s="664"/>
      <c r="Y23" s="640"/>
      <c r="Z23" s="545" t="s">
        <v>177</v>
      </c>
      <c r="AA23" s="545" t="s">
        <v>178</v>
      </c>
      <c r="AB23" s="546" t="s">
        <v>187</v>
      </c>
      <c r="AC23" s="547">
        <v>2014</v>
      </c>
      <c r="AD23" s="93"/>
      <c r="AE23" s="93"/>
    </row>
    <row r="24" spans="1:31" s="94" customFormat="1" ht="50.1" customHeight="1">
      <c r="A24" s="910"/>
      <c r="B24" s="913"/>
      <c r="C24" s="985" t="s">
        <v>182</v>
      </c>
      <c r="D24" s="927" t="s">
        <v>198</v>
      </c>
      <c r="E24" s="642" t="str">
        <f>+D24</f>
        <v>LIMPIEZA DE DERRUMBES EN LA VIA GONZANAMÁ QUILANGA</v>
      </c>
      <c r="F24" s="831" t="s">
        <v>171</v>
      </c>
      <c r="G24" s="831" t="str">
        <f>VLOOKUP(H24,'Pob. Ext, Parroquial'!$B$9:$C$117,2,0)</f>
        <v>QUILANGA</v>
      </c>
      <c r="H24" s="831" t="s">
        <v>199</v>
      </c>
      <c r="I24" s="831" t="s">
        <v>173</v>
      </c>
      <c r="J24" s="831" t="s">
        <v>174</v>
      </c>
      <c r="K24" s="831"/>
      <c r="L24" s="537"/>
      <c r="M24" s="538">
        <f>IF(K24&gt;0,VLOOKUP(H24,'[5]Pob. Ext, Parroquial'!$B$8:$F$117,4,FALSE),0)</f>
        <v>0</v>
      </c>
      <c r="N24" s="834" t="s">
        <v>200</v>
      </c>
      <c r="O24" s="836" t="s">
        <v>176</v>
      </c>
      <c r="P24" s="836">
        <v>1.46</v>
      </c>
      <c r="Q24" s="836">
        <v>120</v>
      </c>
      <c r="R24" s="948">
        <v>41699</v>
      </c>
      <c r="S24" s="948">
        <v>41729</v>
      </c>
      <c r="T24" s="686" t="str">
        <f t="shared" si="0"/>
        <v>EJECUTADO</v>
      </c>
      <c r="U24" s="837">
        <f t="shared" si="1"/>
        <v>175.2</v>
      </c>
      <c r="V24" s="544"/>
      <c r="W24" s="544"/>
      <c r="X24" s="912">
        <f t="shared" ref="X24:X55" si="4">U24+V24+W24</f>
        <v>175.2</v>
      </c>
      <c r="Y24" s="640"/>
      <c r="Z24" s="545" t="s">
        <v>177</v>
      </c>
      <c r="AA24" s="545" t="s">
        <v>178</v>
      </c>
      <c r="AB24" s="546" t="s">
        <v>187</v>
      </c>
      <c r="AC24" s="547">
        <v>2014</v>
      </c>
      <c r="AD24" s="93"/>
      <c r="AE24" s="93"/>
    </row>
    <row r="25" spans="1:31" s="94" customFormat="1" ht="50.1" customHeight="1">
      <c r="A25" s="910"/>
      <c r="B25" s="913"/>
      <c r="C25" s="985" t="s">
        <v>182</v>
      </c>
      <c r="D25" s="927" t="s">
        <v>201</v>
      </c>
      <c r="E25" s="642" t="str">
        <f>+D25</f>
        <v>LIMPIEZA DE DERRUMBES EN LA VIA LLANO GRANDE - LUJINUMA</v>
      </c>
      <c r="F25" s="831" t="s">
        <v>171</v>
      </c>
      <c r="G25" s="831" t="str">
        <f>VLOOKUP(H25,'Pob. Ext, Parroquial'!$B$9:$C$117,2,0)</f>
        <v>QUILANGA</v>
      </c>
      <c r="H25" s="831" t="s">
        <v>199</v>
      </c>
      <c r="I25" s="831" t="s">
        <v>173</v>
      </c>
      <c r="J25" s="831" t="s">
        <v>174</v>
      </c>
      <c r="K25" s="831"/>
      <c r="L25" s="537"/>
      <c r="M25" s="538">
        <f>IF(K25&gt;0,VLOOKUP(H25,'[5]Pob. Ext, Parroquial'!$B$8:$F$117,4,FALSE),0)</f>
        <v>0</v>
      </c>
      <c r="N25" s="834" t="s">
        <v>200</v>
      </c>
      <c r="O25" s="836" t="s">
        <v>176</v>
      </c>
      <c r="P25" s="836">
        <v>1.46</v>
      </c>
      <c r="Q25" s="836">
        <v>50</v>
      </c>
      <c r="R25" s="948">
        <v>41699</v>
      </c>
      <c r="S25" s="948">
        <v>41729</v>
      </c>
      <c r="T25" s="686" t="str">
        <f t="shared" si="0"/>
        <v>EJECUTADO</v>
      </c>
      <c r="U25" s="837">
        <f t="shared" si="1"/>
        <v>73</v>
      </c>
      <c r="V25" s="544"/>
      <c r="W25" s="544"/>
      <c r="X25" s="912">
        <f t="shared" si="4"/>
        <v>73</v>
      </c>
      <c r="Y25" s="640"/>
      <c r="Z25" s="545" t="s">
        <v>177</v>
      </c>
      <c r="AA25" s="545" t="s">
        <v>178</v>
      </c>
      <c r="AB25" s="546" t="s">
        <v>187</v>
      </c>
      <c r="AC25" s="547">
        <v>2014</v>
      </c>
      <c r="AD25" s="93"/>
      <c r="AE25" s="93"/>
    </row>
    <row r="26" spans="1:31" s="94" customFormat="1" ht="50.1" customHeight="1">
      <c r="A26" s="910"/>
      <c r="B26" s="913"/>
      <c r="C26" s="985" t="s">
        <v>182</v>
      </c>
      <c r="D26" s="927" t="s">
        <v>202</v>
      </c>
      <c r="E26" s="642" t="str">
        <f>+D26</f>
        <v>LIMPIEZA DE DERRUMBES EN LA VIA COMBOLO - POTRERILLOS</v>
      </c>
      <c r="F26" s="831" t="s">
        <v>171</v>
      </c>
      <c r="G26" s="831" t="str">
        <f>VLOOKUP(H26,'Pob. Ext, Parroquial'!$B$9:$C$117,2,0)</f>
        <v>QUILANGA</v>
      </c>
      <c r="H26" s="831" t="s">
        <v>199</v>
      </c>
      <c r="I26" s="831" t="s">
        <v>173</v>
      </c>
      <c r="J26" s="831" t="s">
        <v>174</v>
      </c>
      <c r="K26" s="831"/>
      <c r="L26" s="537"/>
      <c r="M26" s="538">
        <f>IF(K26&gt;0,VLOOKUP(H26,'[5]Pob. Ext, Parroquial'!$B$8:$F$117,4,FALSE),0)</f>
        <v>0</v>
      </c>
      <c r="N26" s="834" t="s">
        <v>200</v>
      </c>
      <c r="O26" s="836" t="s">
        <v>176</v>
      </c>
      <c r="P26" s="836">
        <v>1.46</v>
      </c>
      <c r="Q26" s="836">
        <v>1960</v>
      </c>
      <c r="R26" s="948">
        <v>41699</v>
      </c>
      <c r="S26" s="948">
        <v>41729</v>
      </c>
      <c r="T26" s="686" t="str">
        <f t="shared" si="0"/>
        <v>EJECUTADO</v>
      </c>
      <c r="U26" s="837">
        <f t="shared" si="1"/>
        <v>2861.6</v>
      </c>
      <c r="V26" s="544"/>
      <c r="W26" s="544"/>
      <c r="X26" s="912">
        <f t="shared" si="4"/>
        <v>2861.6</v>
      </c>
      <c r="Y26" s="640"/>
      <c r="Z26" s="545" t="s">
        <v>177</v>
      </c>
      <c r="AA26" s="545" t="s">
        <v>178</v>
      </c>
      <c r="AB26" s="546" t="s">
        <v>187</v>
      </c>
      <c r="AC26" s="547">
        <v>2014</v>
      </c>
      <c r="AD26" s="93"/>
      <c r="AE26" s="93"/>
    </row>
    <row r="27" spans="1:31" s="94" customFormat="1" ht="50.1" customHeight="1">
      <c r="A27" s="910"/>
      <c r="B27" s="913"/>
      <c r="C27" s="985" t="s">
        <v>182</v>
      </c>
      <c r="D27" s="927" t="s">
        <v>203</v>
      </c>
      <c r="E27" s="642" t="str">
        <f>+D27</f>
        <v>LIMPIEZA DE DERRUMBES EN LA VIA CHIRIHUALA - CHANGAIMINA</v>
      </c>
      <c r="F27" s="831" t="s">
        <v>171</v>
      </c>
      <c r="G27" s="831" t="str">
        <f>VLOOKUP(H27,'Pob. Ext, Parroquial'!$B$9:$C$117,2,0)</f>
        <v>GONZANAMA</v>
      </c>
      <c r="H27" s="831" t="s">
        <v>189</v>
      </c>
      <c r="I27" s="831" t="s">
        <v>173</v>
      </c>
      <c r="J27" s="831" t="s">
        <v>174</v>
      </c>
      <c r="K27" s="831"/>
      <c r="L27" s="537"/>
      <c r="M27" s="538">
        <f>IF(K27&gt;0,VLOOKUP(H27,'[5]Pob. Ext, Parroquial'!$B$8:$F$117,4,FALSE),0)</f>
        <v>0</v>
      </c>
      <c r="N27" s="834" t="s">
        <v>200</v>
      </c>
      <c r="O27" s="836" t="s">
        <v>176</v>
      </c>
      <c r="P27" s="836">
        <v>1.46</v>
      </c>
      <c r="Q27" s="836">
        <v>250</v>
      </c>
      <c r="R27" s="948">
        <v>41699</v>
      </c>
      <c r="S27" s="948">
        <v>41729</v>
      </c>
      <c r="T27" s="686" t="str">
        <f t="shared" si="0"/>
        <v>EJECUTADO</v>
      </c>
      <c r="U27" s="837">
        <f t="shared" si="1"/>
        <v>365</v>
      </c>
      <c r="V27" s="544"/>
      <c r="W27" s="544"/>
      <c r="X27" s="912">
        <f t="shared" si="4"/>
        <v>365</v>
      </c>
      <c r="Y27" s="640"/>
      <c r="Z27" s="545" t="s">
        <v>177</v>
      </c>
      <c r="AA27" s="545" t="s">
        <v>178</v>
      </c>
      <c r="AB27" s="546" t="s">
        <v>187</v>
      </c>
      <c r="AC27" s="547">
        <v>2014</v>
      </c>
      <c r="AD27" s="93"/>
      <c r="AE27" s="93"/>
    </row>
    <row r="28" spans="1:31" s="94" customFormat="1" ht="50.1" customHeight="1">
      <c r="A28" s="910"/>
      <c r="B28" s="913"/>
      <c r="C28" s="985" t="s">
        <v>182</v>
      </c>
      <c r="D28" s="927" t="s">
        <v>204</v>
      </c>
      <c r="E28" s="642" t="str">
        <f>+D28</f>
        <v>LIMPIEZA DE DERRUMBES EN LA VIA ACCESO PRINCIPAL A SACAPALCA</v>
      </c>
      <c r="F28" s="831" t="s">
        <v>171</v>
      </c>
      <c r="G28" s="831" t="str">
        <f>VLOOKUP(H28,'Pob. Ext, Parroquial'!$B$9:$C$117,2,0)</f>
        <v>GONZANAMA</v>
      </c>
      <c r="H28" s="831" t="s">
        <v>205</v>
      </c>
      <c r="I28" s="831" t="s">
        <v>173</v>
      </c>
      <c r="J28" s="831" t="s">
        <v>174</v>
      </c>
      <c r="K28" s="831"/>
      <c r="L28" s="537"/>
      <c r="M28" s="538">
        <f>IF(K28&gt;0,VLOOKUP(H28,'[5]Pob. Ext, Parroquial'!$B$8:$F$117,4,FALSE),0)</f>
        <v>0</v>
      </c>
      <c r="N28" s="834" t="s">
        <v>200</v>
      </c>
      <c r="O28" s="836" t="s">
        <v>176</v>
      </c>
      <c r="P28" s="836">
        <v>1.46</v>
      </c>
      <c r="Q28" s="836">
        <v>250</v>
      </c>
      <c r="R28" s="948">
        <v>41699</v>
      </c>
      <c r="S28" s="948">
        <v>41729</v>
      </c>
      <c r="T28" s="686" t="str">
        <f t="shared" si="0"/>
        <v>EJECUTADO</v>
      </c>
      <c r="U28" s="837">
        <f t="shared" si="1"/>
        <v>365</v>
      </c>
      <c r="V28" s="544"/>
      <c r="W28" s="544"/>
      <c r="X28" s="912">
        <f t="shared" si="4"/>
        <v>365</v>
      </c>
      <c r="Y28" s="640"/>
      <c r="Z28" s="545" t="s">
        <v>177</v>
      </c>
      <c r="AA28" s="545" t="s">
        <v>178</v>
      </c>
      <c r="AB28" s="546" t="s">
        <v>187</v>
      </c>
      <c r="AC28" s="547">
        <v>2014</v>
      </c>
      <c r="AD28" s="93"/>
      <c r="AE28" s="93"/>
    </row>
    <row r="29" spans="1:31" s="94" customFormat="1" ht="50.1" customHeight="1">
      <c r="A29" s="910"/>
      <c r="B29" s="913"/>
      <c r="C29" s="985" t="s">
        <v>182</v>
      </c>
      <c r="D29" s="927" t="s">
        <v>206</v>
      </c>
      <c r="E29" s="642" t="s">
        <v>206</v>
      </c>
      <c r="F29" s="831" t="s">
        <v>171</v>
      </c>
      <c r="G29" s="831" t="str">
        <f>VLOOKUP(H29,'Pob. Ext, Parroquial'!$B$9:$C$117,2,0)</f>
        <v>GONZANAMA</v>
      </c>
      <c r="H29" s="831" t="s">
        <v>207</v>
      </c>
      <c r="I29" s="831" t="s">
        <v>173</v>
      </c>
      <c r="J29" s="831" t="s">
        <v>174</v>
      </c>
      <c r="K29" s="831"/>
      <c r="L29" s="537">
        <f t="shared" ref="L29:L33" si="5">ROUNDUP(Q29/5.5/1000,2)</f>
        <v>16.37</v>
      </c>
      <c r="M29" s="538">
        <f>IF(K29&gt;0,VLOOKUP(H29,'[5]Pob. Ext, Parroquial'!$B$8:$F$117,4,FALSE),0)</f>
        <v>0</v>
      </c>
      <c r="N29" s="834" t="s">
        <v>185</v>
      </c>
      <c r="O29" s="836" t="s">
        <v>184</v>
      </c>
      <c r="P29" s="836">
        <v>0.08</v>
      </c>
      <c r="Q29" s="836">
        <v>90000</v>
      </c>
      <c r="R29" s="948">
        <v>41699</v>
      </c>
      <c r="S29" s="948">
        <v>41729</v>
      </c>
      <c r="T29" s="686" t="str">
        <f t="shared" si="0"/>
        <v>EJECUTADO</v>
      </c>
      <c r="U29" s="837">
        <f t="shared" si="1"/>
        <v>7200</v>
      </c>
      <c r="V29" s="544"/>
      <c r="W29" s="544"/>
      <c r="X29" s="912">
        <f t="shared" si="4"/>
        <v>7200</v>
      </c>
      <c r="Y29" s="640"/>
      <c r="Z29" s="545" t="s">
        <v>177</v>
      </c>
      <c r="AA29" s="545" t="s">
        <v>178</v>
      </c>
      <c r="AB29" s="546" t="s">
        <v>187</v>
      </c>
      <c r="AC29" s="547">
        <v>2014</v>
      </c>
      <c r="AD29" s="93"/>
      <c r="AE29" s="93"/>
    </row>
    <row r="30" spans="1:31" s="94" customFormat="1" ht="50.1" customHeight="1">
      <c r="A30" s="910"/>
      <c r="B30" s="913"/>
      <c r="C30" s="985" t="s">
        <v>182</v>
      </c>
      <c r="D30" s="927" t="s">
        <v>208</v>
      </c>
      <c r="E30" s="642" t="s">
        <v>208</v>
      </c>
      <c r="F30" s="831" t="s">
        <v>171</v>
      </c>
      <c r="G30" s="831" t="str">
        <f>VLOOKUP(H30,'Pob. Ext, Parroquial'!$B$9:$C$117,2,0)</f>
        <v>GONZANAMA</v>
      </c>
      <c r="H30" s="831" t="s">
        <v>207</v>
      </c>
      <c r="I30" s="831" t="s">
        <v>173</v>
      </c>
      <c r="J30" s="831" t="s">
        <v>174</v>
      </c>
      <c r="K30" s="831"/>
      <c r="L30" s="537">
        <f t="shared" si="5"/>
        <v>4.5</v>
      </c>
      <c r="M30" s="538">
        <f>IF(K30&gt;0,VLOOKUP(H30,'[5]Pob. Ext, Parroquial'!$B$8:$F$117,4,FALSE),0)</f>
        <v>0</v>
      </c>
      <c r="N30" s="834" t="s">
        <v>185</v>
      </c>
      <c r="O30" s="836" t="s">
        <v>184</v>
      </c>
      <c r="P30" s="836">
        <v>0.08</v>
      </c>
      <c r="Q30" s="836">
        <v>24750</v>
      </c>
      <c r="R30" s="948">
        <v>41643</v>
      </c>
      <c r="S30" s="948">
        <v>41759</v>
      </c>
      <c r="T30" s="686" t="str">
        <f t="shared" si="0"/>
        <v>EJECUTADO</v>
      </c>
      <c r="U30" s="837">
        <f t="shared" si="1"/>
        <v>1980</v>
      </c>
      <c r="V30" s="544"/>
      <c r="W30" s="544"/>
      <c r="X30" s="912">
        <f t="shared" si="4"/>
        <v>1980</v>
      </c>
      <c r="Y30" s="640"/>
      <c r="Z30" s="545" t="s">
        <v>177</v>
      </c>
      <c r="AA30" s="545" t="s">
        <v>178</v>
      </c>
      <c r="AB30" s="546" t="s">
        <v>187</v>
      </c>
      <c r="AC30" s="547">
        <v>2014</v>
      </c>
      <c r="AD30" s="93"/>
      <c r="AE30" s="93"/>
    </row>
    <row r="31" spans="1:31" s="94" customFormat="1" ht="50.1" customHeight="1">
      <c r="A31" s="910"/>
      <c r="B31" s="913"/>
      <c r="C31" s="985" t="s">
        <v>182</v>
      </c>
      <c r="D31" s="927" t="s">
        <v>209</v>
      </c>
      <c r="E31" s="642" t="s">
        <v>209</v>
      </c>
      <c r="F31" s="831" t="s">
        <v>171</v>
      </c>
      <c r="G31" s="831" t="str">
        <f>VLOOKUP(H31,'Pob. Ext, Parroquial'!$B$9:$C$117,2,0)</f>
        <v>GONZANAMA</v>
      </c>
      <c r="H31" s="831" t="s">
        <v>207</v>
      </c>
      <c r="I31" s="831" t="s">
        <v>173</v>
      </c>
      <c r="J31" s="831" t="s">
        <v>174</v>
      </c>
      <c r="K31" s="831"/>
      <c r="L31" s="537">
        <f t="shared" si="5"/>
        <v>0.91</v>
      </c>
      <c r="M31" s="538">
        <f>IF(K31&gt;0,VLOOKUP(H31,'[5]Pob. Ext, Parroquial'!$B$8:$F$117,4,FALSE),0)</f>
        <v>0</v>
      </c>
      <c r="N31" s="834" t="s">
        <v>185</v>
      </c>
      <c r="O31" s="836" t="s">
        <v>184</v>
      </c>
      <c r="P31" s="836">
        <v>0.08</v>
      </c>
      <c r="Q31" s="836">
        <v>5000</v>
      </c>
      <c r="R31" s="948">
        <v>41643</v>
      </c>
      <c r="S31" s="948">
        <v>41759</v>
      </c>
      <c r="T31" s="686" t="str">
        <f t="shared" si="0"/>
        <v>EJECUTADO</v>
      </c>
      <c r="U31" s="837">
        <f t="shared" si="1"/>
        <v>400</v>
      </c>
      <c r="V31" s="544"/>
      <c r="W31" s="544"/>
      <c r="X31" s="912">
        <f t="shared" si="4"/>
        <v>400</v>
      </c>
      <c r="Y31" s="640"/>
      <c r="Z31" s="545" t="s">
        <v>177</v>
      </c>
      <c r="AA31" s="545" t="s">
        <v>178</v>
      </c>
      <c r="AB31" s="546" t="s">
        <v>187</v>
      </c>
      <c r="AC31" s="547">
        <v>2014</v>
      </c>
      <c r="AD31" s="93"/>
      <c r="AE31" s="93"/>
    </row>
    <row r="32" spans="1:31" s="94" customFormat="1" ht="50.1" customHeight="1">
      <c r="A32" s="910"/>
      <c r="B32" s="913"/>
      <c r="C32" s="985" t="s">
        <v>182</v>
      </c>
      <c r="D32" s="927" t="s">
        <v>210</v>
      </c>
      <c r="E32" s="642" t="s">
        <v>210</v>
      </c>
      <c r="F32" s="831" t="s">
        <v>171</v>
      </c>
      <c r="G32" s="831" t="str">
        <f>VLOOKUP(H32,'Pob. Ext, Parroquial'!$B$9:$C$117,2,0)</f>
        <v>GONZANAMA</v>
      </c>
      <c r="H32" s="831" t="s">
        <v>207</v>
      </c>
      <c r="I32" s="831" t="s">
        <v>173</v>
      </c>
      <c r="J32" s="831" t="s">
        <v>174</v>
      </c>
      <c r="K32" s="831"/>
      <c r="L32" s="537">
        <f t="shared" si="5"/>
        <v>1.8</v>
      </c>
      <c r="M32" s="538">
        <f>IF(K32&gt;0,VLOOKUP(H32,'[5]Pob. Ext, Parroquial'!$B$8:$F$117,4,FALSE),0)</f>
        <v>0</v>
      </c>
      <c r="N32" s="834" t="s">
        <v>185</v>
      </c>
      <c r="O32" s="836" t="s">
        <v>184</v>
      </c>
      <c r="P32" s="836">
        <v>0.08</v>
      </c>
      <c r="Q32" s="836">
        <v>9900</v>
      </c>
      <c r="R32" s="948">
        <v>41643</v>
      </c>
      <c r="S32" s="948">
        <v>41759</v>
      </c>
      <c r="T32" s="686" t="str">
        <f t="shared" si="0"/>
        <v>EJECUTADO</v>
      </c>
      <c r="U32" s="837">
        <f t="shared" si="1"/>
        <v>792</v>
      </c>
      <c r="V32" s="544"/>
      <c r="W32" s="544"/>
      <c r="X32" s="912">
        <f t="shared" si="4"/>
        <v>792</v>
      </c>
      <c r="Y32" s="640"/>
      <c r="Z32" s="545" t="s">
        <v>177</v>
      </c>
      <c r="AA32" s="545" t="s">
        <v>178</v>
      </c>
      <c r="AB32" s="546" t="s">
        <v>187</v>
      </c>
      <c r="AC32" s="547">
        <v>2014</v>
      </c>
      <c r="AD32" s="93"/>
      <c r="AE32" s="93"/>
    </row>
    <row r="33" spans="1:31" s="94" customFormat="1" ht="50.1" customHeight="1">
      <c r="A33" s="910"/>
      <c r="B33" s="913"/>
      <c r="C33" s="985" t="s">
        <v>182</v>
      </c>
      <c r="D33" s="927" t="s">
        <v>211</v>
      </c>
      <c r="E33" s="642" t="s">
        <v>211</v>
      </c>
      <c r="F33" s="831" t="s">
        <v>171</v>
      </c>
      <c r="G33" s="831" t="str">
        <f>VLOOKUP(H33,'Pob. Ext, Parroquial'!$B$9:$C$117,2,0)</f>
        <v>GONZANAMA</v>
      </c>
      <c r="H33" s="831" t="s">
        <v>207</v>
      </c>
      <c r="I33" s="831" t="s">
        <v>173</v>
      </c>
      <c r="J33" s="831" t="s">
        <v>174</v>
      </c>
      <c r="K33" s="831"/>
      <c r="L33" s="537">
        <f t="shared" si="5"/>
        <v>1</v>
      </c>
      <c r="M33" s="538">
        <f>IF(K33&gt;0,VLOOKUP(H33,'[5]Pob. Ext, Parroquial'!$B$8:$F$117,4,FALSE),0)</f>
        <v>0</v>
      </c>
      <c r="N33" s="834" t="s">
        <v>185</v>
      </c>
      <c r="O33" s="836" t="s">
        <v>184</v>
      </c>
      <c r="P33" s="836">
        <v>0.08</v>
      </c>
      <c r="Q33" s="836">
        <v>5500</v>
      </c>
      <c r="R33" s="948">
        <v>41643</v>
      </c>
      <c r="S33" s="948">
        <v>41759</v>
      </c>
      <c r="T33" s="686" t="str">
        <f t="shared" si="0"/>
        <v>EJECUTADO</v>
      </c>
      <c r="U33" s="837">
        <f t="shared" si="1"/>
        <v>440</v>
      </c>
      <c r="V33" s="544"/>
      <c r="W33" s="544"/>
      <c r="X33" s="912">
        <f t="shared" si="4"/>
        <v>440</v>
      </c>
      <c r="Y33" s="640"/>
      <c r="Z33" s="545" t="s">
        <v>177</v>
      </c>
      <c r="AA33" s="545" t="s">
        <v>178</v>
      </c>
      <c r="AB33" s="546" t="s">
        <v>187</v>
      </c>
      <c r="AC33" s="547">
        <v>2014</v>
      </c>
      <c r="AD33" s="93"/>
      <c r="AE33" s="93"/>
    </row>
    <row r="34" spans="1:31" s="94" customFormat="1" ht="50.1" customHeight="1">
      <c r="A34" s="1068"/>
      <c r="B34" s="645"/>
      <c r="C34" s="985" t="s">
        <v>182</v>
      </c>
      <c r="D34" s="1117" t="s">
        <v>212</v>
      </c>
      <c r="E34" s="636" t="s">
        <v>212</v>
      </c>
      <c r="F34" s="831" t="s">
        <v>171</v>
      </c>
      <c r="G34" s="831" t="str">
        <f>VLOOKUP(H34,'Pob. Ext, Parroquial'!$B$9:$C$117,2,0)</f>
        <v>GONZANAMA</v>
      </c>
      <c r="H34" s="831" t="s">
        <v>205</v>
      </c>
      <c r="I34" s="831" t="s">
        <v>173</v>
      </c>
      <c r="J34" s="831" t="s">
        <v>174</v>
      </c>
      <c r="K34" s="831"/>
      <c r="L34" s="537"/>
      <c r="M34" s="538">
        <f>IF(K34&gt;0,VLOOKUP(H34,'[5]Pob. Ext, Parroquial'!$B$8:$F$117,4,FALSE),0)</f>
        <v>0</v>
      </c>
      <c r="N34" s="834" t="s">
        <v>200</v>
      </c>
      <c r="O34" s="836" t="s">
        <v>176</v>
      </c>
      <c r="P34" s="836">
        <v>1.46</v>
      </c>
      <c r="Q34" s="836">
        <v>720</v>
      </c>
      <c r="R34" s="948">
        <v>41643</v>
      </c>
      <c r="S34" s="948">
        <v>41759</v>
      </c>
      <c r="T34" s="686" t="str">
        <f t="shared" si="0"/>
        <v>EJECUTADO</v>
      </c>
      <c r="U34" s="837">
        <f t="shared" si="1"/>
        <v>1051.2</v>
      </c>
      <c r="V34" s="544"/>
      <c r="W34" s="544"/>
      <c r="X34" s="912">
        <f t="shared" si="4"/>
        <v>1051.2</v>
      </c>
      <c r="Y34" s="640"/>
      <c r="Z34" s="545" t="s">
        <v>177</v>
      </c>
      <c r="AA34" s="545" t="s">
        <v>178</v>
      </c>
      <c r="AB34" s="546" t="s">
        <v>187</v>
      </c>
      <c r="AC34" s="547">
        <v>2014</v>
      </c>
      <c r="AD34" s="93"/>
      <c r="AE34" s="93"/>
    </row>
    <row r="35" spans="1:31" s="94" customFormat="1" ht="50.1" customHeight="1">
      <c r="A35" s="1068"/>
      <c r="B35" s="646"/>
      <c r="C35" s="985" t="s">
        <v>182</v>
      </c>
      <c r="D35" s="1120"/>
      <c r="E35" s="636" t="str">
        <f>+E34</f>
        <v>LIMPIEZA DE DERRUMBES EN LA VIA LA HUACA - SACAPALCA - Y BACHEO CON LASTRES</v>
      </c>
      <c r="F35" s="831" t="s">
        <v>171</v>
      </c>
      <c r="G35" s="831" t="str">
        <f>VLOOKUP(H35,'Pob. Ext, Parroquial'!$B$9:$C$117,2,0)</f>
        <v>GONZANAMA</v>
      </c>
      <c r="H35" s="831" t="s">
        <v>205</v>
      </c>
      <c r="I35" s="831" t="s">
        <v>173</v>
      </c>
      <c r="J35" s="831" t="s">
        <v>174</v>
      </c>
      <c r="K35" s="831"/>
      <c r="L35" s="537"/>
      <c r="M35" s="538">
        <f>IF(K35&gt;0,VLOOKUP(H35,'[5]Pob. Ext, Parroquial'!$B$8:$F$117,4,FALSE),0)</f>
        <v>0</v>
      </c>
      <c r="N35" s="834" t="s">
        <v>180</v>
      </c>
      <c r="O35" s="836" t="s">
        <v>181</v>
      </c>
      <c r="P35" s="836">
        <v>0.35</v>
      </c>
      <c r="Q35" s="836">
        <v>720</v>
      </c>
      <c r="R35" s="948">
        <v>41643</v>
      </c>
      <c r="S35" s="948">
        <v>41759</v>
      </c>
      <c r="T35" s="686" t="str">
        <f t="shared" si="0"/>
        <v>EJECUTADO</v>
      </c>
      <c r="U35" s="837">
        <f t="shared" si="1"/>
        <v>252</v>
      </c>
      <c r="V35" s="544"/>
      <c r="W35" s="544"/>
      <c r="X35" s="912">
        <f t="shared" si="4"/>
        <v>252</v>
      </c>
      <c r="Y35" s="640"/>
      <c r="Z35" s="545" t="s">
        <v>177</v>
      </c>
      <c r="AA35" s="545" t="s">
        <v>178</v>
      </c>
      <c r="AB35" s="546" t="s">
        <v>187</v>
      </c>
      <c r="AC35" s="547">
        <v>2014</v>
      </c>
      <c r="AD35" s="93"/>
      <c r="AE35" s="93"/>
    </row>
    <row r="36" spans="1:31" s="94" customFormat="1" ht="50.1" customHeight="1">
      <c r="A36" s="1068"/>
      <c r="B36" s="645"/>
      <c r="C36" s="985" t="s">
        <v>182</v>
      </c>
      <c r="D36" s="1117" t="s">
        <v>213</v>
      </c>
      <c r="E36" s="636" t="str">
        <f>+D36</f>
        <v>LIMPIEZA DE DERRUMBES EN LA VIA AYASAPA - CHANGAIMINA Y BACHEO CON LASTRE</v>
      </c>
      <c r="F36" s="831" t="s">
        <v>171</v>
      </c>
      <c r="G36" s="831" t="str">
        <f>VLOOKUP(H36,'Pob. Ext, Parroquial'!$B$9:$C$117,2,0)</f>
        <v>GONZANAMA</v>
      </c>
      <c r="H36" s="831" t="s">
        <v>189</v>
      </c>
      <c r="I36" s="831" t="s">
        <v>173</v>
      </c>
      <c r="J36" s="831" t="s">
        <v>174</v>
      </c>
      <c r="K36" s="831"/>
      <c r="L36" s="537"/>
      <c r="M36" s="538">
        <f>IF(K36&gt;0,VLOOKUP(H36,'[5]Pob. Ext, Parroquial'!$B$8:$F$117,4,FALSE),0)</f>
        <v>0</v>
      </c>
      <c r="N36" s="834" t="s">
        <v>200</v>
      </c>
      <c r="O36" s="836" t="s">
        <v>176</v>
      </c>
      <c r="P36" s="836">
        <v>1.46</v>
      </c>
      <c r="Q36" s="836">
        <v>280</v>
      </c>
      <c r="R36" s="948">
        <v>41643</v>
      </c>
      <c r="S36" s="948">
        <v>41759</v>
      </c>
      <c r="T36" s="686" t="str">
        <f t="shared" si="0"/>
        <v>EJECUTADO</v>
      </c>
      <c r="U36" s="837">
        <f t="shared" si="1"/>
        <v>408.8</v>
      </c>
      <c r="V36" s="544"/>
      <c r="W36" s="544"/>
      <c r="X36" s="912">
        <f t="shared" si="4"/>
        <v>408.8</v>
      </c>
      <c r="Y36" s="640"/>
      <c r="Z36" s="545" t="s">
        <v>177</v>
      </c>
      <c r="AA36" s="545" t="s">
        <v>178</v>
      </c>
      <c r="AB36" s="546" t="s">
        <v>187</v>
      </c>
      <c r="AC36" s="547">
        <v>2014</v>
      </c>
      <c r="AD36" s="93"/>
      <c r="AE36" s="93"/>
    </row>
    <row r="37" spans="1:31" s="94" customFormat="1" ht="50.1" customHeight="1">
      <c r="A37" s="1068"/>
      <c r="B37" s="646"/>
      <c r="C37" s="985" t="s">
        <v>182</v>
      </c>
      <c r="D37" s="1120"/>
      <c r="E37" s="636" t="str">
        <f>+E36</f>
        <v>LIMPIEZA DE DERRUMBES EN LA VIA AYASAPA - CHANGAIMINA Y BACHEO CON LASTRE</v>
      </c>
      <c r="F37" s="831" t="s">
        <v>171</v>
      </c>
      <c r="G37" s="831" t="str">
        <f>VLOOKUP(H37,'Pob. Ext, Parroquial'!$B$9:$C$117,2,0)</f>
        <v>GONZANAMA</v>
      </c>
      <c r="H37" s="831" t="s">
        <v>189</v>
      </c>
      <c r="I37" s="831" t="s">
        <v>173</v>
      </c>
      <c r="J37" s="831" t="s">
        <v>174</v>
      </c>
      <c r="K37" s="831"/>
      <c r="L37" s="537"/>
      <c r="M37" s="538">
        <f>IF(K37&gt;0,VLOOKUP(H37,'[5]Pob. Ext, Parroquial'!$B$8:$F$117,4,FALSE),0)</f>
        <v>0</v>
      </c>
      <c r="N37" s="834" t="s">
        <v>180</v>
      </c>
      <c r="O37" s="836" t="s">
        <v>181</v>
      </c>
      <c r="P37" s="836">
        <v>0.35</v>
      </c>
      <c r="Q37" s="836">
        <v>2160</v>
      </c>
      <c r="R37" s="948">
        <v>41643</v>
      </c>
      <c r="S37" s="948">
        <v>41759</v>
      </c>
      <c r="T37" s="686" t="str">
        <f t="shared" si="0"/>
        <v>EJECUTADO</v>
      </c>
      <c r="U37" s="837">
        <f t="shared" si="1"/>
        <v>756</v>
      </c>
      <c r="V37" s="544"/>
      <c r="W37" s="544"/>
      <c r="X37" s="912">
        <f t="shared" si="4"/>
        <v>756</v>
      </c>
      <c r="Y37" s="640"/>
      <c r="Z37" s="545" t="s">
        <v>177</v>
      </c>
      <c r="AA37" s="545" t="s">
        <v>178</v>
      </c>
      <c r="AB37" s="546" t="s">
        <v>187</v>
      </c>
      <c r="AC37" s="547">
        <v>2014</v>
      </c>
      <c r="AD37" s="93"/>
      <c r="AE37" s="93"/>
    </row>
    <row r="38" spans="1:31" s="94" customFormat="1" ht="50.1" customHeight="1">
      <c r="A38" s="910"/>
      <c r="B38" s="913"/>
      <c r="C38" s="985" t="s">
        <v>182</v>
      </c>
      <c r="D38" s="927" t="s">
        <v>214</v>
      </c>
      <c r="E38" s="642" t="str">
        <f>+D38</f>
        <v>RECONFORMACIÓN Y LIMPIEZA DE CUNETAS EN LA VIA PRINCIPAL - YACURA</v>
      </c>
      <c r="F38" s="831" t="s">
        <v>171</v>
      </c>
      <c r="G38" s="831" t="str">
        <f>VLOOKUP(H38,'Pob. Ext, Parroquial'!$B$9:$C$117,2,0)</f>
        <v>GONZANAMA</v>
      </c>
      <c r="H38" s="831" t="s">
        <v>189</v>
      </c>
      <c r="I38" s="831" t="s">
        <v>173</v>
      </c>
      <c r="J38" s="831" t="s">
        <v>174</v>
      </c>
      <c r="K38" s="831"/>
      <c r="L38" s="537">
        <f>ROUNDUP(Q38/5.5/1000,2)</f>
        <v>1.64</v>
      </c>
      <c r="M38" s="538">
        <f>IF(K38&gt;0,VLOOKUP(H38,'[5]Pob. Ext, Parroquial'!$B$8:$F$117,4,FALSE),0)</f>
        <v>0</v>
      </c>
      <c r="N38" s="834" t="s">
        <v>183</v>
      </c>
      <c r="O38" s="836" t="s">
        <v>184</v>
      </c>
      <c r="P38" s="836">
        <v>0.35</v>
      </c>
      <c r="Q38" s="836">
        <v>9000</v>
      </c>
      <c r="R38" s="948">
        <v>41730</v>
      </c>
      <c r="S38" s="948">
        <v>41759</v>
      </c>
      <c r="T38" s="686" t="str">
        <f t="shared" si="0"/>
        <v>EJECUTADO</v>
      </c>
      <c r="U38" s="837">
        <f t="shared" si="1"/>
        <v>3150</v>
      </c>
      <c r="V38" s="544"/>
      <c r="W38" s="544"/>
      <c r="X38" s="912">
        <f t="shared" si="4"/>
        <v>3150</v>
      </c>
      <c r="Y38" s="640"/>
      <c r="Z38" s="545" t="s">
        <v>177</v>
      </c>
      <c r="AA38" s="545" t="s">
        <v>178</v>
      </c>
      <c r="AB38" s="546" t="s">
        <v>187</v>
      </c>
      <c r="AC38" s="547">
        <v>2014</v>
      </c>
      <c r="AD38" s="93"/>
      <c r="AE38" s="93"/>
    </row>
    <row r="39" spans="1:31" s="94" customFormat="1" ht="50.1" customHeight="1">
      <c r="A39" s="910"/>
      <c r="B39" s="913"/>
      <c r="C39" s="985" t="s">
        <v>182</v>
      </c>
      <c r="D39" s="927" t="s">
        <v>215</v>
      </c>
      <c r="E39" s="642" t="str">
        <f>+D39</f>
        <v>RECONFORMACIÓN Y LIMPIEZA DE CUNETAS EN LA VIA EL LIMON - CARBONERA - PLATANAL</v>
      </c>
      <c r="F39" s="831" t="s">
        <v>171</v>
      </c>
      <c r="G39" s="831" t="str">
        <f>VLOOKUP(H39,'Pob. Ext, Parroquial'!$B$9:$C$117,2,0)</f>
        <v>GONZANAMA</v>
      </c>
      <c r="H39" s="831" t="s">
        <v>207</v>
      </c>
      <c r="I39" s="831" t="s">
        <v>173</v>
      </c>
      <c r="J39" s="831" t="s">
        <v>174</v>
      </c>
      <c r="K39" s="831"/>
      <c r="L39" s="537">
        <f>ROUNDUP(Q39/5.5/1000,2)</f>
        <v>3.6399999999999997</v>
      </c>
      <c r="M39" s="538">
        <f>IF(K39&gt;0,VLOOKUP(H39,'[5]Pob. Ext, Parroquial'!$B$8:$F$117,4,FALSE),0)</f>
        <v>0</v>
      </c>
      <c r="N39" s="834" t="s">
        <v>183</v>
      </c>
      <c r="O39" s="836" t="s">
        <v>184</v>
      </c>
      <c r="P39" s="836">
        <v>0.35</v>
      </c>
      <c r="Q39" s="836">
        <v>20000</v>
      </c>
      <c r="R39" s="948">
        <v>41730</v>
      </c>
      <c r="S39" s="948">
        <v>41759</v>
      </c>
      <c r="T39" s="686" t="str">
        <f t="shared" si="0"/>
        <v>EJECUTADO</v>
      </c>
      <c r="U39" s="837">
        <f t="shared" si="1"/>
        <v>7000</v>
      </c>
      <c r="V39" s="544"/>
      <c r="W39" s="544"/>
      <c r="X39" s="912">
        <f t="shared" si="4"/>
        <v>7000</v>
      </c>
      <c r="Y39" s="640"/>
      <c r="Z39" s="545" t="s">
        <v>177</v>
      </c>
      <c r="AA39" s="545" t="s">
        <v>178</v>
      </c>
      <c r="AB39" s="546" t="s">
        <v>187</v>
      </c>
      <c r="AC39" s="547">
        <v>2014</v>
      </c>
      <c r="AD39" s="93"/>
      <c r="AE39" s="93"/>
    </row>
    <row r="40" spans="1:31" s="94" customFormat="1" ht="50.1" customHeight="1">
      <c r="A40" s="910"/>
      <c r="B40" s="913"/>
      <c r="C40" s="985" t="s">
        <v>182</v>
      </c>
      <c r="D40" s="927" t="s">
        <v>216</v>
      </c>
      <c r="E40" s="642" t="str">
        <f>+D40</f>
        <v>RECONFORMACIÓN Y LIMPIEZA DE CUNETAS EN LA VIA PRINCIPAL - PIEDRA GRANDE</v>
      </c>
      <c r="F40" s="831" t="s">
        <v>171</v>
      </c>
      <c r="G40" s="831" t="str">
        <f>VLOOKUP(H40,'Pob. Ext, Parroquial'!$B$9:$C$117,2,0)</f>
        <v>GONZANAMA</v>
      </c>
      <c r="H40" s="831" t="s">
        <v>207</v>
      </c>
      <c r="I40" s="831" t="s">
        <v>173</v>
      </c>
      <c r="J40" s="831" t="s">
        <v>174</v>
      </c>
      <c r="K40" s="831"/>
      <c r="L40" s="537">
        <f>ROUNDUP(Q40/5.5/1000,2)</f>
        <v>0.91</v>
      </c>
      <c r="M40" s="538">
        <f>IF(K40&gt;0,VLOOKUP(H40,'[5]Pob. Ext, Parroquial'!$B$8:$F$117,4,FALSE),0)</f>
        <v>0</v>
      </c>
      <c r="N40" s="834" t="s">
        <v>183</v>
      </c>
      <c r="O40" s="836" t="s">
        <v>184</v>
      </c>
      <c r="P40" s="836">
        <v>0.35</v>
      </c>
      <c r="Q40" s="836">
        <v>5000</v>
      </c>
      <c r="R40" s="948">
        <v>41730</v>
      </c>
      <c r="S40" s="948">
        <v>41759</v>
      </c>
      <c r="T40" s="686" t="str">
        <f t="shared" si="0"/>
        <v>EJECUTADO</v>
      </c>
      <c r="U40" s="837">
        <f t="shared" si="1"/>
        <v>1750</v>
      </c>
      <c r="V40" s="544"/>
      <c r="W40" s="544"/>
      <c r="X40" s="912">
        <f t="shared" si="4"/>
        <v>1750</v>
      </c>
      <c r="Y40" s="640"/>
      <c r="Z40" s="545" t="s">
        <v>177</v>
      </c>
      <c r="AA40" s="545" t="s">
        <v>178</v>
      </c>
      <c r="AB40" s="546" t="s">
        <v>187</v>
      </c>
      <c r="AC40" s="547">
        <v>2014</v>
      </c>
      <c r="AD40" s="93"/>
      <c r="AE40" s="93"/>
    </row>
    <row r="41" spans="1:31" s="94" customFormat="1" ht="50.1" customHeight="1">
      <c r="A41" s="910"/>
      <c r="B41" s="913"/>
      <c r="C41" s="985" t="s">
        <v>182</v>
      </c>
      <c r="D41" s="927" t="s">
        <v>217</v>
      </c>
      <c r="E41" s="642" t="str">
        <f>+D41</f>
        <v>RECONFORMACIÓN Y LIMPIEZA DE CUNETAS EN LA VIA MOLLEPAMBA BAJO - MOLLEPAMBA ALTO</v>
      </c>
      <c r="F41" s="831" t="s">
        <v>171</v>
      </c>
      <c r="G41" s="831" t="str">
        <f>VLOOKUP(H41,'Pob. Ext, Parroquial'!$B$9:$C$117,2,0)</f>
        <v>GONZANAMA</v>
      </c>
      <c r="H41" s="831" t="s">
        <v>207</v>
      </c>
      <c r="I41" s="831" t="s">
        <v>173</v>
      </c>
      <c r="J41" s="831" t="s">
        <v>174</v>
      </c>
      <c r="K41" s="831"/>
      <c r="L41" s="537">
        <f>ROUNDUP(Q41/5.5/1000,2)</f>
        <v>1.1000000000000001</v>
      </c>
      <c r="M41" s="538">
        <f>IF(K41&gt;0,VLOOKUP(H41,'[5]Pob. Ext, Parroquial'!$B$8:$F$117,4,FALSE),0)</f>
        <v>0</v>
      </c>
      <c r="N41" s="834" t="s">
        <v>183</v>
      </c>
      <c r="O41" s="836" t="s">
        <v>184</v>
      </c>
      <c r="P41" s="836">
        <v>0.35</v>
      </c>
      <c r="Q41" s="836">
        <v>6000</v>
      </c>
      <c r="R41" s="948">
        <v>41730</v>
      </c>
      <c r="S41" s="948">
        <v>41759</v>
      </c>
      <c r="T41" s="686" t="str">
        <f t="shared" si="0"/>
        <v>EJECUTADO</v>
      </c>
      <c r="U41" s="837">
        <f t="shared" si="1"/>
        <v>2100</v>
      </c>
      <c r="V41" s="544"/>
      <c r="W41" s="544"/>
      <c r="X41" s="912">
        <f t="shared" si="4"/>
        <v>2100</v>
      </c>
      <c r="Y41" s="640"/>
      <c r="Z41" s="545" t="s">
        <v>177</v>
      </c>
      <c r="AA41" s="545" t="s">
        <v>178</v>
      </c>
      <c r="AB41" s="546" t="s">
        <v>187</v>
      </c>
      <c r="AC41" s="547">
        <v>2014</v>
      </c>
      <c r="AD41" s="93"/>
      <c r="AE41" s="93"/>
    </row>
    <row r="42" spans="1:31" s="94" customFormat="1" ht="50.1" customHeight="1">
      <c r="A42" s="910"/>
      <c r="B42" s="913"/>
      <c r="C42" s="985" t="s">
        <v>182</v>
      </c>
      <c r="D42" s="1117" t="s">
        <v>218</v>
      </c>
      <c r="E42" s="636" t="str">
        <f>+D42</f>
        <v>RECONFORMACION, BACHEO Y LIMPIEZA DE CUNETAS EN LA VIA ACCESO PRINCIPAL A LA PARROQUIA NAMBACOLA</v>
      </c>
      <c r="F42" s="831" t="s">
        <v>171</v>
      </c>
      <c r="G42" s="831" t="str">
        <f>VLOOKUP(H42,'Pob. Ext, Parroquial'!$B$9:$C$117,2,0)</f>
        <v>GONZANAMA</v>
      </c>
      <c r="H42" s="831" t="s">
        <v>207</v>
      </c>
      <c r="I42" s="831" t="s">
        <v>173</v>
      </c>
      <c r="J42" s="831" t="s">
        <v>174</v>
      </c>
      <c r="K42" s="831"/>
      <c r="L42" s="537">
        <f>ROUNDUP(Q42/5.5/1000,2)</f>
        <v>4.1399999999999997</v>
      </c>
      <c r="M42" s="538">
        <f>IF(K42&gt;0,VLOOKUP(H42,'[5]Pob. Ext, Parroquial'!$B$8:$F$117,4,FALSE),0)</f>
        <v>0</v>
      </c>
      <c r="N42" s="834" t="s">
        <v>183</v>
      </c>
      <c r="O42" s="836" t="s">
        <v>184</v>
      </c>
      <c r="P42" s="836">
        <v>0.35</v>
      </c>
      <c r="Q42" s="836">
        <v>22750</v>
      </c>
      <c r="R42" s="948">
        <v>41644</v>
      </c>
      <c r="S42" s="948">
        <v>41790</v>
      </c>
      <c r="T42" s="686" t="str">
        <f t="shared" si="0"/>
        <v>EJECUTADO</v>
      </c>
      <c r="U42" s="837">
        <f t="shared" si="1"/>
        <v>7962.5</v>
      </c>
      <c r="V42" s="544"/>
      <c r="W42" s="544"/>
      <c r="X42" s="912">
        <f t="shared" si="4"/>
        <v>7962.5</v>
      </c>
      <c r="Y42" s="640"/>
      <c r="Z42" s="545" t="s">
        <v>177</v>
      </c>
      <c r="AA42" s="545" t="s">
        <v>178</v>
      </c>
      <c r="AB42" s="546" t="s">
        <v>187</v>
      </c>
      <c r="AC42" s="547">
        <v>2014</v>
      </c>
      <c r="AD42" s="93"/>
      <c r="AE42" s="93"/>
    </row>
    <row r="43" spans="1:31" s="94" customFormat="1" ht="50.1" customHeight="1">
      <c r="A43" s="910"/>
      <c r="B43" s="913"/>
      <c r="C43" s="985" t="s">
        <v>182</v>
      </c>
      <c r="D43" s="1120"/>
      <c r="E43" s="636" t="str">
        <f>+E42</f>
        <v>RECONFORMACION, BACHEO Y LIMPIEZA DE CUNETAS EN LA VIA ACCESO PRINCIPAL A LA PARROQUIA NAMBACOLA</v>
      </c>
      <c r="F43" s="831" t="s">
        <v>171</v>
      </c>
      <c r="G43" s="831" t="str">
        <f>VLOOKUP(H43,'Pob. Ext, Parroquial'!$B$9:$C$117,2,0)</f>
        <v>GONZANAMA</v>
      </c>
      <c r="H43" s="831" t="s">
        <v>207</v>
      </c>
      <c r="I43" s="831" t="s">
        <v>173</v>
      </c>
      <c r="J43" s="831" t="s">
        <v>174</v>
      </c>
      <c r="K43" s="831"/>
      <c r="L43" s="537"/>
      <c r="M43" s="538">
        <f>IF(K43&gt;0,VLOOKUP(H43,'[5]Pob. Ext, Parroquial'!$B$8:$F$117,4,FALSE),0)</f>
        <v>0</v>
      </c>
      <c r="N43" s="834" t="s">
        <v>219</v>
      </c>
      <c r="O43" s="836" t="s">
        <v>176</v>
      </c>
      <c r="P43" s="836">
        <v>0.35</v>
      </c>
      <c r="Q43" s="836">
        <v>3774</v>
      </c>
      <c r="R43" s="948">
        <v>41644</v>
      </c>
      <c r="S43" s="948">
        <v>41790</v>
      </c>
      <c r="T43" s="686" t="str">
        <f t="shared" si="0"/>
        <v>EJECUTADO</v>
      </c>
      <c r="U43" s="837">
        <f t="shared" si="1"/>
        <v>1320.9</v>
      </c>
      <c r="V43" s="544"/>
      <c r="W43" s="544"/>
      <c r="X43" s="912">
        <f t="shared" si="4"/>
        <v>1320.9</v>
      </c>
      <c r="Y43" s="640"/>
      <c r="Z43" s="545" t="s">
        <v>177</v>
      </c>
      <c r="AA43" s="545" t="s">
        <v>178</v>
      </c>
      <c r="AB43" s="546" t="s">
        <v>187</v>
      </c>
      <c r="AC43" s="547">
        <v>2014</v>
      </c>
      <c r="AD43" s="93"/>
      <c r="AE43" s="93"/>
    </row>
    <row r="44" spans="1:31" s="94" customFormat="1" ht="50.1" customHeight="1">
      <c r="A44" s="910"/>
      <c r="B44" s="913"/>
      <c r="C44" s="985" t="s">
        <v>182</v>
      </c>
      <c r="D44" s="1117" t="s">
        <v>794</v>
      </c>
      <c r="E44" s="636" t="str">
        <f>+D44</f>
        <v>RECONFORMACION, BACHEO Y LIMPIEZA DE CUNETAS EN LA VIA SACAPALCA CHANGAIMINA</v>
      </c>
      <c r="F44" s="831" t="s">
        <v>171</v>
      </c>
      <c r="G44" s="831" t="str">
        <f>VLOOKUP(H44,'Pob. Ext, Parroquial'!$B$9:$C$117,2,0)</f>
        <v>GONZANAMA</v>
      </c>
      <c r="H44" s="831" t="s">
        <v>205</v>
      </c>
      <c r="I44" s="831" t="s">
        <v>173</v>
      </c>
      <c r="J44" s="831" t="s">
        <v>174</v>
      </c>
      <c r="K44" s="831"/>
      <c r="L44" s="537">
        <v>14</v>
      </c>
      <c r="M44" s="538">
        <f>IF(K44&gt;0,VLOOKUP(H44,'[5]Pob. Ext, Parroquial'!$B$8:$F$117,4,FALSE),0)</f>
        <v>0</v>
      </c>
      <c r="N44" s="834" t="s">
        <v>183</v>
      </c>
      <c r="O44" s="836" t="s">
        <v>184</v>
      </c>
      <c r="P44" s="836">
        <v>0.35</v>
      </c>
      <c r="Q44" s="836">
        <v>117000</v>
      </c>
      <c r="R44" s="948">
        <v>41791</v>
      </c>
      <c r="S44" s="948">
        <v>41820</v>
      </c>
      <c r="T44" s="686" t="str">
        <f t="shared" si="0"/>
        <v>EJECUTADO</v>
      </c>
      <c r="U44" s="837">
        <f t="shared" si="1"/>
        <v>40950</v>
      </c>
      <c r="V44" s="544"/>
      <c r="W44" s="544"/>
      <c r="X44" s="912">
        <f t="shared" si="4"/>
        <v>40950</v>
      </c>
      <c r="Y44" s="640"/>
      <c r="Z44" s="545" t="s">
        <v>221</v>
      </c>
      <c r="AA44" s="545" t="s">
        <v>178</v>
      </c>
      <c r="AB44" s="546" t="s">
        <v>187</v>
      </c>
      <c r="AC44" s="547">
        <v>2014</v>
      </c>
      <c r="AD44" s="93"/>
      <c r="AE44" s="93"/>
    </row>
    <row r="45" spans="1:31" s="94" customFormat="1" ht="50.1" customHeight="1">
      <c r="A45" s="910"/>
      <c r="B45" s="913"/>
      <c r="C45" s="985" t="s">
        <v>182</v>
      </c>
      <c r="D45" s="1120"/>
      <c r="E45" s="636" t="str">
        <f>+E44</f>
        <v>RECONFORMACION, BACHEO Y LIMPIEZA DE CUNETAS EN LA VIA SACAPALCA CHANGAIMINA</v>
      </c>
      <c r="F45" s="831" t="s">
        <v>171</v>
      </c>
      <c r="G45" s="831" t="str">
        <f>VLOOKUP(H45,'Pob. Ext, Parroquial'!$B$9:$C$117,2,0)</f>
        <v>GONZANAMA</v>
      </c>
      <c r="H45" s="831" t="s">
        <v>205</v>
      </c>
      <c r="I45" s="831" t="s">
        <v>173</v>
      </c>
      <c r="J45" s="831" t="s">
        <v>174</v>
      </c>
      <c r="K45" s="831"/>
      <c r="L45" s="537"/>
      <c r="M45" s="538">
        <f>IF(K45&gt;0,VLOOKUP(H45,'[5]Pob. Ext, Parroquial'!$B$8:$F$117,4,FALSE),0)</f>
        <v>0</v>
      </c>
      <c r="N45" s="834" t="s">
        <v>219</v>
      </c>
      <c r="O45" s="836" t="s">
        <v>176</v>
      </c>
      <c r="P45" s="836">
        <v>0.35</v>
      </c>
      <c r="Q45" s="836">
        <v>31590</v>
      </c>
      <c r="R45" s="948">
        <v>41791</v>
      </c>
      <c r="S45" s="948">
        <v>41820</v>
      </c>
      <c r="T45" s="686" t="str">
        <f t="shared" si="0"/>
        <v>EJECUTADO</v>
      </c>
      <c r="U45" s="837">
        <f t="shared" si="1"/>
        <v>11056.5</v>
      </c>
      <c r="V45" s="544"/>
      <c r="W45" s="544"/>
      <c r="X45" s="912">
        <f t="shared" si="4"/>
        <v>11056.5</v>
      </c>
      <c r="Y45" s="640"/>
      <c r="Z45" s="545" t="s">
        <v>221</v>
      </c>
      <c r="AA45" s="545" t="s">
        <v>178</v>
      </c>
      <c r="AB45" s="546" t="s">
        <v>187</v>
      </c>
      <c r="AC45" s="547">
        <v>2014</v>
      </c>
      <c r="AD45" s="93"/>
      <c r="AE45" s="93"/>
    </row>
    <row r="46" spans="1:31" s="94" customFormat="1" ht="50.1" customHeight="1">
      <c r="A46" s="910"/>
      <c r="B46" s="913"/>
      <c r="C46" s="985" t="s">
        <v>182</v>
      </c>
      <c r="D46" s="1117" t="s">
        <v>220</v>
      </c>
      <c r="E46" s="636" t="str">
        <f>+D46</f>
        <v>RECONFORMACION, BACHEO Y LIMPIEZA DE CUNETAS EN LA VIA SUNAMANGA SACAPALCA</v>
      </c>
      <c r="F46" s="831" t="s">
        <v>171</v>
      </c>
      <c r="G46" s="831" t="str">
        <f>VLOOKUP(H46,'Pob. Ext, Parroquial'!$B$9:$C$117,2,0)</f>
        <v>GONZANAMA</v>
      </c>
      <c r="H46" s="831" t="s">
        <v>205</v>
      </c>
      <c r="I46" s="831" t="s">
        <v>173</v>
      </c>
      <c r="J46" s="831" t="s">
        <v>174</v>
      </c>
      <c r="K46" s="831"/>
      <c r="L46" s="537">
        <v>21.28</v>
      </c>
      <c r="M46" s="538">
        <f>IF(K46&gt;0,VLOOKUP(H46,'[5]Pob. Ext, Parroquial'!$B$8:$F$117,4,FALSE),0)</f>
        <v>0</v>
      </c>
      <c r="N46" s="834" t="s">
        <v>183</v>
      </c>
      <c r="O46" s="836" t="s">
        <v>184</v>
      </c>
      <c r="P46" s="836">
        <v>0.35</v>
      </c>
      <c r="Q46" s="836">
        <v>84000</v>
      </c>
      <c r="R46" s="948">
        <v>41883</v>
      </c>
      <c r="S46" s="948">
        <v>41912</v>
      </c>
      <c r="T46" s="686" t="str">
        <f t="shared" si="0"/>
        <v>EJECUTADO</v>
      </c>
      <c r="U46" s="837">
        <f t="shared" si="1"/>
        <v>29400</v>
      </c>
      <c r="V46" s="544"/>
      <c r="W46" s="544"/>
      <c r="X46" s="912">
        <f t="shared" si="4"/>
        <v>29400</v>
      </c>
      <c r="Y46" s="640"/>
      <c r="Z46" s="545" t="s">
        <v>221</v>
      </c>
      <c r="AA46" s="545" t="s">
        <v>178</v>
      </c>
      <c r="AB46" s="546" t="s">
        <v>187</v>
      </c>
      <c r="AC46" s="547">
        <v>2014</v>
      </c>
      <c r="AD46" s="93"/>
      <c r="AE46" s="93"/>
    </row>
    <row r="47" spans="1:31" s="94" customFormat="1" ht="50.1" customHeight="1">
      <c r="A47" s="910"/>
      <c r="B47" s="913"/>
      <c r="C47" s="985" t="s">
        <v>182</v>
      </c>
      <c r="D47" s="1120"/>
      <c r="E47" s="636" t="str">
        <f>+E46</f>
        <v>RECONFORMACION, BACHEO Y LIMPIEZA DE CUNETAS EN LA VIA SUNAMANGA SACAPALCA</v>
      </c>
      <c r="F47" s="831" t="s">
        <v>171</v>
      </c>
      <c r="G47" s="831" t="str">
        <f>VLOOKUP(H47,'Pob. Ext, Parroquial'!$B$9:$C$117,2,0)</f>
        <v>GONZANAMA</v>
      </c>
      <c r="H47" s="831" t="s">
        <v>205</v>
      </c>
      <c r="I47" s="831" t="s">
        <v>173</v>
      </c>
      <c r="J47" s="831" t="s">
        <v>174</v>
      </c>
      <c r="K47" s="831"/>
      <c r="L47" s="537"/>
      <c r="M47" s="538">
        <f>IF(K47&gt;0,VLOOKUP(H47,'[5]Pob. Ext, Parroquial'!$B$8:$F$117,4,FALSE),0)</f>
        <v>0</v>
      </c>
      <c r="N47" s="834" t="s">
        <v>219</v>
      </c>
      <c r="O47" s="836" t="s">
        <v>176</v>
      </c>
      <c r="P47" s="836">
        <v>0.35</v>
      </c>
      <c r="Q47" s="836">
        <v>22680</v>
      </c>
      <c r="R47" s="948">
        <v>41883</v>
      </c>
      <c r="S47" s="948">
        <v>41912</v>
      </c>
      <c r="T47" s="686" t="str">
        <f t="shared" si="0"/>
        <v>EJECUTADO</v>
      </c>
      <c r="U47" s="837">
        <f t="shared" si="1"/>
        <v>7938</v>
      </c>
      <c r="V47" s="544"/>
      <c r="W47" s="544"/>
      <c r="X47" s="912">
        <f t="shared" si="4"/>
        <v>7938</v>
      </c>
      <c r="Y47" s="640"/>
      <c r="Z47" s="545" t="s">
        <v>221</v>
      </c>
      <c r="AA47" s="545" t="s">
        <v>178</v>
      </c>
      <c r="AB47" s="546" t="s">
        <v>187</v>
      </c>
      <c r="AC47" s="547">
        <v>2014</v>
      </c>
      <c r="AD47" s="93"/>
      <c r="AE47" s="93"/>
    </row>
    <row r="48" spans="1:31" s="94" customFormat="1" ht="50.1" customHeight="1">
      <c r="A48" s="910"/>
      <c r="B48" s="913"/>
      <c r="C48" s="985" t="s">
        <v>182</v>
      </c>
      <c r="D48" s="1117" t="s">
        <v>795</v>
      </c>
      <c r="E48" s="636" t="str">
        <f>+D48</f>
        <v>RECONFORMACION, BACHEO Y LIMPIEZA DE CUNETAS EN LA VIA SACAPALCA SAN VICENTE DEL RIO</v>
      </c>
      <c r="F48" s="831" t="s">
        <v>171</v>
      </c>
      <c r="G48" s="831" t="str">
        <f>VLOOKUP(H48,'Pob. Ext, Parroquial'!$B$9:$C$117,2,0)</f>
        <v>GONZANAMA</v>
      </c>
      <c r="H48" s="831" t="s">
        <v>205</v>
      </c>
      <c r="I48" s="831" t="s">
        <v>173</v>
      </c>
      <c r="J48" s="831" t="s">
        <v>174</v>
      </c>
      <c r="K48" s="831"/>
      <c r="L48" s="537">
        <v>10</v>
      </c>
      <c r="M48" s="538">
        <f>IF(K48&gt;0,VLOOKUP(H48,'[5]Pob. Ext, Parroquial'!$B$8:$F$117,4,FALSE),0)</f>
        <v>0</v>
      </c>
      <c r="N48" s="834" t="s">
        <v>183</v>
      </c>
      <c r="O48" s="836" t="s">
        <v>184</v>
      </c>
      <c r="P48" s="836">
        <v>0.35</v>
      </c>
      <c r="Q48" s="836">
        <v>48000</v>
      </c>
      <c r="R48" s="948">
        <v>41883</v>
      </c>
      <c r="S48" s="948">
        <v>41912</v>
      </c>
      <c r="T48" s="686" t="str">
        <f t="shared" si="0"/>
        <v>EJECUTADO</v>
      </c>
      <c r="U48" s="837">
        <f t="shared" si="1"/>
        <v>16800</v>
      </c>
      <c r="V48" s="544"/>
      <c r="W48" s="544"/>
      <c r="X48" s="912">
        <f t="shared" si="4"/>
        <v>16800</v>
      </c>
      <c r="Y48" s="640"/>
      <c r="Z48" s="545" t="s">
        <v>221</v>
      </c>
      <c r="AA48" s="545" t="s">
        <v>178</v>
      </c>
      <c r="AB48" s="546" t="s">
        <v>187</v>
      </c>
      <c r="AC48" s="547">
        <v>2014</v>
      </c>
      <c r="AD48" s="93"/>
      <c r="AE48" s="93"/>
    </row>
    <row r="49" spans="1:31" s="94" customFormat="1" ht="50.1" customHeight="1">
      <c r="A49" s="910"/>
      <c r="B49" s="913"/>
      <c r="C49" s="985" t="s">
        <v>182</v>
      </c>
      <c r="D49" s="1120"/>
      <c r="E49" s="636" t="str">
        <f>+E48</f>
        <v>RECONFORMACION, BACHEO Y LIMPIEZA DE CUNETAS EN LA VIA SACAPALCA SAN VICENTE DEL RIO</v>
      </c>
      <c r="F49" s="831" t="s">
        <v>171</v>
      </c>
      <c r="G49" s="831" t="str">
        <f>VLOOKUP(H49,'Pob. Ext, Parroquial'!$B$9:$C$117,2,0)</f>
        <v>GONZANAMA</v>
      </c>
      <c r="H49" s="831" t="s">
        <v>205</v>
      </c>
      <c r="I49" s="831" t="s">
        <v>173</v>
      </c>
      <c r="J49" s="831" t="s">
        <v>174</v>
      </c>
      <c r="K49" s="831"/>
      <c r="L49" s="537"/>
      <c r="M49" s="538">
        <f>IF(K49&gt;0,VLOOKUP(H49,'[5]Pob. Ext, Parroquial'!$B$8:$F$117,4,FALSE),0)</f>
        <v>0</v>
      </c>
      <c r="N49" s="834" t="s">
        <v>219</v>
      </c>
      <c r="O49" s="836" t="s">
        <v>176</v>
      </c>
      <c r="P49" s="836">
        <v>0.35</v>
      </c>
      <c r="Q49" s="836">
        <v>12960</v>
      </c>
      <c r="R49" s="948">
        <v>41883</v>
      </c>
      <c r="S49" s="948">
        <v>41912</v>
      </c>
      <c r="T49" s="686" t="str">
        <f t="shared" si="0"/>
        <v>EJECUTADO</v>
      </c>
      <c r="U49" s="837">
        <f t="shared" si="1"/>
        <v>4536</v>
      </c>
      <c r="V49" s="544"/>
      <c r="W49" s="544"/>
      <c r="X49" s="912">
        <f t="shared" si="4"/>
        <v>4536</v>
      </c>
      <c r="Y49" s="640"/>
      <c r="Z49" s="545" t="s">
        <v>221</v>
      </c>
      <c r="AA49" s="545" t="s">
        <v>178</v>
      </c>
      <c r="AB49" s="546" t="s">
        <v>187</v>
      </c>
      <c r="AC49" s="547">
        <v>2014</v>
      </c>
      <c r="AD49" s="93"/>
      <c r="AE49" s="93"/>
    </row>
    <row r="50" spans="1:31" s="94" customFormat="1" ht="50.1" customHeight="1">
      <c r="A50" s="910"/>
      <c r="B50" s="913"/>
      <c r="C50" s="985" t="s">
        <v>182</v>
      </c>
      <c r="D50" s="1117" t="s">
        <v>796</v>
      </c>
      <c r="E50" s="636" t="str">
        <f>+D50</f>
        <v>RECONFORMACION, BACHEO Y LIMPIEZA DE CUNETAS EN LA VIA SACAPALCA  CHIRIMOYO</v>
      </c>
      <c r="F50" s="831" t="s">
        <v>171</v>
      </c>
      <c r="G50" s="831" t="str">
        <f>VLOOKUP(H50,'Pob. Ext, Parroquial'!$B$9:$C$117,2,0)</f>
        <v>GONZANAMA</v>
      </c>
      <c r="H50" s="831" t="s">
        <v>205</v>
      </c>
      <c r="I50" s="831" t="s">
        <v>173</v>
      </c>
      <c r="J50" s="831" t="s">
        <v>174</v>
      </c>
      <c r="K50" s="831"/>
      <c r="L50" s="537">
        <v>2</v>
      </c>
      <c r="M50" s="538">
        <f>IF(K50&gt;0,VLOOKUP(H50,'[5]Pob. Ext, Parroquial'!$B$8:$F$117,4,FALSE),0)</f>
        <v>0</v>
      </c>
      <c r="N50" s="834" t="s">
        <v>183</v>
      </c>
      <c r="O50" s="836" t="s">
        <v>184</v>
      </c>
      <c r="P50" s="836">
        <v>0.35</v>
      </c>
      <c r="Q50" s="836">
        <v>12000</v>
      </c>
      <c r="R50" s="948">
        <v>41883</v>
      </c>
      <c r="S50" s="948">
        <v>41912</v>
      </c>
      <c r="T50" s="686" t="str">
        <f t="shared" si="0"/>
        <v>EJECUTADO</v>
      </c>
      <c r="U50" s="837">
        <f t="shared" si="1"/>
        <v>4200</v>
      </c>
      <c r="V50" s="544"/>
      <c r="W50" s="544"/>
      <c r="X50" s="912">
        <f t="shared" si="4"/>
        <v>4200</v>
      </c>
      <c r="Y50" s="640"/>
      <c r="Z50" s="545" t="s">
        <v>221</v>
      </c>
      <c r="AA50" s="545" t="s">
        <v>178</v>
      </c>
      <c r="AB50" s="546" t="s">
        <v>187</v>
      </c>
      <c r="AC50" s="547">
        <v>2014</v>
      </c>
      <c r="AD50" s="93"/>
      <c r="AE50" s="93"/>
    </row>
    <row r="51" spans="1:31" s="94" customFormat="1" ht="50.1" customHeight="1">
      <c r="A51" s="910"/>
      <c r="B51" s="913"/>
      <c r="C51" s="985" t="s">
        <v>182</v>
      </c>
      <c r="D51" s="1120"/>
      <c r="E51" s="636" t="str">
        <f>+E50</f>
        <v>RECONFORMACION, BACHEO Y LIMPIEZA DE CUNETAS EN LA VIA SACAPALCA  CHIRIMOYO</v>
      </c>
      <c r="F51" s="831" t="s">
        <v>171</v>
      </c>
      <c r="G51" s="831" t="str">
        <f>VLOOKUP(H51,'Pob. Ext, Parroquial'!$B$9:$C$117,2,0)</f>
        <v>GONZANAMA</v>
      </c>
      <c r="H51" s="831" t="s">
        <v>205</v>
      </c>
      <c r="I51" s="831" t="s">
        <v>173</v>
      </c>
      <c r="J51" s="831" t="s">
        <v>174</v>
      </c>
      <c r="K51" s="831"/>
      <c r="L51" s="537"/>
      <c r="M51" s="538">
        <f>IF(K51&gt;0,VLOOKUP(H51,'[5]Pob. Ext, Parroquial'!$B$8:$F$117,4,FALSE),0)</f>
        <v>0</v>
      </c>
      <c r="N51" s="834" t="s">
        <v>219</v>
      </c>
      <c r="O51" s="836" t="s">
        <v>176</v>
      </c>
      <c r="P51" s="836">
        <v>0.35</v>
      </c>
      <c r="Q51" s="836">
        <v>3240</v>
      </c>
      <c r="R51" s="948">
        <v>41883</v>
      </c>
      <c r="S51" s="948">
        <v>41912</v>
      </c>
      <c r="T51" s="686" t="str">
        <f t="shared" si="0"/>
        <v>EJECUTADO</v>
      </c>
      <c r="U51" s="837">
        <f t="shared" si="1"/>
        <v>1134</v>
      </c>
      <c r="V51" s="544"/>
      <c r="W51" s="544"/>
      <c r="X51" s="912">
        <f t="shared" si="4"/>
        <v>1134</v>
      </c>
      <c r="Y51" s="640"/>
      <c r="Z51" s="545" t="s">
        <v>221</v>
      </c>
      <c r="AA51" s="545" t="s">
        <v>178</v>
      </c>
      <c r="AB51" s="546" t="s">
        <v>187</v>
      </c>
      <c r="AC51" s="547">
        <v>2014</v>
      </c>
      <c r="AD51" s="93"/>
      <c r="AE51" s="93"/>
    </row>
    <row r="52" spans="1:31" s="94" customFormat="1" ht="50.1" customHeight="1">
      <c r="A52" s="910"/>
      <c r="B52" s="913"/>
      <c r="C52" s="985" t="s">
        <v>182</v>
      </c>
      <c r="D52" s="1117" t="s">
        <v>797</v>
      </c>
      <c r="E52" s="636" t="str">
        <f>+D52</f>
        <v>RECONFORMACION, BACHEO Y LIMPIEZA DE CUNETAS EN LA VIA CHIRIMOYO LIMON VEGA</v>
      </c>
      <c r="F52" s="831" t="s">
        <v>171</v>
      </c>
      <c r="G52" s="831" t="str">
        <f>VLOOKUP(H52,'Pob. Ext, Parroquial'!$B$9:$C$117,2,0)</f>
        <v>GONZANAMA</v>
      </c>
      <c r="H52" s="831" t="s">
        <v>205</v>
      </c>
      <c r="I52" s="831" t="s">
        <v>173</v>
      </c>
      <c r="J52" s="831" t="s">
        <v>174</v>
      </c>
      <c r="K52" s="831"/>
      <c r="L52" s="537">
        <v>8</v>
      </c>
      <c r="M52" s="538">
        <f>IF(K52&gt;0,VLOOKUP(H52,'[5]Pob. Ext, Parroquial'!$B$8:$F$117,4,FALSE),0)</f>
        <v>0</v>
      </c>
      <c r="N52" s="834" t="s">
        <v>183</v>
      </c>
      <c r="O52" s="836" t="s">
        <v>184</v>
      </c>
      <c r="P52" s="836">
        <v>0.35</v>
      </c>
      <c r="Q52" s="836">
        <v>60000</v>
      </c>
      <c r="R52" s="948">
        <v>41883</v>
      </c>
      <c r="S52" s="948">
        <v>41912</v>
      </c>
      <c r="T52" s="686" t="str">
        <f t="shared" si="0"/>
        <v>EJECUTADO</v>
      </c>
      <c r="U52" s="837">
        <f t="shared" si="1"/>
        <v>21000</v>
      </c>
      <c r="V52" s="544"/>
      <c r="W52" s="544"/>
      <c r="X52" s="912">
        <f t="shared" si="4"/>
        <v>21000</v>
      </c>
      <c r="Y52" s="640"/>
      <c r="Z52" s="545" t="s">
        <v>221</v>
      </c>
      <c r="AA52" s="545" t="s">
        <v>178</v>
      </c>
      <c r="AB52" s="546" t="s">
        <v>187</v>
      </c>
      <c r="AC52" s="547">
        <v>2014</v>
      </c>
      <c r="AD52" s="93"/>
      <c r="AE52" s="93"/>
    </row>
    <row r="53" spans="1:31" s="94" customFormat="1" ht="50.1" customHeight="1">
      <c r="A53" s="910"/>
      <c r="B53" s="913"/>
      <c r="C53" s="985" t="s">
        <v>182</v>
      </c>
      <c r="D53" s="1120"/>
      <c r="E53" s="636" t="str">
        <f>+E52</f>
        <v>RECONFORMACION, BACHEO Y LIMPIEZA DE CUNETAS EN LA VIA CHIRIMOYO LIMON VEGA</v>
      </c>
      <c r="F53" s="831" t="s">
        <v>171</v>
      </c>
      <c r="G53" s="831" t="str">
        <f>VLOOKUP(H53,'Pob. Ext, Parroquial'!$B$9:$C$117,2,0)</f>
        <v>GONZANAMA</v>
      </c>
      <c r="H53" s="831" t="s">
        <v>205</v>
      </c>
      <c r="I53" s="831" t="s">
        <v>173</v>
      </c>
      <c r="J53" s="831" t="s">
        <v>174</v>
      </c>
      <c r="K53" s="831"/>
      <c r="L53" s="537"/>
      <c r="M53" s="538">
        <f>IF(K53&gt;0,VLOOKUP(H53,'[5]Pob. Ext, Parroquial'!$B$8:$F$117,4,FALSE),0)</f>
        <v>0</v>
      </c>
      <c r="N53" s="834" t="s">
        <v>219</v>
      </c>
      <c r="O53" s="836" t="s">
        <v>176</v>
      </c>
      <c r="P53" s="836">
        <v>0.35</v>
      </c>
      <c r="Q53" s="836">
        <v>16200</v>
      </c>
      <c r="R53" s="948">
        <v>41883</v>
      </c>
      <c r="S53" s="948">
        <v>41912</v>
      </c>
      <c r="T53" s="686" t="str">
        <f t="shared" si="0"/>
        <v>EJECUTADO</v>
      </c>
      <c r="U53" s="837">
        <f t="shared" si="1"/>
        <v>5670</v>
      </c>
      <c r="V53" s="544"/>
      <c r="W53" s="544"/>
      <c r="X53" s="912">
        <f t="shared" si="4"/>
        <v>5670</v>
      </c>
      <c r="Y53" s="640"/>
      <c r="Z53" s="545" t="s">
        <v>221</v>
      </c>
      <c r="AA53" s="545" t="s">
        <v>178</v>
      </c>
      <c r="AB53" s="546" t="s">
        <v>187</v>
      </c>
      <c r="AC53" s="547">
        <v>2014</v>
      </c>
      <c r="AD53" s="93"/>
      <c r="AE53" s="93"/>
    </row>
    <row r="54" spans="1:31" s="94" customFormat="1" ht="50.1" customHeight="1">
      <c r="A54" s="910"/>
      <c r="B54" s="913"/>
      <c r="C54" s="985" t="s">
        <v>182</v>
      </c>
      <c r="D54" s="927" t="s">
        <v>222</v>
      </c>
      <c r="E54" s="642" t="str">
        <f>+D54</f>
        <v>TRABAJOS EMERGENTES PARA RAZANTEO Y LIMPIEZA DE CUNETAS BARRIO EL INGENIO</v>
      </c>
      <c r="F54" s="831" t="s">
        <v>171</v>
      </c>
      <c r="G54" s="831" t="str">
        <f>VLOOKUP(H54,'Pob. Ext, Parroquial'!$B$9:$C$117,2,0)</f>
        <v>ESPINDOLA</v>
      </c>
      <c r="H54" s="831" t="s">
        <v>223</v>
      </c>
      <c r="I54" s="831" t="s">
        <v>173</v>
      </c>
      <c r="J54" s="831" t="s">
        <v>174</v>
      </c>
      <c r="K54" s="831"/>
      <c r="L54" s="537">
        <f>ROUNDUP(Q54/5.5/1000,2)</f>
        <v>6.55</v>
      </c>
      <c r="M54" s="538">
        <f>IF(K54&gt;0,VLOOKUP(H54,'[5]Pob. Ext, Parroquial'!$B$8:$F$117,4,FALSE),0)</f>
        <v>0</v>
      </c>
      <c r="N54" s="834" t="s">
        <v>185</v>
      </c>
      <c r="O54" s="836" t="s">
        <v>224</v>
      </c>
      <c r="P54" s="836">
        <v>0.08</v>
      </c>
      <c r="Q54" s="836">
        <v>36000</v>
      </c>
      <c r="R54" s="948">
        <v>41883</v>
      </c>
      <c r="S54" s="948">
        <v>41912</v>
      </c>
      <c r="T54" s="686" t="str">
        <f t="shared" si="0"/>
        <v>EJECUTADO</v>
      </c>
      <c r="U54" s="837">
        <f t="shared" si="1"/>
        <v>2880</v>
      </c>
      <c r="V54" s="544"/>
      <c r="W54" s="544"/>
      <c r="X54" s="912">
        <f t="shared" si="4"/>
        <v>2880</v>
      </c>
      <c r="Y54" s="640"/>
      <c r="Z54" s="545" t="s">
        <v>177</v>
      </c>
      <c r="AA54" s="545" t="s">
        <v>178</v>
      </c>
      <c r="AB54" s="546" t="s">
        <v>187</v>
      </c>
      <c r="AC54" s="547">
        <v>2014</v>
      </c>
      <c r="AD54" s="93"/>
      <c r="AE54" s="93"/>
    </row>
    <row r="55" spans="1:31" s="94" customFormat="1" ht="50.1" customHeight="1">
      <c r="A55" s="910"/>
      <c r="B55" s="913"/>
      <c r="C55" s="985" t="s">
        <v>182</v>
      </c>
      <c r="D55" s="927" t="s">
        <v>225</v>
      </c>
      <c r="E55" s="642" t="str">
        <f>+D55</f>
        <v>AMPLIACIÓN DE CURVAS Y DE VIA EN EL BARRIO EL GUABO</v>
      </c>
      <c r="F55" s="831" t="s">
        <v>171</v>
      </c>
      <c r="G55" s="831" t="str">
        <f>VLOOKUP(H55,'Pob. Ext, Parroquial'!$B$9:$C$117,2,0)</f>
        <v>ESPINDOLA</v>
      </c>
      <c r="H55" s="831" t="s">
        <v>223</v>
      </c>
      <c r="I55" s="831" t="s">
        <v>173</v>
      </c>
      <c r="J55" s="831" t="s">
        <v>174</v>
      </c>
      <c r="K55" s="831"/>
      <c r="L55" s="537"/>
      <c r="M55" s="538">
        <f>IF(K55&gt;0,VLOOKUP(H55,'[5]Pob. Ext, Parroquial'!$B$8:$F$117,4,FALSE),0)</f>
        <v>0</v>
      </c>
      <c r="N55" s="834" t="s">
        <v>226</v>
      </c>
      <c r="O55" s="836" t="s">
        <v>176</v>
      </c>
      <c r="P55" s="836">
        <v>1.62</v>
      </c>
      <c r="Q55" s="836">
        <v>8000</v>
      </c>
      <c r="R55" s="948">
        <v>41883</v>
      </c>
      <c r="S55" s="948">
        <v>41912</v>
      </c>
      <c r="T55" s="686" t="str">
        <f t="shared" si="0"/>
        <v>EJECUTADO</v>
      </c>
      <c r="U55" s="837">
        <f t="shared" si="1"/>
        <v>12960</v>
      </c>
      <c r="V55" s="544"/>
      <c r="W55" s="544"/>
      <c r="X55" s="912">
        <f t="shared" si="4"/>
        <v>12960</v>
      </c>
      <c r="Y55" s="640"/>
      <c r="Z55" s="545" t="s">
        <v>177</v>
      </c>
      <c r="AA55" s="545" t="s">
        <v>178</v>
      </c>
      <c r="AB55" s="546" t="s">
        <v>187</v>
      </c>
      <c r="AC55" s="547">
        <v>2014</v>
      </c>
      <c r="AD55" s="93"/>
      <c r="AE55" s="93"/>
    </row>
    <row r="56" spans="1:31" s="94" customFormat="1" ht="50.1" customHeight="1">
      <c r="A56" s="1068"/>
      <c r="B56" s="645"/>
      <c r="C56" s="985" t="s">
        <v>182</v>
      </c>
      <c r="D56" s="1117" t="s">
        <v>227</v>
      </c>
      <c r="E56" s="636" t="str">
        <f>+D56</f>
        <v>MEJORAMIENTO DE LA VIA BARRIO EL GUABO - COLOCACION DE MATERIAL DE MEJORAMIENTO EN TRAMOS CRITICOS</v>
      </c>
      <c r="F56" s="831" t="s">
        <v>171</v>
      </c>
      <c r="G56" s="831" t="str">
        <f>VLOOKUP(H56,'Pob. Ext, Parroquial'!$B$9:$C$117,2,0)</f>
        <v>ESPINDOLA</v>
      </c>
      <c r="H56" s="831" t="s">
        <v>228</v>
      </c>
      <c r="I56" s="831" t="s">
        <v>173</v>
      </c>
      <c r="J56" s="831" t="s">
        <v>174</v>
      </c>
      <c r="K56" s="831"/>
      <c r="L56" s="537"/>
      <c r="M56" s="538">
        <f>IF(K56&gt;0,VLOOKUP(H56,'[5]Pob. Ext, Parroquial'!$B$8:$F$117,4,FALSE),0)</f>
        <v>0</v>
      </c>
      <c r="N56" s="834" t="s">
        <v>175</v>
      </c>
      <c r="O56" s="836" t="s">
        <v>176</v>
      </c>
      <c r="P56" s="836">
        <v>1.62</v>
      </c>
      <c r="Q56" s="836">
        <v>3000</v>
      </c>
      <c r="R56" s="948">
        <v>41883</v>
      </c>
      <c r="S56" s="948">
        <v>41912</v>
      </c>
      <c r="T56" s="686" t="str">
        <f t="shared" si="0"/>
        <v>EJECUTADO</v>
      </c>
      <c r="U56" s="837">
        <f t="shared" si="1"/>
        <v>4860</v>
      </c>
      <c r="V56" s="544"/>
      <c r="W56" s="544"/>
      <c r="X56" s="660">
        <f>SUM(U56:U58)</f>
        <v>23670</v>
      </c>
      <c r="Y56" s="640"/>
      <c r="Z56" s="545" t="s">
        <v>177</v>
      </c>
      <c r="AA56" s="545" t="s">
        <v>178</v>
      </c>
      <c r="AB56" s="546" t="s">
        <v>179</v>
      </c>
      <c r="AC56" s="547">
        <v>2014</v>
      </c>
      <c r="AD56" s="93"/>
      <c r="AE56" s="93"/>
    </row>
    <row r="57" spans="1:31" s="94" customFormat="1" ht="50.1" customHeight="1">
      <c r="A57" s="1068"/>
      <c r="B57" s="648"/>
      <c r="C57" s="985" t="s">
        <v>182</v>
      </c>
      <c r="D57" s="1118"/>
      <c r="E57" s="636" t="str">
        <f>+E56</f>
        <v>MEJORAMIENTO DE LA VIA BARRIO EL GUABO - COLOCACION DE MATERIAL DE MEJORAMIENTO EN TRAMOS CRITICOS</v>
      </c>
      <c r="F57" s="831" t="s">
        <v>171</v>
      </c>
      <c r="G57" s="831" t="str">
        <f>VLOOKUP(H57,'Pob. Ext, Parroquial'!$B$9:$C$117,2,0)</f>
        <v>ESPINDOLA</v>
      </c>
      <c r="H57" s="831" t="s">
        <v>228</v>
      </c>
      <c r="I57" s="831" t="s">
        <v>173</v>
      </c>
      <c r="J57" s="831" t="s">
        <v>174</v>
      </c>
      <c r="K57" s="831"/>
      <c r="L57" s="537"/>
      <c r="M57" s="538">
        <f>IF(K57&gt;0,VLOOKUP(H57,'[5]Pob. Ext, Parroquial'!$B$8:$F$117,4,FALSE),0)</f>
        <v>0</v>
      </c>
      <c r="N57" s="834" t="s">
        <v>180</v>
      </c>
      <c r="O57" s="836" t="s">
        <v>181</v>
      </c>
      <c r="P57" s="836">
        <v>0.35</v>
      </c>
      <c r="Q57" s="836">
        <v>3000</v>
      </c>
      <c r="R57" s="948">
        <v>41883</v>
      </c>
      <c r="S57" s="948">
        <v>41912</v>
      </c>
      <c r="T57" s="686" t="str">
        <f t="shared" si="0"/>
        <v>EJECUTADO</v>
      </c>
      <c r="U57" s="837">
        <f t="shared" si="1"/>
        <v>1050</v>
      </c>
      <c r="V57" s="544"/>
      <c r="W57" s="544"/>
      <c r="X57" s="662"/>
      <c r="Y57" s="640"/>
      <c r="Z57" s="545" t="s">
        <v>177</v>
      </c>
      <c r="AA57" s="545" t="s">
        <v>178</v>
      </c>
      <c r="AB57" s="546" t="s">
        <v>179</v>
      </c>
      <c r="AC57" s="547">
        <v>2014</v>
      </c>
      <c r="AD57" s="93"/>
      <c r="AE57" s="93"/>
    </row>
    <row r="58" spans="1:31" s="94" customFormat="1" ht="50.1" customHeight="1">
      <c r="A58" s="1068"/>
      <c r="B58" s="646"/>
      <c r="C58" s="985" t="s">
        <v>182</v>
      </c>
      <c r="D58" s="1120"/>
      <c r="E58" s="636" t="str">
        <f>+E57</f>
        <v>MEJORAMIENTO DE LA VIA BARRIO EL GUABO - COLOCACION DE MATERIAL DE MEJORAMIENTO EN TRAMOS CRITICOS</v>
      </c>
      <c r="F58" s="831" t="s">
        <v>171</v>
      </c>
      <c r="G58" s="831" t="str">
        <f>VLOOKUP(H58,'Pob. Ext, Parroquial'!$B$9:$C$117,2,0)</f>
        <v>ESPINDOLA</v>
      </c>
      <c r="H58" s="831" t="s">
        <v>228</v>
      </c>
      <c r="I58" s="831" t="s">
        <v>173</v>
      </c>
      <c r="J58" s="831" t="s">
        <v>174</v>
      </c>
      <c r="K58" s="831"/>
      <c r="L58" s="537">
        <f>+ROUND(Q58/5500/0.2,2)</f>
        <v>2.73</v>
      </c>
      <c r="M58" s="538">
        <f>IF(K58&gt;0,VLOOKUP(H58,'[5]Pob. Ext, Parroquial'!$B$8:$F$117,4,FALSE),0)</f>
        <v>0</v>
      </c>
      <c r="N58" s="834" t="s">
        <v>229</v>
      </c>
      <c r="O58" s="836" t="s">
        <v>176</v>
      </c>
      <c r="P58" s="836">
        <v>5.92</v>
      </c>
      <c r="Q58" s="836">
        <v>3000</v>
      </c>
      <c r="R58" s="948">
        <v>41883</v>
      </c>
      <c r="S58" s="948">
        <v>41912</v>
      </c>
      <c r="T58" s="686" t="str">
        <f t="shared" si="0"/>
        <v>EJECUTADO</v>
      </c>
      <c r="U58" s="837">
        <f t="shared" si="1"/>
        <v>17760</v>
      </c>
      <c r="V58" s="544"/>
      <c r="W58" s="544"/>
      <c r="X58" s="664"/>
      <c r="Y58" s="640"/>
      <c r="Z58" s="545" t="s">
        <v>177</v>
      </c>
      <c r="AA58" s="545" t="s">
        <v>178</v>
      </c>
      <c r="AB58" s="546" t="s">
        <v>179</v>
      </c>
      <c r="AC58" s="547">
        <v>2014</v>
      </c>
      <c r="AD58" s="93"/>
      <c r="AE58" s="93"/>
    </row>
    <row r="59" spans="1:31" s="94" customFormat="1" ht="50.1" customHeight="1">
      <c r="A59" s="910"/>
      <c r="B59" s="913"/>
      <c r="C59" s="985" t="s">
        <v>182</v>
      </c>
      <c r="D59" s="1117" t="s">
        <v>230</v>
      </c>
      <c r="E59" s="636" t="str">
        <f>+D59</f>
        <v>MEJORAMIENTO DE LA VIA BARRIO CONSAGUANA</v>
      </c>
      <c r="F59" s="831" t="s">
        <v>171</v>
      </c>
      <c r="G59" s="831" t="str">
        <f>VLOOKUP(H59,'Pob. Ext, Parroquial'!$B$9:$C$117,2,0)</f>
        <v>ESPINDOLA</v>
      </c>
      <c r="H59" s="831" t="s">
        <v>228</v>
      </c>
      <c r="I59" s="831" t="s">
        <v>173</v>
      </c>
      <c r="J59" s="831" t="s">
        <v>174</v>
      </c>
      <c r="K59" s="831"/>
      <c r="L59" s="537"/>
      <c r="M59" s="538">
        <f>IF(K59&gt;0,VLOOKUP(H59,'[5]Pob. Ext, Parroquial'!$B$8:$F$117,4,FALSE),0)</f>
        <v>0</v>
      </c>
      <c r="N59" s="834" t="s">
        <v>175</v>
      </c>
      <c r="O59" s="836" t="s">
        <v>176</v>
      </c>
      <c r="P59" s="836">
        <v>1.62</v>
      </c>
      <c r="Q59" s="836">
        <v>2598</v>
      </c>
      <c r="R59" s="948">
        <v>41883</v>
      </c>
      <c r="S59" s="948">
        <v>41912</v>
      </c>
      <c r="T59" s="686" t="str">
        <f t="shared" si="0"/>
        <v>EJECUTADO</v>
      </c>
      <c r="U59" s="837">
        <f t="shared" si="1"/>
        <v>4208.76</v>
      </c>
      <c r="V59" s="544"/>
      <c r="W59" s="544"/>
      <c r="X59" s="660">
        <f>SUM(U59:U61)</f>
        <v>19845.2</v>
      </c>
      <c r="Y59" s="640"/>
      <c r="Z59" s="545" t="s">
        <v>221</v>
      </c>
      <c r="AA59" s="545" t="s">
        <v>178</v>
      </c>
      <c r="AB59" s="546" t="s">
        <v>179</v>
      </c>
      <c r="AC59" s="547">
        <v>2014</v>
      </c>
      <c r="AD59" s="93"/>
      <c r="AE59" s="93"/>
    </row>
    <row r="60" spans="1:31" s="94" customFormat="1" ht="50.1" customHeight="1">
      <c r="A60" s="910"/>
      <c r="B60" s="913"/>
      <c r="C60" s="985" t="s">
        <v>182</v>
      </c>
      <c r="D60" s="1118"/>
      <c r="E60" s="636" t="str">
        <f>+E59</f>
        <v>MEJORAMIENTO DE LA VIA BARRIO CONSAGUANA</v>
      </c>
      <c r="F60" s="831" t="s">
        <v>171</v>
      </c>
      <c r="G60" s="831" t="str">
        <f>VLOOKUP(H60,'Pob. Ext, Parroquial'!$B$9:$C$117,2,0)</f>
        <v>ESPINDOLA</v>
      </c>
      <c r="H60" s="831" t="s">
        <v>228</v>
      </c>
      <c r="I60" s="831" t="s">
        <v>173</v>
      </c>
      <c r="J60" s="831" t="s">
        <v>174</v>
      </c>
      <c r="K60" s="831"/>
      <c r="L60" s="537"/>
      <c r="M60" s="538">
        <f>IF(K60&gt;0,VLOOKUP(H60,'[5]Pob. Ext, Parroquial'!$B$8:$F$117,4,FALSE),0)</f>
        <v>0</v>
      </c>
      <c r="N60" s="834" t="s">
        <v>180</v>
      </c>
      <c r="O60" s="836" t="s">
        <v>181</v>
      </c>
      <c r="P60" s="836">
        <v>0.35</v>
      </c>
      <c r="Q60" s="836">
        <v>4724</v>
      </c>
      <c r="R60" s="948">
        <v>41883</v>
      </c>
      <c r="S60" s="948">
        <v>41912</v>
      </c>
      <c r="T60" s="686" t="str">
        <f t="shared" si="0"/>
        <v>EJECUTADO</v>
      </c>
      <c r="U60" s="837">
        <f t="shared" si="1"/>
        <v>1653.4</v>
      </c>
      <c r="V60" s="544"/>
      <c r="W60" s="544"/>
      <c r="X60" s="662"/>
      <c r="Y60" s="640"/>
      <c r="Z60" s="545" t="s">
        <v>221</v>
      </c>
      <c r="AA60" s="545" t="s">
        <v>178</v>
      </c>
      <c r="AB60" s="546" t="s">
        <v>179</v>
      </c>
      <c r="AC60" s="547">
        <v>2014</v>
      </c>
      <c r="AD60" s="93"/>
      <c r="AE60" s="93"/>
    </row>
    <row r="61" spans="1:31" s="94" customFormat="1" ht="50.1" customHeight="1">
      <c r="A61" s="910"/>
      <c r="B61" s="913"/>
      <c r="C61" s="985" t="s">
        <v>182</v>
      </c>
      <c r="D61" s="1120"/>
      <c r="E61" s="636" t="str">
        <f>+E60</f>
        <v>MEJORAMIENTO DE LA VIA BARRIO CONSAGUANA</v>
      </c>
      <c r="F61" s="831" t="s">
        <v>171</v>
      </c>
      <c r="G61" s="831" t="str">
        <f>VLOOKUP(H61,'Pob. Ext, Parroquial'!$B$9:$C$117,2,0)</f>
        <v>ESPINDOLA</v>
      </c>
      <c r="H61" s="831" t="s">
        <v>228</v>
      </c>
      <c r="I61" s="831" t="s">
        <v>173</v>
      </c>
      <c r="J61" s="831" t="s">
        <v>174</v>
      </c>
      <c r="K61" s="831"/>
      <c r="L61" s="537">
        <f>+ROUND(Q61/5500/0.2,2)</f>
        <v>2.15</v>
      </c>
      <c r="M61" s="538">
        <f>IF(K61&gt;0,VLOOKUP(H61,'[5]Pob. Ext, Parroquial'!$B$8:$F$117,4,FALSE),0)</f>
        <v>0</v>
      </c>
      <c r="N61" s="834" t="s">
        <v>229</v>
      </c>
      <c r="O61" s="836" t="s">
        <v>176</v>
      </c>
      <c r="P61" s="836">
        <v>5.92</v>
      </c>
      <c r="Q61" s="836">
        <v>2362</v>
      </c>
      <c r="R61" s="948">
        <v>41883</v>
      </c>
      <c r="S61" s="948">
        <v>41912</v>
      </c>
      <c r="T61" s="686" t="str">
        <f t="shared" si="0"/>
        <v>EJECUTADO</v>
      </c>
      <c r="U61" s="837">
        <f t="shared" si="1"/>
        <v>13983.04</v>
      </c>
      <c r="V61" s="544"/>
      <c r="W61" s="544"/>
      <c r="X61" s="664"/>
      <c r="Y61" s="640"/>
      <c r="Z61" s="545" t="s">
        <v>221</v>
      </c>
      <c r="AA61" s="545" t="s">
        <v>178</v>
      </c>
      <c r="AB61" s="546" t="s">
        <v>179</v>
      </c>
      <c r="AC61" s="547">
        <v>2014</v>
      </c>
      <c r="AD61" s="93"/>
      <c r="AE61" s="93"/>
    </row>
    <row r="62" spans="1:31" s="94" customFormat="1" ht="71.45" customHeight="1">
      <c r="A62" s="910"/>
      <c r="B62" s="913"/>
      <c r="C62" s="985" t="s">
        <v>182</v>
      </c>
      <c r="D62" s="927" t="s">
        <v>231</v>
      </c>
      <c r="E62" s="642" t="str">
        <f>+D62</f>
        <v xml:space="preserve">TRABAJOS EMERGENTES DE LIMPIEZA DE DERRUMBES PARROQUIA EL AIRO; PARROQUIA SANTA TERESITA
</v>
      </c>
      <c r="F62" s="831" t="s">
        <v>171</v>
      </c>
      <c r="G62" s="831" t="str">
        <f>VLOOKUP(H62,'Pob. Ext, Parroquial'!$B$9:$C$117,2,0)</f>
        <v>ESPINDOLA</v>
      </c>
      <c r="H62" s="831" t="s">
        <v>589</v>
      </c>
      <c r="I62" s="831" t="s">
        <v>173</v>
      </c>
      <c r="J62" s="831" t="s">
        <v>174</v>
      </c>
      <c r="K62" s="831"/>
      <c r="L62" s="537"/>
      <c r="M62" s="538">
        <f>IF(K62&gt;0,VLOOKUP(H62,'[5]Pob. Ext, Parroquial'!$B$8:$F$117,4,FALSE),0)</f>
        <v>0</v>
      </c>
      <c r="N62" s="834" t="s">
        <v>200</v>
      </c>
      <c r="O62" s="836" t="s">
        <v>176</v>
      </c>
      <c r="P62" s="836">
        <v>1.46</v>
      </c>
      <c r="Q62" s="836">
        <v>2500</v>
      </c>
      <c r="R62" s="948">
        <v>41883</v>
      </c>
      <c r="S62" s="948">
        <v>41912</v>
      </c>
      <c r="T62" s="686" t="str">
        <f t="shared" si="0"/>
        <v>EJECUTADO</v>
      </c>
      <c r="U62" s="837">
        <f t="shared" si="1"/>
        <v>3650</v>
      </c>
      <c r="V62" s="544"/>
      <c r="W62" s="544"/>
      <c r="X62" s="912">
        <f>U62+V62+W62</f>
        <v>3650</v>
      </c>
      <c r="Y62" s="640"/>
      <c r="Z62" s="545" t="s">
        <v>177</v>
      </c>
      <c r="AA62" s="545" t="s">
        <v>178</v>
      </c>
      <c r="AB62" s="546" t="s">
        <v>187</v>
      </c>
      <c r="AC62" s="547">
        <v>2014</v>
      </c>
      <c r="AD62" s="93"/>
      <c r="AE62" s="93"/>
    </row>
    <row r="63" spans="1:31" s="94" customFormat="1" ht="50.1" customHeight="1">
      <c r="A63" s="910" t="s">
        <v>234</v>
      </c>
      <c r="B63" s="913" t="str">
        <f>+T63</f>
        <v>EJECUTADO</v>
      </c>
      <c r="C63" s="985" t="s">
        <v>182</v>
      </c>
      <c r="D63" s="927" t="s">
        <v>235</v>
      </c>
      <c r="E63" s="642" t="str">
        <f>+D63</f>
        <v>MANTENIMIENTO DE VIAS DE LA PARROQUIA BELLAVISTA</v>
      </c>
      <c r="F63" s="831" t="s">
        <v>171</v>
      </c>
      <c r="G63" s="831" t="str">
        <f>VLOOKUP(H63,'Pob. Ext, Parroquial'!$B$9:$C$117,2,0)</f>
        <v>ESPINDOLA</v>
      </c>
      <c r="H63" s="831" t="s">
        <v>236</v>
      </c>
      <c r="I63" s="831" t="s">
        <v>173</v>
      </c>
      <c r="J63" s="831" t="s">
        <v>174</v>
      </c>
      <c r="K63" s="831"/>
      <c r="L63" s="537"/>
      <c r="M63" s="538">
        <f>IF(K63&gt;0,VLOOKUP(H63,'[5]Pob. Ext, Parroquial'!$B$8:$F$117,4,FALSE),0)</f>
        <v>0</v>
      </c>
      <c r="N63" s="834" t="s">
        <v>200</v>
      </c>
      <c r="O63" s="836" t="s">
        <v>176</v>
      </c>
      <c r="P63" s="836">
        <v>1.46</v>
      </c>
      <c r="Q63" s="836">
        <v>4000</v>
      </c>
      <c r="R63" s="948">
        <v>41883</v>
      </c>
      <c r="S63" s="948">
        <v>41912</v>
      </c>
      <c r="T63" s="686" t="str">
        <f t="shared" si="0"/>
        <v>EJECUTADO</v>
      </c>
      <c r="U63" s="837">
        <f t="shared" si="1"/>
        <v>5840</v>
      </c>
      <c r="V63" s="544"/>
      <c r="W63" s="544"/>
      <c r="X63" s="912">
        <f>U63+V63+W63</f>
        <v>5840</v>
      </c>
      <c r="Y63" s="640"/>
      <c r="Z63" s="545" t="s">
        <v>221</v>
      </c>
      <c r="AA63" s="545" t="s">
        <v>178</v>
      </c>
      <c r="AB63" s="546" t="s">
        <v>187</v>
      </c>
      <c r="AC63" s="547">
        <v>2014</v>
      </c>
      <c r="AD63" s="93"/>
      <c r="AE63" s="93"/>
    </row>
    <row r="64" spans="1:31" s="94" customFormat="1" ht="50.1" customHeight="1">
      <c r="A64" s="910" t="s">
        <v>237</v>
      </c>
      <c r="B64" s="913" t="str">
        <f>+T64</f>
        <v>EJECUTADO</v>
      </c>
      <c r="C64" s="985" t="s">
        <v>182</v>
      </c>
      <c r="D64" s="927" t="s">
        <v>238</v>
      </c>
      <c r="E64" s="642" t="s">
        <v>238</v>
      </c>
      <c r="F64" s="831" t="s">
        <v>171</v>
      </c>
      <c r="G64" s="831" t="str">
        <f>VLOOKUP(H64,'Pob. Ext, Parroquial'!$B$9:$C$117,2,0)</f>
        <v>ESPINDOLA</v>
      </c>
      <c r="H64" s="831" t="s">
        <v>239</v>
      </c>
      <c r="I64" s="831" t="s">
        <v>173</v>
      </c>
      <c r="J64" s="831" t="s">
        <v>174</v>
      </c>
      <c r="K64" s="831"/>
      <c r="L64" s="537"/>
      <c r="M64" s="538">
        <f>IF(K64&gt;0,VLOOKUP(H64,'[5]Pob. Ext, Parroquial'!$B$8:$F$117,4,FALSE),0)</f>
        <v>0</v>
      </c>
      <c r="N64" s="834" t="s">
        <v>200</v>
      </c>
      <c r="O64" s="836" t="s">
        <v>176</v>
      </c>
      <c r="P64" s="836">
        <v>1.46</v>
      </c>
      <c r="Q64" s="836">
        <v>3000</v>
      </c>
      <c r="R64" s="948">
        <v>41883</v>
      </c>
      <c r="S64" s="948">
        <v>41912</v>
      </c>
      <c r="T64" s="686" t="str">
        <f t="shared" si="0"/>
        <v>EJECUTADO</v>
      </c>
      <c r="U64" s="837">
        <f t="shared" si="1"/>
        <v>4380</v>
      </c>
      <c r="V64" s="544"/>
      <c r="W64" s="544"/>
      <c r="X64" s="912">
        <f>U64+V64+W64</f>
        <v>4380</v>
      </c>
      <c r="Y64" s="640"/>
      <c r="Z64" s="545" t="s">
        <v>221</v>
      </c>
      <c r="AA64" s="545" t="s">
        <v>178</v>
      </c>
      <c r="AB64" s="546" t="s">
        <v>187</v>
      </c>
      <c r="AC64" s="547">
        <v>2014</v>
      </c>
      <c r="AD64" s="93"/>
      <c r="AE64" s="93"/>
    </row>
    <row r="65" spans="1:31" s="94" customFormat="1" ht="50.1" customHeight="1">
      <c r="A65" s="910"/>
      <c r="B65" s="911"/>
      <c r="C65" s="985" t="s">
        <v>182</v>
      </c>
      <c r="D65" s="1117" t="s">
        <v>798</v>
      </c>
      <c r="E65" s="636" t="str">
        <f>+D65</f>
        <v>MEJORAMIENTO DE LA VIA LA NARANJA BATALLADEROS</v>
      </c>
      <c r="F65" s="831" t="s">
        <v>171</v>
      </c>
      <c r="G65" s="831" t="str">
        <f>VLOOKUP(H65,'Pob. Ext, Parroquial'!$B$9:$C$117,2,0)</f>
        <v>ESPINDOLA</v>
      </c>
      <c r="H65" s="831" t="s">
        <v>587</v>
      </c>
      <c r="I65" s="831" t="s">
        <v>173</v>
      </c>
      <c r="J65" s="831" t="s">
        <v>174</v>
      </c>
      <c r="K65" s="831"/>
      <c r="L65" s="537">
        <v>8</v>
      </c>
      <c r="M65" s="538">
        <f>IF(K65&gt;0,VLOOKUP(H65,'[5]Pob. Ext, Parroquial'!$B$8:$F$117,4,FALSE),0)</f>
        <v>0</v>
      </c>
      <c r="N65" s="834" t="s">
        <v>175</v>
      </c>
      <c r="O65" s="836" t="s">
        <v>176</v>
      </c>
      <c r="P65" s="836">
        <v>1.62</v>
      </c>
      <c r="Q65" s="836">
        <v>1000</v>
      </c>
      <c r="R65" s="948">
        <v>41883</v>
      </c>
      <c r="S65" s="948">
        <v>41912</v>
      </c>
      <c r="T65" s="686" t="str">
        <f t="shared" si="0"/>
        <v>EJECUTADO</v>
      </c>
      <c r="U65" s="837">
        <f t="shared" si="1"/>
        <v>1620</v>
      </c>
      <c r="V65" s="544"/>
      <c r="W65" s="544"/>
      <c r="X65" s="660">
        <f>SUM(U65:U67)</f>
        <v>9007.2000000000007</v>
      </c>
      <c r="Y65" s="640"/>
      <c r="Z65" s="545" t="s">
        <v>221</v>
      </c>
      <c r="AA65" s="545" t="s">
        <v>178</v>
      </c>
      <c r="AB65" s="546" t="s">
        <v>179</v>
      </c>
      <c r="AC65" s="547">
        <v>2014</v>
      </c>
      <c r="AD65" s="93"/>
      <c r="AE65" s="93"/>
    </row>
    <row r="66" spans="1:31" s="94" customFormat="1" ht="50.1" customHeight="1">
      <c r="A66" s="910"/>
      <c r="B66" s="911"/>
      <c r="C66" s="985" t="s">
        <v>182</v>
      </c>
      <c r="D66" s="1118"/>
      <c r="E66" s="636" t="str">
        <f>+E65</f>
        <v>MEJORAMIENTO DE LA VIA LA NARANJA BATALLADEROS</v>
      </c>
      <c r="F66" s="831" t="s">
        <v>171</v>
      </c>
      <c r="G66" s="831" t="str">
        <f>VLOOKUP(H66,'Pob. Ext, Parroquial'!$B$9:$C$117,2,0)</f>
        <v>ESPINDOLA</v>
      </c>
      <c r="H66" s="831" t="s">
        <v>587</v>
      </c>
      <c r="I66" s="831" t="s">
        <v>173</v>
      </c>
      <c r="J66" s="831" t="s">
        <v>174</v>
      </c>
      <c r="K66" s="831"/>
      <c r="L66" s="537"/>
      <c r="M66" s="538">
        <f>IF(K66&gt;0,VLOOKUP(H66,'[5]Pob. Ext, Parroquial'!$B$8:$F$117,4,FALSE),0)</f>
        <v>0</v>
      </c>
      <c r="N66" s="834" t="s">
        <v>180</v>
      </c>
      <c r="O66" s="836" t="s">
        <v>181</v>
      </c>
      <c r="P66" s="836">
        <v>0.35</v>
      </c>
      <c r="Q66" s="836">
        <v>2880</v>
      </c>
      <c r="R66" s="948">
        <v>41883</v>
      </c>
      <c r="S66" s="948">
        <v>41912</v>
      </c>
      <c r="T66" s="686" t="str">
        <f t="shared" si="0"/>
        <v>EJECUTADO</v>
      </c>
      <c r="U66" s="837">
        <f t="shared" si="1"/>
        <v>1008</v>
      </c>
      <c r="V66" s="544"/>
      <c r="W66" s="544"/>
      <c r="X66" s="662"/>
      <c r="Y66" s="640"/>
      <c r="Z66" s="545" t="s">
        <v>221</v>
      </c>
      <c r="AA66" s="545" t="s">
        <v>178</v>
      </c>
      <c r="AB66" s="546" t="s">
        <v>179</v>
      </c>
      <c r="AC66" s="547">
        <v>2014</v>
      </c>
      <c r="AD66" s="93"/>
      <c r="AE66" s="93"/>
    </row>
    <row r="67" spans="1:31" s="94" customFormat="1" ht="50.1" customHeight="1">
      <c r="A67" s="910"/>
      <c r="B67" s="911"/>
      <c r="C67" s="985" t="s">
        <v>182</v>
      </c>
      <c r="D67" s="1120"/>
      <c r="E67" s="636" t="str">
        <f>+E66</f>
        <v>MEJORAMIENTO DE LA VIA LA NARANJA BATALLADEROS</v>
      </c>
      <c r="F67" s="831" t="s">
        <v>171</v>
      </c>
      <c r="G67" s="831" t="str">
        <f>VLOOKUP(H67,'Pob. Ext, Parroquial'!$B$9:$C$117,2,0)</f>
        <v>ESPINDOLA</v>
      </c>
      <c r="H67" s="831" t="s">
        <v>587</v>
      </c>
      <c r="I67" s="831" t="s">
        <v>173</v>
      </c>
      <c r="J67" s="831" t="s">
        <v>174</v>
      </c>
      <c r="K67" s="831"/>
      <c r="L67" s="537">
        <f>+ROUND(Q67/5500/0.2,2)</f>
        <v>1.31</v>
      </c>
      <c r="M67" s="538">
        <f>IF(K67&gt;0,VLOOKUP(H67,'[5]Pob. Ext, Parroquial'!$B$8:$F$117,4,FALSE),0)</f>
        <v>0</v>
      </c>
      <c r="N67" s="834" t="s">
        <v>229</v>
      </c>
      <c r="O67" s="836" t="s">
        <v>184</v>
      </c>
      <c r="P67" s="836">
        <v>4.43</v>
      </c>
      <c r="Q67" s="836">
        <v>1440</v>
      </c>
      <c r="R67" s="948">
        <v>41883</v>
      </c>
      <c r="S67" s="948">
        <v>41912</v>
      </c>
      <c r="T67" s="686" t="str">
        <f t="shared" si="0"/>
        <v>EJECUTADO</v>
      </c>
      <c r="U67" s="837">
        <f t="shared" si="1"/>
        <v>6379.2</v>
      </c>
      <c r="V67" s="544"/>
      <c r="W67" s="544"/>
      <c r="X67" s="664"/>
      <c r="Y67" s="640"/>
      <c r="Z67" s="545" t="s">
        <v>221</v>
      </c>
      <c r="AA67" s="545" t="s">
        <v>178</v>
      </c>
      <c r="AB67" s="546" t="s">
        <v>179</v>
      </c>
      <c r="AC67" s="547">
        <v>2014</v>
      </c>
      <c r="AD67" s="93"/>
      <c r="AE67" s="93"/>
    </row>
    <row r="68" spans="1:31" s="94" customFormat="1" ht="50.1" customHeight="1">
      <c r="A68" s="910"/>
      <c r="B68" s="911"/>
      <c r="C68" s="985" t="s">
        <v>182</v>
      </c>
      <c r="D68" s="1117" t="s">
        <v>799</v>
      </c>
      <c r="E68" s="636" t="str">
        <f>+D68</f>
        <v>MEJORAMIENTO DE LA VIA LA NARANJA EL SAUCO</v>
      </c>
      <c r="F68" s="831" t="s">
        <v>171</v>
      </c>
      <c r="G68" s="831" t="str">
        <f>VLOOKUP(H68,'Pob. Ext, Parroquial'!$B$9:$C$117,2,0)</f>
        <v>ESPINDOLA</v>
      </c>
      <c r="H68" s="831" t="s">
        <v>587</v>
      </c>
      <c r="I68" s="831" t="s">
        <v>173</v>
      </c>
      <c r="J68" s="831" t="s">
        <v>174</v>
      </c>
      <c r="K68" s="831"/>
      <c r="L68" s="537"/>
      <c r="M68" s="538">
        <f>IF(K68&gt;0,VLOOKUP(H68,'[5]Pob. Ext, Parroquial'!$B$8:$F$117,4,FALSE),0)</f>
        <v>0</v>
      </c>
      <c r="N68" s="834" t="s">
        <v>175</v>
      </c>
      <c r="O68" s="836" t="s">
        <v>176</v>
      </c>
      <c r="P68" s="836">
        <v>1.62</v>
      </c>
      <c r="Q68" s="836">
        <v>12000</v>
      </c>
      <c r="R68" s="948">
        <v>41883</v>
      </c>
      <c r="S68" s="948">
        <v>41912</v>
      </c>
      <c r="T68" s="686" t="str">
        <f t="shared" si="0"/>
        <v>EJECUTADO</v>
      </c>
      <c r="U68" s="837">
        <f t="shared" si="1"/>
        <v>19440</v>
      </c>
      <c r="V68" s="544"/>
      <c r="W68" s="544"/>
      <c r="X68" s="660">
        <f>SUM(U68:U70)</f>
        <v>28044</v>
      </c>
      <c r="Y68" s="640"/>
      <c r="Z68" s="545" t="s">
        <v>221</v>
      </c>
      <c r="AA68" s="545" t="s">
        <v>178</v>
      </c>
      <c r="AB68" s="546" t="s">
        <v>179</v>
      </c>
      <c r="AC68" s="547">
        <v>2014</v>
      </c>
      <c r="AD68" s="93"/>
      <c r="AE68" s="93"/>
    </row>
    <row r="69" spans="1:31" s="94" customFormat="1" ht="50.1" customHeight="1">
      <c r="A69" s="910"/>
      <c r="B69" s="911"/>
      <c r="C69" s="985" t="s">
        <v>182</v>
      </c>
      <c r="D69" s="1118"/>
      <c r="E69" s="636" t="str">
        <f>+E68</f>
        <v>MEJORAMIENTO DE LA VIA LA NARANJA EL SAUCO</v>
      </c>
      <c r="F69" s="831" t="s">
        <v>171</v>
      </c>
      <c r="G69" s="831" t="str">
        <f>VLOOKUP(H69,'Pob. Ext, Parroquial'!$B$9:$C$117,2,0)</f>
        <v>ESPINDOLA</v>
      </c>
      <c r="H69" s="831" t="s">
        <v>587</v>
      </c>
      <c r="I69" s="831" t="s">
        <v>173</v>
      </c>
      <c r="J69" s="831" t="s">
        <v>174</v>
      </c>
      <c r="K69" s="831"/>
      <c r="L69" s="537"/>
      <c r="M69" s="538">
        <f>IF(K69&gt;0,VLOOKUP(H69,'[5]Pob. Ext, Parroquial'!$B$8:$F$117,4,FALSE),0)</f>
        <v>0</v>
      </c>
      <c r="N69" s="834" t="s">
        <v>180</v>
      </c>
      <c r="O69" s="836" t="s">
        <v>181</v>
      </c>
      <c r="P69" s="836">
        <v>0.35</v>
      </c>
      <c r="Q69" s="836">
        <v>1800</v>
      </c>
      <c r="R69" s="948">
        <v>41883</v>
      </c>
      <c r="S69" s="948">
        <v>41912</v>
      </c>
      <c r="T69" s="686" t="str">
        <f t="shared" si="0"/>
        <v>EJECUTADO</v>
      </c>
      <c r="U69" s="837">
        <f t="shared" si="1"/>
        <v>630</v>
      </c>
      <c r="V69" s="544"/>
      <c r="W69" s="544"/>
      <c r="X69" s="662"/>
      <c r="Y69" s="640"/>
      <c r="Z69" s="545" t="s">
        <v>221</v>
      </c>
      <c r="AA69" s="545" t="s">
        <v>178</v>
      </c>
      <c r="AB69" s="546" t="s">
        <v>179</v>
      </c>
      <c r="AC69" s="547">
        <v>2014</v>
      </c>
      <c r="AD69" s="93"/>
      <c r="AE69" s="93"/>
    </row>
    <row r="70" spans="1:31" s="94" customFormat="1" ht="50.1" customHeight="1">
      <c r="A70" s="910"/>
      <c r="B70" s="911"/>
      <c r="C70" s="985" t="s">
        <v>182</v>
      </c>
      <c r="D70" s="1120"/>
      <c r="E70" s="636" t="str">
        <f>+E69</f>
        <v>MEJORAMIENTO DE LA VIA LA NARANJA EL SAUCO</v>
      </c>
      <c r="F70" s="831" t="s">
        <v>171</v>
      </c>
      <c r="G70" s="831" t="str">
        <f>VLOOKUP(H70,'Pob. Ext, Parroquial'!$B$9:$C$117,2,0)</f>
        <v>ESPINDOLA</v>
      </c>
      <c r="H70" s="831" t="s">
        <v>587</v>
      </c>
      <c r="I70" s="831" t="s">
        <v>173</v>
      </c>
      <c r="J70" s="831" t="s">
        <v>174</v>
      </c>
      <c r="K70" s="831"/>
      <c r="L70" s="537">
        <f>+ROUND(Q70/5500/0.2,2)</f>
        <v>1.64</v>
      </c>
      <c r="M70" s="538">
        <f>IF(K70&gt;0,VLOOKUP(H70,'[5]Pob. Ext, Parroquial'!$B$8:$F$117,4,FALSE),0)</f>
        <v>0</v>
      </c>
      <c r="N70" s="834" t="s">
        <v>229</v>
      </c>
      <c r="O70" s="836" t="s">
        <v>184</v>
      </c>
      <c r="P70" s="836">
        <v>4.43</v>
      </c>
      <c r="Q70" s="836">
        <v>1800</v>
      </c>
      <c r="R70" s="948">
        <v>41883</v>
      </c>
      <c r="S70" s="948">
        <v>41912</v>
      </c>
      <c r="T70" s="686" t="str">
        <f t="shared" si="0"/>
        <v>EJECUTADO</v>
      </c>
      <c r="U70" s="837">
        <f t="shared" si="1"/>
        <v>7974</v>
      </c>
      <c r="V70" s="544"/>
      <c r="W70" s="544"/>
      <c r="X70" s="664"/>
      <c r="Y70" s="640"/>
      <c r="Z70" s="545" t="s">
        <v>221</v>
      </c>
      <c r="AA70" s="545" t="s">
        <v>178</v>
      </c>
      <c r="AB70" s="546" t="s">
        <v>179</v>
      </c>
      <c r="AC70" s="547">
        <v>2014</v>
      </c>
      <c r="AD70" s="93"/>
      <c r="AE70" s="93"/>
    </row>
    <row r="71" spans="1:31" s="94" customFormat="1" ht="50.1" customHeight="1">
      <c r="A71" s="910"/>
      <c r="B71" s="911"/>
      <c r="C71" s="985" t="s">
        <v>182</v>
      </c>
      <c r="D71" s="1117" t="s">
        <v>800</v>
      </c>
      <c r="E71" s="636" t="str">
        <f>+D71</f>
        <v>MEJORAMIENTO DE LA VIA LA NARANJA LA VEGA</v>
      </c>
      <c r="F71" s="831" t="s">
        <v>171</v>
      </c>
      <c r="G71" s="831" t="str">
        <f>VLOOKUP(H71,'Pob. Ext, Parroquial'!$B$9:$C$117,2,0)</f>
        <v>ESPINDOLA</v>
      </c>
      <c r="H71" s="831" t="s">
        <v>587</v>
      </c>
      <c r="I71" s="831" t="s">
        <v>173</v>
      </c>
      <c r="J71" s="831" t="s">
        <v>174</v>
      </c>
      <c r="K71" s="831"/>
      <c r="L71" s="537"/>
      <c r="M71" s="538">
        <f>IF(K71&gt;0,VLOOKUP(H71,'[5]Pob. Ext, Parroquial'!$B$8:$F$117,4,FALSE),0)</f>
        <v>0</v>
      </c>
      <c r="N71" s="834" t="s">
        <v>175</v>
      </c>
      <c r="O71" s="836" t="s">
        <v>176</v>
      </c>
      <c r="P71" s="836">
        <v>1.62</v>
      </c>
      <c r="Q71" s="836">
        <v>0</v>
      </c>
      <c r="R71" s="948">
        <v>41883</v>
      </c>
      <c r="S71" s="948">
        <v>41912</v>
      </c>
      <c r="T71" s="686" t="str">
        <f t="shared" si="0"/>
        <v>EJECUTADO</v>
      </c>
      <c r="U71" s="837">
        <f t="shared" si="1"/>
        <v>0</v>
      </c>
      <c r="V71" s="544"/>
      <c r="W71" s="544"/>
      <c r="X71" s="660">
        <f>SUM(U71:U73)</f>
        <v>13378.5</v>
      </c>
      <c r="Y71" s="640"/>
      <c r="Z71" s="545" t="s">
        <v>221</v>
      </c>
      <c r="AA71" s="545" t="s">
        <v>178</v>
      </c>
      <c r="AB71" s="546" t="s">
        <v>179</v>
      </c>
      <c r="AC71" s="547">
        <v>2014</v>
      </c>
      <c r="AD71" s="93"/>
      <c r="AE71" s="93"/>
    </row>
    <row r="72" spans="1:31" s="94" customFormat="1" ht="50.1" customHeight="1">
      <c r="A72" s="910"/>
      <c r="B72" s="911"/>
      <c r="C72" s="985" t="s">
        <v>182</v>
      </c>
      <c r="D72" s="1118"/>
      <c r="E72" s="636" t="str">
        <f>+E71</f>
        <v>MEJORAMIENTO DE LA VIA LA NARANJA LA VEGA</v>
      </c>
      <c r="F72" s="831" t="s">
        <v>171</v>
      </c>
      <c r="G72" s="831" t="str">
        <f>VLOOKUP(H72,'Pob. Ext, Parroquial'!$B$9:$C$117,2,0)</f>
        <v>ESPINDOLA</v>
      </c>
      <c r="H72" s="831" t="s">
        <v>587</v>
      </c>
      <c r="I72" s="831" t="s">
        <v>173</v>
      </c>
      <c r="J72" s="831" t="s">
        <v>174</v>
      </c>
      <c r="K72" s="831"/>
      <c r="L72" s="537"/>
      <c r="M72" s="538">
        <f>IF(K72&gt;0,VLOOKUP(H72,'[5]Pob. Ext, Parroquial'!$B$8:$F$117,4,FALSE),0)</f>
        <v>0</v>
      </c>
      <c r="N72" s="834" t="s">
        <v>180</v>
      </c>
      <c r="O72" s="836" t="s">
        <v>181</v>
      </c>
      <c r="P72" s="836">
        <v>0.35</v>
      </c>
      <c r="Q72" s="836">
        <v>4050</v>
      </c>
      <c r="R72" s="948">
        <v>41883</v>
      </c>
      <c r="S72" s="948">
        <v>41912</v>
      </c>
      <c r="T72" s="686" t="str">
        <f t="shared" si="0"/>
        <v>EJECUTADO</v>
      </c>
      <c r="U72" s="837">
        <f t="shared" si="1"/>
        <v>1417.5</v>
      </c>
      <c r="V72" s="544"/>
      <c r="W72" s="544"/>
      <c r="X72" s="662"/>
      <c r="Y72" s="640"/>
      <c r="Z72" s="545" t="s">
        <v>221</v>
      </c>
      <c r="AA72" s="545" t="s">
        <v>178</v>
      </c>
      <c r="AB72" s="546" t="s">
        <v>179</v>
      </c>
      <c r="AC72" s="547">
        <v>2014</v>
      </c>
      <c r="AD72" s="93"/>
      <c r="AE72" s="93"/>
    </row>
    <row r="73" spans="1:31" s="94" customFormat="1" ht="50.1" customHeight="1">
      <c r="A73" s="910"/>
      <c r="B73" s="911"/>
      <c r="C73" s="985" t="s">
        <v>182</v>
      </c>
      <c r="D73" s="1120"/>
      <c r="E73" s="636" t="str">
        <f>+E72</f>
        <v>MEJORAMIENTO DE LA VIA LA NARANJA LA VEGA</v>
      </c>
      <c r="F73" s="831" t="s">
        <v>171</v>
      </c>
      <c r="G73" s="831" t="str">
        <f>VLOOKUP(H73,'Pob. Ext, Parroquial'!$B$9:$C$117,2,0)</f>
        <v>ESPINDOLA</v>
      </c>
      <c r="H73" s="831" t="s">
        <v>587</v>
      </c>
      <c r="I73" s="831" t="s">
        <v>173</v>
      </c>
      <c r="J73" s="831" t="s">
        <v>174</v>
      </c>
      <c r="K73" s="831"/>
      <c r="L73" s="537">
        <f>+ROUND(Q73/5500/0.2,2)</f>
        <v>2.4500000000000002</v>
      </c>
      <c r="M73" s="538">
        <f>IF(K73&gt;0,VLOOKUP(H73,'[5]Pob. Ext, Parroquial'!$B$8:$F$117,4,FALSE),0)</f>
        <v>0</v>
      </c>
      <c r="N73" s="834" t="s">
        <v>229</v>
      </c>
      <c r="O73" s="836" t="s">
        <v>184</v>
      </c>
      <c r="P73" s="836">
        <v>4.43</v>
      </c>
      <c r="Q73" s="836">
        <v>2700</v>
      </c>
      <c r="R73" s="948">
        <v>41883</v>
      </c>
      <c r="S73" s="948">
        <v>41912</v>
      </c>
      <c r="T73" s="686" t="str">
        <f t="shared" si="0"/>
        <v>EJECUTADO</v>
      </c>
      <c r="U73" s="837">
        <f t="shared" si="1"/>
        <v>11961</v>
      </c>
      <c r="V73" s="544"/>
      <c r="W73" s="544"/>
      <c r="X73" s="664"/>
      <c r="Y73" s="640"/>
      <c r="Z73" s="545" t="s">
        <v>221</v>
      </c>
      <c r="AA73" s="545" t="s">
        <v>178</v>
      </c>
      <c r="AB73" s="546" t="s">
        <v>179</v>
      </c>
      <c r="AC73" s="547">
        <v>2014</v>
      </c>
      <c r="AD73" s="93"/>
      <c r="AE73" s="93"/>
    </row>
    <row r="74" spans="1:31" s="94" customFormat="1" ht="50.1" customHeight="1">
      <c r="A74" s="910"/>
      <c r="B74" s="911"/>
      <c r="C74" s="985" t="s">
        <v>182</v>
      </c>
      <c r="D74" s="1117" t="s">
        <v>801</v>
      </c>
      <c r="E74" s="636" t="str">
        <f>+D74</f>
        <v>MEJORAMIENTO DE LA VIA LA NARANJA PINDO BAJO</v>
      </c>
      <c r="F74" s="831" t="s">
        <v>171</v>
      </c>
      <c r="G74" s="831" t="str">
        <f>VLOOKUP(H74,'Pob. Ext, Parroquial'!$B$9:$C$117,2,0)</f>
        <v>ESPINDOLA</v>
      </c>
      <c r="H74" s="831" t="s">
        <v>587</v>
      </c>
      <c r="I74" s="831" t="s">
        <v>173</v>
      </c>
      <c r="J74" s="831" t="s">
        <v>174</v>
      </c>
      <c r="K74" s="831"/>
      <c r="L74" s="537"/>
      <c r="M74" s="538">
        <f>IF(K74&gt;0,VLOOKUP(H74,'[5]Pob. Ext, Parroquial'!$B$8:$F$117,4,FALSE),0)</f>
        <v>0</v>
      </c>
      <c r="N74" s="834" t="s">
        <v>175</v>
      </c>
      <c r="O74" s="836" t="s">
        <v>176</v>
      </c>
      <c r="P74" s="836">
        <v>1.62</v>
      </c>
      <c r="Q74" s="836">
        <v>3000</v>
      </c>
      <c r="R74" s="948">
        <v>41883</v>
      </c>
      <c r="S74" s="948">
        <v>41912</v>
      </c>
      <c r="T74" s="686" t="str">
        <f t="shared" si="0"/>
        <v>EJECUTADO</v>
      </c>
      <c r="U74" s="837">
        <f t="shared" si="1"/>
        <v>4860</v>
      </c>
      <c r="V74" s="544"/>
      <c r="W74" s="544"/>
      <c r="X74" s="660">
        <f>SUM(U74:U76)</f>
        <v>16008.75</v>
      </c>
      <c r="Y74" s="640"/>
      <c r="Z74" s="545" t="s">
        <v>221</v>
      </c>
      <c r="AA74" s="545" t="s">
        <v>178</v>
      </c>
      <c r="AB74" s="546" t="s">
        <v>179</v>
      </c>
      <c r="AC74" s="547">
        <v>2014</v>
      </c>
      <c r="AD74" s="93"/>
      <c r="AE74" s="93"/>
    </row>
    <row r="75" spans="1:31" s="94" customFormat="1" ht="50.1" customHeight="1">
      <c r="A75" s="910"/>
      <c r="B75" s="911"/>
      <c r="C75" s="985" t="s">
        <v>182</v>
      </c>
      <c r="D75" s="1118"/>
      <c r="E75" s="636" t="str">
        <f>+E74</f>
        <v>MEJORAMIENTO DE LA VIA LA NARANJA PINDO BAJO</v>
      </c>
      <c r="F75" s="831" t="s">
        <v>171</v>
      </c>
      <c r="G75" s="831" t="str">
        <f>VLOOKUP(H75,'Pob. Ext, Parroquial'!$B$9:$C$117,2,0)</f>
        <v>ESPINDOLA</v>
      </c>
      <c r="H75" s="831" t="s">
        <v>587</v>
      </c>
      <c r="I75" s="831" t="s">
        <v>173</v>
      </c>
      <c r="J75" s="831" t="s">
        <v>174</v>
      </c>
      <c r="K75" s="831"/>
      <c r="L75" s="537"/>
      <c r="M75" s="538">
        <f>IF(K75&gt;0,VLOOKUP(H75,'[5]Pob. Ext, Parroquial'!$B$8:$F$117,4,FALSE),0)</f>
        <v>0</v>
      </c>
      <c r="N75" s="834" t="s">
        <v>180</v>
      </c>
      <c r="O75" s="836" t="s">
        <v>181</v>
      </c>
      <c r="P75" s="836">
        <v>0.35</v>
      </c>
      <c r="Q75" s="836">
        <v>3375</v>
      </c>
      <c r="R75" s="948">
        <v>41883</v>
      </c>
      <c r="S75" s="948">
        <v>41912</v>
      </c>
      <c r="T75" s="686" t="str">
        <f t="shared" si="0"/>
        <v>EJECUTADO</v>
      </c>
      <c r="U75" s="837">
        <f t="shared" si="1"/>
        <v>1181.25</v>
      </c>
      <c r="V75" s="544"/>
      <c r="W75" s="544"/>
      <c r="X75" s="662"/>
      <c r="Y75" s="640"/>
      <c r="Z75" s="545" t="s">
        <v>221</v>
      </c>
      <c r="AA75" s="545" t="s">
        <v>178</v>
      </c>
      <c r="AB75" s="546" t="s">
        <v>179</v>
      </c>
      <c r="AC75" s="547">
        <v>2014</v>
      </c>
      <c r="AD75" s="93"/>
      <c r="AE75" s="93"/>
    </row>
    <row r="76" spans="1:31" s="94" customFormat="1" ht="50.1" customHeight="1">
      <c r="A76" s="910"/>
      <c r="B76" s="911"/>
      <c r="C76" s="985" t="s">
        <v>182</v>
      </c>
      <c r="D76" s="1120"/>
      <c r="E76" s="636" t="str">
        <f>+E75</f>
        <v>MEJORAMIENTO DE LA VIA LA NARANJA PINDO BAJO</v>
      </c>
      <c r="F76" s="831" t="s">
        <v>171</v>
      </c>
      <c r="G76" s="831" t="str">
        <f>VLOOKUP(H76,'Pob. Ext, Parroquial'!$B$9:$C$117,2,0)</f>
        <v>ESPINDOLA</v>
      </c>
      <c r="H76" s="831" t="s">
        <v>587</v>
      </c>
      <c r="I76" s="831" t="s">
        <v>173</v>
      </c>
      <c r="J76" s="831" t="s">
        <v>174</v>
      </c>
      <c r="K76" s="831"/>
      <c r="L76" s="537">
        <f>+ROUND(Q76/5500/0.2,2)</f>
        <v>2.0499999999999998</v>
      </c>
      <c r="M76" s="538">
        <f>IF(K76&gt;0,VLOOKUP(H76,'[5]Pob. Ext, Parroquial'!$B$8:$F$117,4,FALSE),0)</f>
        <v>0</v>
      </c>
      <c r="N76" s="834" t="s">
        <v>229</v>
      </c>
      <c r="O76" s="836" t="s">
        <v>184</v>
      </c>
      <c r="P76" s="836">
        <v>4.43</v>
      </c>
      <c r="Q76" s="836">
        <v>2250</v>
      </c>
      <c r="R76" s="948">
        <v>41883</v>
      </c>
      <c r="S76" s="948">
        <v>41912</v>
      </c>
      <c r="T76" s="686" t="str">
        <f t="shared" si="0"/>
        <v>EJECUTADO</v>
      </c>
      <c r="U76" s="837">
        <f t="shared" ref="U76:U167" si="6">ROUND(P76*Q76,2)</f>
        <v>9967.5</v>
      </c>
      <c r="V76" s="544"/>
      <c r="W76" s="544"/>
      <c r="X76" s="664"/>
      <c r="Y76" s="640"/>
      <c r="Z76" s="545" t="s">
        <v>221</v>
      </c>
      <c r="AA76" s="545" t="s">
        <v>178</v>
      </c>
      <c r="AB76" s="546" t="s">
        <v>179</v>
      </c>
      <c r="AC76" s="547">
        <v>2014</v>
      </c>
      <c r="AD76" s="93"/>
      <c r="AE76" s="93"/>
    </row>
    <row r="77" spans="1:31" s="94" customFormat="1" ht="50.1" customHeight="1">
      <c r="A77" s="1068"/>
      <c r="B77" s="645"/>
      <c r="C77" s="985" t="s">
        <v>182</v>
      </c>
      <c r="D77" s="1117" t="s">
        <v>240</v>
      </c>
      <c r="E77" s="636" t="s">
        <v>240</v>
      </c>
      <c r="F77" s="831" t="s">
        <v>171</v>
      </c>
      <c r="G77" s="831" t="str">
        <f>VLOOKUP(H77,'Pob. Ext, Parroquial'!$B$9:$C$117,2,0)</f>
        <v>QUILANGA</v>
      </c>
      <c r="H77" s="831" t="s">
        <v>241</v>
      </c>
      <c r="I77" s="831" t="s">
        <v>173</v>
      </c>
      <c r="J77" s="831" t="s">
        <v>174</v>
      </c>
      <c r="K77" s="831">
        <v>5.4</v>
      </c>
      <c r="L77" s="537"/>
      <c r="M77" s="538">
        <f>IF(K77&gt;0,VLOOKUP(H77,'[5]Pob. Ext, Parroquial'!$B$8:$F$117,4,FALSE),0)</f>
        <v>709</v>
      </c>
      <c r="N77" s="834" t="s">
        <v>175</v>
      </c>
      <c r="O77" s="836" t="s">
        <v>176</v>
      </c>
      <c r="P77" s="836">
        <v>1.62</v>
      </c>
      <c r="Q77" s="836">
        <v>3456</v>
      </c>
      <c r="R77" s="948">
        <v>41640</v>
      </c>
      <c r="S77" s="948">
        <v>41670</v>
      </c>
      <c r="T77" s="686" t="str">
        <f t="shared" si="0"/>
        <v>EJECUTADO</v>
      </c>
      <c r="U77" s="837">
        <f t="shared" si="6"/>
        <v>5598.72</v>
      </c>
      <c r="V77" s="544"/>
      <c r="W77" s="544"/>
      <c r="X77" s="660">
        <f>SUM(U77:U79)</f>
        <v>27693.52</v>
      </c>
      <c r="Y77" s="640"/>
      <c r="Z77" s="545" t="s">
        <v>177</v>
      </c>
      <c r="AA77" s="545" t="s">
        <v>178</v>
      </c>
      <c r="AB77" s="546" t="s">
        <v>179</v>
      </c>
      <c r="AC77" s="547">
        <v>2014</v>
      </c>
      <c r="AD77" s="93"/>
      <c r="AE77" s="93"/>
    </row>
    <row r="78" spans="1:31" s="94" customFormat="1" ht="50.1" customHeight="1">
      <c r="A78" s="1068"/>
      <c r="B78" s="648"/>
      <c r="C78" s="985" t="s">
        <v>182</v>
      </c>
      <c r="D78" s="1118"/>
      <c r="E78" s="636" t="s">
        <v>240</v>
      </c>
      <c r="F78" s="831" t="s">
        <v>171</v>
      </c>
      <c r="G78" s="831" t="str">
        <f>VLOOKUP(H78,'Pob. Ext, Parroquial'!$B$9:$C$117,2,0)</f>
        <v>QUILANGA</v>
      </c>
      <c r="H78" s="831" t="s">
        <v>241</v>
      </c>
      <c r="I78" s="831" t="s">
        <v>173</v>
      </c>
      <c r="J78" s="831" t="s">
        <v>174</v>
      </c>
      <c r="K78" s="831"/>
      <c r="L78" s="537"/>
      <c r="M78" s="538">
        <f>IF(K78&gt;0,VLOOKUP(H78,'[5]Pob. Ext, Parroquial'!$B$8:$F$117,4,FALSE),0)</f>
        <v>0</v>
      </c>
      <c r="N78" s="834" t="s">
        <v>180</v>
      </c>
      <c r="O78" s="836" t="s">
        <v>181</v>
      </c>
      <c r="P78" s="836">
        <v>0.35</v>
      </c>
      <c r="Q78" s="836">
        <v>44928</v>
      </c>
      <c r="R78" s="948">
        <v>41640</v>
      </c>
      <c r="S78" s="948">
        <v>41670</v>
      </c>
      <c r="T78" s="686" t="str">
        <f t="shared" si="0"/>
        <v>EJECUTADO</v>
      </c>
      <c r="U78" s="837">
        <f t="shared" si="6"/>
        <v>15724.8</v>
      </c>
      <c r="V78" s="544"/>
      <c r="W78" s="544"/>
      <c r="X78" s="662"/>
      <c r="Y78" s="640"/>
      <c r="Z78" s="545" t="s">
        <v>177</v>
      </c>
      <c r="AA78" s="545" t="s">
        <v>178</v>
      </c>
      <c r="AB78" s="546" t="s">
        <v>179</v>
      </c>
      <c r="AC78" s="547">
        <v>2014</v>
      </c>
      <c r="AD78" s="93"/>
      <c r="AE78" s="93"/>
    </row>
    <row r="79" spans="1:31" s="94" customFormat="1" ht="50.1" customHeight="1">
      <c r="A79" s="1068"/>
      <c r="B79" s="646"/>
      <c r="C79" s="985" t="s">
        <v>182</v>
      </c>
      <c r="D79" s="1120"/>
      <c r="E79" s="636" t="s">
        <v>240</v>
      </c>
      <c r="F79" s="831" t="s">
        <v>171</v>
      </c>
      <c r="G79" s="831" t="str">
        <f>VLOOKUP(H79,'Pob. Ext, Parroquial'!$B$9:$C$117,2,0)</f>
        <v>QUILANGA</v>
      </c>
      <c r="H79" s="831" t="s">
        <v>241</v>
      </c>
      <c r="I79" s="831" t="s">
        <v>173</v>
      </c>
      <c r="J79" s="831" t="s">
        <v>174</v>
      </c>
      <c r="K79" s="831"/>
      <c r="L79" s="537">
        <f>ROUNDUP(Q79/5.5/1000,2)</f>
        <v>3.3099999999999996</v>
      </c>
      <c r="M79" s="538">
        <f>IF(K79&gt;0,VLOOKUP(H79,'[5]Pob. Ext, Parroquial'!$B$8:$F$117,4,FALSE),0)</f>
        <v>0</v>
      </c>
      <c r="N79" s="834" t="s">
        <v>183</v>
      </c>
      <c r="O79" s="836" t="s">
        <v>184</v>
      </c>
      <c r="P79" s="836">
        <v>0.35</v>
      </c>
      <c r="Q79" s="836">
        <v>18200</v>
      </c>
      <c r="R79" s="948">
        <v>41640</v>
      </c>
      <c r="S79" s="948">
        <v>41670</v>
      </c>
      <c r="T79" s="686" t="str">
        <f t="shared" si="0"/>
        <v>EJECUTADO</v>
      </c>
      <c r="U79" s="837">
        <f t="shared" si="6"/>
        <v>6370</v>
      </c>
      <c r="V79" s="544"/>
      <c r="W79" s="544"/>
      <c r="X79" s="664"/>
      <c r="Y79" s="640"/>
      <c r="Z79" s="545" t="s">
        <v>177</v>
      </c>
      <c r="AA79" s="545" t="s">
        <v>178</v>
      </c>
      <c r="AB79" s="546" t="s">
        <v>179</v>
      </c>
      <c r="AC79" s="547">
        <v>2014</v>
      </c>
      <c r="AD79" s="93"/>
      <c r="AE79" s="93"/>
    </row>
    <row r="80" spans="1:31" s="94" customFormat="1" ht="50.1" customHeight="1">
      <c r="A80" s="1068"/>
      <c r="B80" s="645"/>
      <c r="C80" s="985" t="s">
        <v>182</v>
      </c>
      <c r="D80" s="1117" t="s">
        <v>242</v>
      </c>
      <c r="E80" s="636" t="s">
        <v>242</v>
      </c>
      <c r="F80" s="831" t="s">
        <v>171</v>
      </c>
      <c r="G80" s="831" t="str">
        <f>VLOOKUP(H80,'Pob. Ext, Parroquial'!$B$9:$C$117,2,0)</f>
        <v>CALVAS</v>
      </c>
      <c r="H80" s="831" t="s">
        <v>243</v>
      </c>
      <c r="I80" s="831" t="s">
        <v>173</v>
      </c>
      <c r="J80" s="831" t="s">
        <v>174</v>
      </c>
      <c r="K80" s="831">
        <v>2</v>
      </c>
      <c r="L80" s="537"/>
      <c r="M80" s="538">
        <f>IF(K80&gt;0,VLOOKUP(H80,'[5]Pob. Ext, Parroquial'!$B$8:$F$117,4,FALSE),0)</f>
        <v>1712</v>
      </c>
      <c r="N80" s="834" t="s">
        <v>175</v>
      </c>
      <c r="O80" s="836" t="s">
        <v>176</v>
      </c>
      <c r="P80" s="836">
        <v>1.62</v>
      </c>
      <c r="Q80" s="836">
        <v>4974</v>
      </c>
      <c r="R80" s="948">
        <v>41640</v>
      </c>
      <c r="S80" s="948">
        <v>41670</v>
      </c>
      <c r="T80" s="686" t="str">
        <f t="shared" si="0"/>
        <v>EJECUTADO</v>
      </c>
      <c r="U80" s="837">
        <f t="shared" si="6"/>
        <v>8057.88</v>
      </c>
      <c r="V80" s="544"/>
      <c r="W80" s="544"/>
      <c r="X80" s="660">
        <f>SUM(U80:U83)</f>
        <v>45489.42</v>
      </c>
      <c r="Y80" s="640"/>
      <c r="Z80" s="545" t="s">
        <v>177</v>
      </c>
      <c r="AA80" s="545" t="s">
        <v>178</v>
      </c>
      <c r="AB80" s="546" t="s">
        <v>187</v>
      </c>
      <c r="AC80" s="547">
        <v>2014</v>
      </c>
      <c r="AD80" s="93"/>
      <c r="AE80" s="93"/>
    </row>
    <row r="81" spans="1:31" s="94" customFormat="1" ht="50.1" customHeight="1">
      <c r="A81" s="1068"/>
      <c r="B81" s="648"/>
      <c r="C81" s="985" t="s">
        <v>182</v>
      </c>
      <c r="D81" s="1118"/>
      <c r="E81" s="636" t="s">
        <v>242</v>
      </c>
      <c r="F81" s="831" t="s">
        <v>171</v>
      </c>
      <c r="G81" s="831" t="str">
        <f>VLOOKUP(H81,'Pob. Ext, Parroquial'!$B$9:$C$117,2,0)</f>
        <v>CALVAS</v>
      </c>
      <c r="H81" s="831" t="s">
        <v>243</v>
      </c>
      <c r="I81" s="831" t="s">
        <v>173</v>
      </c>
      <c r="J81" s="831" t="s">
        <v>174</v>
      </c>
      <c r="K81" s="831"/>
      <c r="L81" s="537"/>
      <c r="M81" s="538">
        <f>IF(K81&gt;0,VLOOKUP(H81,'[5]Pob. Ext, Parroquial'!$B$8:$F$117,4,FALSE),0)</f>
        <v>0</v>
      </c>
      <c r="N81" s="834" t="s">
        <v>180</v>
      </c>
      <c r="O81" s="836" t="s">
        <v>181</v>
      </c>
      <c r="P81" s="836">
        <v>0.35</v>
      </c>
      <c r="Q81" s="836">
        <v>24626</v>
      </c>
      <c r="R81" s="948">
        <v>41640</v>
      </c>
      <c r="S81" s="948">
        <v>41729</v>
      </c>
      <c r="T81" s="686" t="str">
        <f t="shared" si="0"/>
        <v>EJECUTADO</v>
      </c>
      <c r="U81" s="837">
        <f t="shared" si="6"/>
        <v>8619.1</v>
      </c>
      <c r="V81" s="544"/>
      <c r="W81" s="544"/>
      <c r="X81" s="662"/>
      <c r="Y81" s="640"/>
      <c r="Z81" s="545" t="s">
        <v>177</v>
      </c>
      <c r="AA81" s="545" t="s">
        <v>178</v>
      </c>
      <c r="AB81" s="546" t="s">
        <v>187</v>
      </c>
      <c r="AC81" s="547">
        <v>2014</v>
      </c>
      <c r="AD81" s="93"/>
      <c r="AE81" s="93"/>
    </row>
    <row r="82" spans="1:31" s="94" customFormat="1" ht="50.1" customHeight="1">
      <c r="A82" s="1068"/>
      <c r="B82" s="648"/>
      <c r="C82" s="985" t="s">
        <v>182</v>
      </c>
      <c r="D82" s="1118"/>
      <c r="E82" s="636" t="s">
        <v>242</v>
      </c>
      <c r="F82" s="831" t="s">
        <v>171</v>
      </c>
      <c r="G82" s="831" t="str">
        <f>VLOOKUP(H82,'Pob. Ext, Parroquial'!$B$9:$C$117,2,0)</f>
        <v>CALVAS</v>
      </c>
      <c r="H82" s="831" t="s">
        <v>243</v>
      </c>
      <c r="I82" s="831" t="s">
        <v>173</v>
      </c>
      <c r="J82" s="831" t="s">
        <v>174</v>
      </c>
      <c r="K82" s="831"/>
      <c r="L82" s="537">
        <f>ROUNDUP(Q82/5.5/1000,2)</f>
        <v>5.1899999999999995</v>
      </c>
      <c r="M82" s="538">
        <f>IF(K82&gt;0,VLOOKUP(H82,'[5]Pob. Ext, Parroquial'!$B$8:$F$117,4,FALSE),0)</f>
        <v>0</v>
      </c>
      <c r="N82" s="834" t="s">
        <v>183</v>
      </c>
      <c r="O82" s="836" t="s">
        <v>184</v>
      </c>
      <c r="P82" s="836">
        <v>0.35</v>
      </c>
      <c r="Q82" s="836">
        <v>28500</v>
      </c>
      <c r="R82" s="948">
        <v>41640</v>
      </c>
      <c r="S82" s="948">
        <v>41729</v>
      </c>
      <c r="T82" s="686" t="str">
        <f t="shared" si="0"/>
        <v>EJECUTADO</v>
      </c>
      <c r="U82" s="837">
        <f t="shared" si="6"/>
        <v>9975</v>
      </c>
      <c r="V82" s="544"/>
      <c r="W82" s="544"/>
      <c r="X82" s="662"/>
      <c r="Y82" s="640"/>
      <c r="Z82" s="545" t="s">
        <v>177</v>
      </c>
      <c r="AA82" s="545" t="s">
        <v>178</v>
      </c>
      <c r="AB82" s="546" t="s">
        <v>187</v>
      </c>
      <c r="AC82" s="547">
        <v>2014</v>
      </c>
      <c r="AD82" s="93"/>
      <c r="AE82" s="93"/>
    </row>
    <row r="83" spans="1:31" s="94" customFormat="1" ht="50.1" customHeight="1">
      <c r="A83" s="1068"/>
      <c r="B83" s="646"/>
      <c r="C83" s="985" t="s">
        <v>182</v>
      </c>
      <c r="D83" s="1120"/>
      <c r="E83" s="636" t="s">
        <v>242</v>
      </c>
      <c r="F83" s="831" t="s">
        <v>171</v>
      </c>
      <c r="G83" s="831" t="str">
        <f>VLOOKUP(H83,'Pob. Ext, Parroquial'!$B$9:$C$117,2,0)</f>
        <v>CALVAS</v>
      </c>
      <c r="H83" s="831" t="s">
        <v>243</v>
      </c>
      <c r="I83" s="831" t="s">
        <v>173</v>
      </c>
      <c r="J83" s="831" t="s">
        <v>174</v>
      </c>
      <c r="K83" s="831"/>
      <c r="L83" s="537">
        <f>+ROUND(Q83/5500/0.2,2)</f>
        <v>2.89</v>
      </c>
      <c r="M83" s="538">
        <f>IF(K83&gt;0,VLOOKUP(H83,'[5]Pob. Ext, Parroquial'!$B$8:$F$117,4,FALSE),0)</f>
        <v>0</v>
      </c>
      <c r="N83" s="834" t="s">
        <v>229</v>
      </c>
      <c r="O83" s="836" t="s">
        <v>176</v>
      </c>
      <c r="P83" s="836">
        <v>5.92</v>
      </c>
      <c r="Q83" s="836">
        <v>3182</v>
      </c>
      <c r="R83" s="948">
        <v>41640</v>
      </c>
      <c r="S83" s="948">
        <v>41729</v>
      </c>
      <c r="T83" s="686" t="str">
        <f t="shared" si="0"/>
        <v>EJECUTADO</v>
      </c>
      <c r="U83" s="837">
        <f t="shared" si="6"/>
        <v>18837.439999999999</v>
      </c>
      <c r="V83" s="544"/>
      <c r="W83" s="544"/>
      <c r="X83" s="664"/>
      <c r="Y83" s="640"/>
      <c r="Z83" s="545" t="s">
        <v>177</v>
      </c>
      <c r="AA83" s="545" t="s">
        <v>178</v>
      </c>
      <c r="AB83" s="546" t="s">
        <v>187</v>
      </c>
      <c r="AC83" s="547">
        <v>2014</v>
      </c>
      <c r="AD83" s="93"/>
      <c r="AE83" s="93"/>
    </row>
    <row r="84" spans="1:31" s="94" customFormat="1" ht="50.1" customHeight="1">
      <c r="A84" s="1068"/>
      <c r="B84" s="645"/>
      <c r="C84" s="985" t="s">
        <v>182</v>
      </c>
      <c r="D84" s="1117" t="s">
        <v>244</v>
      </c>
      <c r="E84" s="636" t="s">
        <v>244</v>
      </c>
      <c r="F84" s="831" t="s">
        <v>171</v>
      </c>
      <c r="G84" s="831" t="str">
        <f>VLOOKUP(H84,'Pob. Ext, Parroquial'!$B$9:$C$117,2,0)</f>
        <v>CALVAS</v>
      </c>
      <c r="H84" s="831" t="s">
        <v>245</v>
      </c>
      <c r="I84" s="831" t="s">
        <v>173</v>
      </c>
      <c r="J84" s="831" t="s">
        <v>174</v>
      </c>
      <c r="K84" s="831">
        <v>0.1</v>
      </c>
      <c r="L84" s="537"/>
      <c r="M84" s="538">
        <f>IF(K84&gt;0,VLOOKUP(H84,'[5]Pob. Ext, Parroquial'!$B$8:$F$117,4,FALSE),0)</f>
        <v>1506</v>
      </c>
      <c r="N84" s="834" t="s">
        <v>175</v>
      </c>
      <c r="O84" s="836" t="s">
        <v>176</v>
      </c>
      <c r="P84" s="836">
        <v>1.62</v>
      </c>
      <c r="Q84" s="836">
        <v>6712</v>
      </c>
      <c r="R84" s="948">
        <v>41640</v>
      </c>
      <c r="S84" s="948">
        <v>41759</v>
      </c>
      <c r="T84" s="686" t="str">
        <f t="shared" si="0"/>
        <v>EJECUTADO</v>
      </c>
      <c r="U84" s="837">
        <f t="shared" si="6"/>
        <v>10873.44</v>
      </c>
      <c r="V84" s="544"/>
      <c r="W84" s="544"/>
      <c r="X84" s="660">
        <f>SUM(U84:U85)</f>
        <v>12175.44</v>
      </c>
      <c r="Y84" s="640"/>
      <c r="Z84" s="545" t="s">
        <v>177</v>
      </c>
      <c r="AA84" s="545" t="s">
        <v>178</v>
      </c>
      <c r="AB84" s="546" t="s">
        <v>187</v>
      </c>
      <c r="AC84" s="547">
        <v>2014</v>
      </c>
      <c r="AD84" s="93"/>
      <c r="AE84" s="93"/>
    </row>
    <row r="85" spans="1:31" s="94" customFormat="1" ht="50.1" customHeight="1">
      <c r="A85" s="1068"/>
      <c r="B85" s="646"/>
      <c r="C85" s="985" t="s">
        <v>182</v>
      </c>
      <c r="D85" s="1120"/>
      <c r="E85" s="636" t="s">
        <v>244</v>
      </c>
      <c r="F85" s="831" t="s">
        <v>171</v>
      </c>
      <c r="G85" s="831" t="str">
        <f>VLOOKUP(H85,'Pob. Ext, Parroquial'!$B$9:$C$117,2,0)</f>
        <v>CALVAS</v>
      </c>
      <c r="H85" s="831" t="s">
        <v>245</v>
      </c>
      <c r="I85" s="831" t="s">
        <v>173</v>
      </c>
      <c r="J85" s="831" t="s">
        <v>174</v>
      </c>
      <c r="K85" s="831"/>
      <c r="L85" s="537"/>
      <c r="M85" s="538">
        <f>IF(K85&gt;0,VLOOKUP(H85,'[5]Pob. Ext, Parroquial'!$B$8:$F$117,4,FALSE),0)</f>
        <v>0</v>
      </c>
      <c r="N85" s="834" t="s">
        <v>535</v>
      </c>
      <c r="O85" s="836" t="s">
        <v>181</v>
      </c>
      <c r="P85" s="836">
        <v>0.35</v>
      </c>
      <c r="Q85" s="836">
        <v>3720</v>
      </c>
      <c r="R85" s="948">
        <v>41640</v>
      </c>
      <c r="S85" s="948">
        <v>41759</v>
      </c>
      <c r="T85" s="686" t="str">
        <f t="shared" si="0"/>
        <v>EJECUTADO</v>
      </c>
      <c r="U85" s="837">
        <f t="shared" si="6"/>
        <v>1302</v>
      </c>
      <c r="V85" s="544"/>
      <c r="W85" s="544"/>
      <c r="X85" s="664"/>
      <c r="Y85" s="640"/>
      <c r="Z85" s="545" t="s">
        <v>177</v>
      </c>
      <c r="AA85" s="545" t="s">
        <v>178</v>
      </c>
      <c r="AB85" s="546" t="s">
        <v>187</v>
      </c>
      <c r="AC85" s="547">
        <v>2014</v>
      </c>
      <c r="AD85" s="93"/>
      <c r="AE85" s="93"/>
    </row>
    <row r="86" spans="1:31" s="94" customFormat="1" ht="50.1" customHeight="1">
      <c r="A86" s="1068"/>
      <c r="B86" s="645"/>
      <c r="C86" s="985" t="s">
        <v>182</v>
      </c>
      <c r="D86" s="1117" t="s">
        <v>246</v>
      </c>
      <c r="E86" s="636" t="s">
        <v>246</v>
      </c>
      <c r="F86" s="831" t="s">
        <v>171</v>
      </c>
      <c r="G86" s="831" t="str">
        <f>VLOOKUP(H86,'Pob. Ext, Parroquial'!$B$9:$C$117,2,0)</f>
        <v>SOZORANGA</v>
      </c>
      <c r="H86" s="831" t="s">
        <v>247</v>
      </c>
      <c r="I86" s="831" t="s">
        <v>173</v>
      </c>
      <c r="J86" s="831" t="s">
        <v>174</v>
      </c>
      <c r="K86" s="831"/>
      <c r="L86" s="537"/>
      <c r="M86" s="538">
        <f>IF(K86&gt;0,VLOOKUP(H86,'[5]Pob. Ext, Parroquial'!$B$8:$F$117,4,FALSE),0)</f>
        <v>0</v>
      </c>
      <c r="N86" s="834" t="s">
        <v>200</v>
      </c>
      <c r="O86" s="836" t="s">
        <v>176</v>
      </c>
      <c r="P86" s="836">
        <v>1.46</v>
      </c>
      <c r="Q86" s="836">
        <v>1344</v>
      </c>
      <c r="R86" s="948">
        <v>41640</v>
      </c>
      <c r="S86" s="948">
        <v>41729</v>
      </c>
      <c r="T86" s="686" t="str">
        <f t="shared" si="0"/>
        <v>EJECUTADO</v>
      </c>
      <c r="U86" s="837">
        <f t="shared" si="6"/>
        <v>1962.24</v>
      </c>
      <c r="V86" s="544"/>
      <c r="W86" s="544"/>
      <c r="X86" s="660">
        <f>SUM(U86:U87)</f>
        <v>7553.33</v>
      </c>
      <c r="Y86" s="640"/>
      <c r="Z86" s="545" t="s">
        <v>177</v>
      </c>
      <c r="AA86" s="545" t="s">
        <v>178</v>
      </c>
      <c r="AB86" s="546" t="s">
        <v>187</v>
      </c>
      <c r="AC86" s="547">
        <v>2014</v>
      </c>
      <c r="AD86" s="93"/>
      <c r="AE86" s="93"/>
    </row>
    <row r="87" spans="1:31" s="94" customFormat="1" ht="50.1" customHeight="1">
      <c r="A87" s="1068"/>
      <c r="B87" s="646"/>
      <c r="C87" s="985" t="s">
        <v>182</v>
      </c>
      <c r="D87" s="1120"/>
      <c r="E87" s="636" t="s">
        <v>246</v>
      </c>
      <c r="F87" s="831" t="s">
        <v>171</v>
      </c>
      <c r="G87" s="831" t="str">
        <f>VLOOKUP(H87,'Pob. Ext, Parroquial'!$B$9:$C$117,2,0)</f>
        <v>SOZORANGA</v>
      </c>
      <c r="H87" s="831" t="s">
        <v>247</v>
      </c>
      <c r="I87" s="831" t="s">
        <v>173</v>
      </c>
      <c r="J87" s="831" t="s">
        <v>174</v>
      </c>
      <c r="K87" s="831"/>
      <c r="L87" s="537"/>
      <c r="M87" s="538">
        <f>IF(K87&gt;0,VLOOKUP(H87,'[5]Pob. Ext, Parroquial'!$B$8:$F$117,4,FALSE),0)</f>
        <v>0</v>
      </c>
      <c r="N87" s="834" t="s">
        <v>248</v>
      </c>
      <c r="O87" s="836" t="s">
        <v>176</v>
      </c>
      <c r="P87" s="836">
        <v>16.128</v>
      </c>
      <c r="Q87" s="836">
        <v>346.67</v>
      </c>
      <c r="R87" s="948">
        <v>41640</v>
      </c>
      <c r="S87" s="948">
        <v>41729</v>
      </c>
      <c r="T87" s="686" t="str">
        <f t="shared" si="0"/>
        <v>EJECUTADO</v>
      </c>
      <c r="U87" s="837">
        <f t="shared" si="6"/>
        <v>5591.09</v>
      </c>
      <c r="V87" s="544"/>
      <c r="W87" s="544"/>
      <c r="X87" s="664"/>
      <c r="Y87" s="640"/>
      <c r="Z87" s="545" t="s">
        <v>177</v>
      </c>
      <c r="AA87" s="545" t="s">
        <v>178</v>
      </c>
      <c r="AB87" s="546" t="s">
        <v>187</v>
      </c>
      <c r="AC87" s="547">
        <v>2014</v>
      </c>
      <c r="AD87" s="93"/>
      <c r="AE87" s="93"/>
    </row>
    <row r="88" spans="1:31" s="94" customFormat="1" ht="50.1" customHeight="1">
      <c r="A88" s="910"/>
      <c r="B88" s="913"/>
      <c r="C88" s="985" t="s">
        <v>182</v>
      </c>
      <c r="D88" s="927" t="s">
        <v>249</v>
      </c>
      <c r="E88" s="642" t="s">
        <v>249</v>
      </c>
      <c r="F88" s="831" t="s">
        <v>171</v>
      </c>
      <c r="G88" s="831" t="str">
        <f>VLOOKUP(H88,'Pob. Ext, Parroquial'!$B$9:$C$117,2,0)</f>
        <v>GONZANAMA</v>
      </c>
      <c r="H88" s="831" t="s">
        <v>250</v>
      </c>
      <c r="I88" s="831" t="s">
        <v>173</v>
      </c>
      <c r="J88" s="831" t="s">
        <v>174</v>
      </c>
      <c r="K88" s="831"/>
      <c r="L88" s="537"/>
      <c r="M88" s="538">
        <f>IF(K88&gt;0,VLOOKUP(H88,'[5]Pob. Ext, Parroquial'!$B$8:$F$117,4,FALSE),0)</f>
        <v>0</v>
      </c>
      <c r="N88" s="834" t="s">
        <v>175</v>
      </c>
      <c r="O88" s="836" t="s">
        <v>176</v>
      </c>
      <c r="P88" s="836">
        <v>1.62</v>
      </c>
      <c r="Q88" s="836">
        <v>500</v>
      </c>
      <c r="R88" s="948">
        <v>41640</v>
      </c>
      <c r="S88" s="948">
        <v>41729</v>
      </c>
      <c r="T88" s="686" t="str">
        <f t="shared" si="0"/>
        <v>EJECUTADO</v>
      </c>
      <c r="U88" s="837">
        <f t="shared" si="6"/>
        <v>810</v>
      </c>
      <c r="V88" s="544"/>
      <c r="W88" s="544"/>
      <c r="X88" s="912">
        <f>U88+V88+W88</f>
        <v>810</v>
      </c>
      <c r="Y88" s="640"/>
      <c r="Z88" s="545" t="s">
        <v>177</v>
      </c>
      <c r="AA88" s="545" t="s">
        <v>178</v>
      </c>
      <c r="AB88" s="546" t="s">
        <v>187</v>
      </c>
      <c r="AC88" s="547">
        <v>2014</v>
      </c>
      <c r="AD88" s="93"/>
      <c r="AE88" s="93"/>
    </row>
    <row r="89" spans="1:31" s="94" customFormat="1" ht="50.1" customHeight="1">
      <c r="A89" s="1068"/>
      <c r="B89" s="650"/>
      <c r="C89" s="985" t="s">
        <v>182</v>
      </c>
      <c r="D89" s="1117" t="s">
        <v>251</v>
      </c>
      <c r="E89" s="636" t="s">
        <v>251</v>
      </c>
      <c r="F89" s="831" t="s">
        <v>171</v>
      </c>
      <c r="G89" s="831" t="str">
        <f>VLOOKUP(H89,'Pob. Ext, Parroquial'!$B$9:$C$117,2,0)</f>
        <v>CALVAS</v>
      </c>
      <c r="H89" s="831" t="s">
        <v>245</v>
      </c>
      <c r="I89" s="831" t="s">
        <v>173</v>
      </c>
      <c r="J89" s="831" t="s">
        <v>174</v>
      </c>
      <c r="K89" s="831"/>
      <c r="L89" s="537"/>
      <c r="M89" s="538">
        <f>IF(K89&gt;0,VLOOKUP(H89,'[5]Pob. Ext, Parroquial'!$B$8:$F$117,4,FALSE),0)</f>
        <v>0</v>
      </c>
      <c r="N89" s="834" t="s">
        <v>252</v>
      </c>
      <c r="O89" s="836" t="s">
        <v>176</v>
      </c>
      <c r="P89" s="836">
        <v>1.62</v>
      </c>
      <c r="Q89" s="836">
        <v>7744</v>
      </c>
      <c r="R89" s="948">
        <v>41730</v>
      </c>
      <c r="S89" s="948">
        <v>41790</v>
      </c>
      <c r="T89" s="686" t="str">
        <f t="shared" si="0"/>
        <v>EJECUTADO</v>
      </c>
      <c r="U89" s="837">
        <f t="shared" si="6"/>
        <v>12545.28</v>
      </c>
      <c r="V89" s="544"/>
      <c r="W89" s="544"/>
      <c r="X89" s="660">
        <f>SUM(U89:U95)</f>
        <v>137131.85</v>
      </c>
      <c r="Y89" s="640"/>
      <c r="Z89" s="545" t="s">
        <v>177</v>
      </c>
      <c r="AA89" s="545" t="s">
        <v>178</v>
      </c>
      <c r="AB89" s="546" t="s">
        <v>187</v>
      </c>
      <c r="AC89" s="547">
        <v>2014</v>
      </c>
      <c r="AD89" s="93"/>
      <c r="AE89" s="93"/>
    </row>
    <row r="90" spans="1:31" s="94" customFormat="1" ht="50.1" customHeight="1">
      <c r="A90" s="1068"/>
      <c r="B90" s="651"/>
      <c r="C90" s="985" t="s">
        <v>182</v>
      </c>
      <c r="D90" s="1118"/>
      <c r="E90" s="636" t="s">
        <v>251</v>
      </c>
      <c r="F90" s="831" t="s">
        <v>171</v>
      </c>
      <c r="G90" s="831" t="str">
        <f>VLOOKUP(H90,'Pob. Ext, Parroquial'!$B$9:$C$117,2,0)</f>
        <v>CALVAS</v>
      </c>
      <c r="H90" s="831" t="s">
        <v>245</v>
      </c>
      <c r="I90" s="831" t="s">
        <v>173</v>
      </c>
      <c r="J90" s="831" t="s">
        <v>174</v>
      </c>
      <c r="K90" s="831"/>
      <c r="L90" s="537"/>
      <c r="M90" s="538">
        <f>IF(K90&gt;0,VLOOKUP(H90,'[5]Pob. Ext, Parroquial'!$B$8:$F$117,4,FALSE),0)</f>
        <v>0</v>
      </c>
      <c r="N90" s="834" t="s">
        <v>219</v>
      </c>
      <c r="O90" s="836" t="s">
        <v>181</v>
      </c>
      <c r="P90" s="836">
        <v>0.35</v>
      </c>
      <c r="Q90" s="836">
        <v>103483</v>
      </c>
      <c r="R90" s="948">
        <v>41730</v>
      </c>
      <c r="S90" s="948">
        <v>41790</v>
      </c>
      <c r="T90" s="686" t="str">
        <f t="shared" si="0"/>
        <v>EJECUTADO</v>
      </c>
      <c r="U90" s="837">
        <f t="shared" si="6"/>
        <v>36219.050000000003</v>
      </c>
      <c r="V90" s="544"/>
      <c r="W90" s="544"/>
      <c r="X90" s="662"/>
      <c r="Y90" s="640"/>
      <c r="Z90" s="545" t="s">
        <v>177</v>
      </c>
      <c r="AA90" s="545" t="s">
        <v>178</v>
      </c>
      <c r="AB90" s="546" t="s">
        <v>187</v>
      </c>
      <c r="AC90" s="547">
        <v>2014</v>
      </c>
      <c r="AD90" s="93"/>
      <c r="AE90" s="93"/>
    </row>
    <row r="91" spans="1:31" s="94" customFormat="1" ht="50.1" customHeight="1">
      <c r="A91" s="1068"/>
      <c r="B91" s="651"/>
      <c r="C91" s="985" t="s">
        <v>182</v>
      </c>
      <c r="D91" s="1118"/>
      <c r="E91" s="636" t="s">
        <v>251</v>
      </c>
      <c r="F91" s="831" t="s">
        <v>171</v>
      </c>
      <c r="G91" s="831" t="str">
        <f>VLOOKUP(H91,'Pob. Ext, Parroquial'!$B$9:$C$117,2,0)</f>
        <v>CALVAS</v>
      </c>
      <c r="H91" s="831" t="s">
        <v>245</v>
      </c>
      <c r="I91" s="831" t="s">
        <v>173</v>
      </c>
      <c r="J91" s="831" t="s">
        <v>174</v>
      </c>
      <c r="K91" s="831"/>
      <c r="L91" s="537">
        <f>ROUNDUP(Q91/5.5/1000,2)</f>
        <v>4.3</v>
      </c>
      <c r="M91" s="538">
        <f>IF(K91&gt;0,VLOOKUP(H91,'[5]Pob. Ext, Parroquial'!$B$8:$F$117,4,FALSE),0)</f>
        <v>0</v>
      </c>
      <c r="N91" s="834" t="s">
        <v>183</v>
      </c>
      <c r="O91" s="836" t="s">
        <v>184</v>
      </c>
      <c r="P91" s="836">
        <v>0.35</v>
      </c>
      <c r="Q91" s="836">
        <v>23600</v>
      </c>
      <c r="R91" s="948">
        <v>41730</v>
      </c>
      <c r="S91" s="948">
        <v>41790</v>
      </c>
      <c r="T91" s="686" t="str">
        <f t="shared" si="0"/>
        <v>EJECUTADO</v>
      </c>
      <c r="U91" s="837">
        <f t="shared" si="6"/>
        <v>8260</v>
      </c>
      <c r="V91" s="544"/>
      <c r="W91" s="544"/>
      <c r="X91" s="662"/>
      <c r="Y91" s="640"/>
      <c r="Z91" s="545" t="s">
        <v>177</v>
      </c>
      <c r="AA91" s="545" t="s">
        <v>178</v>
      </c>
      <c r="AB91" s="546" t="s">
        <v>187</v>
      </c>
      <c r="AC91" s="547">
        <v>2014</v>
      </c>
      <c r="AD91" s="93"/>
      <c r="AE91" s="93"/>
    </row>
    <row r="92" spans="1:31" s="94" customFormat="1" ht="50.1" customHeight="1">
      <c r="A92" s="1068"/>
      <c r="B92" s="651"/>
      <c r="C92" s="985" t="s">
        <v>182</v>
      </c>
      <c r="D92" s="1118"/>
      <c r="E92" s="636" t="s">
        <v>251</v>
      </c>
      <c r="F92" s="831" t="s">
        <v>171</v>
      </c>
      <c r="G92" s="831" t="str">
        <f>VLOOKUP(H92,'Pob. Ext, Parroquial'!$B$9:$C$117,2,0)</f>
        <v>CALVAS</v>
      </c>
      <c r="H92" s="831" t="s">
        <v>245</v>
      </c>
      <c r="I92" s="831" t="s">
        <v>173</v>
      </c>
      <c r="J92" s="831" t="s">
        <v>174</v>
      </c>
      <c r="K92" s="831"/>
      <c r="L92" s="537">
        <f>+ROUND(Q92/5500/0.2,2)</f>
        <v>7.04</v>
      </c>
      <c r="M92" s="538">
        <f>IF(K92&gt;0,VLOOKUP(H92,'[5]Pob. Ext, Parroquial'!$B$8:$F$117,4,FALSE),0)</f>
        <v>0</v>
      </c>
      <c r="N92" s="834" t="s">
        <v>229</v>
      </c>
      <c r="O92" s="836" t="s">
        <v>176</v>
      </c>
      <c r="P92" s="836">
        <v>5.92</v>
      </c>
      <c r="Q92" s="836">
        <v>7744</v>
      </c>
      <c r="R92" s="948">
        <v>41730</v>
      </c>
      <c r="S92" s="948">
        <v>41790</v>
      </c>
      <c r="T92" s="686" t="str">
        <f t="shared" si="0"/>
        <v>EJECUTADO</v>
      </c>
      <c r="U92" s="837">
        <f t="shared" si="6"/>
        <v>45844.480000000003</v>
      </c>
      <c r="V92" s="544"/>
      <c r="W92" s="544"/>
      <c r="X92" s="662"/>
      <c r="Y92" s="640"/>
      <c r="Z92" s="545" t="s">
        <v>177</v>
      </c>
      <c r="AA92" s="545" t="s">
        <v>178</v>
      </c>
      <c r="AB92" s="546" t="s">
        <v>187</v>
      </c>
      <c r="AC92" s="547">
        <v>2014</v>
      </c>
      <c r="AD92" s="93"/>
      <c r="AE92" s="93"/>
    </row>
    <row r="93" spans="1:31" s="94" customFormat="1" ht="50.1" customHeight="1">
      <c r="A93" s="1068"/>
      <c r="B93" s="651"/>
      <c r="C93" s="985" t="s">
        <v>182</v>
      </c>
      <c r="D93" s="1118"/>
      <c r="E93" s="636" t="s">
        <v>251</v>
      </c>
      <c r="F93" s="831" t="s">
        <v>171</v>
      </c>
      <c r="G93" s="831" t="str">
        <f>VLOOKUP(H93,'Pob. Ext, Parroquial'!$B$9:$C$117,2,0)</f>
        <v>CALVAS</v>
      </c>
      <c r="H93" s="831" t="s">
        <v>245</v>
      </c>
      <c r="I93" s="831" t="s">
        <v>173</v>
      </c>
      <c r="J93" s="831" t="s">
        <v>174</v>
      </c>
      <c r="K93" s="831"/>
      <c r="L93" s="537"/>
      <c r="M93" s="538">
        <f>IF(K93&gt;0,VLOOKUP(H93,'[5]Pob. Ext, Parroquial'!$B$8:$F$117,4,FALSE),0)</f>
        <v>0</v>
      </c>
      <c r="N93" s="834" t="s">
        <v>200</v>
      </c>
      <c r="O93" s="836" t="s">
        <v>176</v>
      </c>
      <c r="P93" s="836">
        <v>1.46</v>
      </c>
      <c r="Q93" s="836">
        <v>600</v>
      </c>
      <c r="R93" s="948">
        <v>41730</v>
      </c>
      <c r="S93" s="948">
        <v>41790</v>
      </c>
      <c r="T93" s="686" t="str">
        <f t="shared" si="0"/>
        <v>EJECUTADO</v>
      </c>
      <c r="U93" s="837">
        <f t="shared" si="6"/>
        <v>876</v>
      </c>
      <c r="V93" s="544"/>
      <c r="W93" s="544"/>
      <c r="X93" s="662"/>
      <c r="Y93" s="640"/>
      <c r="Z93" s="545" t="s">
        <v>177</v>
      </c>
      <c r="AA93" s="545" t="s">
        <v>178</v>
      </c>
      <c r="AB93" s="546" t="s">
        <v>187</v>
      </c>
      <c r="AC93" s="547">
        <v>2014</v>
      </c>
      <c r="AD93" s="93"/>
      <c r="AE93" s="93"/>
    </row>
    <row r="94" spans="1:31" s="94" customFormat="1" ht="50.1" customHeight="1">
      <c r="A94" s="1068"/>
      <c r="B94" s="651"/>
      <c r="C94" s="985" t="s">
        <v>182</v>
      </c>
      <c r="D94" s="1118"/>
      <c r="E94" s="636" t="s">
        <v>251</v>
      </c>
      <c r="F94" s="831" t="s">
        <v>171</v>
      </c>
      <c r="G94" s="831" t="str">
        <f>VLOOKUP(H94,'Pob. Ext, Parroquial'!$B$9:$C$117,2,0)</f>
        <v>CALVAS</v>
      </c>
      <c r="H94" s="853" t="s">
        <v>245</v>
      </c>
      <c r="I94" s="831" t="s">
        <v>173</v>
      </c>
      <c r="J94" s="831" t="s">
        <v>174</v>
      </c>
      <c r="K94" s="831"/>
      <c r="L94" s="537"/>
      <c r="M94" s="538">
        <f>IF(K94&gt;0,VLOOKUP(H94,'[5]Pob. Ext, Parroquial'!$B$8:$F$117,4,FALSE),0)</f>
        <v>0</v>
      </c>
      <c r="N94" s="834" t="s">
        <v>248</v>
      </c>
      <c r="O94" s="836" t="s">
        <v>176</v>
      </c>
      <c r="P94" s="836">
        <v>16.13</v>
      </c>
      <c r="Q94" s="836">
        <v>1240</v>
      </c>
      <c r="R94" s="948">
        <v>41730</v>
      </c>
      <c r="S94" s="948">
        <v>41790</v>
      </c>
      <c r="T94" s="686" t="str">
        <f t="shared" si="0"/>
        <v>EJECUTADO</v>
      </c>
      <c r="U94" s="837">
        <f t="shared" si="6"/>
        <v>20001.2</v>
      </c>
      <c r="V94" s="544"/>
      <c r="W94" s="544"/>
      <c r="X94" s="662"/>
      <c r="Y94" s="640"/>
      <c r="Z94" s="545" t="s">
        <v>177</v>
      </c>
      <c r="AA94" s="545" t="s">
        <v>178</v>
      </c>
      <c r="AB94" s="546" t="s">
        <v>187</v>
      </c>
      <c r="AC94" s="547">
        <v>2014</v>
      </c>
      <c r="AD94" s="93"/>
      <c r="AE94" s="93"/>
    </row>
    <row r="95" spans="1:31" s="94" customFormat="1" ht="50.1" customHeight="1">
      <c r="A95" s="1068"/>
      <c r="B95" s="653"/>
      <c r="C95" s="985" t="s">
        <v>182</v>
      </c>
      <c r="D95" s="1120"/>
      <c r="E95" s="636" t="s">
        <v>251</v>
      </c>
      <c r="F95" s="831" t="s">
        <v>171</v>
      </c>
      <c r="G95" s="831" t="str">
        <f>VLOOKUP(H95,'Pob. Ext, Parroquial'!$B$9:$C$117,2,0)</f>
        <v>CALVAS</v>
      </c>
      <c r="H95" s="853" t="s">
        <v>245</v>
      </c>
      <c r="I95" s="831" t="s">
        <v>173</v>
      </c>
      <c r="J95" s="831" t="s">
        <v>174</v>
      </c>
      <c r="K95" s="831"/>
      <c r="L95" s="537">
        <f>ROUNDUP(Q95/5.5/1000,2)</f>
        <v>30.430000000000003</v>
      </c>
      <c r="M95" s="538">
        <f>IF(K95&gt;0,VLOOKUP(H95,'[5]Pob. Ext, Parroquial'!$B$8:$F$117,4,FALSE),0)</f>
        <v>0</v>
      </c>
      <c r="N95" s="834" t="s">
        <v>185</v>
      </c>
      <c r="O95" s="836" t="s">
        <v>184</v>
      </c>
      <c r="P95" s="836">
        <v>0.08</v>
      </c>
      <c r="Q95" s="836">
        <v>167323</v>
      </c>
      <c r="R95" s="948">
        <v>41644</v>
      </c>
      <c r="S95" s="948">
        <v>41790</v>
      </c>
      <c r="T95" s="686" t="str">
        <f t="shared" si="0"/>
        <v>EJECUTADO</v>
      </c>
      <c r="U95" s="837">
        <f t="shared" si="6"/>
        <v>13385.84</v>
      </c>
      <c r="V95" s="544"/>
      <c r="W95" s="544"/>
      <c r="X95" s="664"/>
      <c r="Y95" s="640"/>
      <c r="Z95" s="545" t="s">
        <v>177</v>
      </c>
      <c r="AA95" s="545" t="s">
        <v>178</v>
      </c>
      <c r="AB95" s="546" t="s">
        <v>187</v>
      </c>
      <c r="AC95" s="547">
        <v>2014</v>
      </c>
      <c r="AD95" s="93"/>
      <c r="AE95" s="93"/>
    </row>
    <row r="96" spans="1:31" s="94" customFormat="1" ht="50.1" customHeight="1">
      <c r="A96" s="910" t="s">
        <v>253</v>
      </c>
      <c r="B96" s="913" t="str">
        <f>+T96</f>
        <v>EJECUTADO</v>
      </c>
      <c r="C96" s="985" t="s">
        <v>182</v>
      </c>
      <c r="D96" s="1117" t="s">
        <v>254</v>
      </c>
      <c r="E96" s="636" t="str">
        <f>+D96</f>
        <v>Mejoramiento de la Vía  SAN GUILLIN-QUIZANGA DE LA PARROQUIA SAN GUILLIN, CANTON CALVAS</v>
      </c>
      <c r="F96" s="831" t="s">
        <v>171</v>
      </c>
      <c r="G96" s="831" t="str">
        <f>VLOOKUP(H96,'Pob. Ext, Parroquial'!$B$9:$C$117,2,0)</f>
        <v>CALVAS</v>
      </c>
      <c r="H96" s="831" t="s">
        <v>245</v>
      </c>
      <c r="I96" s="831" t="s">
        <v>173</v>
      </c>
      <c r="J96" s="831" t="s">
        <v>174</v>
      </c>
      <c r="K96" s="831">
        <v>4</v>
      </c>
      <c r="L96" s="537"/>
      <c r="M96" s="538">
        <f>IF(K96&gt;0,VLOOKUP(H96,'[5]Pob. Ext, Parroquial'!$B$8:$F$117,4,FALSE),0)</f>
        <v>1506</v>
      </c>
      <c r="N96" s="834" t="s">
        <v>175</v>
      </c>
      <c r="O96" s="836" t="s">
        <v>176</v>
      </c>
      <c r="P96" s="836">
        <v>1.62</v>
      </c>
      <c r="Q96" s="836">
        <v>1848</v>
      </c>
      <c r="R96" s="948">
        <v>41821</v>
      </c>
      <c r="S96" s="948">
        <v>41851</v>
      </c>
      <c r="T96" s="686" t="str">
        <f t="shared" ref="T96:T226" si="7">IF(S96&lt;$G$5,"EJECUTADO","EN EJECUCION")</f>
        <v>EJECUTADO</v>
      </c>
      <c r="U96" s="837">
        <f t="shared" si="6"/>
        <v>2993.76</v>
      </c>
      <c r="V96" s="544"/>
      <c r="W96" s="544"/>
      <c r="X96" s="660">
        <f>SUM(U96:U99)</f>
        <v>21527.52</v>
      </c>
      <c r="Y96" s="640"/>
      <c r="Z96" s="545" t="s">
        <v>221</v>
      </c>
      <c r="AA96" s="545" t="s">
        <v>178</v>
      </c>
      <c r="AB96" s="546" t="s">
        <v>187</v>
      </c>
      <c r="AC96" s="547">
        <v>2014</v>
      </c>
      <c r="AD96" s="93"/>
      <c r="AE96" s="93"/>
    </row>
    <row r="97" spans="1:31" s="94" customFormat="1" ht="50.1" customHeight="1">
      <c r="A97" s="910"/>
      <c r="B97" s="914"/>
      <c r="C97" s="985" t="s">
        <v>182</v>
      </c>
      <c r="D97" s="1118"/>
      <c r="E97" s="655" t="str">
        <f t="shared" ref="E97:E99" si="8">+E96</f>
        <v>Mejoramiento de la Vía  SAN GUILLIN-QUIZANGA DE LA PARROQUIA SAN GUILLIN, CANTON CALVAS</v>
      </c>
      <c r="F97" s="831" t="s">
        <v>171</v>
      </c>
      <c r="G97" s="831" t="str">
        <f>VLOOKUP(H97,'Pob. Ext, Parroquial'!$B$9:$C$117,2,0)</f>
        <v>CALVAS</v>
      </c>
      <c r="H97" s="831" t="s">
        <v>245</v>
      </c>
      <c r="I97" s="831" t="s">
        <v>173</v>
      </c>
      <c r="J97" s="831" t="s">
        <v>174</v>
      </c>
      <c r="K97" s="831"/>
      <c r="L97" s="537"/>
      <c r="M97" s="538">
        <f>IF(K97&gt;0,VLOOKUP(H97,'[5]Pob. Ext, Parroquial'!$B$8:$F$117,4,FALSE),0)</f>
        <v>0</v>
      </c>
      <c r="N97" s="834" t="s">
        <v>180</v>
      </c>
      <c r="O97" s="836" t="s">
        <v>181</v>
      </c>
      <c r="P97" s="836">
        <v>0.35</v>
      </c>
      <c r="Q97" s="836">
        <v>3696</v>
      </c>
      <c r="R97" s="948">
        <v>41821</v>
      </c>
      <c r="S97" s="948">
        <v>41851</v>
      </c>
      <c r="T97" s="686" t="str">
        <f t="shared" si="7"/>
        <v>EJECUTADO</v>
      </c>
      <c r="U97" s="837">
        <f t="shared" si="6"/>
        <v>1293.5999999999999</v>
      </c>
      <c r="V97" s="544"/>
      <c r="W97" s="544"/>
      <c r="X97" s="662"/>
      <c r="Y97" s="640"/>
      <c r="Z97" s="545" t="s">
        <v>221</v>
      </c>
      <c r="AA97" s="545" t="s">
        <v>178</v>
      </c>
      <c r="AB97" s="546" t="s">
        <v>187</v>
      </c>
      <c r="AC97" s="547">
        <v>2014</v>
      </c>
      <c r="AD97" s="93"/>
      <c r="AE97" s="93"/>
    </row>
    <row r="98" spans="1:31" s="94" customFormat="1" ht="50.1" customHeight="1">
      <c r="A98" s="910"/>
      <c r="B98" s="914"/>
      <c r="C98" s="985" t="s">
        <v>182</v>
      </c>
      <c r="D98" s="1118"/>
      <c r="E98" s="655" t="str">
        <f t="shared" si="8"/>
        <v>Mejoramiento de la Vía  SAN GUILLIN-QUIZANGA DE LA PARROQUIA SAN GUILLIN, CANTON CALVAS</v>
      </c>
      <c r="F98" s="831" t="s">
        <v>171</v>
      </c>
      <c r="G98" s="831" t="str">
        <f>VLOOKUP(H98,'Pob. Ext, Parroquial'!$B$9:$C$117,2,0)</f>
        <v>CALVAS</v>
      </c>
      <c r="H98" s="831" t="s">
        <v>245</v>
      </c>
      <c r="I98" s="831" t="s">
        <v>173</v>
      </c>
      <c r="J98" s="831" t="s">
        <v>174</v>
      </c>
      <c r="K98" s="831"/>
      <c r="L98" s="537">
        <f>ROUNDUP(Q98/5.5/1000,2)</f>
        <v>3.28</v>
      </c>
      <c r="M98" s="538">
        <f>IF(K98&gt;0,VLOOKUP(H98,'[5]Pob. Ext, Parroquial'!$B$8:$F$117,4,FALSE),0)</f>
        <v>0</v>
      </c>
      <c r="N98" s="834" t="s">
        <v>255</v>
      </c>
      <c r="O98" s="836" t="s">
        <v>184</v>
      </c>
      <c r="P98" s="836">
        <v>0.35</v>
      </c>
      <c r="Q98" s="836">
        <v>18000</v>
      </c>
      <c r="R98" s="948">
        <v>41821</v>
      </c>
      <c r="S98" s="948">
        <v>41851</v>
      </c>
      <c r="T98" s="686" t="str">
        <f t="shared" si="7"/>
        <v>EJECUTADO</v>
      </c>
      <c r="U98" s="837">
        <f t="shared" si="6"/>
        <v>6300</v>
      </c>
      <c r="V98" s="544"/>
      <c r="W98" s="544"/>
      <c r="X98" s="662"/>
      <c r="Y98" s="640"/>
      <c r="Z98" s="545" t="s">
        <v>221</v>
      </c>
      <c r="AA98" s="545" t="s">
        <v>178</v>
      </c>
      <c r="AB98" s="546" t="s">
        <v>187</v>
      </c>
      <c r="AC98" s="547">
        <v>2014</v>
      </c>
      <c r="AD98" s="93"/>
      <c r="AE98" s="93"/>
    </row>
    <row r="99" spans="1:31" s="94" customFormat="1" ht="50.1" customHeight="1">
      <c r="A99" s="910"/>
      <c r="B99" s="914"/>
      <c r="C99" s="985" t="s">
        <v>182</v>
      </c>
      <c r="D99" s="1120"/>
      <c r="E99" s="655" t="str">
        <f t="shared" si="8"/>
        <v>Mejoramiento de la Vía  SAN GUILLIN-QUIZANGA DE LA PARROQUIA SAN GUILLIN, CANTON CALVAS</v>
      </c>
      <c r="F99" s="831" t="s">
        <v>171</v>
      </c>
      <c r="G99" s="831" t="str">
        <f>VLOOKUP(H99,'Pob. Ext, Parroquial'!$B$9:$C$117,2,0)</f>
        <v>CALVAS</v>
      </c>
      <c r="H99" s="831" t="s">
        <v>245</v>
      </c>
      <c r="I99" s="831" t="s">
        <v>173</v>
      </c>
      <c r="J99" s="831" t="s">
        <v>174</v>
      </c>
      <c r="K99" s="831"/>
      <c r="L99" s="537">
        <f>+ROUND(Q99/5500/0.2,2)</f>
        <v>1.68</v>
      </c>
      <c r="M99" s="538">
        <f>IF(K99&gt;0,VLOOKUP(H99,'[5]Pob. Ext, Parroquial'!$B$8:$F$117,4,FALSE),0)</f>
        <v>0</v>
      </c>
      <c r="N99" s="834" t="s">
        <v>229</v>
      </c>
      <c r="O99" s="836" t="s">
        <v>176</v>
      </c>
      <c r="P99" s="836">
        <v>5.92</v>
      </c>
      <c r="Q99" s="836">
        <v>1848</v>
      </c>
      <c r="R99" s="948">
        <v>41821</v>
      </c>
      <c r="S99" s="948">
        <v>41851</v>
      </c>
      <c r="T99" s="686" t="str">
        <f t="shared" si="7"/>
        <v>EJECUTADO</v>
      </c>
      <c r="U99" s="837">
        <f t="shared" si="6"/>
        <v>10940.16</v>
      </c>
      <c r="V99" s="544"/>
      <c r="W99" s="544"/>
      <c r="X99" s="664"/>
      <c r="Y99" s="640"/>
      <c r="Z99" s="545" t="s">
        <v>221</v>
      </c>
      <c r="AA99" s="545" t="s">
        <v>178</v>
      </c>
      <c r="AB99" s="546" t="s">
        <v>187</v>
      </c>
      <c r="AC99" s="547">
        <v>2014</v>
      </c>
      <c r="AD99" s="93"/>
      <c r="AE99" s="93"/>
    </row>
    <row r="100" spans="1:31" s="94" customFormat="1" ht="50.1" customHeight="1">
      <c r="A100" s="910" t="s">
        <v>256</v>
      </c>
      <c r="B100" s="913" t="str">
        <f>+T100</f>
        <v>EJECUTADO</v>
      </c>
      <c r="C100" s="985" t="s">
        <v>182</v>
      </c>
      <c r="D100" s="927" t="s">
        <v>257</v>
      </c>
      <c r="E100" s="636" t="str">
        <f>+D100</f>
        <v>MANTENIMIENTO DE EMERGENCIA A VIAS DE LA PARROQUIA COLAISACA</v>
      </c>
      <c r="F100" s="831" t="s">
        <v>171</v>
      </c>
      <c r="G100" s="831" t="str">
        <f>VLOOKUP(H100,'Pob. Ext, Parroquial'!$B$9:$C$117,2,0)</f>
        <v>CALVAS</v>
      </c>
      <c r="H100" s="831" t="s">
        <v>243</v>
      </c>
      <c r="I100" s="831" t="s">
        <v>173</v>
      </c>
      <c r="J100" s="831" t="s">
        <v>174</v>
      </c>
      <c r="K100" s="831"/>
      <c r="L100" s="537"/>
      <c r="M100" s="538">
        <f>IF(K100&gt;0,VLOOKUP(H100,'[5]Pob. Ext, Parroquial'!$B$8:$F$117,4,FALSE),0)</f>
        <v>0</v>
      </c>
      <c r="N100" s="834" t="s">
        <v>200</v>
      </c>
      <c r="O100" s="836" t="s">
        <v>176</v>
      </c>
      <c r="P100" s="836">
        <v>1.46</v>
      </c>
      <c r="Q100" s="836">
        <v>8516</v>
      </c>
      <c r="R100" s="948">
        <v>41821</v>
      </c>
      <c r="S100" s="948">
        <v>41851</v>
      </c>
      <c r="T100" s="686" t="str">
        <f t="shared" si="7"/>
        <v>EJECUTADO</v>
      </c>
      <c r="U100" s="837">
        <f t="shared" si="6"/>
        <v>12433.36</v>
      </c>
      <c r="V100" s="544"/>
      <c r="W100" s="544"/>
      <c r="X100" s="912">
        <f>U100+V100+W100</f>
        <v>12433.36</v>
      </c>
      <c r="Y100" s="640"/>
      <c r="Z100" s="545" t="s">
        <v>221</v>
      </c>
      <c r="AA100" s="545" t="s">
        <v>178</v>
      </c>
      <c r="AB100" s="546" t="s">
        <v>187</v>
      </c>
      <c r="AC100" s="547">
        <v>2014</v>
      </c>
      <c r="AD100" s="93"/>
      <c r="AE100" s="93"/>
    </row>
    <row r="101" spans="1:31" s="94" customFormat="1" ht="50.1" customHeight="1">
      <c r="A101" s="910" t="s">
        <v>258</v>
      </c>
      <c r="B101" s="913" t="str">
        <f>+T101</f>
        <v>EJECUTADO</v>
      </c>
      <c r="C101" s="985" t="s">
        <v>182</v>
      </c>
      <c r="D101" s="1117" t="s">
        <v>259</v>
      </c>
      <c r="E101" s="636" t="str">
        <f>+D101</f>
        <v>Mejoramiento de la Vía  SAN GUILLIN-USAIMA DE LA PARROQUIA SAN GUILLIN, CANTON CALVAS</v>
      </c>
      <c r="F101" s="831" t="s">
        <v>171</v>
      </c>
      <c r="G101" s="831" t="str">
        <f>VLOOKUP(H101,'Pob. Ext, Parroquial'!$B$9:$C$117,2,0)</f>
        <v>CALVAS</v>
      </c>
      <c r="H101" s="831" t="s">
        <v>245</v>
      </c>
      <c r="I101" s="831" t="s">
        <v>173</v>
      </c>
      <c r="J101" s="831" t="s">
        <v>174</v>
      </c>
      <c r="K101" s="831">
        <v>2</v>
      </c>
      <c r="L101" s="537"/>
      <c r="M101" s="538">
        <f>IF(K101&gt;0,VLOOKUP(H101,'[5]Pob. Ext, Parroquial'!$B$8:$F$117,4,FALSE),0)</f>
        <v>1506</v>
      </c>
      <c r="N101" s="834" t="s">
        <v>175</v>
      </c>
      <c r="O101" s="836" t="s">
        <v>176</v>
      </c>
      <c r="P101" s="836">
        <v>1.62</v>
      </c>
      <c r="Q101" s="836">
        <v>672</v>
      </c>
      <c r="R101" s="948">
        <v>41821</v>
      </c>
      <c r="S101" s="948">
        <v>41851</v>
      </c>
      <c r="T101" s="686" t="str">
        <f t="shared" si="7"/>
        <v>EJECUTADO</v>
      </c>
      <c r="U101" s="837">
        <f t="shared" si="6"/>
        <v>1088.6400000000001</v>
      </c>
      <c r="V101" s="544"/>
      <c r="W101" s="544"/>
      <c r="X101" s="660">
        <f>SUM(U101:U104)</f>
        <v>6937.2</v>
      </c>
      <c r="Y101" s="640"/>
      <c r="Z101" s="545" t="s">
        <v>221</v>
      </c>
      <c r="AA101" s="545" t="s">
        <v>178</v>
      </c>
      <c r="AB101" s="546" t="s">
        <v>187</v>
      </c>
      <c r="AC101" s="547">
        <v>2014</v>
      </c>
      <c r="AD101" s="93"/>
      <c r="AE101" s="93"/>
    </row>
    <row r="102" spans="1:31" s="94" customFormat="1" ht="50.1" customHeight="1">
      <c r="A102" s="910"/>
      <c r="B102" s="914"/>
      <c r="C102" s="985" t="s">
        <v>182</v>
      </c>
      <c r="D102" s="1118"/>
      <c r="E102" s="655" t="str">
        <f t="shared" ref="E102:E104" si="9">+E101</f>
        <v>Mejoramiento de la Vía  SAN GUILLIN-USAIMA DE LA PARROQUIA SAN GUILLIN, CANTON CALVAS</v>
      </c>
      <c r="F102" s="831" t="s">
        <v>171</v>
      </c>
      <c r="G102" s="831" t="str">
        <f>VLOOKUP(H102,'Pob. Ext, Parroquial'!$B$9:$C$117,2,0)</f>
        <v>CALVAS</v>
      </c>
      <c r="H102" s="831" t="s">
        <v>245</v>
      </c>
      <c r="I102" s="831" t="s">
        <v>173</v>
      </c>
      <c r="J102" s="831" t="s">
        <v>174</v>
      </c>
      <c r="K102" s="831"/>
      <c r="L102" s="537"/>
      <c r="M102" s="538">
        <f>IF(K102&gt;0,VLOOKUP(H102,'[5]Pob. Ext, Parroquial'!$B$8:$F$117,4,FALSE),0)</f>
        <v>0</v>
      </c>
      <c r="N102" s="834" t="s">
        <v>180</v>
      </c>
      <c r="O102" s="836" t="s">
        <v>181</v>
      </c>
      <c r="P102" s="836">
        <v>0.35</v>
      </c>
      <c r="Q102" s="836">
        <v>5376</v>
      </c>
      <c r="R102" s="948">
        <v>41821</v>
      </c>
      <c r="S102" s="948">
        <v>41851</v>
      </c>
      <c r="T102" s="686" t="str">
        <f t="shared" si="7"/>
        <v>EJECUTADO</v>
      </c>
      <c r="U102" s="837">
        <f t="shared" si="6"/>
        <v>1881.6</v>
      </c>
      <c r="V102" s="544"/>
      <c r="W102" s="544"/>
      <c r="X102" s="662"/>
      <c r="Y102" s="640"/>
      <c r="Z102" s="545" t="s">
        <v>221</v>
      </c>
      <c r="AA102" s="545" t="s">
        <v>178</v>
      </c>
      <c r="AB102" s="546" t="s">
        <v>187</v>
      </c>
      <c r="AC102" s="547">
        <v>2014</v>
      </c>
      <c r="AD102" s="93"/>
      <c r="AE102" s="93"/>
    </row>
    <row r="103" spans="1:31" s="94" customFormat="1" ht="50.1" customHeight="1">
      <c r="A103" s="910"/>
      <c r="B103" s="914"/>
      <c r="C103" s="985" t="s">
        <v>182</v>
      </c>
      <c r="D103" s="1118"/>
      <c r="E103" s="655" t="str">
        <f t="shared" si="9"/>
        <v>Mejoramiento de la Vía  SAN GUILLIN-USAIMA DE LA PARROQUIA SAN GUILLIN, CANTON CALVAS</v>
      </c>
      <c r="F103" s="831" t="s">
        <v>171</v>
      </c>
      <c r="G103" s="831" t="str">
        <f>VLOOKUP(H103,'Pob. Ext, Parroquial'!$B$9:$C$117,2,0)</f>
        <v>CALVAS</v>
      </c>
      <c r="H103" s="831" t="s">
        <v>245</v>
      </c>
      <c r="I103" s="831" t="s">
        <v>173</v>
      </c>
      <c r="J103" s="831" t="s">
        <v>174</v>
      </c>
      <c r="K103" s="831"/>
      <c r="L103" s="537">
        <f>ROUNDUP(Q103/5.5/1000,2)</f>
        <v>1.49</v>
      </c>
      <c r="M103" s="538">
        <f>IF(K103&gt;0,VLOOKUP(H103,'[5]Pob. Ext, Parroquial'!$B$8:$F$117,4,FALSE),0)</f>
        <v>0</v>
      </c>
      <c r="N103" s="834" t="s">
        <v>260</v>
      </c>
      <c r="O103" s="836" t="s">
        <v>184</v>
      </c>
      <c r="P103" s="836">
        <v>0.08</v>
      </c>
      <c r="Q103" s="836">
        <v>8147</v>
      </c>
      <c r="R103" s="948">
        <v>41821</v>
      </c>
      <c r="S103" s="948">
        <v>41851</v>
      </c>
      <c r="T103" s="686" t="str">
        <f t="shared" si="7"/>
        <v>EJECUTADO</v>
      </c>
      <c r="U103" s="837">
        <f t="shared" si="6"/>
        <v>651.76</v>
      </c>
      <c r="V103" s="544"/>
      <c r="W103" s="544"/>
      <c r="X103" s="662"/>
      <c r="Y103" s="640"/>
      <c r="Z103" s="545" t="s">
        <v>221</v>
      </c>
      <c r="AA103" s="545" t="s">
        <v>178</v>
      </c>
      <c r="AB103" s="546" t="s">
        <v>187</v>
      </c>
      <c r="AC103" s="547">
        <v>2014</v>
      </c>
      <c r="AD103" s="93"/>
      <c r="AE103" s="93"/>
    </row>
    <row r="104" spans="1:31" s="94" customFormat="1" ht="50.1" customHeight="1">
      <c r="A104" s="910"/>
      <c r="B104" s="914"/>
      <c r="C104" s="985" t="s">
        <v>182</v>
      </c>
      <c r="D104" s="1120"/>
      <c r="E104" s="655" t="str">
        <f t="shared" si="9"/>
        <v>Mejoramiento de la Vía  SAN GUILLIN-USAIMA DE LA PARROQUIA SAN GUILLIN, CANTON CALVAS</v>
      </c>
      <c r="F104" s="831" t="s">
        <v>171</v>
      </c>
      <c r="G104" s="831" t="str">
        <f>VLOOKUP(H104,'Pob. Ext, Parroquial'!$B$9:$C$117,2,0)</f>
        <v>CALVAS</v>
      </c>
      <c r="H104" s="831" t="s">
        <v>245</v>
      </c>
      <c r="I104" s="831" t="s">
        <v>173</v>
      </c>
      <c r="J104" s="831" t="s">
        <v>174</v>
      </c>
      <c r="K104" s="831"/>
      <c r="L104" s="537">
        <f>+ROUND(Q104/5500/0.2,2)</f>
        <v>0.51</v>
      </c>
      <c r="M104" s="538">
        <f>IF(K104&gt;0,VLOOKUP(H104,'[5]Pob. Ext, Parroquial'!$B$8:$F$117,4,FALSE),0)</f>
        <v>0</v>
      </c>
      <c r="N104" s="834" t="s">
        <v>229</v>
      </c>
      <c r="O104" s="836" t="s">
        <v>176</v>
      </c>
      <c r="P104" s="836">
        <v>5.92</v>
      </c>
      <c r="Q104" s="836">
        <v>560</v>
      </c>
      <c r="R104" s="948">
        <v>41821</v>
      </c>
      <c r="S104" s="948">
        <v>41851</v>
      </c>
      <c r="T104" s="686" t="str">
        <f t="shared" si="7"/>
        <v>EJECUTADO</v>
      </c>
      <c r="U104" s="837">
        <f t="shared" si="6"/>
        <v>3315.2</v>
      </c>
      <c r="V104" s="544"/>
      <c r="W104" s="544"/>
      <c r="X104" s="664"/>
      <c r="Y104" s="640"/>
      <c r="Z104" s="545" t="s">
        <v>221</v>
      </c>
      <c r="AA104" s="545" t="s">
        <v>178</v>
      </c>
      <c r="AB104" s="546" t="s">
        <v>187</v>
      </c>
      <c r="AC104" s="547">
        <v>2014</v>
      </c>
      <c r="AD104" s="93"/>
      <c r="AE104" s="93"/>
    </row>
    <row r="105" spans="1:31" s="94" customFormat="1" ht="50.1" customHeight="1">
      <c r="A105" s="910" t="s">
        <v>261</v>
      </c>
      <c r="B105" s="913" t="str">
        <f>+T105</f>
        <v>EJECUTADO</v>
      </c>
      <c r="C105" s="985" t="s">
        <v>182</v>
      </c>
      <c r="D105" s="1117" t="s">
        <v>262</v>
      </c>
      <c r="E105" s="636" t="str">
        <f>+D105</f>
        <v>Mejoramiento VIAL P. San Guillin :Camayos, San Joaquin,Chullafaique,Pasallal, CANTON CALVAS</v>
      </c>
      <c r="F105" s="831" t="s">
        <v>171</v>
      </c>
      <c r="G105" s="831" t="str">
        <f>VLOOKUP(H105,'Pob. Ext, Parroquial'!$B$9:$C$117,2,0)</f>
        <v>CALVAS</v>
      </c>
      <c r="H105" s="831" t="s">
        <v>245</v>
      </c>
      <c r="I105" s="831" t="s">
        <v>173</v>
      </c>
      <c r="J105" s="831" t="s">
        <v>174</v>
      </c>
      <c r="K105" s="831">
        <v>2</v>
      </c>
      <c r="L105" s="537"/>
      <c r="M105" s="538">
        <f>IF(K105&gt;0,VLOOKUP(H105,'[5]Pob. Ext, Parroquial'!$B$8:$F$117,4,FALSE),0)</f>
        <v>1506</v>
      </c>
      <c r="N105" s="834" t="s">
        <v>175</v>
      </c>
      <c r="O105" s="836" t="s">
        <v>176</v>
      </c>
      <c r="P105" s="836">
        <v>1.62</v>
      </c>
      <c r="Q105" s="836">
        <v>1534</v>
      </c>
      <c r="R105" s="948">
        <v>41821</v>
      </c>
      <c r="S105" s="948">
        <v>41851</v>
      </c>
      <c r="T105" s="686" t="str">
        <f t="shared" si="7"/>
        <v>EJECUTADO</v>
      </c>
      <c r="U105" s="837">
        <f t="shared" si="6"/>
        <v>2485.08</v>
      </c>
      <c r="V105" s="544"/>
      <c r="W105" s="544"/>
      <c r="X105" s="660">
        <f>SUM(U105:U108)</f>
        <v>30337.059999999998</v>
      </c>
      <c r="Y105" s="640"/>
      <c r="Z105" s="545" t="s">
        <v>221</v>
      </c>
      <c r="AA105" s="545" t="s">
        <v>178</v>
      </c>
      <c r="AB105" s="546" t="s">
        <v>187</v>
      </c>
      <c r="AC105" s="547">
        <v>2014</v>
      </c>
      <c r="AD105" s="93"/>
      <c r="AE105" s="93"/>
    </row>
    <row r="106" spans="1:31" s="94" customFormat="1" ht="50.1" customHeight="1">
      <c r="A106" s="910"/>
      <c r="B106" s="914"/>
      <c r="C106" s="985" t="s">
        <v>182</v>
      </c>
      <c r="D106" s="1118"/>
      <c r="E106" s="655" t="str">
        <f t="shared" ref="E106:E108" si="10">+E105</f>
        <v>Mejoramiento VIAL P. San Guillin :Camayos, San Joaquin,Chullafaique,Pasallal, CANTON CALVAS</v>
      </c>
      <c r="F106" s="831" t="s">
        <v>171</v>
      </c>
      <c r="G106" s="831" t="str">
        <f>VLOOKUP(H106,'Pob. Ext, Parroquial'!$B$9:$C$117,2,0)</f>
        <v>CALVAS</v>
      </c>
      <c r="H106" s="831" t="s">
        <v>245</v>
      </c>
      <c r="I106" s="831" t="s">
        <v>173</v>
      </c>
      <c r="J106" s="831" t="s">
        <v>174</v>
      </c>
      <c r="K106" s="831"/>
      <c r="L106" s="537"/>
      <c r="M106" s="538">
        <f>IF(K106&gt;0,VLOOKUP(H106,'[5]Pob. Ext, Parroquial'!$B$8:$F$117,4,FALSE),0)</f>
        <v>0</v>
      </c>
      <c r="N106" s="834" t="s">
        <v>180</v>
      </c>
      <c r="O106" s="836" t="s">
        <v>181</v>
      </c>
      <c r="P106" s="836">
        <v>0.35</v>
      </c>
      <c r="Q106" s="836">
        <v>4602</v>
      </c>
      <c r="R106" s="948">
        <v>41821</v>
      </c>
      <c r="S106" s="948">
        <v>41851</v>
      </c>
      <c r="T106" s="686" t="str">
        <f t="shared" si="7"/>
        <v>EJECUTADO</v>
      </c>
      <c r="U106" s="837">
        <f t="shared" si="6"/>
        <v>1610.7</v>
      </c>
      <c r="V106" s="544"/>
      <c r="W106" s="544"/>
      <c r="X106" s="662"/>
      <c r="Y106" s="640"/>
      <c r="Z106" s="545" t="s">
        <v>221</v>
      </c>
      <c r="AA106" s="545" t="s">
        <v>178</v>
      </c>
      <c r="AB106" s="546" t="s">
        <v>187</v>
      </c>
      <c r="AC106" s="547">
        <v>2014</v>
      </c>
      <c r="AD106" s="93"/>
      <c r="AE106" s="93"/>
    </row>
    <row r="107" spans="1:31" s="94" customFormat="1" ht="50.1" customHeight="1">
      <c r="A107" s="910"/>
      <c r="B107" s="914"/>
      <c r="C107" s="985" t="s">
        <v>182</v>
      </c>
      <c r="D107" s="1118"/>
      <c r="E107" s="655" t="str">
        <f t="shared" si="10"/>
        <v>Mejoramiento VIAL P. San Guillin :Camayos, San Joaquin,Chullafaique,Pasallal, CANTON CALVAS</v>
      </c>
      <c r="F107" s="831" t="s">
        <v>171</v>
      </c>
      <c r="G107" s="831" t="str">
        <f>VLOOKUP(H107,'Pob. Ext, Parroquial'!$B$9:$C$117,2,0)</f>
        <v>CALVAS</v>
      </c>
      <c r="H107" s="831" t="s">
        <v>245</v>
      </c>
      <c r="I107" s="831" t="s">
        <v>173</v>
      </c>
      <c r="J107" s="831" t="s">
        <v>174</v>
      </c>
      <c r="K107" s="831"/>
      <c r="L107" s="537">
        <f>ROUNDUP(Q107/5.5/1000,2)</f>
        <v>39</v>
      </c>
      <c r="M107" s="538">
        <f>IF(K107&gt;0,VLOOKUP(H107,'[5]Pob. Ext, Parroquial'!$B$8:$F$117,4,FALSE),0)</f>
        <v>0</v>
      </c>
      <c r="N107" s="834" t="s">
        <v>260</v>
      </c>
      <c r="O107" s="836" t="s">
        <v>184</v>
      </c>
      <c r="P107" s="836">
        <v>0.08</v>
      </c>
      <c r="Q107" s="836">
        <v>214500</v>
      </c>
      <c r="R107" s="948">
        <v>41821</v>
      </c>
      <c r="S107" s="948">
        <v>41851</v>
      </c>
      <c r="T107" s="686" t="str">
        <f t="shared" si="7"/>
        <v>EJECUTADO</v>
      </c>
      <c r="U107" s="837">
        <f t="shared" si="6"/>
        <v>17160</v>
      </c>
      <c r="V107" s="544"/>
      <c r="W107" s="544"/>
      <c r="X107" s="662"/>
      <c r="Y107" s="640"/>
      <c r="Z107" s="545" t="s">
        <v>221</v>
      </c>
      <c r="AA107" s="545" t="s">
        <v>178</v>
      </c>
      <c r="AB107" s="546" t="s">
        <v>187</v>
      </c>
      <c r="AC107" s="547">
        <v>2014</v>
      </c>
      <c r="AD107" s="93"/>
      <c r="AE107" s="93"/>
    </row>
    <row r="108" spans="1:31" s="94" customFormat="1" ht="50.1" customHeight="1">
      <c r="A108" s="910"/>
      <c r="B108" s="914"/>
      <c r="C108" s="985" t="s">
        <v>182</v>
      </c>
      <c r="D108" s="1120"/>
      <c r="E108" s="655" t="str">
        <f t="shared" si="10"/>
        <v>Mejoramiento VIAL P. San Guillin :Camayos, San Joaquin,Chullafaique,Pasallal, CANTON CALVAS</v>
      </c>
      <c r="F108" s="831" t="s">
        <v>171</v>
      </c>
      <c r="G108" s="831" t="str">
        <f>VLOOKUP(H108,'Pob. Ext, Parroquial'!$B$9:$C$117,2,0)</f>
        <v>CALVAS</v>
      </c>
      <c r="H108" s="831" t="s">
        <v>245</v>
      </c>
      <c r="I108" s="831" t="s">
        <v>173</v>
      </c>
      <c r="J108" s="831" t="s">
        <v>174</v>
      </c>
      <c r="K108" s="831"/>
      <c r="L108" s="537">
        <f>+ROUND(Q108/5500/0.2,2)</f>
        <v>1.39</v>
      </c>
      <c r="M108" s="538">
        <f>IF(K108&gt;0,VLOOKUP(H108,'[5]Pob. Ext, Parroquial'!$B$8:$F$117,4,FALSE),0)</f>
        <v>0</v>
      </c>
      <c r="N108" s="834" t="s">
        <v>229</v>
      </c>
      <c r="O108" s="836" t="s">
        <v>176</v>
      </c>
      <c r="P108" s="836">
        <v>5.92</v>
      </c>
      <c r="Q108" s="836">
        <v>1534</v>
      </c>
      <c r="R108" s="948">
        <v>41821</v>
      </c>
      <c r="S108" s="948">
        <v>41851</v>
      </c>
      <c r="T108" s="686" t="str">
        <f t="shared" si="7"/>
        <v>EJECUTADO</v>
      </c>
      <c r="U108" s="837">
        <f t="shared" si="6"/>
        <v>9081.2800000000007</v>
      </c>
      <c r="V108" s="544"/>
      <c r="W108" s="544"/>
      <c r="X108" s="664"/>
      <c r="Y108" s="640"/>
      <c r="Z108" s="545" t="s">
        <v>221</v>
      </c>
      <c r="AA108" s="545" t="s">
        <v>178</v>
      </c>
      <c r="AB108" s="546" t="s">
        <v>187</v>
      </c>
      <c r="AC108" s="547">
        <v>2014</v>
      </c>
      <c r="AD108" s="93"/>
      <c r="AE108" s="93"/>
    </row>
    <row r="109" spans="1:31" s="94" customFormat="1" ht="50.1" customHeight="1">
      <c r="A109" s="910"/>
      <c r="B109" s="913"/>
      <c r="C109" s="985" t="s">
        <v>182</v>
      </c>
      <c r="D109" s="1117" t="s">
        <v>802</v>
      </c>
      <c r="E109" s="636" t="str">
        <f>+D109</f>
        <v>MANTENIMIENTO VIAL P. QUIZANGA - LUCERO</v>
      </c>
      <c r="F109" s="831" t="s">
        <v>171</v>
      </c>
      <c r="G109" s="831" t="str">
        <f>VLOOKUP(H109,'Pob. Ext, Parroquial'!$B$9:$C$117,2,0)</f>
        <v>CALVAS</v>
      </c>
      <c r="H109" s="831" t="s">
        <v>245</v>
      </c>
      <c r="I109" s="831" t="s">
        <v>173</v>
      </c>
      <c r="J109" s="831" t="s">
        <v>174</v>
      </c>
      <c r="K109" s="831"/>
      <c r="L109" s="537"/>
      <c r="M109" s="538">
        <f>IF(K109&gt;0,VLOOKUP(H109,'[5]Pob. Ext, Parroquial'!$B$8:$F$117,4,FALSE),0)</f>
        <v>0</v>
      </c>
      <c r="N109" s="834" t="s">
        <v>252</v>
      </c>
      <c r="O109" s="836" t="s">
        <v>176</v>
      </c>
      <c r="P109" s="836">
        <v>1.62</v>
      </c>
      <c r="Q109" s="836"/>
      <c r="R109" s="948">
        <v>41791</v>
      </c>
      <c r="S109" s="948">
        <v>41820</v>
      </c>
      <c r="T109" s="686" t="str">
        <f>IF(S109&lt;$G$5,"EJECUTADO","EN EJECUCION")</f>
        <v>EJECUTADO</v>
      </c>
      <c r="U109" s="837">
        <f t="shared" si="6"/>
        <v>0</v>
      </c>
      <c r="V109" s="544"/>
      <c r="W109" s="544"/>
      <c r="X109" s="660">
        <f>SUM(U109:U112)</f>
        <v>21024.9</v>
      </c>
      <c r="Y109" s="640"/>
      <c r="Z109" s="545" t="s">
        <v>221</v>
      </c>
      <c r="AA109" s="545" t="s">
        <v>178</v>
      </c>
      <c r="AB109" s="546" t="s">
        <v>187</v>
      </c>
      <c r="AC109" s="547">
        <v>2014</v>
      </c>
      <c r="AD109" s="93"/>
      <c r="AE109" s="93"/>
    </row>
    <row r="110" spans="1:31" s="94" customFormat="1" ht="50.1" customHeight="1">
      <c r="A110" s="910"/>
      <c r="B110" s="914"/>
      <c r="C110" s="985" t="s">
        <v>182</v>
      </c>
      <c r="D110" s="1118"/>
      <c r="E110" s="655" t="str">
        <f>+E109</f>
        <v>MANTENIMIENTO VIAL P. QUIZANGA - LUCERO</v>
      </c>
      <c r="F110" s="831" t="s">
        <v>171</v>
      </c>
      <c r="G110" s="831" t="str">
        <f>VLOOKUP(H110,'Pob. Ext, Parroquial'!$B$9:$C$117,2,0)</f>
        <v>CALVAS</v>
      </c>
      <c r="H110" s="831" t="s">
        <v>245</v>
      </c>
      <c r="I110" s="831" t="s">
        <v>173</v>
      </c>
      <c r="J110" s="831" t="s">
        <v>174</v>
      </c>
      <c r="K110" s="831"/>
      <c r="L110" s="537"/>
      <c r="M110" s="538">
        <f>IF(K110&gt;0,VLOOKUP(H110,'[5]Pob. Ext, Parroquial'!$B$8:$F$117,4,FALSE),0)</f>
        <v>0</v>
      </c>
      <c r="N110" s="834" t="s">
        <v>219</v>
      </c>
      <c r="O110" s="836" t="s">
        <v>181</v>
      </c>
      <c r="P110" s="836">
        <v>0.35</v>
      </c>
      <c r="Q110" s="836">
        <v>5670</v>
      </c>
      <c r="R110" s="948">
        <v>41791</v>
      </c>
      <c r="S110" s="948">
        <v>41820</v>
      </c>
      <c r="T110" s="686" t="str">
        <f>IF(S110&lt;$G$5,"EJECUTADO","EN EJECUCION")</f>
        <v>EJECUTADO</v>
      </c>
      <c r="U110" s="837">
        <f t="shared" si="6"/>
        <v>1984.5</v>
      </c>
      <c r="V110" s="544"/>
      <c r="W110" s="544"/>
      <c r="X110" s="662"/>
      <c r="Y110" s="640"/>
      <c r="Z110" s="545" t="s">
        <v>221</v>
      </c>
      <c r="AA110" s="545" t="s">
        <v>178</v>
      </c>
      <c r="AB110" s="546" t="s">
        <v>187</v>
      </c>
      <c r="AC110" s="547">
        <v>2014</v>
      </c>
      <c r="AD110" s="93"/>
      <c r="AE110" s="93"/>
    </row>
    <row r="111" spans="1:31" s="94" customFormat="1" ht="50.1" customHeight="1">
      <c r="A111" s="910"/>
      <c r="B111" s="914"/>
      <c r="C111" s="985" t="s">
        <v>182</v>
      </c>
      <c r="D111" s="1118"/>
      <c r="E111" s="655" t="str">
        <f>+E110</f>
        <v>MANTENIMIENTO VIAL P. QUIZANGA - LUCERO</v>
      </c>
      <c r="F111" s="831" t="s">
        <v>171</v>
      </c>
      <c r="G111" s="831" t="str">
        <f>VLOOKUP(H111,'Pob. Ext, Parroquial'!$B$9:$C$117,2,0)</f>
        <v>CALVAS</v>
      </c>
      <c r="H111" s="831" t="s">
        <v>245</v>
      </c>
      <c r="I111" s="831" t="s">
        <v>173</v>
      </c>
      <c r="J111" s="831" t="s">
        <v>174</v>
      </c>
      <c r="K111" s="831"/>
      <c r="L111" s="537">
        <f>ROUNDUP(Q111/5.5/1000,2)</f>
        <v>4.91</v>
      </c>
      <c r="M111" s="538">
        <f>IF(K111&gt;0,VLOOKUP(H111,'[5]Pob. Ext, Parroquial'!$B$8:$F$117,4,FALSE),0)</f>
        <v>0</v>
      </c>
      <c r="N111" s="834" t="s">
        <v>183</v>
      </c>
      <c r="O111" s="836" t="s">
        <v>184</v>
      </c>
      <c r="P111" s="836">
        <v>0.35</v>
      </c>
      <c r="Q111" s="836">
        <v>27000</v>
      </c>
      <c r="R111" s="948">
        <v>41791</v>
      </c>
      <c r="S111" s="948">
        <v>41820</v>
      </c>
      <c r="T111" s="686" t="str">
        <f>IF(S111&lt;$G$5,"EJECUTADO","EN EJECUCION")</f>
        <v>EJECUTADO</v>
      </c>
      <c r="U111" s="837">
        <f t="shared" si="6"/>
        <v>9450</v>
      </c>
      <c r="V111" s="544"/>
      <c r="W111" s="544"/>
      <c r="X111" s="662"/>
      <c r="Y111" s="640"/>
      <c r="Z111" s="545" t="s">
        <v>221</v>
      </c>
      <c r="AA111" s="545" t="s">
        <v>178</v>
      </c>
      <c r="AB111" s="546" t="s">
        <v>187</v>
      </c>
      <c r="AC111" s="547">
        <v>2014</v>
      </c>
      <c r="AD111" s="93"/>
      <c r="AE111" s="93"/>
    </row>
    <row r="112" spans="1:31" s="94" customFormat="1" ht="50.1" customHeight="1">
      <c r="A112" s="910"/>
      <c r="B112" s="914"/>
      <c r="C112" s="985" t="s">
        <v>182</v>
      </c>
      <c r="D112" s="1120"/>
      <c r="E112" s="655" t="str">
        <f>+E111</f>
        <v>MANTENIMIENTO VIAL P. QUIZANGA - LUCERO</v>
      </c>
      <c r="F112" s="831" t="s">
        <v>171</v>
      </c>
      <c r="G112" s="831" t="str">
        <f>VLOOKUP(H112,'Pob. Ext, Parroquial'!$B$9:$C$117,2,0)</f>
        <v>CALVAS</v>
      </c>
      <c r="H112" s="831" t="s">
        <v>245</v>
      </c>
      <c r="I112" s="831" t="s">
        <v>173</v>
      </c>
      <c r="J112" s="831" t="s">
        <v>174</v>
      </c>
      <c r="K112" s="831"/>
      <c r="L112" s="537">
        <f>+ROUND(Q112/5500/0.2,2)</f>
        <v>1.47</v>
      </c>
      <c r="M112" s="538">
        <f>IF(K112&gt;0,VLOOKUP(H112,'[5]Pob. Ext, Parroquial'!$B$8:$F$117,4,FALSE),0)</f>
        <v>0</v>
      </c>
      <c r="N112" s="834" t="s">
        <v>229</v>
      </c>
      <c r="O112" s="836" t="s">
        <v>176</v>
      </c>
      <c r="P112" s="836">
        <v>5.92</v>
      </c>
      <c r="Q112" s="836">
        <v>1620</v>
      </c>
      <c r="R112" s="948">
        <v>41791</v>
      </c>
      <c r="S112" s="948">
        <v>41820</v>
      </c>
      <c r="T112" s="686" t="str">
        <f>IF(S112&lt;$G$5,"EJECUTADO","EN EJECUCION")</f>
        <v>EJECUTADO</v>
      </c>
      <c r="U112" s="837">
        <f t="shared" si="6"/>
        <v>9590.4</v>
      </c>
      <c r="V112" s="544"/>
      <c r="W112" s="544"/>
      <c r="X112" s="664"/>
      <c r="Y112" s="640"/>
      <c r="Z112" s="545" t="s">
        <v>221</v>
      </c>
      <c r="AA112" s="545" t="s">
        <v>178</v>
      </c>
      <c r="AB112" s="546" t="s">
        <v>187</v>
      </c>
      <c r="AC112" s="547">
        <v>2014</v>
      </c>
      <c r="AD112" s="93"/>
      <c r="AE112" s="93"/>
    </row>
    <row r="113" spans="1:31" s="94" customFormat="1" ht="68.45" customHeight="1">
      <c r="A113" s="1068"/>
      <c r="B113" s="650"/>
      <c r="C113" s="985" t="s">
        <v>182</v>
      </c>
      <c r="D113" s="1117" t="s">
        <v>263</v>
      </c>
      <c r="E113" s="636" t="str">
        <f>+D113</f>
        <v>CONVENIO DE MANTENIMIENTO DE LA VIA SOZORANGA - NUEVA FATIMA, CANTON SOZORANGA.
Longtud 13,30KM</v>
      </c>
      <c r="F113" s="831" t="s">
        <v>171</v>
      </c>
      <c r="G113" s="831" t="str">
        <f>VLOOKUP(H113,'Pob. Ext, Parroquial'!$B$9:$C$117,2,0)</f>
        <v>SOZORANGA</v>
      </c>
      <c r="H113" s="831" t="s">
        <v>264</v>
      </c>
      <c r="I113" s="831" t="s">
        <v>265</v>
      </c>
      <c r="J113" s="831" t="s">
        <v>174</v>
      </c>
      <c r="K113" s="831">
        <v>13.3</v>
      </c>
      <c r="L113" s="537"/>
      <c r="M113" s="538">
        <f>IF(K113&gt;0,VLOOKUP(H113,'[5]Pob. Ext, Parroquial'!$B$8:$F$117,4,FALSE),0)</f>
        <v>642</v>
      </c>
      <c r="N113" s="834" t="s">
        <v>252</v>
      </c>
      <c r="O113" s="836" t="s">
        <v>176</v>
      </c>
      <c r="P113" s="836">
        <v>1.62</v>
      </c>
      <c r="Q113" s="836">
        <v>13340</v>
      </c>
      <c r="R113" s="948">
        <v>41640</v>
      </c>
      <c r="S113" s="948">
        <v>41729</v>
      </c>
      <c r="T113" s="686" t="str">
        <f t="shared" si="7"/>
        <v>EJECUTADO</v>
      </c>
      <c r="U113" s="837">
        <f t="shared" si="6"/>
        <v>21610.799999999999</v>
      </c>
      <c r="V113" s="544"/>
      <c r="W113" s="544"/>
      <c r="X113" s="660">
        <f>SUM(U113:U121)</f>
        <v>172988.94000000003</v>
      </c>
      <c r="Y113" s="640"/>
      <c r="Z113" s="545" t="s">
        <v>177</v>
      </c>
      <c r="AA113" s="545" t="s">
        <v>178</v>
      </c>
      <c r="AB113" s="546" t="s">
        <v>187</v>
      </c>
      <c r="AC113" s="547">
        <v>2014</v>
      </c>
      <c r="AD113" s="93"/>
      <c r="AE113" s="93"/>
    </row>
    <row r="114" spans="1:31" s="94" customFormat="1" ht="76.150000000000006" customHeight="1">
      <c r="A114" s="1068"/>
      <c r="B114" s="656"/>
      <c r="C114" s="985" t="s">
        <v>182</v>
      </c>
      <c r="D114" s="1118"/>
      <c r="E114" s="655" t="str">
        <f t="shared" ref="E114:E121" si="11">+E113</f>
        <v>CONVENIO DE MANTENIMIENTO DE LA VIA SOZORANGA - NUEVA FATIMA, CANTON SOZORANGA.
Longtud 13,30KM</v>
      </c>
      <c r="F114" s="831" t="s">
        <v>171</v>
      </c>
      <c r="G114" s="831" t="str">
        <f>VLOOKUP(H114,'Pob. Ext, Parroquial'!$B$9:$C$117,2,0)</f>
        <v>SOZORANGA</v>
      </c>
      <c r="H114" s="831" t="s">
        <v>264</v>
      </c>
      <c r="I114" s="831" t="s">
        <v>265</v>
      </c>
      <c r="J114" s="831" t="s">
        <v>174</v>
      </c>
      <c r="K114" s="831"/>
      <c r="L114" s="537"/>
      <c r="M114" s="538">
        <f>IF(K114&gt;0,VLOOKUP(H114,'[5]Pob. Ext, Parroquial'!$B$8:$F$117,4,FALSE),0)</f>
        <v>0</v>
      </c>
      <c r="N114" s="834" t="s">
        <v>200</v>
      </c>
      <c r="O114" s="836" t="s">
        <v>176</v>
      </c>
      <c r="P114" s="836">
        <v>1.46</v>
      </c>
      <c r="Q114" s="836">
        <v>6176</v>
      </c>
      <c r="R114" s="948">
        <v>41640</v>
      </c>
      <c r="S114" s="948">
        <v>41729</v>
      </c>
      <c r="T114" s="686" t="str">
        <f t="shared" si="7"/>
        <v>EJECUTADO</v>
      </c>
      <c r="U114" s="837">
        <f t="shared" si="6"/>
        <v>9016.9599999999991</v>
      </c>
      <c r="V114" s="544"/>
      <c r="W114" s="544"/>
      <c r="X114" s="662"/>
      <c r="Y114" s="640"/>
      <c r="Z114" s="545" t="s">
        <v>177</v>
      </c>
      <c r="AA114" s="545" t="s">
        <v>178</v>
      </c>
      <c r="AB114" s="546" t="s">
        <v>187</v>
      </c>
      <c r="AC114" s="547">
        <v>2014</v>
      </c>
      <c r="AD114" s="93"/>
      <c r="AE114" s="93"/>
    </row>
    <row r="115" spans="1:31" s="94" customFormat="1" ht="72.599999999999994" customHeight="1">
      <c r="A115" s="1068"/>
      <c r="B115" s="656"/>
      <c r="C115" s="985" t="s">
        <v>182</v>
      </c>
      <c r="D115" s="1118"/>
      <c r="E115" s="655" t="str">
        <f t="shared" si="11"/>
        <v>CONVENIO DE MANTENIMIENTO DE LA VIA SOZORANGA - NUEVA FATIMA, CANTON SOZORANGA.
Longtud 13,30KM</v>
      </c>
      <c r="F115" s="831" t="s">
        <v>171</v>
      </c>
      <c r="G115" s="831" t="str">
        <f>VLOOKUP(H115,'Pob. Ext, Parroquial'!$B$9:$C$117,2,0)</f>
        <v>SOZORANGA</v>
      </c>
      <c r="H115" s="831" t="s">
        <v>264</v>
      </c>
      <c r="I115" s="831" t="s">
        <v>265</v>
      </c>
      <c r="J115" s="831" t="s">
        <v>174</v>
      </c>
      <c r="K115" s="831"/>
      <c r="L115" s="537"/>
      <c r="M115" s="538">
        <f>IF(K115&gt;0,VLOOKUP(H115,'[5]Pob. Ext, Parroquial'!$B$8:$F$117,4,FALSE),0)</f>
        <v>0</v>
      </c>
      <c r="N115" s="834" t="s">
        <v>266</v>
      </c>
      <c r="O115" s="836" t="s">
        <v>181</v>
      </c>
      <c r="P115" s="836">
        <v>0.24</v>
      </c>
      <c r="Q115" s="836">
        <v>4328</v>
      </c>
      <c r="R115" s="948">
        <v>41640</v>
      </c>
      <c r="S115" s="948">
        <v>41729</v>
      </c>
      <c r="T115" s="686" t="str">
        <f t="shared" si="7"/>
        <v>EJECUTADO</v>
      </c>
      <c r="U115" s="837">
        <f t="shared" si="6"/>
        <v>1038.72</v>
      </c>
      <c r="V115" s="544"/>
      <c r="W115" s="544"/>
      <c r="X115" s="662"/>
      <c r="Y115" s="640"/>
      <c r="Z115" s="545" t="s">
        <v>177</v>
      </c>
      <c r="AA115" s="545" t="s">
        <v>178</v>
      </c>
      <c r="AB115" s="546" t="s">
        <v>187</v>
      </c>
      <c r="AC115" s="547">
        <v>2014</v>
      </c>
      <c r="AD115" s="93"/>
      <c r="AE115" s="93"/>
    </row>
    <row r="116" spans="1:31" s="94" customFormat="1" ht="72.599999999999994" customHeight="1">
      <c r="A116" s="1068"/>
      <c r="B116" s="656"/>
      <c r="C116" s="985" t="s">
        <v>182</v>
      </c>
      <c r="D116" s="1118"/>
      <c r="E116" s="655" t="str">
        <f t="shared" si="11"/>
        <v>CONVENIO DE MANTENIMIENTO DE LA VIA SOZORANGA - NUEVA FATIMA, CANTON SOZORANGA.
Longtud 13,30KM</v>
      </c>
      <c r="F116" s="831" t="s">
        <v>171</v>
      </c>
      <c r="G116" s="831" t="str">
        <f>VLOOKUP(H116,'Pob. Ext, Parroquial'!$B$9:$C$117,2,0)</f>
        <v>SOZORANGA</v>
      </c>
      <c r="H116" s="831" t="s">
        <v>264</v>
      </c>
      <c r="I116" s="831" t="s">
        <v>265</v>
      </c>
      <c r="J116" s="831" t="s">
        <v>174</v>
      </c>
      <c r="K116" s="831"/>
      <c r="L116" s="537"/>
      <c r="M116" s="538">
        <f>IF(K116&gt;0,VLOOKUP(H116,'[5]Pob. Ext, Parroquial'!$B$8:$F$117,4,FALSE),0)</f>
        <v>0</v>
      </c>
      <c r="N116" s="834" t="s">
        <v>219</v>
      </c>
      <c r="O116" s="836" t="s">
        <v>181</v>
      </c>
      <c r="P116" s="836">
        <v>0.35</v>
      </c>
      <c r="Q116" s="836">
        <v>95305.2</v>
      </c>
      <c r="R116" s="948">
        <v>41640</v>
      </c>
      <c r="S116" s="948">
        <v>41729</v>
      </c>
      <c r="T116" s="686" t="str">
        <f t="shared" si="7"/>
        <v>EJECUTADO</v>
      </c>
      <c r="U116" s="837">
        <f t="shared" si="6"/>
        <v>33356.82</v>
      </c>
      <c r="V116" s="544"/>
      <c r="W116" s="544"/>
      <c r="X116" s="662"/>
      <c r="Y116" s="640"/>
      <c r="Z116" s="545" t="s">
        <v>177</v>
      </c>
      <c r="AA116" s="545" t="s">
        <v>178</v>
      </c>
      <c r="AB116" s="546" t="s">
        <v>187</v>
      </c>
      <c r="AC116" s="547">
        <v>2014</v>
      </c>
      <c r="AD116" s="93"/>
      <c r="AE116" s="93"/>
    </row>
    <row r="117" spans="1:31" s="94" customFormat="1" ht="68.45" customHeight="1">
      <c r="A117" s="1068"/>
      <c r="B117" s="656"/>
      <c r="C117" s="985" t="s">
        <v>182</v>
      </c>
      <c r="D117" s="1118"/>
      <c r="E117" s="655" t="str">
        <f t="shared" si="11"/>
        <v>CONVENIO DE MANTENIMIENTO DE LA VIA SOZORANGA - NUEVA FATIMA, CANTON SOZORANGA.
Longtud 13,30KM</v>
      </c>
      <c r="F117" s="831" t="s">
        <v>171</v>
      </c>
      <c r="G117" s="831" t="str">
        <f>VLOOKUP(H117,'Pob. Ext, Parroquial'!$B$9:$C$117,2,0)</f>
        <v>SOZORANGA</v>
      </c>
      <c r="H117" s="831" t="s">
        <v>264</v>
      </c>
      <c r="I117" s="831" t="s">
        <v>265</v>
      </c>
      <c r="J117" s="831" t="s">
        <v>174</v>
      </c>
      <c r="K117" s="831"/>
      <c r="L117" s="537">
        <f>ROUNDUP(Q117/5.5/1000,2)</f>
        <v>9.74</v>
      </c>
      <c r="M117" s="538">
        <f>IF(K117&gt;0,VLOOKUP(H117,'[5]Pob. Ext, Parroquial'!$B$8:$F$117,4,FALSE),0)</f>
        <v>0</v>
      </c>
      <c r="N117" s="834" t="s">
        <v>185</v>
      </c>
      <c r="O117" s="836" t="s">
        <v>184</v>
      </c>
      <c r="P117" s="836">
        <v>0.08</v>
      </c>
      <c r="Q117" s="836">
        <v>53520</v>
      </c>
      <c r="R117" s="948">
        <v>41640</v>
      </c>
      <c r="S117" s="948">
        <v>41729</v>
      </c>
      <c r="T117" s="686" t="str">
        <f t="shared" si="7"/>
        <v>EJECUTADO</v>
      </c>
      <c r="U117" s="837">
        <f t="shared" si="6"/>
        <v>4281.6000000000004</v>
      </c>
      <c r="V117" s="544"/>
      <c r="W117" s="544"/>
      <c r="X117" s="662"/>
      <c r="Y117" s="640"/>
      <c r="Z117" s="545" t="s">
        <v>177</v>
      </c>
      <c r="AA117" s="545" t="s">
        <v>178</v>
      </c>
      <c r="AB117" s="546" t="s">
        <v>187</v>
      </c>
      <c r="AC117" s="547">
        <v>2014</v>
      </c>
      <c r="AD117" s="93"/>
      <c r="AE117" s="93"/>
    </row>
    <row r="118" spans="1:31" s="94" customFormat="1" ht="60.6" customHeight="1">
      <c r="A118" s="1068"/>
      <c r="B118" s="656"/>
      <c r="C118" s="985" t="s">
        <v>182</v>
      </c>
      <c r="D118" s="1118"/>
      <c r="E118" s="655" t="str">
        <f t="shared" si="11"/>
        <v>CONVENIO DE MANTENIMIENTO DE LA VIA SOZORANGA - NUEVA FATIMA, CANTON SOZORANGA.
Longtud 13,30KM</v>
      </c>
      <c r="F118" s="831" t="s">
        <v>171</v>
      </c>
      <c r="G118" s="831" t="str">
        <f>VLOOKUP(H118,'Pob. Ext, Parroquial'!$B$9:$C$117,2,0)</f>
        <v>SOZORANGA</v>
      </c>
      <c r="H118" s="831" t="s">
        <v>264</v>
      </c>
      <c r="I118" s="831" t="s">
        <v>265</v>
      </c>
      <c r="J118" s="831" t="s">
        <v>174</v>
      </c>
      <c r="K118" s="831"/>
      <c r="L118" s="537">
        <f>ROUNDUP(Q118/5.5/1000,2)</f>
        <v>4.87</v>
      </c>
      <c r="M118" s="538">
        <f>IF(K118&gt;0,VLOOKUP(H118,'[5]Pob. Ext, Parroquial'!$B$8:$F$117,4,FALSE),0)</f>
        <v>0</v>
      </c>
      <c r="N118" s="834" t="s">
        <v>183</v>
      </c>
      <c r="O118" s="836" t="s">
        <v>184</v>
      </c>
      <c r="P118" s="836">
        <v>0.35</v>
      </c>
      <c r="Q118" s="836">
        <v>26760</v>
      </c>
      <c r="R118" s="948">
        <v>41640</v>
      </c>
      <c r="S118" s="948">
        <v>41729</v>
      </c>
      <c r="T118" s="686" t="str">
        <f t="shared" si="7"/>
        <v>EJECUTADO</v>
      </c>
      <c r="U118" s="837">
        <f t="shared" si="6"/>
        <v>9366</v>
      </c>
      <c r="V118" s="544"/>
      <c r="W118" s="544"/>
      <c r="X118" s="662"/>
      <c r="Y118" s="640"/>
      <c r="Z118" s="545" t="s">
        <v>177</v>
      </c>
      <c r="AA118" s="545" t="s">
        <v>178</v>
      </c>
      <c r="AB118" s="546" t="s">
        <v>187</v>
      </c>
      <c r="AC118" s="547">
        <v>2014</v>
      </c>
      <c r="AD118" s="95">
        <f>SUM(X12:X624)</f>
        <v>8286187.2400000012</v>
      </c>
      <c r="AE118" s="93"/>
    </row>
    <row r="119" spans="1:31" s="94" customFormat="1" ht="67.150000000000006" customHeight="1">
      <c r="A119" s="1068"/>
      <c r="B119" s="656"/>
      <c r="C119" s="985" t="s">
        <v>182</v>
      </c>
      <c r="D119" s="1118"/>
      <c r="E119" s="655" t="str">
        <f t="shared" si="11"/>
        <v>CONVENIO DE MANTENIMIENTO DE LA VIA SOZORANGA - NUEVA FATIMA, CANTON SOZORANGA.
Longtud 13,30KM</v>
      </c>
      <c r="F119" s="831" t="s">
        <v>171</v>
      </c>
      <c r="G119" s="831" t="str">
        <f>VLOOKUP(H119,'Pob. Ext, Parroquial'!$B$9:$C$117,2,0)</f>
        <v>SOZORANGA</v>
      </c>
      <c r="H119" s="831" t="s">
        <v>264</v>
      </c>
      <c r="I119" s="831" t="s">
        <v>265</v>
      </c>
      <c r="J119" s="831" t="s">
        <v>174</v>
      </c>
      <c r="K119" s="831"/>
      <c r="L119" s="537">
        <f>+ROUND(Q119/5500/0.2,2)</f>
        <v>10.79</v>
      </c>
      <c r="M119" s="538">
        <f>IF(K119&gt;0,VLOOKUP(H119,'[5]Pob. Ext, Parroquial'!$B$8:$F$117,4,FALSE),0)</f>
        <v>0</v>
      </c>
      <c r="N119" s="834" t="s">
        <v>229</v>
      </c>
      <c r="O119" s="836" t="s">
        <v>176</v>
      </c>
      <c r="P119" s="836">
        <v>5.92</v>
      </c>
      <c r="Q119" s="836">
        <v>11868</v>
      </c>
      <c r="R119" s="948">
        <v>41640</v>
      </c>
      <c r="S119" s="948">
        <v>41729</v>
      </c>
      <c r="T119" s="686" t="str">
        <f t="shared" si="7"/>
        <v>EJECUTADO</v>
      </c>
      <c r="U119" s="837">
        <f t="shared" si="6"/>
        <v>70258.559999999998</v>
      </c>
      <c r="V119" s="544"/>
      <c r="W119" s="544"/>
      <c r="X119" s="662"/>
      <c r="Y119" s="640"/>
      <c r="Z119" s="545" t="s">
        <v>177</v>
      </c>
      <c r="AA119" s="545" t="s">
        <v>178</v>
      </c>
      <c r="AB119" s="546" t="s">
        <v>187</v>
      </c>
      <c r="AC119" s="547">
        <v>2014</v>
      </c>
      <c r="AD119" s="95"/>
      <c r="AE119" s="93"/>
    </row>
    <row r="120" spans="1:31" s="94" customFormat="1" ht="75" customHeight="1">
      <c r="A120" s="1068"/>
      <c r="B120" s="656"/>
      <c r="C120" s="985" t="s">
        <v>182</v>
      </c>
      <c r="D120" s="1118"/>
      <c r="E120" s="655" t="str">
        <f t="shared" si="11"/>
        <v>CONVENIO DE MANTENIMIENTO DE LA VIA SOZORANGA - NUEVA FATIMA, CANTON SOZORANGA.
Longtud 13,30KM</v>
      </c>
      <c r="F120" s="831" t="s">
        <v>171</v>
      </c>
      <c r="G120" s="831" t="str">
        <f>VLOOKUP(H120,'Pob. Ext, Parroquial'!$B$9:$C$117,2,0)</f>
        <v>SOZORANGA</v>
      </c>
      <c r="H120" s="831" t="s">
        <v>264</v>
      </c>
      <c r="I120" s="831" t="s">
        <v>265</v>
      </c>
      <c r="J120" s="831" t="s">
        <v>174</v>
      </c>
      <c r="K120" s="831"/>
      <c r="L120" s="537"/>
      <c r="M120" s="538">
        <f>IF(K120&gt;0,VLOOKUP(H120,'[5]Pob. Ext, Parroquial'!$B$8:$F$117,4,FALSE),0)</f>
        <v>0</v>
      </c>
      <c r="N120" s="834" t="s">
        <v>248</v>
      </c>
      <c r="O120" s="836" t="s">
        <v>176</v>
      </c>
      <c r="P120" s="836">
        <v>16.128</v>
      </c>
      <c r="Q120" s="836">
        <v>410</v>
      </c>
      <c r="R120" s="948">
        <v>41640</v>
      </c>
      <c r="S120" s="948">
        <v>41729</v>
      </c>
      <c r="T120" s="686" t="str">
        <f t="shared" si="7"/>
        <v>EJECUTADO</v>
      </c>
      <c r="U120" s="837">
        <f t="shared" si="6"/>
        <v>6612.48</v>
      </c>
      <c r="V120" s="544"/>
      <c r="W120" s="544"/>
      <c r="X120" s="662"/>
      <c r="Y120" s="640"/>
      <c r="Z120" s="545" t="s">
        <v>177</v>
      </c>
      <c r="AA120" s="545" t="s">
        <v>178</v>
      </c>
      <c r="AB120" s="546" t="s">
        <v>187</v>
      </c>
      <c r="AC120" s="547">
        <v>2014</v>
      </c>
      <c r="AD120" s="95"/>
      <c r="AE120" s="93"/>
    </row>
    <row r="121" spans="1:31" s="94" customFormat="1" ht="75" customHeight="1">
      <c r="A121" s="1068"/>
      <c r="B121" s="658"/>
      <c r="C121" s="985" t="s">
        <v>182</v>
      </c>
      <c r="D121" s="1120"/>
      <c r="E121" s="655" t="str">
        <f t="shared" si="11"/>
        <v>CONVENIO DE MANTENIMIENTO DE LA VIA SOZORANGA - NUEVA FATIMA, CANTON SOZORANGA.
Longtud 13,30KM</v>
      </c>
      <c r="F121" s="831" t="s">
        <v>171</v>
      </c>
      <c r="G121" s="831" t="str">
        <f>VLOOKUP(H121,'Pob. Ext, Parroquial'!$B$9:$C$117,2,0)</f>
        <v>SOZORANGA</v>
      </c>
      <c r="H121" s="853" t="s">
        <v>264</v>
      </c>
      <c r="I121" s="831" t="s">
        <v>173</v>
      </c>
      <c r="J121" s="831" t="s">
        <v>174</v>
      </c>
      <c r="K121" s="831"/>
      <c r="L121" s="537"/>
      <c r="M121" s="538">
        <f>IF(K121&gt;0,VLOOKUP(H121,'[5]Pob. Ext, Parroquial'!$B$8:$F$117,4,FALSE),0)</f>
        <v>0</v>
      </c>
      <c r="N121" s="834" t="s">
        <v>200</v>
      </c>
      <c r="O121" s="836" t="s">
        <v>176</v>
      </c>
      <c r="P121" s="836">
        <v>1.46</v>
      </c>
      <c r="Q121" s="836">
        <v>11950</v>
      </c>
      <c r="R121" s="948">
        <v>41640</v>
      </c>
      <c r="S121" s="948">
        <v>41790</v>
      </c>
      <c r="T121" s="686" t="str">
        <f t="shared" si="7"/>
        <v>EJECUTADO</v>
      </c>
      <c r="U121" s="837">
        <f t="shared" si="6"/>
        <v>17447</v>
      </c>
      <c r="V121" s="544"/>
      <c r="W121" s="544"/>
      <c r="X121" s="664"/>
      <c r="Y121" s="640"/>
      <c r="Z121" s="545" t="s">
        <v>177</v>
      </c>
      <c r="AA121" s="545" t="s">
        <v>178</v>
      </c>
      <c r="AB121" s="546" t="s">
        <v>187</v>
      </c>
      <c r="AC121" s="547">
        <v>2014</v>
      </c>
      <c r="AD121" s="95"/>
      <c r="AE121" s="93"/>
    </row>
    <row r="122" spans="1:31" s="94" customFormat="1" ht="75" customHeight="1">
      <c r="A122" s="910"/>
      <c r="B122" s="913"/>
      <c r="C122" s="985" t="s">
        <v>182</v>
      </c>
      <c r="D122" s="1117" t="s">
        <v>1129</v>
      </c>
      <c r="E122" s="636" t="str">
        <f>+D122</f>
        <v>MANTENIMIENTO DE VIAS PARROQUIA TACAMOROS INICIO 16 DE SEPTIEMBRE 2014</v>
      </c>
      <c r="F122" s="831" t="s">
        <v>171</v>
      </c>
      <c r="G122" s="831" t="str">
        <f>VLOOKUP(H122,'Pob. Ext, Parroquial'!$B$9:$C$117,2,0)</f>
        <v>SOZORANGA</v>
      </c>
      <c r="H122" s="831" t="s">
        <v>247</v>
      </c>
      <c r="I122" s="831" t="s">
        <v>173</v>
      </c>
      <c r="J122" s="831" t="s">
        <v>174</v>
      </c>
      <c r="K122" s="831"/>
      <c r="L122" s="537"/>
      <c r="M122" s="538">
        <f>IF(K122&gt;0,VLOOKUP(H122,'[5]Pob. Ext, Parroquial'!$B$8:$F$117,4,FALSE),0)</f>
        <v>0</v>
      </c>
      <c r="N122" s="834" t="s">
        <v>252</v>
      </c>
      <c r="O122" s="836" t="s">
        <v>176</v>
      </c>
      <c r="P122" s="836">
        <v>1.62</v>
      </c>
      <c r="Q122" s="836">
        <v>5120</v>
      </c>
      <c r="R122" s="948">
        <v>41898</v>
      </c>
      <c r="S122" s="948">
        <v>41973</v>
      </c>
      <c r="T122" s="686" t="str">
        <f t="shared" si="7"/>
        <v>EN EJECUCION</v>
      </c>
      <c r="U122" s="837">
        <f t="shared" si="6"/>
        <v>8294.4</v>
      </c>
      <c r="V122" s="544"/>
      <c r="W122" s="544"/>
      <c r="X122" s="660">
        <f>SUM(U122:U125)</f>
        <v>61116.800000000003</v>
      </c>
      <c r="Y122" s="640"/>
      <c r="Z122" s="545" t="s">
        <v>1131</v>
      </c>
      <c r="AA122" s="545" t="s">
        <v>178</v>
      </c>
      <c r="AB122" s="546" t="s">
        <v>187</v>
      </c>
      <c r="AC122" s="547">
        <v>2014</v>
      </c>
      <c r="AD122" s="95"/>
      <c r="AE122" s="93"/>
    </row>
    <row r="123" spans="1:31" s="94" customFormat="1" ht="75" customHeight="1">
      <c r="A123" s="910"/>
      <c r="B123" s="914"/>
      <c r="C123" s="985" t="s">
        <v>182</v>
      </c>
      <c r="D123" s="1118"/>
      <c r="E123" s="655" t="str">
        <f>+E122</f>
        <v>MANTENIMIENTO DE VIAS PARROQUIA TACAMOROS INICIO 16 DE SEPTIEMBRE 2014</v>
      </c>
      <c r="F123" s="831" t="s">
        <v>171</v>
      </c>
      <c r="G123" s="831" t="str">
        <f>VLOOKUP(H123,'Pob. Ext, Parroquial'!$B$9:$C$117,2,0)</f>
        <v>SOZORANGA</v>
      </c>
      <c r="H123" s="831" t="s">
        <v>247</v>
      </c>
      <c r="I123" s="831" t="s">
        <v>173</v>
      </c>
      <c r="J123" s="831" t="s">
        <v>174</v>
      </c>
      <c r="K123" s="831"/>
      <c r="L123" s="537"/>
      <c r="M123" s="538">
        <f>IF(K123&gt;0,VLOOKUP(H123,'[5]Pob. Ext, Parroquial'!$B$8:$F$117,4,FALSE),0)</f>
        <v>0</v>
      </c>
      <c r="N123" s="834" t="s">
        <v>219</v>
      </c>
      <c r="O123" s="836" t="s">
        <v>181</v>
      </c>
      <c r="P123" s="836">
        <v>0.3</v>
      </c>
      <c r="Q123" s="836">
        <v>35840</v>
      </c>
      <c r="R123" s="948">
        <v>41898</v>
      </c>
      <c r="S123" s="948">
        <v>41973</v>
      </c>
      <c r="T123" s="686" t="str">
        <f t="shared" si="7"/>
        <v>EN EJECUCION</v>
      </c>
      <c r="U123" s="837">
        <f t="shared" si="6"/>
        <v>10752</v>
      </c>
      <c r="V123" s="544"/>
      <c r="W123" s="544"/>
      <c r="X123" s="662"/>
      <c r="Y123" s="640"/>
      <c r="Z123" s="545" t="s">
        <v>1131</v>
      </c>
      <c r="AA123" s="545" t="s">
        <v>178</v>
      </c>
      <c r="AB123" s="546" t="s">
        <v>187</v>
      </c>
      <c r="AC123" s="547">
        <v>2014</v>
      </c>
      <c r="AD123" s="95"/>
      <c r="AE123" s="93"/>
    </row>
    <row r="124" spans="1:31" s="94" customFormat="1" ht="75" customHeight="1">
      <c r="A124" s="910"/>
      <c r="B124" s="914"/>
      <c r="C124" s="985" t="s">
        <v>182</v>
      </c>
      <c r="D124" s="1118"/>
      <c r="E124" s="655" t="str">
        <f>+E123</f>
        <v>MANTENIMIENTO DE VIAS PARROQUIA TACAMOROS INICIO 16 DE SEPTIEMBRE 2014</v>
      </c>
      <c r="F124" s="831" t="s">
        <v>171</v>
      </c>
      <c r="G124" s="831" t="str">
        <f>VLOOKUP(H124,'Pob. Ext, Parroquial'!$B$9:$C$117,2,0)</f>
        <v>SOZORANGA</v>
      </c>
      <c r="H124" s="831" t="s">
        <v>247</v>
      </c>
      <c r="I124" s="831" t="s">
        <v>173</v>
      </c>
      <c r="J124" s="831" t="s">
        <v>174</v>
      </c>
      <c r="K124" s="831"/>
      <c r="L124" s="537">
        <f>+ROUND(Q124/5500/0.2,2)</f>
        <v>4.6500000000000004</v>
      </c>
      <c r="M124" s="538">
        <f>IF(K124&gt;0,VLOOKUP(H124,'[5]Pob. Ext, Parroquial'!$B$8:$F$117,4,FALSE),0)</f>
        <v>0</v>
      </c>
      <c r="N124" s="834" t="s">
        <v>229</v>
      </c>
      <c r="O124" s="836" t="s">
        <v>176</v>
      </c>
      <c r="P124" s="836">
        <v>5.92</v>
      </c>
      <c r="Q124" s="836">
        <v>5120</v>
      </c>
      <c r="R124" s="948">
        <v>41898</v>
      </c>
      <c r="S124" s="948">
        <v>41973</v>
      </c>
      <c r="T124" s="686" t="str">
        <f t="shared" si="7"/>
        <v>EN EJECUCION</v>
      </c>
      <c r="U124" s="837">
        <f t="shared" si="6"/>
        <v>30310.400000000001</v>
      </c>
      <c r="V124" s="544"/>
      <c r="W124" s="544"/>
      <c r="X124" s="662"/>
      <c r="Y124" s="640"/>
      <c r="Z124" s="545" t="s">
        <v>1131</v>
      </c>
      <c r="AA124" s="545" t="s">
        <v>178</v>
      </c>
      <c r="AB124" s="546" t="s">
        <v>187</v>
      </c>
      <c r="AC124" s="547">
        <v>2014</v>
      </c>
      <c r="AD124" s="95"/>
      <c r="AE124" s="93"/>
    </row>
    <row r="125" spans="1:31" s="94" customFormat="1" ht="75" customHeight="1">
      <c r="A125" s="910"/>
      <c r="B125" s="914"/>
      <c r="C125" s="985" t="s">
        <v>182</v>
      </c>
      <c r="D125" s="1120"/>
      <c r="E125" s="655" t="str">
        <f>+E124</f>
        <v>MANTENIMIENTO DE VIAS PARROQUIA TACAMOROS INICIO 16 DE SEPTIEMBRE 2014</v>
      </c>
      <c r="F125" s="831" t="s">
        <v>171</v>
      </c>
      <c r="G125" s="831" t="str">
        <f>VLOOKUP(H125,'Pob. Ext, Parroquial'!$B$9:$C$117,2,0)</f>
        <v>SOZORANGA</v>
      </c>
      <c r="H125" s="831" t="s">
        <v>247</v>
      </c>
      <c r="I125" s="831" t="s">
        <v>173</v>
      </c>
      <c r="J125" s="831" t="s">
        <v>174</v>
      </c>
      <c r="K125" s="831"/>
      <c r="L125" s="537">
        <f>+ROUND(Q125/6000,2)</f>
        <v>19.600000000000001</v>
      </c>
      <c r="M125" s="538">
        <f>IF(K125&gt;0,VLOOKUP(H125,'[5]Pob. Ext, Parroquial'!$B$8:$F$117,4,FALSE),0)</f>
        <v>0</v>
      </c>
      <c r="N125" s="834" t="s">
        <v>1130</v>
      </c>
      <c r="O125" s="836" t="s">
        <v>176</v>
      </c>
      <c r="P125" s="836">
        <v>0.1</v>
      </c>
      <c r="Q125" s="836">
        <v>117600</v>
      </c>
      <c r="R125" s="948">
        <v>41898</v>
      </c>
      <c r="S125" s="948">
        <v>41973</v>
      </c>
      <c r="T125" s="686" t="str">
        <f t="shared" si="7"/>
        <v>EN EJECUCION</v>
      </c>
      <c r="U125" s="837">
        <f t="shared" si="6"/>
        <v>11760</v>
      </c>
      <c r="V125" s="544"/>
      <c r="W125" s="544"/>
      <c r="X125" s="664"/>
      <c r="Y125" s="640"/>
      <c r="Z125" s="545" t="s">
        <v>1131</v>
      </c>
      <c r="AA125" s="545" t="s">
        <v>178</v>
      </c>
      <c r="AB125" s="546" t="s">
        <v>187</v>
      </c>
      <c r="AC125" s="547">
        <v>2014</v>
      </c>
      <c r="AD125" s="95"/>
      <c r="AE125" s="93"/>
    </row>
    <row r="126" spans="1:31" s="94" customFormat="1" ht="75" customHeight="1">
      <c r="A126" s="910"/>
      <c r="B126" s="913"/>
      <c r="C126" s="985" t="s">
        <v>182</v>
      </c>
      <c r="D126" s="927" t="s">
        <v>1132</v>
      </c>
      <c r="E126" s="636" t="str">
        <f t="shared" ref="E126" si="12">+D126</f>
        <v>TERRACEO EN LA VIA SOZORANGA A NUEVA FATIMA</v>
      </c>
      <c r="F126" s="831" t="s">
        <v>171</v>
      </c>
      <c r="G126" s="831" t="str">
        <f>VLOOKUP(H126,'Pob. Ext, Parroquial'!$B$9:$C$117,2,0)</f>
        <v>SOZORANGA</v>
      </c>
      <c r="H126" s="831" t="s">
        <v>264</v>
      </c>
      <c r="I126" s="831" t="s">
        <v>173</v>
      </c>
      <c r="J126" s="831" t="s">
        <v>174</v>
      </c>
      <c r="K126" s="831"/>
      <c r="L126" s="537"/>
      <c r="M126" s="538"/>
      <c r="N126" s="834" t="s">
        <v>252</v>
      </c>
      <c r="O126" s="836" t="s">
        <v>176</v>
      </c>
      <c r="P126" s="836">
        <v>1.62</v>
      </c>
      <c r="Q126" s="836">
        <v>6400</v>
      </c>
      <c r="R126" s="948">
        <v>41944</v>
      </c>
      <c r="S126" s="948">
        <v>41973</v>
      </c>
      <c r="T126" s="686" t="str">
        <f t="shared" si="7"/>
        <v>EN EJECUCION</v>
      </c>
      <c r="U126" s="837">
        <f t="shared" si="6"/>
        <v>10368</v>
      </c>
      <c r="V126" s="544"/>
      <c r="W126" s="544"/>
      <c r="X126" s="912">
        <f>U126+V126+W126</f>
        <v>10368</v>
      </c>
      <c r="Y126" s="640"/>
      <c r="Z126" s="545" t="s">
        <v>1131</v>
      </c>
      <c r="AA126" s="545" t="s">
        <v>178</v>
      </c>
      <c r="AB126" s="546" t="s">
        <v>187</v>
      </c>
      <c r="AC126" s="547">
        <v>2014</v>
      </c>
      <c r="AD126" s="95"/>
      <c r="AE126" s="93"/>
    </row>
    <row r="127" spans="1:31" s="94" customFormat="1" ht="75" customHeight="1">
      <c r="A127" s="910"/>
      <c r="B127" s="913"/>
      <c r="C127" s="985" t="s">
        <v>182</v>
      </c>
      <c r="D127" s="1117" t="s">
        <v>1133</v>
      </c>
      <c r="E127" s="636" t="str">
        <f>+D127</f>
        <v>APERTURA APROCHES AL PUENTE DE NAMBACOLA</v>
      </c>
      <c r="F127" s="831" t="s">
        <v>171</v>
      </c>
      <c r="G127" s="831" t="str">
        <f>VLOOKUP(H127,'Pob. Ext, Parroquial'!$B$9:$C$117,2,0)</f>
        <v>GONZANAMA</v>
      </c>
      <c r="H127" s="831" t="s">
        <v>207</v>
      </c>
      <c r="I127" s="831" t="s">
        <v>173</v>
      </c>
      <c r="J127" s="831" t="s">
        <v>174</v>
      </c>
      <c r="K127" s="831"/>
      <c r="L127" s="537"/>
      <c r="M127" s="538">
        <f>IF(K127&gt;0,VLOOKUP(H127,'[5]Pob. Ext, Parroquial'!$B$8:$F$117,4,FALSE),0)</f>
        <v>0</v>
      </c>
      <c r="N127" s="834" t="s">
        <v>252</v>
      </c>
      <c r="O127" s="836" t="s">
        <v>176</v>
      </c>
      <c r="P127" s="836">
        <v>1.62</v>
      </c>
      <c r="Q127" s="968">
        <v>3240</v>
      </c>
      <c r="R127" s="948">
        <v>41944</v>
      </c>
      <c r="S127" s="948">
        <v>41973</v>
      </c>
      <c r="T127" s="686" t="str">
        <f t="shared" si="7"/>
        <v>EN EJECUCION</v>
      </c>
      <c r="U127" s="837">
        <f t="shared" si="6"/>
        <v>5248.8</v>
      </c>
      <c r="V127" s="544"/>
      <c r="W127" s="544"/>
      <c r="X127" s="660">
        <f>SUM(U127:U130)</f>
        <v>12715.8</v>
      </c>
      <c r="Y127" s="640"/>
      <c r="Z127" s="545" t="s">
        <v>1131</v>
      </c>
      <c r="AA127" s="545" t="s">
        <v>178</v>
      </c>
      <c r="AB127" s="546" t="s">
        <v>187</v>
      </c>
      <c r="AC127" s="547">
        <v>2014</v>
      </c>
      <c r="AD127" s="95"/>
      <c r="AE127" s="93"/>
    </row>
    <row r="128" spans="1:31" s="94" customFormat="1" ht="75" customHeight="1">
      <c r="A128" s="910"/>
      <c r="B128" s="914"/>
      <c r="C128" s="985" t="s">
        <v>182</v>
      </c>
      <c r="D128" s="1118"/>
      <c r="E128" s="655" t="str">
        <f>+E127</f>
        <v>APERTURA APROCHES AL PUENTE DE NAMBACOLA</v>
      </c>
      <c r="F128" s="831" t="s">
        <v>171</v>
      </c>
      <c r="G128" s="831" t="str">
        <f>VLOOKUP(H128,'Pob. Ext, Parroquial'!$B$9:$C$117,2,0)</f>
        <v>GONZANAMA</v>
      </c>
      <c r="H128" s="831" t="s">
        <v>207</v>
      </c>
      <c r="I128" s="831" t="s">
        <v>173</v>
      </c>
      <c r="J128" s="831" t="s">
        <v>174</v>
      </c>
      <c r="K128" s="831"/>
      <c r="L128" s="537"/>
      <c r="M128" s="538">
        <f>IF(K128&gt;0,VLOOKUP(H128,'[5]Pob. Ext, Parroquial'!$B$8:$F$117,4,FALSE),0)</f>
        <v>0</v>
      </c>
      <c r="N128" s="834" t="s">
        <v>219</v>
      </c>
      <c r="O128" s="836" t="s">
        <v>181</v>
      </c>
      <c r="P128" s="836">
        <v>0.3</v>
      </c>
      <c r="Q128" s="968">
        <v>50</v>
      </c>
      <c r="R128" s="948">
        <v>41944</v>
      </c>
      <c r="S128" s="948">
        <v>41973</v>
      </c>
      <c r="T128" s="686" t="str">
        <f t="shared" si="7"/>
        <v>EN EJECUCION</v>
      </c>
      <c r="U128" s="837">
        <f t="shared" si="6"/>
        <v>15</v>
      </c>
      <c r="V128" s="544"/>
      <c r="W128" s="544"/>
      <c r="X128" s="662"/>
      <c r="Y128" s="640"/>
      <c r="Z128" s="545" t="s">
        <v>1131</v>
      </c>
      <c r="AA128" s="545" t="s">
        <v>178</v>
      </c>
      <c r="AB128" s="546" t="s">
        <v>187</v>
      </c>
      <c r="AC128" s="547">
        <v>2014</v>
      </c>
      <c r="AD128" s="95"/>
      <c r="AE128" s="93"/>
    </row>
    <row r="129" spans="1:31" s="94" customFormat="1" ht="75" customHeight="1">
      <c r="A129" s="910"/>
      <c r="B129" s="914"/>
      <c r="C129" s="985" t="s">
        <v>182</v>
      </c>
      <c r="D129" s="1118"/>
      <c r="E129" s="655" t="str">
        <f>+E128</f>
        <v>APERTURA APROCHES AL PUENTE DE NAMBACOLA</v>
      </c>
      <c r="F129" s="831" t="s">
        <v>171</v>
      </c>
      <c r="G129" s="831" t="str">
        <f>VLOOKUP(H129,'Pob. Ext, Parroquial'!$B$9:$C$117,2,0)</f>
        <v>GONZANAMA</v>
      </c>
      <c r="H129" s="831" t="s">
        <v>207</v>
      </c>
      <c r="I129" s="831" t="s">
        <v>173</v>
      </c>
      <c r="J129" s="831" t="s">
        <v>174</v>
      </c>
      <c r="K129" s="831"/>
      <c r="L129" s="537">
        <f>+ROUND(Q129/5500/0.2,2)</f>
        <v>0.09</v>
      </c>
      <c r="M129" s="538">
        <f>IF(K129&gt;0,VLOOKUP(H129,'[5]Pob. Ext, Parroquial'!$B$8:$F$117,4,FALSE),0)</f>
        <v>0</v>
      </c>
      <c r="N129" s="834" t="s">
        <v>229</v>
      </c>
      <c r="O129" s="836" t="s">
        <v>176</v>
      </c>
      <c r="P129" s="836">
        <v>5.92</v>
      </c>
      <c r="Q129" s="968">
        <v>100</v>
      </c>
      <c r="R129" s="948">
        <v>41944</v>
      </c>
      <c r="S129" s="948">
        <v>41973</v>
      </c>
      <c r="T129" s="686" t="str">
        <f t="shared" si="7"/>
        <v>EN EJECUCION</v>
      </c>
      <c r="U129" s="837">
        <f t="shared" si="6"/>
        <v>592</v>
      </c>
      <c r="V129" s="544"/>
      <c r="W129" s="544"/>
      <c r="X129" s="662"/>
      <c r="Y129" s="640"/>
      <c r="Z129" s="545" t="s">
        <v>1131</v>
      </c>
      <c r="AA129" s="545" t="s">
        <v>178</v>
      </c>
      <c r="AB129" s="546" t="s">
        <v>187</v>
      </c>
      <c r="AC129" s="547">
        <v>2014</v>
      </c>
      <c r="AD129" s="95"/>
      <c r="AE129" s="93"/>
    </row>
    <row r="130" spans="1:31" s="94" customFormat="1" ht="75" customHeight="1">
      <c r="A130" s="910"/>
      <c r="B130" s="914"/>
      <c r="C130" s="985" t="s">
        <v>182</v>
      </c>
      <c r="D130" s="1120"/>
      <c r="E130" s="655" t="str">
        <f>+E129</f>
        <v>APERTURA APROCHES AL PUENTE DE NAMBACOLA</v>
      </c>
      <c r="F130" s="831" t="s">
        <v>171</v>
      </c>
      <c r="G130" s="831" t="str">
        <f>VLOOKUP(H130,'Pob. Ext, Parroquial'!$B$9:$C$117,2,0)</f>
        <v>GONZANAMA</v>
      </c>
      <c r="H130" s="831" t="s">
        <v>207</v>
      </c>
      <c r="I130" s="831" t="s">
        <v>173</v>
      </c>
      <c r="J130" s="831" t="s">
        <v>174</v>
      </c>
      <c r="K130" s="831"/>
      <c r="L130" s="537">
        <f>+ROUND(Q130/6000,2)</f>
        <v>0.33</v>
      </c>
      <c r="M130" s="538">
        <f>IF(K130&gt;0,VLOOKUP(H130,'[5]Pob. Ext, Parroquial'!$B$8:$F$117,4,FALSE),0)</f>
        <v>0</v>
      </c>
      <c r="N130" s="834" t="s">
        <v>1134</v>
      </c>
      <c r="O130" s="836" t="s">
        <v>176</v>
      </c>
      <c r="P130" s="836">
        <v>3.5</v>
      </c>
      <c r="Q130" s="968">
        <v>1960</v>
      </c>
      <c r="R130" s="948">
        <v>41944</v>
      </c>
      <c r="S130" s="948">
        <v>41973</v>
      </c>
      <c r="T130" s="686" t="str">
        <f t="shared" si="7"/>
        <v>EN EJECUCION</v>
      </c>
      <c r="U130" s="837">
        <f t="shared" si="6"/>
        <v>6860</v>
      </c>
      <c r="V130" s="544"/>
      <c r="W130" s="544"/>
      <c r="X130" s="664"/>
      <c r="Y130" s="640"/>
      <c r="Z130" s="545" t="s">
        <v>1131</v>
      </c>
      <c r="AA130" s="545" t="s">
        <v>178</v>
      </c>
      <c r="AB130" s="546" t="s">
        <v>187</v>
      </c>
      <c r="AC130" s="547">
        <v>2014</v>
      </c>
      <c r="AD130" s="95"/>
      <c r="AE130" s="93"/>
    </row>
    <row r="131" spans="1:31" s="94" customFormat="1" ht="82.5" customHeight="1">
      <c r="A131" s="910"/>
      <c r="B131" s="913"/>
      <c r="C131" s="985" t="s">
        <v>182</v>
      </c>
      <c r="D131" s="927" t="s">
        <v>267</v>
      </c>
      <c r="E131" s="636" t="str">
        <f t="shared" ref="E131:E233" si="13">+D131</f>
        <v>MANTENIMIENTO RUTINARIO VIAL EN LOS CANTONES CALVAS, ESPINDOLA, GONZANAMÁ, QUILANGA Y SOZORANGA (CONTRATO SIE-NRO.821-VIALSUR E.P.-2013)</v>
      </c>
      <c r="F131" s="831" t="s">
        <v>171</v>
      </c>
      <c r="G131" s="831" t="str">
        <f>VLOOKUP(H131,'Pob. Ext, Parroquial'!$B$9:$C$117,2,0)</f>
        <v>CALVAS</v>
      </c>
      <c r="H131" s="831" t="s">
        <v>567</v>
      </c>
      <c r="I131" s="831" t="s">
        <v>270</v>
      </c>
      <c r="J131" s="831" t="s">
        <v>174</v>
      </c>
      <c r="K131" s="831">
        <f t="shared" ref="K131:K135" si="14">92.72/6</f>
        <v>15.453333333333333</v>
      </c>
      <c r="L131" s="537">
        <f t="shared" ref="L131:L166" si="15">ROUNDUP(Q131/5.5/1000,2)</f>
        <v>25.41</v>
      </c>
      <c r="M131" s="538">
        <v>677.77777777777783</v>
      </c>
      <c r="N131" s="834" t="s">
        <v>185</v>
      </c>
      <c r="O131" s="836" t="s">
        <v>184</v>
      </c>
      <c r="P131" s="836">
        <v>0.08</v>
      </c>
      <c r="Q131" s="836">
        <f t="shared" ref="Q131:Q135" si="16">838425/6</f>
        <v>139737.5</v>
      </c>
      <c r="R131" s="948">
        <v>41640</v>
      </c>
      <c r="S131" s="948">
        <v>41698</v>
      </c>
      <c r="T131" s="686" t="str">
        <f t="shared" si="7"/>
        <v>EJECUTADO</v>
      </c>
      <c r="U131" s="837">
        <f t="shared" si="6"/>
        <v>11179</v>
      </c>
      <c r="V131" s="544"/>
      <c r="W131" s="544"/>
      <c r="X131" s="912">
        <f t="shared" ref="X131:X166" si="17">U131+V131+W131</f>
        <v>11179</v>
      </c>
      <c r="Y131" s="640"/>
      <c r="Z131" s="545" t="s">
        <v>177</v>
      </c>
      <c r="AA131" s="545" t="s">
        <v>178</v>
      </c>
      <c r="AB131" s="546" t="s">
        <v>187</v>
      </c>
      <c r="AC131" s="547">
        <v>2014</v>
      </c>
      <c r="AD131" s="95"/>
      <c r="AE131" s="93"/>
    </row>
    <row r="132" spans="1:31" s="94" customFormat="1" ht="82.5" customHeight="1">
      <c r="A132" s="910"/>
      <c r="B132" s="913"/>
      <c r="C132" s="985" t="s">
        <v>182</v>
      </c>
      <c r="D132" s="927" t="s">
        <v>267</v>
      </c>
      <c r="E132" s="636" t="str">
        <f t="shared" si="13"/>
        <v>MANTENIMIENTO RUTINARIO VIAL EN LOS CANTONES CALVAS, ESPINDOLA, GONZANAMÁ, QUILANGA Y SOZORANGA (CONTRATO SIE-NRO.821-VIALSUR E.P.-2013)</v>
      </c>
      <c r="F132" s="831" t="s">
        <v>171</v>
      </c>
      <c r="G132" s="831" t="str">
        <f>VLOOKUP(H132,'Pob. Ext, Parroquial'!$B$9:$C$117,2,0)</f>
        <v>GONZANAMA</v>
      </c>
      <c r="H132" s="831" t="s">
        <v>172</v>
      </c>
      <c r="I132" s="831" t="s">
        <v>270</v>
      </c>
      <c r="J132" s="831" t="s">
        <v>174</v>
      </c>
      <c r="K132" s="831">
        <f t="shared" si="14"/>
        <v>15.453333333333333</v>
      </c>
      <c r="L132" s="537">
        <f t="shared" si="15"/>
        <v>25.41</v>
      </c>
      <c r="M132" s="538">
        <v>677.77777777777783</v>
      </c>
      <c r="N132" s="834" t="s">
        <v>185</v>
      </c>
      <c r="O132" s="836" t="s">
        <v>184</v>
      </c>
      <c r="P132" s="836">
        <v>0.08</v>
      </c>
      <c r="Q132" s="836">
        <f t="shared" si="16"/>
        <v>139737.5</v>
      </c>
      <c r="R132" s="948">
        <v>41640</v>
      </c>
      <c r="S132" s="948">
        <v>41698</v>
      </c>
      <c r="T132" s="686" t="str">
        <f t="shared" si="7"/>
        <v>EJECUTADO</v>
      </c>
      <c r="U132" s="837">
        <f t="shared" si="6"/>
        <v>11179</v>
      </c>
      <c r="V132" s="544"/>
      <c r="W132" s="544"/>
      <c r="X132" s="912">
        <f t="shared" si="17"/>
        <v>11179</v>
      </c>
      <c r="Y132" s="640"/>
      <c r="Z132" s="545" t="s">
        <v>177</v>
      </c>
      <c r="AA132" s="545" t="s">
        <v>178</v>
      </c>
      <c r="AB132" s="546" t="s">
        <v>187</v>
      </c>
      <c r="AC132" s="547">
        <v>2014</v>
      </c>
      <c r="AD132" s="95"/>
      <c r="AE132" s="93"/>
    </row>
    <row r="133" spans="1:31" s="94" customFormat="1" ht="82.5" customHeight="1">
      <c r="A133" s="910"/>
      <c r="B133" s="913"/>
      <c r="C133" s="985" t="s">
        <v>182</v>
      </c>
      <c r="D133" s="927" t="s">
        <v>267</v>
      </c>
      <c r="E133" s="636" t="str">
        <f t="shared" si="13"/>
        <v>MANTENIMIENTO RUTINARIO VIAL EN LOS CANTONES CALVAS, ESPINDOLA, GONZANAMÁ, QUILANGA Y SOZORANGA (CONTRATO SIE-NRO.821-VIALSUR E.P.-2013)</v>
      </c>
      <c r="F133" s="831" t="s">
        <v>171</v>
      </c>
      <c r="G133" s="831" t="str">
        <f>VLOOKUP(H133,'Pob. Ext, Parroquial'!$B$9:$C$117,2,0)</f>
        <v>GONZANAMA</v>
      </c>
      <c r="H133" s="831" t="s">
        <v>205</v>
      </c>
      <c r="I133" s="831" t="s">
        <v>270</v>
      </c>
      <c r="J133" s="831" t="s">
        <v>174</v>
      </c>
      <c r="K133" s="831">
        <f t="shared" si="14"/>
        <v>15.453333333333333</v>
      </c>
      <c r="L133" s="537">
        <f t="shared" si="15"/>
        <v>25.41</v>
      </c>
      <c r="M133" s="538">
        <v>677.77777777777783</v>
      </c>
      <c r="N133" s="834" t="s">
        <v>185</v>
      </c>
      <c r="O133" s="836" t="s">
        <v>184</v>
      </c>
      <c r="P133" s="836">
        <v>0.08</v>
      </c>
      <c r="Q133" s="836">
        <f t="shared" si="16"/>
        <v>139737.5</v>
      </c>
      <c r="R133" s="948">
        <v>41640</v>
      </c>
      <c r="S133" s="948">
        <v>41698</v>
      </c>
      <c r="T133" s="686" t="str">
        <f t="shared" si="7"/>
        <v>EJECUTADO</v>
      </c>
      <c r="U133" s="837">
        <f t="shared" si="6"/>
        <v>11179</v>
      </c>
      <c r="V133" s="544"/>
      <c r="W133" s="544"/>
      <c r="X133" s="912">
        <f t="shared" si="17"/>
        <v>11179</v>
      </c>
      <c r="Y133" s="640"/>
      <c r="Z133" s="545" t="s">
        <v>177</v>
      </c>
      <c r="AA133" s="545" t="s">
        <v>178</v>
      </c>
      <c r="AB133" s="546" t="s">
        <v>187</v>
      </c>
      <c r="AC133" s="547">
        <v>2014</v>
      </c>
      <c r="AD133" s="95"/>
      <c r="AE133" s="93"/>
    </row>
    <row r="134" spans="1:31" s="94" customFormat="1" ht="82.5" customHeight="1">
      <c r="A134" s="910"/>
      <c r="B134" s="913"/>
      <c r="C134" s="985" t="s">
        <v>182</v>
      </c>
      <c r="D134" s="927" t="s">
        <v>267</v>
      </c>
      <c r="E134" s="636" t="str">
        <f t="shared" si="13"/>
        <v>MANTENIMIENTO RUTINARIO VIAL EN LOS CANTONES CALVAS, ESPINDOLA, GONZANAMÁ, QUILANGA Y SOZORANGA (CONTRATO SIE-NRO.821-VIALSUR E.P.-2013)</v>
      </c>
      <c r="F134" s="831" t="s">
        <v>171</v>
      </c>
      <c r="G134" s="831" t="str">
        <f>VLOOKUP(H134,'Pob. Ext, Parroquial'!$B$9:$C$117,2,0)</f>
        <v>QUILANGA</v>
      </c>
      <c r="H134" s="854" t="s">
        <v>241</v>
      </c>
      <c r="I134" s="831" t="s">
        <v>270</v>
      </c>
      <c r="J134" s="831" t="s">
        <v>174</v>
      </c>
      <c r="K134" s="831">
        <f t="shared" si="14"/>
        <v>15.453333333333333</v>
      </c>
      <c r="L134" s="537">
        <f t="shared" si="15"/>
        <v>25.41</v>
      </c>
      <c r="M134" s="538">
        <v>677.77777777777783</v>
      </c>
      <c r="N134" s="834" t="s">
        <v>185</v>
      </c>
      <c r="O134" s="836" t="s">
        <v>184</v>
      </c>
      <c r="P134" s="836">
        <v>0.08</v>
      </c>
      <c r="Q134" s="836">
        <f t="shared" si="16"/>
        <v>139737.5</v>
      </c>
      <c r="R134" s="948">
        <v>41640</v>
      </c>
      <c r="S134" s="948">
        <v>41698</v>
      </c>
      <c r="T134" s="686" t="str">
        <f t="shared" si="7"/>
        <v>EJECUTADO</v>
      </c>
      <c r="U134" s="837">
        <f t="shared" si="6"/>
        <v>11179</v>
      </c>
      <c r="V134" s="544"/>
      <c r="W134" s="544"/>
      <c r="X134" s="912">
        <f t="shared" si="17"/>
        <v>11179</v>
      </c>
      <c r="Y134" s="640"/>
      <c r="Z134" s="545" t="s">
        <v>177</v>
      </c>
      <c r="AA134" s="545" t="s">
        <v>178</v>
      </c>
      <c r="AB134" s="546" t="s">
        <v>187</v>
      </c>
      <c r="AC134" s="547">
        <v>2014</v>
      </c>
      <c r="AD134" s="95"/>
      <c r="AE134" s="93"/>
    </row>
    <row r="135" spans="1:31" s="94" customFormat="1" ht="82.5" customHeight="1">
      <c r="A135" s="910"/>
      <c r="B135" s="913"/>
      <c r="C135" s="985" t="s">
        <v>182</v>
      </c>
      <c r="D135" s="927" t="s">
        <v>267</v>
      </c>
      <c r="E135" s="636" t="str">
        <f t="shared" si="13"/>
        <v>MANTENIMIENTO RUTINARIO VIAL EN LOS CANTONES CALVAS, ESPINDOLA, GONZANAMÁ, QUILANGA Y SOZORANGA (CONTRATO SIE-NRO.821-VIALSUR E.P.-2013)</v>
      </c>
      <c r="F135" s="831" t="s">
        <v>171</v>
      </c>
      <c r="G135" s="831" t="str">
        <f>VLOOKUP(H135,'Pob. Ext, Parroquial'!$B$9:$C$117,2,0)</f>
        <v>ESPINDOLA</v>
      </c>
      <c r="H135" s="831" t="s">
        <v>239</v>
      </c>
      <c r="I135" s="831" t="s">
        <v>270</v>
      </c>
      <c r="J135" s="831" t="s">
        <v>174</v>
      </c>
      <c r="K135" s="831">
        <f t="shared" si="14"/>
        <v>15.453333333333333</v>
      </c>
      <c r="L135" s="537">
        <f t="shared" si="15"/>
        <v>25.41</v>
      </c>
      <c r="M135" s="538">
        <v>677.77777777777783</v>
      </c>
      <c r="N135" s="834" t="s">
        <v>185</v>
      </c>
      <c r="O135" s="836" t="s">
        <v>184</v>
      </c>
      <c r="P135" s="836">
        <v>0.08</v>
      </c>
      <c r="Q135" s="836">
        <f t="shared" si="16"/>
        <v>139737.5</v>
      </c>
      <c r="R135" s="948">
        <v>41640</v>
      </c>
      <c r="S135" s="948">
        <v>41698</v>
      </c>
      <c r="T135" s="686" t="str">
        <f t="shared" si="7"/>
        <v>EJECUTADO</v>
      </c>
      <c r="U135" s="837">
        <f t="shared" si="6"/>
        <v>11179</v>
      </c>
      <c r="V135" s="544"/>
      <c r="W135" s="544"/>
      <c r="X135" s="912">
        <f t="shared" si="17"/>
        <v>11179</v>
      </c>
      <c r="Y135" s="640"/>
      <c r="Z135" s="545" t="s">
        <v>177</v>
      </c>
      <c r="AA135" s="545" t="s">
        <v>178</v>
      </c>
      <c r="AB135" s="546" t="s">
        <v>187</v>
      </c>
      <c r="AC135" s="547">
        <v>2014</v>
      </c>
      <c r="AD135" s="95"/>
      <c r="AE135" s="93"/>
    </row>
    <row r="136" spans="1:31" s="94" customFormat="1" ht="82.5" customHeight="1">
      <c r="A136" s="910"/>
      <c r="B136" s="913"/>
      <c r="C136" s="985" t="s">
        <v>182</v>
      </c>
      <c r="D136" s="927" t="s">
        <v>1484</v>
      </c>
      <c r="E136" s="636" t="str">
        <f t="shared" si="13"/>
        <v>ALCANTARILLA MULTIPLACA QUEBRADA DE AMINDURO</v>
      </c>
      <c r="F136" s="831" t="s">
        <v>171</v>
      </c>
      <c r="G136" s="831" t="str">
        <f>VLOOKUP(H136,'Pob. Ext, Parroquial'!$B$9:$C$117,2,0)</f>
        <v>QUILANGA</v>
      </c>
      <c r="H136" s="831" t="s">
        <v>199</v>
      </c>
      <c r="I136" s="831" t="s">
        <v>270</v>
      </c>
      <c r="J136" s="831" t="s">
        <v>174</v>
      </c>
      <c r="K136" s="831"/>
      <c r="L136" s="537"/>
      <c r="M136" s="538">
        <v>677.77777777777783</v>
      </c>
      <c r="N136" s="834" t="s">
        <v>1485</v>
      </c>
      <c r="O136" s="836" t="s">
        <v>532</v>
      </c>
      <c r="P136" s="836">
        <v>1</v>
      </c>
      <c r="Q136" s="836">
        <v>14512.49</v>
      </c>
      <c r="R136" s="948">
        <v>41640</v>
      </c>
      <c r="S136" s="948">
        <v>41698</v>
      </c>
      <c r="T136" s="686" t="str">
        <f t="shared" si="7"/>
        <v>EJECUTADO</v>
      </c>
      <c r="U136" s="837">
        <f t="shared" si="6"/>
        <v>14512.49</v>
      </c>
      <c r="V136" s="544"/>
      <c r="W136" s="544"/>
      <c r="X136" s="912">
        <f t="shared" si="17"/>
        <v>14512.49</v>
      </c>
      <c r="Y136" s="640"/>
      <c r="Z136" s="545" t="s">
        <v>177</v>
      </c>
      <c r="AA136" s="545" t="s">
        <v>178</v>
      </c>
      <c r="AB136" s="546" t="s">
        <v>187</v>
      </c>
      <c r="AC136" s="547">
        <v>2014</v>
      </c>
      <c r="AD136" s="95"/>
      <c r="AE136" s="93"/>
    </row>
    <row r="137" spans="1:31" s="94" customFormat="1" ht="82.5" customHeight="1">
      <c r="A137" s="974"/>
      <c r="B137" s="976"/>
      <c r="C137" s="985" t="s">
        <v>182</v>
      </c>
      <c r="D137" s="977" t="s">
        <v>1525</v>
      </c>
      <c r="E137" s="636" t="s">
        <v>1525</v>
      </c>
      <c r="F137" s="831" t="s">
        <v>171</v>
      </c>
      <c r="G137" s="831" t="str">
        <f>VLOOKUP(H137,'Pob. Ext, Parroquial'!$B$9:$C$117,2,0)</f>
        <v>QUILANGA</v>
      </c>
      <c r="H137" s="831" t="s">
        <v>199</v>
      </c>
      <c r="I137" s="831" t="s">
        <v>173</v>
      </c>
      <c r="J137" s="831" t="s">
        <v>174</v>
      </c>
      <c r="K137" s="831">
        <v>2.9</v>
      </c>
      <c r="L137" s="537">
        <f t="shared" si="15"/>
        <v>3.17</v>
      </c>
      <c r="M137" s="538">
        <v>677.77777777777783</v>
      </c>
      <c r="N137" s="834" t="s">
        <v>1526</v>
      </c>
      <c r="O137" s="836" t="s">
        <v>224</v>
      </c>
      <c r="P137" s="836">
        <v>0.35</v>
      </c>
      <c r="Q137" s="836">
        <v>17400</v>
      </c>
      <c r="R137" s="948">
        <v>41956</v>
      </c>
      <c r="S137" s="948">
        <v>41965</v>
      </c>
      <c r="T137" s="686" t="str">
        <f t="shared" ref="T137" si="18">IF(S137&lt;$G$5,"EJECUTADO","EN EJECUCION")</f>
        <v>EJECUTADO</v>
      </c>
      <c r="U137" s="837">
        <f t="shared" ref="U137" si="19">ROUND(P137*Q137,2)</f>
        <v>6090</v>
      </c>
      <c r="V137" s="544"/>
      <c r="W137" s="544"/>
      <c r="X137" s="975">
        <f t="shared" ref="X137" si="20">U137+V137+W137</f>
        <v>6090</v>
      </c>
      <c r="Y137" s="640"/>
      <c r="Z137" s="545" t="s">
        <v>1131</v>
      </c>
      <c r="AA137" s="545" t="s">
        <v>178</v>
      </c>
      <c r="AB137" s="546" t="s">
        <v>187</v>
      </c>
      <c r="AC137" s="547">
        <v>2014</v>
      </c>
      <c r="AD137" s="95"/>
      <c r="AE137" s="93"/>
    </row>
    <row r="138" spans="1:31" s="94" customFormat="1" ht="82.5" customHeight="1">
      <c r="A138" s="974"/>
      <c r="B138" s="976"/>
      <c r="C138" s="985" t="s">
        <v>182</v>
      </c>
      <c r="D138" s="977" t="s">
        <v>1525</v>
      </c>
      <c r="E138" s="636" t="s">
        <v>1525</v>
      </c>
      <c r="F138" s="831" t="s">
        <v>171</v>
      </c>
      <c r="G138" s="831" t="str">
        <f>VLOOKUP(H138,'Pob. Ext, Parroquial'!$B$9:$C$117,2,0)</f>
        <v>QUILANGA</v>
      </c>
      <c r="H138" s="831" t="s">
        <v>199</v>
      </c>
      <c r="I138" s="831" t="s">
        <v>173</v>
      </c>
      <c r="J138" s="831" t="s">
        <v>174</v>
      </c>
      <c r="K138" s="831"/>
      <c r="L138" s="537">
        <f>+ROUND(Q138/5500/0.2,2)</f>
        <v>1.58</v>
      </c>
      <c r="M138" s="538"/>
      <c r="N138" s="834" t="s">
        <v>229</v>
      </c>
      <c r="O138" s="836" t="s">
        <v>418</v>
      </c>
      <c r="P138" s="836">
        <v>5.92</v>
      </c>
      <c r="Q138" s="836">
        <v>1740</v>
      </c>
      <c r="R138" s="948">
        <v>41956</v>
      </c>
      <c r="S138" s="948">
        <v>41965</v>
      </c>
      <c r="T138" s="686" t="str">
        <f t="shared" ref="T138:T139" si="21">IF(S138&lt;$G$5,"EJECUTADO","EN EJECUCION")</f>
        <v>EJECUTADO</v>
      </c>
      <c r="U138" s="837">
        <f t="shared" ref="U138:U139" si="22">ROUND(P138*Q138,2)</f>
        <v>10300.799999999999</v>
      </c>
      <c r="V138" s="544"/>
      <c r="W138" s="544"/>
      <c r="X138" s="975">
        <f t="shared" ref="X138:X139" si="23">U138+V138+W138</f>
        <v>10300.799999999999</v>
      </c>
      <c r="Y138" s="640"/>
      <c r="Z138" s="545" t="s">
        <v>1131</v>
      </c>
      <c r="AA138" s="545" t="s">
        <v>178</v>
      </c>
      <c r="AB138" s="546" t="s">
        <v>187</v>
      </c>
      <c r="AC138" s="547">
        <v>2014</v>
      </c>
      <c r="AD138" s="95"/>
      <c r="AE138" s="93"/>
    </row>
    <row r="139" spans="1:31" s="94" customFormat="1" ht="82.5" customHeight="1">
      <c r="A139" s="974"/>
      <c r="B139" s="976"/>
      <c r="C139" s="985" t="s">
        <v>182</v>
      </c>
      <c r="D139" s="977" t="s">
        <v>1525</v>
      </c>
      <c r="E139" s="636" t="s">
        <v>1525</v>
      </c>
      <c r="F139" s="831" t="s">
        <v>171</v>
      </c>
      <c r="G139" s="831" t="str">
        <f>VLOOKUP(H139,'Pob. Ext, Parroquial'!$B$9:$C$117,2,0)</f>
        <v>QUILANGA</v>
      </c>
      <c r="H139" s="831" t="s">
        <v>199</v>
      </c>
      <c r="I139" s="831" t="s">
        <v>173</v>
      </c>
      <c r="J139" s="831" t="s">
        <v>174</v>
      </c>
      <c r="K139" s="831"/>
      <c r="L139" s="537"/>
      <c r="M139" s="538"/>
      <c r="N139" s="834" t="s">
        <v>1527</v>
      </c>
      <c r="O139" s="836" t="s">
        <v>420</v>
      </c>
      <c r="P139" s="836">
        <v>0.3</v>
      </c>
      <c r="Q139" s="836">
        <v>20880</v>
      </c>
      <c r="R139" s="948">
        <v>41956</v>
      </c>
      <c r="S139" s="948">
        <v>41965</v>
      </c>
      <c r="T139" s="686" t="str">
        <f t="shared" si="21"/>
        <v>EJECUTADO</v>
      </c>
      <c r="U139" s="837">
        <f t="shared" si="22"/>
        <v>6264</v>
      </c>
      <c r="V139" s="544"/>
      <c r="W139" s="544"/>
      <c r="X139" s="975">
        <f t="shared" si="23"/>
        <v>6264</v>
      </c>
      <c r="Y139" s="640"/>
      <c r="Z139" s="545" t="s">
        <v>1131</v>
      </c>
      <c r="AA139" s="545" t="s">
        <v>178</v>
      </c>
      <c r="AB139" s="546" t="s">
        <v>187</v>
      </c>
      <c r="AC139" s="547">
        <v>2014</v>
      </c>
      <c r="AD139" s="95"/>
      <c r="AE139" s="93"/>
    </row>
    <row r="140" spans="1:31" s="94" customFormat="1" ht="82.5" customHeight="1">
      <c r="A140" s="974"/>
      <c r="B140" s="976"/>
      <c r="C140" s="985" t="s">
        <v>182</v>
      </c>
      <c r="D140" s="977" t="s">
        <v>1528</v>
      </c>
      <c r="E140" s="636" t="str">
        <f>+D140</f>
        <v>VÍA FUNDOCHAMBA - EL SAUCE, CANTON QUILANGA, L=5 KM, trabajos del 13 al 22 de Noviembre del 2014.</v>
      </c>
      <c r="F140" s="831" t="s">
        <v>171</v>
      </c>
      <c r="G140" s="831" t="str">
        <f>VLOOKUP(H140,'Pob. Ext, Parroquial'!$B$9:$C$117,2,0)</f>
        <v>QUILANGA</v>
      </c>
      <c r="H140" s="831" t="s">
        <v>199</v>
      </c>
      <c r="I140" s="831" t="s">
        <v>173</v>
      </c>
      <c r="J140" s="831" t="s">
        <v>174</v>
      </c>
      <c r="K140" s="831">
        <v>5</v>
      </c>
      <c r="L140" s="537">
        <f t="shared" si="15"/>
        <v>4.55</v>
      </c>
      <c r="M140" s="538"/>
      <c r="N140" s="834" t="s">
        <v>1526</v>
      </c>
      <c r="O140" s="836" t="s">
        <v>224</v>
      </c>
      <c r="P140" s="836">
        <v>0.35</v>
      </c>
      <c r="Q140" s="836">
        <v>25000</v>
      </c>
      <c r="R140" s="948">
        <v>41956</v>
      </c>
      <c r="S140" s="948">
        <v>41965</v>
      </c>
      <c r="T140" s="686" t="str">
        <f t="shared" ref="T140" si="24">IF(S140&lt;$G$5,"EJECUTADO","EN EJECUCION")</f>
        <v>EJECUTADO</v>
      </c>
      <c r="U140" s="837">
        <f t="shared" ref="U140" si="25">ROUND(P140*Q140,2)</f>
        <v>8750</v>
      </c>
      <c r="V140" s="544"/>
      <c r="W140" s="544"/>
      <c r="X140" s="975">
        <f t="shared" ref="X140" si="26">U140+V140+W140</f>
        <v>8750</v>
      </c>
      <c r="Y140" s="640"/>
      <c r="Z140" s="545" t="s">
        <v>1131</v>
      </c>
      <c r="AA140" s="545" t="s">
        <v>178</v>
      </c>
      <c r="AB140" s="546" t="s">
        <v>187</v>
      </c>
      <c r="AC140" s="547">
        <v>2014</v>
      </c>
      <c r="AD140" s="95"/>
      <c r="AE140" s="93"/>
    </row>
    <row r="141" spans="1:31" s="94" customFormat="1" ht="82.5" customHeight="1">
      <c r="A141" s="974"/>
      <c r="B141" s="976"/>
      <c r="C141" s="985" t="s">
        <v>182</v>
      </c>
      <c r="D141" s="977" t="s">
        <v>1528</v>
      </c>
      <c r="E141" s="636" t="str">
        <f t="shared" ref="E141:E157" si="27">+D141</f>
        <v>VÍA FUNDOCHAMBA - EL SAUCE, CANTON QUILANGA, L=5 KM, trabajos del 13 al 22 de Noviembre del 2014.</v>
      </c>
      <c r="F141" s="831" t="s">
        <v>171</v>
      </c>
      <c r="G141" s="831" t="str">
        <f>VLOOKUP(H141,'Pob. Ext, Parroquial'!$B$9:$C$117,2,0)</f>
        <v>QUILANGA</v>
      </c>
      <c r="H141" s="831" t="s">
        <v>199</v>
      </c>
      <c r="I141" s="831" t="s">
        <v>173</v>
      </c>
      <c r="J141" s="831" t="s">
        <v>174</v>
      </c>
      <c r="K141" s="831"/>
      <c r="L141" s="537">
        <f>+ROUND(Q141/5500/0.2,2)</f>
        <v>1.7</v>
      </c>
      <c r="M141" s="538"/>
      <c r="N141" s="834" t="s">
        <v>229</v>
      </c>
      <c r="O141" s="836" t="s">
        <v>418</v>
      </c>
      <c r="P141" s="836">
        <v>5.92</v>
      </c>
      <c r="Q141" s="836">
        <v>1875</v>
      </c>
      <c r="R141" s="948">
        <v>41956</v>
      </c>
      <c r="S141" s="948">
        <v>41965</v>
      </c>
      <c r="T141" s="686" t="str">
        <f t="shared" ref="T141:T143" si="28">IF(S141&lt;$G$5,"EJECUTADO","EN EJECUCION")</f>
        <v>EJECUTADO</v>
      </c>
      <c r="U141" s="837">
        <f t="shared" ref="U141:U143" si="29">ROUND(P141*Q141,2)</f>
        <v>11100</v>
      </c>
      <c r="V141" s="544"/>
      <c r="W141" s="544"/>
      <c r="X141" s="975">
        <f t="shared" ref="X141:X143" si="30">U141+V141+W141</f>
        <v>11100</v>
      </c>
      <c r="Y141" s="640"/>
      <c r="Z141" s="545" t="s">
        <v>1131</v>
      </c>
      <c r="AA141" s="545" t="s">
        <v>178</v>
      </c>
      <c r="AB141" s="546" t="s">
        <v>187</v>
      </c>
      <c r="AC141" s="547">
        <v>2014</v>
      </c>
      <c r="AD141" s="95"/>
      <c r="AE141" s="93"/>
    </row>
    <row r="142" spans="1:31" s="94" customFormat="1" ht="82.5" customHeight="1">
      <c r="A142" s="974"/>
      <c r="B142" s="976"/>
      <c r="C142" s="985" t="s">
        <v>182</v>
      </c>
      <c r="D142" s="977" t="s">
        <v>1528</v>
      </c>
      <c r="E142" s="636" t="str">
        <f t="shared" si="27"/>
        <v>VÍA FUNDOCHAMBA - EL SAUCE, CANTON QUILANGA, L=5 KM, trabajos del 13 al 22 de Noviembre del 2014.</v>
      </c>
      <c r="F142" s="831" t="s">
        <v>171</v>
      </c>
      <c r="G142" s="831" t="str">
        <f>VLOOKUP(H142,'Pob. Ext, Parroquial'!$B$9:$C$117,2,0)</f>
        <v>QUILANGA</v>
      </c>
      <c r="H142" s="831" t="s">
        <v>199</v>
      </c>
      <c r="I142" s="831" t="s">
        <v>173</v>
      </c>
      <c r="J142" s="831" t="s">
        <v>174</v>
      </c>
      <c r="K142" s="831"/>
      <c r="L142" s="537"/>
      <c r="M142" s="538"/>
      <c r="N142" s="834" t="s">
        <v>1527</v>
      </c>
      <c r="O142" s="836" t="s">
        <v>420</v>
      </c>
      <c r="P142" s="836">
        <v>0.3</v>
      </c>
      <c r="Q142" s="836">
        <v>4687.5</v>
      </c>
      <c r="R142" s="948">
        <v>41956</v>
      </c>
      <c r="S142" s="948">
        <v>41965</v>
      </c>
      <c r="T142" s="686" t="str">
        <f t="shared" si="28"/>
        <v>EJECUTADO</v>
      </c>
      <c r="U142" s="837">
        <f t="shared" si="29"/>
        <v>1406.25</v>
      </c>
      <c r="V142" s="544"/>
      <c r="W142" s="544"/>
      <c r="X142" s="975">
        <f t="shared" si="30"/>
        <v>1406.25</v>
      </c>
      <c r="Y142" s="640"/>
      <c r="Z142" s="545" t="s">
        <v>1131</v>
      </c>
      <c r="AA142" s="545" t="s">
        <v>178</v>
      </c>
      <c r="AB142" s="546" t="s">
        <v>187</v>
      </c>
      <c r="AC142" s="547">
        <v>2014</v>
      </c>
      <c r="AD142" s="95"/>
      <c r="AE142" s="93"/>
    </row>
    <row r="143" spans="1:31" s="94" customFormat="1" ht="82.5" customHeight="1">
      <c r="A143" s="974"/>
      <c r="B143" s="976"/>
      <c r="C143" s="985" t="s">
        <v>182</v>
      </c>
      <c r="D143" s="977" t="s">
        <v>1529</v>
      </c>
      <c r="E143" s="636" t="str">
        <f>+D143</f>
        <v>VÍA FUNDOCHAMBA - PUENTE DE QUIROZ, CANTON QUILANGA L=4.7 KM, trabajos del 13 al 22 de Noviembre del 2014.</v>
      </c>
      <c r="F143" s="831" t="s">
        <v>171</v>
      </c>
      <c r="G143" s="831" t="str">
        <f>VLOOKUP(H143,'Pob. Ext, Parroquial'!$B$9:$C$117,2,0)</f>
        <v>QUILANGA</v>
      </c>
      <c r="H143" s="831" t="s">
        <v>199</v>
      </c>
      <c r="I143" s="831" t="s">
        <v>173</v>
      </c>
      <c r="J143" s="831" t="s">
        <v>174</v>
      </c>
      <c r="K143" s="831">
        <v>4.7</v>
      </c>
      <c r="L143" s="537">
        <f t="shared" ref="L143" si="31">ROUNDUP(Q143/5.5/1000,2)</f>
        <v>4.7</v>
      </c>
      <c r="M143" s="538"/>
      <c r="N143" s="834" t="s">
        <v>1526</v>
      </c>
      <c r="O143" s="836" t="s">
        <v>224</v>
      </c>
      <c r="P143" s="836">
        <v>0.35</v>
      </c>
      <c r="Q143" s="836">
        <v>25850</v>
      </c>
      <c r="R143" s="948">
        <v>41956</v>
      </c>
      <c r="S143" s="948">
        <v>41965</v>
      </c>
      <c r="T143" s="686" t="str">
        <f t="shared" si="28"/>
        <v>EJECUTADO</v>
      </c>
      <c r="U143" s="837">
        <f t="shared" si="29"/>
        <v>9047.5</v>
      </c>
      <c r="V143" s="544"/>
      <c r="W143" s="544"/>
      <c r="X143" s="975">
        <f t="shared" si="30"/>
        <v>9047.5</v>
      </c>
      <c r="Y143" s="640"/>
      <c r="Z143" s="545" t="s">
        <v>1131</v>
      </c>
      <c r="AA143" s="545" t="s">
        <v>178</v>
      </c>
      <c r="AB143" s="546" t="s">
        <v>187</v>
      </c>
      <c r="AC143" s="547">
        <v>2014</v>
      </c>
      <c r="AD143" s="95"/>
      <c r="AE143" s="93"/>
    </row>
    <row r="144" spans="1:31" s="94" customFormat="1" ht="82.5" customHeight="1">
      <c r="A144" s="974"/>
      <c r="B144" s="976"/>
      <c r="C144" s="985" t="s">
        <v>182</v>
      </c>
      <c r="D144" s="977" t="s">
        <v>1529</v>
      </c>
      <c r="E144" s="636" t="str">
        <f t="shared" si="27"/>
        <v>VÍA FUNDOCHAMBA - PUENTE DE QUIROZ, CANTON QUILANGA L=4.7 KM, trabajos del 13 al 22 de Noviembre del 2014.</v>
      </c>
      <c r="F144" s="831" t="s">
        <v>171</v>
      </c>
      <c r="G144" s="831" t="str">
        <f>VLOOKUP(H144,'Pob. Ext, Parroquial'!$B$9:$C$117,2,0)</f>
        <v>QUILANGA</v>
      </c>
      <c r="H144" s="831" t="s">
        <v>199</v>
      </c>
      <c r="I144" s="831" t="s">
        <v>173</v>
      </c>
      <c r="J144" s="831" t="s">
        <v>174</v>
      </c>
      <c r="K144" s="831"/>
      <c r="L144" s="537">
        <f>+ROUND(Q144/5500/0.2,2)</f>
        <v>1.76</v>
      </c>
      <c r="M144" s="538"/>
      <c r="N144" s="834" t="s">
        <v>229</v>
      </c>
      <c r="O144" s="836" t="s">
        <v>418</v>
      </c>
      <c r="P144" s="836">
        <v>5.92</v>
      </c>
      <c r="Q144" s="836">
        <v>1938.75</v>
      </c>
      <c r="R144" s="948">
        <v>41956</v>
      </c>
      <c r="S144" s="948">
        <v>41965</v>
      </c>
      <c r="T144" s="686" t="str">
        <f t="shared" ref="T144:T146" si="32">IF(S144&lt;$G$5,"EJECUTADO","EN EJECUCION")</f>
        <v>EJECUTADO</v>
      </c>
      <c r="U144" s="837">
        <f t="shared" ref="U144:U146" si="33">ROUND(P144*Q144,2)</f>
        <v>11477.4</v>
      </c>
      <c r="V144" s="544"/>
      <c r="W144" s="544"/>
      <c r="X144" s="975">
        <f t="shared" ref="X144:X146" si="34">U144+V144+W144</f>
        <v>11477.4</v>
      </c>
      <c r="Y144" s="640"/>
      <c r="Z144" s="545" t="s">
        <v>1131</v>
      </c>
      <c r="AA144" s="545" t="s">
        <v>178</v>
      </c>
      <c r="AB144" s="546" t="s">
        <v>187</v>
      </c>
      <c r="AC144" s="547">
        <v>2014</v>
      </c>
      <c r="AD144" s="95"/>
      <c r="AE144" s="93"/>
    </row>
    <row r="145" spans="1:31" s="94" customFormat="1" ht="82.5" customHeight="1">
      <c r="A145" s="974"/>
      <c r="B145" s="976"/>
      <c r="C145" s="985" t="s">
        <v>182</v>
      </c>
      <c r="D145" s="977" t="s">
        <v>1529</v>
      </c>
      <c r="E145" s="636" t="str">
        <f t="shared" si="27"/>
        <v>VÍA FUNDOCHAMBA - PUENTE DE QUIROZ, CANTON QUILANGA L=4.7 KM, trabajos del 13 al 22 de Noviembre del 2014.</v>
      </c>
      <c r="F145" s="831" t="s">
        <v>171</v>
      </c>
      <c r="G145" s="831" t="str">
        <f>VLOOKUP(H145,'Pob. Ext, Parroquial'!$B$9:$C$117,2,0)</f>
        <v>QUILANGA</v>
      </c>
      <c r="H145" s="831" t="s">
        <v>199</v>
      </c>
      <c r="I145" s="831" t="s">
        <v>173</v>
      </c>
      <c r="J145" s="831" t="s">
        <v>174</v>
      </c>
      <c r="K145" s="831"/>
      <c r="L145" s="537"/>
      <c r="M145" s="538"/>
      <c r="N145" s="834" t="s">
        <v>1527</v>
      </c>
      <c r="O145" s="836" t="s">
        <v>420</v>
      </c>
      <c r="P145" s="836">
        <v>0.3</v>
      </c>
      <c r="Q145" s="836">
        <v>4846.875</v>
      </c>
      <c r="R145" s="948">
        <v>41956</v>
      </c>
      <c r="S145" s="948">
        <v>41965</v>
      </c>
      <c r="T145" s="686" t="str">
        <f t="shared" si="32"/>
        <v>EJECUTADO</v>
      </c>
      <c r="U145" s="837">
        <f t="shared" si="33"/>
        <v>1454.06</v>
      </c>
      <c r="V145" s="544"/>
      <c r="W145" s="544"/>
      <c r="X145" s="975">
        <f t="shared" si="34"/>
        <v>1454.06</v>
      </c>
      <c r="Y145" s="640"/>
      <c r="Z145" s="545" t="s">
        <v>1131</v>
      </c>
      <c r="AA145" s="545" t="s">
        <v>178</v>
      </c>
      <c r="AB145" s="546" t="s">
        <v>187</v>
      </c>
      <c r="AC145" s="547">
        <v>2014</v>
      </c>
      <c r="AD145" s="95"/>
      <c r="AE145" s="93"/>
    </row>
    <row r="146" spans="1:31" s="94" customFormat="1" ht="82.5" customHeight="1">
      <c r="A146" s="974"/>
      <c r="B146" s="976"/>
      <c r="C146" s="985" t="s">
        <v>182</v>
      </c>
      <c r="D146" s="977" t="s">
        <v>1530</v>
      </c>
      <c r="E146" s="636" t="str">
        <f>+D146</f>
        <v>VÍA PUENTE DE QUIROZ- SAN ANTONIO DE LAS ARADAS, CANTON QUILANGA L=5.2 KM, trabajos del 27 de Noviembre al 6 de Diciembre del 2014.</v>
      </c>
      <c r="F146" s="831" t="s">
        <v>171</v>
      </c>
      <c r="G146" s="831" t="str">
        <f>VLOOKUP(H146,'Pob. Ext, Parroquial'!$B$9:$C$117,2,0)</f>
        <v>QUILANGA</v>
      </c>
      <c r="H146" s="831" t="s">
        <v>199</v>
      </c>
      <c r="I146" s="831" t="s">
        <v>173</v>
      </c>
      <c r="J146" s="831" t="s">
        <v>174</v>
      </c>
      <c r="K146" s="831">
        <v>5.2</v>
      </c>
      <c r="L146" s="537">
        <f t="shared" ref="L146" si="35">ROUNDUP(Q146/5.5/1000,2)</f>
        <v>5.2</v>
      </c>
      <c r="M146" s="538"/>
      <c r="N146" s="834" t="s">
        <v>1526</v>
      </c>
      <c r="O146" s="836" t="s">
        <v>224</v>
      </c>
      <c r="P146" s="836">
        <v>0.35</v>
      </c>
      <c r="Q146" s="836">
        <v>28600</v>
      </c>
      <c r="R146" s="948">
        <v>41970</v>
      </c>
      <c r="S146" s="948">
        <v>41979</v>
      </c>
      <c r="T146" s="686" t="str">
        <f t="shared" si="32"/>
        <v>EN EJECUCION</v>
      </c>
      <c r="U146" s="837">
        <f t="shared" si="33"/>
        <v>10010</v>
      </c>
      <c r="V146" s="544"/>
      <c r="W146" s="544"/>
      <c r="X146" s="975">
        <f t="shared" si="34"/>
        <v>10010</v>
      </c>
      <c r="Y146" s="640"/>
      <c r="Z146" s="545" t="s">
        <v>1131</v>
      </c>
      <c r="AA146" s="545" t="s">
        <v>178</v>
      </c>
      <c r="AB146" s="546" t="s">
        <v>187</v>
      </c>
      <c r="AC146" s="547">
        <v>2014</v>
      </c>
      <c r="AD146" s="95"/>
      <c r="AE146" s="93"/>
    </row>
    <row r="147" spans="1:31" s="94" customFormat="1" ht="82.5" customHeight="1">
      <c r="A147" s="974"/>
      <c r="B147" s="976"/>
      <c r="C147" s="985" t="s">
        <v>182</v>
      </c>
      <c r="D147" s="977" t="s">
        <v>1530</v>
      </c>
      <c r="E147" s="636" t="str">
        <f t="shared" si="27"/>
        <v>VÍA PUENTE DE QUIROZ- SAN ANTONIO DE LAS ARADAS, CANTON QUILANGA L=5.2 KM, trabajos del 27 de Noviembre al 6 de Diciembre del 2014.</v>
      </c>
      <c r="F147" s="831" t="s">
        <v>171</v>
      </c>
      <c r="G147" s="831" t="str">
        <f>VLOOKUP(H147,'Pob. Ext, Parroquial'!$B$9:$C$117,2,0)</f>
        <v>QUILANGA</v>
      </c>
      <c r="H147" s="831" t="s">
        <v>199</v>
      </c>
      <c r="I147" s="831" t="s">
        <v>173</v>
      </c>
      <c r="J147" s="831" t="s">
        <v>174</v>
      </c>
      <c r="K147" s="831"/>
      <c r="L147" s="537">
        <f>+ROUND(Q147/5500/0.2,2)</f>
        <v>1.95</v>
      </c>
      <c r="M147" s="538"/>
      <c r="N147" s="834" t="s">
        <v>229</v>
      </c>
      <c r="O147" s="836" t="s">
        <v>418</v>
      </c>
      <c r="P147" s="836">
        <v>5.92</v>
      </c>
      <c r="Q147" s="836">
        <v>2145</v>
      </c>
      <c r="R147" s="948">
        <v>41970</v>
      </c>
      <c r="S147" s="948">
        <v>41979</v>
      </c>
      <c r="T147" s="686" t="str">
        <f t="shared" ref="T147:T149" si="36">IF(S147&lt;$G$5,"EJECUTADO","EN EJECUCION")</f>
        <v>EN EJECUCION</v>
      </c>
      <c r="U147" s="837">
        <f t="shared" ref="U147:U149" si="37">ROUND(P147*Q147,2)</f>
        <v>12698.4</v>
      </c>
      <c r="V147" s="544"/>
      <c r="W147" s="544"/>
      <c r="X147" s="975">
        <f t="shared" ref="X147:X149" si="38">U147+V147+W147</f>
        <v>12698.4</v>
      </c>
      <c r="Y147" s="640"/>
      <c r="Z147" s="545" t="s">
        <v>1131</v>
      </c>
      <c r="AA147" s="545" t="s">
        <v>178</v>
      </c>
      <c r="AB147" s="546" t="s">
        <v>187</v>
      </c>
      <c r="AC147" s="547">
        <v>2014</v>
      </c>
      <c r="AD147" s="95"/>
      <c r="AE147" s="93"/>
    </row>
    <row r="148" spans="1:31" s="94" customFormat="1" ht="82.5" customHeight="1">
      <c r="A148" s="974"/>
      <c r="B148" s="976"/>
      <c r="C148" s="985" t="s">
        <v>182</v>
      </c>
      <c r="D148" s="977" t="s">
        <v>1530</v>
      </c>
      <c r="E148" s="636" t="str">
        <f t="shared" si="27"/>
        <v>VÍA PUENTE DE QUIROZ- SAN ANTONIO DE LAS ARADAS, CANTON QUILANGA L=5.2 KM, trabajos del 27 de Noviembre al 6 de Diciembre del 2014.</v>
      </c>
      <c r="F148" s="831" t="s">
        <v>171</v>
      </c>
      <c r="G148" s="831" t="str">
        <f>VLOOKUP(H148,'Pob. Ext, Parroquial'!$B$9:$C$117,2,0)</f>
        <v>QUILANGA</v>
      </c>
      <c r="H148" s="831" t="s">
        <v>199</v>
      </c>
      <c r="I148" s="831" t="s">
        <v>173</v>
      </c>
      <c r="J148" s="831" t="s">
        <v>174</v>
      </c>
      <c r="K148" s="831"/>
      <c r="L148" s="537"/>
      <c r="M148" s="538"/>
      <c r="N148" s="834" t="s">
        <v>1527</v>
      </c>
      <c r="O148" s="836" t="s">
        <v>420</v>
      </c>
      <c r="P148" s="836">
        <v>0.3</v>
      </c>
      <c r="Q148" s="836">
        <v>27885</v>
      </c>
      <c r="R148" s="948">
        <v>41970</v>
      </c>
      <c r="S148" s="948">
        <v>41979</v>
      </c>
      <c r="T148" s="686" t="str">
        <f t="shared" si="36"/>
        <v>EN EJECUCION</v>
      </c>
      <c r="U148" s="837">
        <f t="shared" si="37"/>
        <v>8365.5</v>
      </c>
      <c r="V148" s="544"/>
      <c r="W148" s="544"/>
      <c r="X148" s="975">
        <f t="shared" si="38"/>
        <v>8365.5</v>
      </c>
      <c r="Y148" s="640"/>
      <c r="Z148" s="545" t="s">
        <v>1131</v>
      </c>
      <c r="AA148" s="545" t="s">
        <v>178</v>
      </c>
      <c r="AB148" s="546" t="s">
        <v>187</v>
      </c>
      <c r="AC148" s="547">
        <v>2014</v>
      </c>
      <c r="AD148" s="95"/>
      <c r="AE148" s="93"/>
    </row>
    <row r="149" spans="1:31" s="94" customFormat="1" ht="82.5" customHeight="1">
      <c r="A149" s="974"/>
      <c r="B149" s="976"/>
      <c r="C149" s="985" t="s">
        <v>182</v>
      </c>
      <c r="D149" s="977" t="s">
        <v>1531</v>
      </c>
      <c r="E149" s="636" t="str">
        <f>+D149</f>
        <v>VÍA SOCCHIBAMBA AMALUZA, CANTON ESPINDOLA L=3.1 KM, trabajos del 20 al 23 de Noviembre del 2014.</v>
      </c>
      <c r="F149" s="831" t="s">
        <v>171</v>
      </c>
      <c r="G149" s="831" t="str">
        <f>VLOOKUP(H149,'Pob. Ext, Parroquial'!$B$9:$C$117,2,0)</f>
        <v>ESPINDOLA</v>
      </c>
      <c r="H149" s="831" t="s">
        <v>228</v>
      </c>
      <c r="I149" s="831" t="s">
        <v>173</v>
      </c>
      <c r="J149" s="831" t="s">
        <v>174</v>
      </c>
      <c r="K149" s="831">
        <v>5.2</v>
      </c>
      <c r="L149" s="537">
        <f t="shared" ref="L149" si="39">ROUNDUP(Q149/5.5/1000,2)</f>
        <v>2.82</v>
      </c>
      <c r="M149" s="538"/>
      <c r="N149" s="834" t="s">
        <v>1526</v>
      </c>
      <c r="O149" s="836" t="s">
        <v>224</v>
      </c>
      <c r="P149" s="836">
        <v>0.35</v>
      </c>
      <c r="Q149" s="836">
        <v>15500</v>
      </c>
      <c r="R149" s="948">
        <v>41963</v>
      </c>
      <c r="S149" s="948">
        <v>41966</v>
      </c>
      <c r="T149" s="686" t="str">
        <f t="shared" si="36"/>
        <v>EJECUTADO</v>
      </c>
      <c r="U149" s="837">
        <f t="shared" si="37"/>
        <v>5425</v>
      </c>
      <c r="V149" s="544"/>
      <c r="W149" s="544"/>
      <c r="X149" s="975">
        <f t="shared" si="38"/>
        <v>5425</v>
      </c>
      <c r="Y149" s="640"/>
      <c r="Z149" s="545" t="s">
        <v>1131</v>
      </c>
      <c r="AA149" s="545" t="s">
        <v>178</v>
      </c>
      <c r="AB149" s="546" t="s">
        <v>187</v>
      </c>
      <c r="AC149" s="547">
        <v>2014</v>
      </c>
      <c r="AD149" s="95"/>
      <c r="AE149" s="93"/>
    </row>
    <row r="150" spans="1:31" s="94" customFormat="1" ht="82.5" customHeight="1">
      <c r="A150" s="974"/>
      <c r="B150" s="976"/>
      <c r="C150" s="985" t="s">
        <v>182</v>
      </c>
      <c r="D150" s="977" t="s">
        <v>1531</v>
      </c>
      <c r="E150" s="636" t="str">
        <f t="shared" si="27"/>
        <v>VÍA SOCCHIBAMBA AMALUZA, CANTON ESPINDOLA L=3.1 KM, trabajos del 20 al 23 de Noviembre del 2014.</v>
      </c>
      <c r="F150" s="831" t="s">
        <v>171</v>
      </c>
      <c r="G150" s="831" t="str">
        <f>VLOOKUP(H150,'Pob. Ext, Parroquial'!$B$9:$C$117,2,0)</f>
        <v>ESPINDOLA</v>
      </c>
      <c r="H150" s="831" t="s">
        <v>228</v>
      </c>
      <c r="I150" s="831" t="s">
        <v>173</v>
      </c>
      <c r="J150" s="831" t="s">
        <v>174</v>
      </c>
      <c r="K150" s="831"/>
      <c r="L150" s="537">
        <f>+ROUND(Q150/5500/0.2,2)</f>
        <v>1.41</v>
      </c>
      <c r="M150" s="538"/>
      <c r="N150" s="834" t="s">
        <v>229</v>
      </c>
      <c r="O150" s="836" t="s">
        <v>418</v>
      </c>
      <c r="P150" s="836">
        <v>5.92</v>
      </c>
      <c r="Q150" s="836">
        <v>1550</v>
      </c>
      <c r="R150" s="948">
        <v>41963</v>
      </c>
      <c r="S150" s="948">
        <v>41966</v>
      </c>
      <c r="T150" s="686" t="str">
        <f t="shared" ref="T150:T152" si="40">IF(S150&lt;$G$5,"EJECUTADO","EN EJECUCION")</f>
        <v>EJECUTADO</v>
      </c>
      <c r="U150" s="837">
        <f t="shared" ref="U150:U152" si="41">ROUND(P150*Q150,2)</f>
        <v>9176</v>
      </c>
      <c r="V150" s="544"/>
      <c r="W150" s="544"/>
      <c r="X150" s="975">
        <f t="shared" ref="X150:X152" si="42">U150+V150+W150</f>
        <v>9176</v>
      </c>
      <c r="Y150" s="640"/>
      <c r="Z150" s="545" t="s">
        <v>1131</v>
      </c>
      <c r="AA150" s="545" t="s">
        <v>178</v>
      </c>
      <c r="AB150" s="546" t="s">
        <v>187</v>
      </c>
      <c r="AC150" s="547">
        <v>2014</v>
      </c>
      <c r="AD150" s="95"/>
      <c r="AE150" s="93"/>
    </row>
    <row r="151" spans="1:31" s="94" customFormat="1" ht="82.5" customHeight="1">
      <c r="A151" s="974"/>
      <c r="B151" s="976"/>
      <c r="C151" s="985" t="s">
        <v>182</v>
      </c>
      <c r="D151" s="977" t="s">
        <v>1531</v>
      </c>
      <c r="E151" s="636" t="str">
        <f t="shared" si="27"/>
        <v>VÍA SOCCHIBAMBA AMALUZA, CANTON ESPINDOLA L=3.1 KM, trabajos del 20 al 23 de Noviembre del 2014.</v>
      </c>
      <c r="F151" s="831" t="s">
        <v>171</v>
      </c>
      <c r="G151" s="831" t="str">
        <f>VLOOKUP(H151,'Pob. Ext, Parroquial'!$B$9:$C$117,2,0)</f>
        <v>ESPINDOLA</v>
      </c>
      <c r="H151" s="831" t="s">
        <v>228</v>
      </c>
      <c r="I151" s="831" t="s">
        <v>173</v>
      </c>
      <c r="J151" s="831" t="s">
        <v>174</v>
      </c>
      <c r="K151" s="831"/>
      <c r="L151" s="537"/>
      <c r="M151" s="538"/>
      <c r="N151" s="834" t="s">
        <v>1527</v>
      </c>
      <c r="O151" s="836" t="s">
        <v>420</v>
      </c>
      <c r="P151" s="836">
        <v>0.3</v>
      </c>
      <c r="Q151" s="836">
        <v>6975</v>
      </c>
      <c r="R151" s="948">
        <v>41963</v>
      </c>
      <c r="S151" s="948">
        <v>41966</v>
      </c>
      <c r="T151" s="686" t="str">
        <f t="shared" si="40"/>
        <v>EJECUTADO</v>
      </c>
      <c r="U151" s="837">
        <f t="shared" si="41"/>
        <v>2092.5</v>
      </c>
      <c r="V151" s="544"/>
      <c r="W151" s="544"/>
      <c r="X151" s="975">
        <f t="shared" si="42"/>
        <v>2092.5</v>
      </c>
      <c r="Y151" s="640"/>
      <c r="Z151" s="545" t="s">
        <v>1131</v>
      </c>
      <c r="AA151" s="545" t="s">
        <v>178</v>
      </c>
      <c r="AB151" s="546" t="s">
        <v>187</v>
      </c>
      <c r="AC151" s="547">
        <v>2014</v>
      </c>
      <c r="AD151" s="95"/>
      <c r="AE151" s="93"/>
    </row>
    <row r="152" spans="1:31" s="94" customFormat="1" ht="82.5" customHeight="1">
      <c r="A152" s="974"/>
      <c r="B152" s="976"/>
      <c r="C152" s="985" t="s">
        <v>182</v>
      </c>
      <c r="D152" s="977" t="s">
        <v>1532</v>
      </c>
      <c r="E152" s="636" t="str">
        <f>+D152</f>
        <v>VÍA AMALUZA JIMBURA, CANTON ESPINDOLA L=16.8 KM, trabajos se inician el 23 de Noviembre del 2014</v>
      </c>
      <c r="F152" s="831" t="s">
        <v>171</v>
      </c>
      <c r="G152" s="831" t="str">
        <f>VLOOKUP(H152,'Pob. Ext, Parroquial'!$B$9:$C$117,2,0)</f>
        <v>ESPINDOLA</v>
      </c>
      <c r="H152" s="831" t="s">
        <v>239</v>
      </c>
      <c r="I152" s="831" t="s">
        <v>173</v>
      </c>
      <c r="J152" s="831" t="s">
        <v>174</v>
      </c>
      <c r="K152" s="831">
        <v>16.8</v>
      </c>
      <c r="L152" s="537">
        <f t="shared" ref="L152" si="43">ROUNDUP(Q152/5.5/1000,2)</f>
        <v>1.34</v>
      </c>
      <c r="M152" s="538"/>
      <c r="N152" s="834" t="s">
        <v>1526</v>
      </c>
      <c r="O152" s="836" t="s">
        <v>224</v>
      </c>
      <c r="P152" s="836">
        <v>0.35</v>
      </c>
      <c r="Q152" s="836">
        <v>7349.9999999999991</v>
      </c>
      <c r="R152" s="948">
        <v>41966</v>
      </c>
      <c r="S152" s="948"/>
      <c r="T152" s="686" t="str">
        <f t="shared" si="40"/>
        <v>EJECUTADO</v>
      </c>
      <c r="U152" s="837">
        <f t="shared" si="41"/>
        <v>2572.5</v>
      </c>
      <c r="V152" s="544"/>
      <c r="W152" s="544"/>
      <c r="X152" s="975">
        <f t="shared" si="42"/>
        <v>2572.5</v>
      </c>
      <c r="Y152" s="640"/>
      <c r="Z152" s="545" t="s">
        <v>1131</v>
      </c>
      <c r="AA152" s="545" t="s">
        <v>178</v>
      </c>
      <c r="AB152" s="546" t="s">
        <v>187</v>
      </c>
      <c r="AC152" s="547">
        <v>2014</v>
      </c>
      <c r="AD152" s="95"/>
      <c r="AE152" s="93"/>
    </row>
    <row r="153" spans="1:31" s="94" customFormat="1" ht="82.5" customHeight="1">
      <c r="A153" s="974"/>
      <c r="B153" s="976"/>
      <c r="C153" s="985" t="s">
        <v>182</v>
      </c>
      <c r="D153" s="977" t="s">
        <v>1532</v>
      </c>
      <c r="E153" s="636" t="str">
        <f t="shared" si="27"/>
        <v>VÍA AMALUZA JIMBURA, CANTON ESPINDOLA L=16.8 KM, trabajos se inician el 23 de Noviembre del 2014</v>
      </c>
      <c r="F153" s="831" t="s">
        <v>171</v>
      </c>
      <c r="G153" s="831" t="str">
        <f>VLOOKUP(H153,'Pob. Ext, Parroquial'!$B$9:$C$117,2,0)</f>
        <v>ESPINDOLA</v>
      </c>
      <c r="H153" s="831" t="s">
        <v>239</v>
      </c>
      <c r="I153" s="831" t="s">
        <v>173</v>
      </c>
      <c r="J153" s="831" t="s">
        <v>174</v>
      </c>
      <c r="K153" s="831"/>
      <c r="L153" s="537">
        <f>+ROUND(Q153/5500/0.2,2)</f>
        <v>11.3</v>
      </c>
      <c r="M153" s="538"/>
      <c r="N153" s="834" t="s">
        <v>229</v>
      </c>
      <c r="O153" s="836" t="s">
        <v>418</v>
      </c>
      <c r="P153" s="836">
        <v>5.92</v>
      </c>
      <c r="Q153" s="836">
        <v>12432</v>
      </c>
      <c r="R153" s="948">
        <v>41966</v>
      </c>
      <c r="S153" s="948"/>
      <c r="T153" s="686" t="str">
        <f t="shared" ref="T153:T155" si="44">IF(S153&lt;$G$5,"EJECUTADO","EN EJECUCION")</f>
        <v>EJECUTADO</v>
      </c>
      <c r="U153" s="837">
        <f t="shared" ref="U153:U155" si="45">ROUND(P153*Q153,2)</f>
        <v>73597.440000000002</v>
      </c>
      <c r="V153" s="544"/>
      <c r="W153" s="544"/>
      <c r="X153" s="975">
        <f t="shared" ref="X153:X155" si="46">U153+V153+W153</f>
        <v>73597.440000000002</v>
      </c>
      <c r="Y153" s="640"/>
      <c r="Z153" s="545" t="s">
        <v>1131</v>
      </c>
      <c r="AA153" s="545" t="s">
        <v>178</v>
      </c>
      <c r="AB153" s="546" t="s">
        <v>187</v>
      </c>
      <c r="AC153" s="547">
        <v>2014</v>
      </c>
      <c r="AD153" s="95"/>
      <c r="AE153" s="93"/>
    </row>
    <row r="154" spans="1:31" s="94" customFormat="1" ht="82.5" customHeight="1">
      <c r="A154" s="974"/>
      <c r="B154" s="976"/>
      <c r="C154" s="985" t="s">
        <v>182</v>
      </c>
      <c r="D154" s="977" t="s">
        <v>1532</v>
      </c>
      <c r="E154" s="636" t="str">
        <f t="shared" si="27"/>
        <v>VÍA AMALUZA JIMBURA, CANTON ESPINDOLA L=16.8 KM, trabajos se inician el 23 de Noviembre del 2014</v>
      </c>
      <c r="F154" s="831" t="s">
        <v>171</v>
      </c>
      <c r="G154" s="831" t="str">
        <f>VLOOKUP(H154,'Pob. Ext, Parroquial'!$B$9:$C$117,2,0)</f>
        <v>ESPINDOLA</v>
      </c>
      <c r="H154" s="831" t="s">
        <v>239</v>
      </c>
      <c r="I154" s="831" t="s">
        <v>173</v>
      </c>
      <c r="J154" s="831" t="s">
        <v>174</v>
      </c>
      <c r="K154" s="831"/>
      <c r="L154" s="537"/>
      <c r="M154" s="538"/>
      <c r="N154" s="834" t="s">
        <v>1527</v>
      </c>
      <c r="O154" s="836" t="s">
        <v>420</v>
      </c>
      <c r="P154" s="836">
        <v>0.3</v>
      </c>
      <c r="Q154" s="836">
        <v>5292</v>
      </c>
      <c r="R154" s="948">
        <v>41966</v>
      </c>
      <c r="S154" s="948"/>
      <c r="T154" s="686" t="str">
        <f t="shared" si="44"/>
        <v>EJECUTADO</v>
      </c>
      <c r="U154" s="837">
        <f t="shared" si="45"/>
        <v>1587.6</v>
      </c>
      <c r="V154" s="544"/>
      <c r="W154" s="544"/>
      <c r="X154" s="975">
        <f t="shared" si="46"/>
        <v>1587.6</v>
      </c>
      <c r="Y154" s="640"/>
      <c r="Z154" s="545" t="s">
        <v>1131</v>
      </c>
      <c r="AA154" s="545" t="s">
        <v>178</v>
      </c>
      <c r="AB154" s="546" t="s">
        <v>187</v>
      </c>
      <c r="AC154" s="547">
        <v>2014</v>
      </c>
      <c r="AD154" s="95"/>
      <c r="AE154" s="93"/>
    </row>
    <row r="155" spans="1:31" s="94" customFormat="1" ht="82.5" customHeight="1">
      <c r="A155" s="974"/>
      <c r="B155" s="976"/>
      <c r="C155" s="985" t="s">
        <v>182</v>
      </c>
      <c r="D155" s="977" t="s">
        <v>1533</v>
      </c>
      <c r="E155" s="636" t="str">
        <f>+D155</f>
        <v>VÍA JIMBURA EL CEMENTERIO, CANTON ESPINDOLA L=0.8 KM, trabajos se inician el 23 de Noviembre del 2014</v>
      </c>
      <c r="F155" s="831" t="s">
        <v>171</v>
      </c>
      <c r="G155" s="831" t="str">
        <f>VLOOKUP(H155,'Pob. Ext, Parroquial'!$B$9:$C$117,2,0)</f>
        <v>ESPINDOLA</v>
      </c>
      <c r="H155" s="831" t="s">
        <v>239</v>
      </c>
      <c r="I155" s="831" t="s">
        <v>173</v>
      </c>
      <c r="J155" s="831" t="s">
        <v>174</v>
      </c>
      <c r="K155" s="831">
        <v>0.8</v>
      </c>
      <c r="L155" s="537">
        <f t="shared" ref="L155" si="47">ROUNDUP(Q155/5.5/1000,2)</f>
        <v>0.23</v>
      </c>
      <c r="M155" s="538"/>
      <c r="N155" s="834" t="s">
        <v>1526</v>
      </c>
      <c r="O155" s="836" t="s">
        <v>224</v>
      </c>
      <c r="P155" s="836">
        <v>0.35</v>
      </c>
      <c r="Q155" s="836">
        <v>1260</v>
      </c>
      <c r="R155" s="948">
        <v>41966</v>
      </c>
      <c r="S155" s="948"/>
      <c r="T155" s="686" t="str">
        <f t="shared" si="44"/>
        <v>EJECUTADO</v>
      </c>
      <c r="U155" s="837">
        <f t="shared" si="45"/>
        <v>441</v>
      </c>
      <c r="V155" s="544"/>
      <c r="W155" s="544"/>
      <c r="X155" s="975">
        <f t="shared" si="46"/>
        <v>441</v>
      </c>
      <c r="Y155" s="640"/>
      <c r="Z155" s="545" t="s">
        <v>1131</v>
      </c>
      <c r="AA155" s="545" t="s">
        <v>178</v>
      </c>
      <c r="AB155" s="546" t="s">
        <v>187</v>
      </c>
      <c r="AC155" s="547">
        <v>2014</v>
      </c>
      <c r="AD155" s="95"/>
      <c r="AE155" s="93"/>
    </row>
    <row r="156" spans="1:31" s="94" customFormat="1" ht="82.5" customHeight="1">
      <c r="A156" s="974"/>
      <c r="B156" s="976"/>
      <c r="C156" s="985" t="s">
        <v>182</v>
      </c>
      <c r="D156" s="977" t="s">
        <v>1533</v>
      </c>
      <c r="E156" s="636" t="str">
        <f t="shared" si="27"/>
        <v>VÍA JIMBURA EL CEMENTERIO, CANTON ESPINDOLA L=0.8 KM, trabajos se inician el 23 de Noviembre del 2014</v>
      </c>
      <c r="F156" s="831" t="s">
        <v>171</v>
      </c>
      <c r="G156" s="831" t="str">
        <f>VLOOKUP(H156,'Pob. Ext, Parroquial'!$B$9:$C$117,2,0)</f>
        <v>ESPINDOLA</v>
      </c>
      <c r="H156" s="831" t="s">
        <v>239</v>
      </c>
      <c r="I156" s="831" t="s">
        <v>173</v>
      </c>
      <c r="J156" s="831" t="s">
        <v>174</v>
      </c>
      <c r="K156" s="831"/>
      <c r="L156" s="537">
        <f>+ROUND(Q156/5500/0.2,2)</f>
        <v>2.91</v>
      </c>
      <c r="M156" s="538"/>
      <c r="N156" s="834" t="s">
        <v>229</v>
      </c>
      <c r="O156" s="836" t="s">
        <v>418</v>
      </c>
      <c r="P156" s="836">
        <v>5.92</v>
      </c>
      <c r="Q156" s="836">
        <v>3196.8</v>
      </c>
      <c r="R156" s="948">
        <v>41966</v>
      </c>
      <c r="S156" s="948"/>
      <c r="T156" s="686" t="str">
        <f t="shared" ref="T156:T158" si="48">IF(S156&lt;$G$5,"EJECUTADO","EN EJECUCION")</f>
        <v>EJECUTADO</v>
      </c>
      <c r="U156" s="837">
        <f t="shared" ref="U156:U158" si="49">ROUND(P156*Q156,2)</f>
        <v>18925.060000000001</v>
      </c>
      <c r="V156" s="544"/>
      <c r="W156" s="544"/>
      <c r="X156" s="975">
        <f t="shared" ref="X156:X158" si="50">U156+V156+W156</f>
        <v>18925.060000000001</v>
      </c>
      <c r="Y156" s="640"/>
      <c r="Z156" s="545" t="s">
        <v>1131</v>
      </c>
      <c r="AA156" s="545" t="s">
        <v>178</v>
      </c>
      <c r="AB156" s="546" t="s">
        <v>187</v>
      </c>
      <c r="AC156" s="547">
        <v>2014</v>
      </c>
      <c r="AD156" s="95"/>
      <c r="AE156" s="93"/>
    </row>
    <row r="157" spans="1:31" s="94" customFormat="1" ht="82.5" customHeight="1">
      <c r="A157" s="974"/>
      <c r="B157" s="976"/>
      <c r="C157" s="985" t="s">
        <v>182</v>
      </c>
      <c r="D157" s="977" t="s">
        <v>1533</v>
      </c>
      <c r="E157" s="636" t="str">
        <f t="shared" si="27"/>
        <v>VÍA JIMBURA EL CEMENTERIO, CANTON ESPINDOLA L=0.8 KM, trabajos se inician el 23 de Noviembre del 2014</v>
      </c>
      <c r="F157" s="831" t="s">
        <v>171</v>
      </c>
      <c r="G157" s="831" t="str">
        <f>VLOOKUP(H157,'Pob. Ext, Parroquial'!$B$9:$C$117,2,0)</f>
        <v>ESPINDOLA</v>
      </c>
      <c r="H157" s="831" t="s">
        <v>239</v>
      </c>
      <c r="I157" s="831" t="s">
        <v>173</v>
      </c>
      <c r="J157" s="831" t="s">
        <v>174</v>
      </c>
      <c r="K157" s="831"/>
      <c r="L157" s="537"/>
      <c r="M157" s="538"/>
      <c r="N157" s="834" t="s">
        <v>1527</v>
      </c>
      <c r="O157" s="836" t="s">
        <v>420</v>
      </c>
      <c r="P157" s="836">
        <v>0.3</v>
      </c>
      <c r="Q157" s="836">
        <v>1458</v>
      </c>
      <c r="R157" s="948">
        <v>41966</v>
      </c>
      <c r="S157" s="948"/>
      <c r="T157" s="686" t="str">
        <f t="shared" si="48"/>
        <v>EJECUTADO</v>
      </c>
      <c r="U157" s="837">
        <f t="shared" si="49"/>
        <v>437.4</v>
      </c>
      <c r="V157" s="544"/>
      <c r="W157" s="544"/>
      <c r="X157" s="975">
        <f t="shared" si="50"/>
        <v>437.4</v>
      </c>
      <c r="Y157" s="640"/>
      <c r="Z157" s="545" t="s">
        <v>1131</v>
      </c>
      <c r="AA157" s="545" t="s">
        <v>178</v>
      </c>
      <c r="AB157" s="546" t="s">
        <v>187</v>
      </c>
      <c r="AC157" s="547">
        <v>2014</v>
      </c>
      <c r="AD157" s="95"/>
      <c r="AE157" s="93"/>
    </row>
    <row r="158" spans="1:31" s="94" customFormat="1" ht="82.5" customHeight="1">
      <c r="A158" s="974"/>
      <c r="B158" s="976"/>
      <c r="C158" s="985" t="s">
        <v>182</v>
      </c>
      <c r="D158" s="977" t="s">
        <v>1534</v>
      </c>
      <c r="E158" s="636" t="str">
        <f>+D158</f>
        <v>VÍA JIMBURA EL SALADO, CANTON ESPINDOLA L=0.8 KM, trabajos se ejecutaron el 23 de Noviembre del 2014</v>
      </c>
      <c r="F158" s="831" t="s">
        <v>171</v>
      </c>
      <c r="G158" s="831" t="str">
        <f>VLOOKUP(H158,'Pob. Ext, Parroquial'!$B$9:$C$117,2,0)</f>
        <v>ESPINDOLA</v>
      </c>
      <c r="H158" s="831" t="s">
        <v>239</v>
      </c>
      <c r="I158" s="831" t="s">
        <v>173</v>
      </c>
      <c r="J158" s="831" t="s">
        <v>174</v>
      </c>
      <c r="K158" s="831">
        <v>0.8</v>
      </c>
      <c r="L158" s="537">
        <f t="shared" ref="L158" si="51">ROUNDUP(Q158/5.5/1000,2)</f>
        <v>0.23</v>
      </c>
      <c r="M158" s="538"/>
      <c r="N158" s="834" t="s">
        <v>1526</v>
      </c>
      <c r="O158" s="836" t="s">
        <v>224</v>
      </c>
      <c r="P158" s="836">
        <v>0.35</v>
      </c>
      <c r="Q158" s="836">
        <v>1260</v>
      </c>
      <c r="R158" s="948">
        <v>41966</v>
      </c>
      <c r="S158" s="948"/>
      <c r="T158" s="686" t="str">
        <f t="shared" si="48"/>
        <v>EJECUTADO</v>
      </c>
      <c r="U158" s="837">
        <f t="shared" si="49"/>
        <v>441</v>
      </c>
      <c r="V158" s="544"/>
      <c r="W158" s="544"/>
      <c r="X158" s="975">
        <f t="shared" si="50"/>
        <v>441</v>
      </c>
      <c r="Y158" s="640"/>
      <c r="Z158" s="545" t="s">
        <v>1131</v>
      </c>
      <c r="AA158" s="545" t="s">
        <v>178</v>
      </c>
      <c r="AB158" s="546" t="s">
        <v>187</v>
      </c>
      <c r="AC158" s="547">
        <v>2014</v>
      </c>
      <c r="AD158" s="95"/>
      <c r="AE158" s="93"/>
    </row>
    <row r="159" spans="1:31" s="94" customFormat="1" ht="82.5" customHeight="1">
      <c r="A159" s="974"/>
      <c r="B159" s="976"/>
      <c r="C159" s="985" t="s">
        <v>182</v>
      </c>
      <c r="D159" s="977" t="s">
        <v>1535</v>
      </c>
      <c r="E159" s="636" t="str">
        <f>+D159</f>
        <v xml:space="preserve">MANTENIMIENTO DE VIAS PARROQUIA TACAMOROS inicio 16 sept 2014  </v>
      </c>
      <c r="F159" s="831" t="s">
        <v>171</v>
      </c>
      <c r="G159" s="831" t="str">
        <f>VLOOKUP(H159,'Pob. Ext, Parroquial'!$B$9:$C$117,2,0)</f>
        <v>SOZORANGA</v>
      </c>
      <c r="H159" s="831" t="s">
        <v>247</v>
      </c>
      <c r="I159" s="831" t="s">
        <v>173</v>
      </c>
      <c r="J159" s="831" t="s">
        <v>174</v>
      </c>
      <c r="K159" s="831"/>
      <c r="L159" s="537">
        <f t="shared" ref="L159" si="52">ROUNDUP(Q159/5.5/1000,2)</f>
        <v>1.46</v>
      </c>
      <c r="M159" s="538"/>
      <c r="N159" s="834" t="s">
        <v>252</v>
      </c>
      <c r="O159" s="836" t="s">
        <v>176</v>
      </c>
      <c r="P159" s="836">
        <v>1.62</v>
      </c>
      <c r="Q159" s="836">
        <v>8010</v>
      </c>
      <c r="R159" s="948">
        <v>41898</v>
      </c>
      <c r="S159" s="948"/>
      <c r="T159" s="686" t="str">
        <f t="shared" ref="T159" si="53">IF(S159&lt;$G$5,"EJECUTADO","EN EJECUCION")</f>
        <v>EJECUTADO</v>
      </c>
      <c r="U159" s="837">
        <f t="shared" ref="U159" si="54">ROUND(P159*Q159,2)</f>
        <v>12976.2</v>
      </c>
      <c r="V159" s="544"/>
      <c r="W159" s="544"/>
      <c r="X159" s="975">
        <f t="shared" ref="X159" si="55">U159+V159+W159</f>
        <v>12976.2</v>
      </c>
      <c r="Y159" s="640"/>
      <c r="Z159" s="545" t="s">
        <v>1131</v>
      </c>
      <c r="AA159" s="545" t="s">
        <v>178</v>
      </c>
      <c r="AB159" s="546" t="s">
        <v>187</v>
      </c>
      <c r="AC159" s="547">
        <v>2014</v>
      </c>
      <c r="AD159" s="95"/>
      <c r="AE159" s="93"/>
    </row>
    <row r="160" spans="1:31" s="94" customFormat="1" ht="82.5" customHeight="1">
      <c r="A160" s="974"/>
      <c r="B160" s="976"/>
      <c r="C160" s="985" t="s">
        <v>182</v>
      </c>
      <c r="D160" s="977" t="s">
        <v>1535</v>
      </c>
      <c r="E160" s="636" t="str">
        <f t="shared" ref="E160:E164" si="56">+D160</f>
        <v xml:space="preserve">MANTENIMIENTO DE VIAS PARROQUIA TACAMOROS inicio 16 sept 2014  </v>
      </c>
      <c r="F160" s="831" t="s">
        <v>171</v>
      </c>
      <c r="G160" s="831" t="str">
        <f>VLOOKUP(H160,'Pob. Ext, Parroquial'!$B$9:$C$117,2,0)</f>
        <v>SOZORANGA</v>
      </c>
      <c r="H160" s="831" t="s">
        <v>247</v>
      </c>
      <c r="I160" s="831" t="s">
        <v>173</v>
      </c>
      <c r="J160" s="831" t="s">
        <v>174</v>
      </c>
      <c r="K160" s="831"/>
      <c r="L160" s="537"/>
      <c r="M160" s="538"/>
      <c r="N160" s="834" t="s">
        <v>219</v>
      </c>
      <c r="O160" s="836" t="s">
        <v>181</v>
      </c>
      <c r="P160" s="836">
        <v>0.3</v>
      </c>
      <c r="Q160" s="836">
        <v>35840</v>
      </c>
      <c r="R160" s="948">
        <v>41898</v>
      </c>
      <c r="S160" s="948"/>
      <c r="T160" s="686" t="str">
        <f t="shared" ref="T160:T163" si="57">IF(S160&lt;$G$5,"EJECUTADO","EN EJECUCION")</f>
        <v>EJECUTADO</v>
      </c>
      <c r="U160" s="837">
        <f t="shared" ref="U160:U163" si="58">ROUND(P160*Q160,2)</f>
        <v>10752</v>
      </c>
      <c r="V160" s="544"/>
      <c r="W160" s="544"/>
      <c r="X160" s="975">
        <f t="shared" ref="X160:X163" si="59">U160+V160+W160</f>
        <v>10752</v>
      </c>
      <c r="Y160" s="640"/>
      <c r="Z160" s="545" t="s">
        <v>1131</v>
      </c>
      <c r="AA160" s="545" t="s">
        <v>178</v>
      </c>
      <c r="AB160" s="546" t="s">
        <v>187</v>
      </c>
      <c r="AC160" s="547">
        <v>2014</v>
      </c>
      <c r="AD160" s="95"/>
      <c r="AE160" s="93"/>
    </row>
    <row r="161" spans="1:31" s="94" customFormat="1" ht="82.5" customHeight="1">
      <c r="A161" s="974"/>
      <c r="B161" s="976"/>
      <c r="C161" s="985" t="s">
        <v>182</v>
      </c>
      <c r="D161" s="977" t="s">
        <v>1535</v>
      </c>
      <c r="E161" s="636" t="str">
        <f t="shared" si="56"/>
        <v xml:space="preserve">MANTENIMIENTO DE VIAS PARROQUIA TACAMOROS inicio 16 sept 2014  </v>
      </c>
      <c r="F161" s="831" t="s">
        <v>171</v>
      </c>
      <c r="G161" s="831" t="str">
        <f>VLOOKUP(H161,'Pob. Ext, Parroquial'!$B$9:$C$117,2,0)</f>
        <v>SOZORANGA</v>
      </c>
      <c r="H161" s="831" t="s">
        <v>247</v>
      </c>
      <c r="I161" s="831" t="s">
        <v>173</v>
      </c>
      <c r="J161" s="831" t="s">
        <v>174</v>
      </c>
      <c r="K161" s="831"/>
      <c r="L161" s="537"/>
      <c r="M161" s="538"/>
      <c r="N161" s="834" t="s">
        <v>229</v>
      </c>
      <c r="O161" s="836" t="s">
        <v>176</v>
      </c>
      <c r="P161" s="836">
        <v>5.92</v>
      </c>
      <c r="Q161" s="836">
        <v>5120</v>
      </c>
      <c r="R161" s="948">
        <v>41898</v>
      </c>
      <c r="S161" s="948"/>
      <c r="T161" s="686" t="str">
        <f t="shared" si="57"/>
        <v>EJECUTADO</v>
      </c>
      <c r="U161" s="837">
        <f t="shared" si="58"/>
        <v>30310.400000000001</v>
      </c>
      <c r="V161" s="544"/>
      <c r="W161" s="544"/>
      <c r="X161" s="975">
        <f t="shared" si="59"/>
        <v>30310.400000000001</v>
      </c>
      <c r="Y161" s="640"/>
      <c r="Z161" s="545" t="s">
        <v>1131</v>
      </c>
      <c r="AA161" s="545" t="s">
        <v>178</v>
      </c>
      <c r="AB161" s="546" t="s">
        <v>187</v>
      </c>
      <c r="AC161" s="547">
        <v>2014</v>
      </c>
      <c r="AD161" s="95"/>
      <c r="AE161" s="93"/>
    </row>
    <row r="162" spans="1:31" s="94" customFormat="1" ht="82.5" customHeight="1">
      <c r="A162" s="974"/>
      <c r="B162" s="976"/>
      <c r="C162" s="985" t="s">
        <v>182</v>
      </c>
      <c r="D162" s="977" t="s">
        <v>1535</v>
      </c>
      <c r="E162" s="636" t="str">
        <f t="shared" si="56"/>
        <v xml:space="preserve">MANTENIMIENTO DE VIAS PARROQUIA TACAMOROS inicio 16 sept 2014  </v>
      </c>
      <c r="F162" s="831" t="s">
        <v>171</v>
      </c>
      <c r="G162" s="831" t="str">
        <f>VLOOKUP(H162,'Pob. Ext, Parroquial'!$B$9:$C$117,2,0)</f>
        <v>SOZORANGA</v>
      </c>
      <c r="H162" s="831" t="s">
        <v>247</v>
      </c>
      <c r="I162" s="831" t="s">
        <v>173</v>
      </c>
      <c r="J162" s="831" t="s">
        <v>174</v>
      </c>
      <c r="K162" s="831"/>
      <c r="L162" s="537"/>
      <c r="M162" s="538"/>
      <c r="N162" s="834" t="s">
        <v>1536</v>
      </c>
      <c r="O162" s="836" t="s">
        <v>184</v>
      </c>
      <c r="P162" s="836">
        <v>0.1</v>
      </c>
      <c r="Q162" s="836">
        <v>150600</v>
      </c>
      <c r="R162" s="948">
        <v>41898</v>
      </c>
      <c r="S162" s="948"/>
      <c r="T162" s="686" t="str">
        <f t="shared" si="57"/>
        <v>EJECUTADO</v>
      </c>
      <c r="U162" s="837">
        <f t="shared" si="58"/>
        <v>15060</v>
      </c>
      <c r="V162" s="544"/>
      <c r="W162" s="544"/>
      <c r="X162" s="975">
        <f t="shared" si="59"/>
        <v>15060</v>
      </c>
      <c r="Y162" s="640"/>
      <c r="Z162" s="545" t="s">
        <v>1131</v>
      </c>
      <c r="AA162" s="545" t="s">
        <v>178</v>
      </c>
      <c r="AB162" s="546" t="s">
        <v>187</v>
      </c>
      <c r="AC162" s="547">
        <v>2014</v>
      </c>
      <c r="AD162" s="95"/>
      <c r="AE162" s="93"/>
    </row>
    <row r="163" spans="1:31" s="94" customFormat="1" ht="82.5" customHeight="1">
      <c r="A163" s="974"/>
      <c r="B163" s="976"/>
      <c r="C163" s="985" t="s">
        <v>182</v>
      </c>
      <c r="D163" s="977" t="s">
        <v>1535</v>
      </c>
      <c r="E163" s="636" t="str">
        <f t="shared" si="56"/>
        <v xml:space="preserve">MANTENIMIENTO DE VIAS PARROQUIA TACAMOROS inicio 16 sept 2014  </v>
      </c>
      <c r="F163" s="831" t="s">
        <v>171</v>
      </c>
      <c r="G163" s="831" t="str">
        <f>VLOOKUP(H163,'Pob. Ext, Parroquial'!$B$9:$C$117,2,0)</f>
        <v>SOZORANGA</v>
      </c>
      <c r="H163" s="831" t="s">
        <v>247</v>
      </c>
      <c r="I163" s="831" t="s">
        <v>173</v>
      </c>
      <c r="J163" s="831" t="s">
        <v>174</v>
      </c>
      <c r="K163" s="831"/>
      <c r="L163" s="537"/>
      <c r="M163" s="538"/>
      <c r="N163" s="834" t="s">
        <v>1537</v>
      </c>
      <c r="O163" s="836" t="s">
        <v>184</v>
      </c>
      <c r="P163" s="836">
        <v>0.35</v>
      </c>
      <c r="Q163" s="836">
        <v>5850</v>
      </c>
      <c r="R163" s="948">
        <v>41898</v>
      </c>
      <c r="S163" s="948"/>
      <c r="T163" s="686" t="str">
        <f t="shared" si="57"/>
        <v>EJECUTADO</v>
      </c>
      <c r="U163" s="837">
        <f t="shared" si="58"/>
        <v>2047.5</v>
      </c>
      <c r="V163" s="544"/>
      <c r="W163" s="544"/>
      <c r="X163" s="975">
        <f t="shared" si="59"/>
        <v>2047.5</v>
      </c>
      <c r="Y163" s="640"/>
      <c r="Z163" s="545" t="s">
        <v>1131</v>
      </c>
      <c r="AA163" s="545" t="s">
        <v>178</v>
      </c>
      <c r="AB163" s="546" t="s">
        <v>187</v>
      </c>
      <c r="AC163" s="547">
        <v>2014</v>
      </c>
      <c r="AD163" s="95"/>
      <c r="AE163" s="93"/>
    </row>
    <row r="164" spans="1:31" s="94" customFormat="1" ht="82.5" customHeight="1">
      <c r="A164" s="974"/>
      <c r="B164" s="976"/>
      <c r="C164" s="985" t="s">
        <v>182</v>
      </c>
      <c r="D164" s="977" t="s">
        <v>1538</v>
      </c>
      <c r="E164" s="636" t="str">
        <f t="shared" si="56"/>
        <v>NUEVA FATIMA TERRACEO VIA PRINCIPAL Y EXPLOTACION DE MATERIAL PARA VIAS RURALES DE LA PARROQUIA, COORDINACION CON MUNICIPIO</v>
      </c>
      <c r="F164" s="831" t="s">
        <v>171</v>
      </c>
      <c r="G164" s="831" t="str">
        <f>VLOOKUP(H164,'Pob. Ext, Parroquial'!$B$9:$C$117,2,0)</f>
        <v>SOZORANGA</v>
      </c>
      <c r="H164" s="831" t="s">
        <v>264</v>
      </c>
      <c r="I164" s="831" t="s">
        <v>173</v>
      </c>
      <c r="J164" s="831" t="s">
        <v>174</v>
      </c>
      <c r="K164" s="831"/>
      <c r="L164" s="537"/>
      <c r="M164" s="538"/>
      <c r="N164" s="834" t="s">
        <v>252</v>
      </c>
      <c r="O164" s="836" t="s">
        <v>176</v>
      </c>
      <c r="P164" s="836">
        <v>1.62</v>
      </c>
      <c r="Q164" s="836">
        <v>11136</v>
      </c>
      <c r="R164" s="948">
        <v>41898</v>
      </c>
      <c r="S164" s="948"/>
      <c r="T164" s="686" t="str">
        <f t="shared" ref="T164" si="60">IF(S164&lt;$G$5,"EJECUTADO","EN EJECUCION")</f>
        <v>EJECUTADO</v>
      </c>
      <c r="U164" s="837">
        <f t="shared" ref="U164" si="61">ROUND(P164*Q164,2)</f>
        <v>18040.32</v>
      </c>
      <c r="V164" s="544"/>
      <c r="W164" s="544"/>
      <c r="X164" s="975">
        <f t="shared" ref="X164" si="62">U164+V164+W164</f>
        <v>18040.32</v>
      </c>
      <c r="Y164" s="640"/>
      <c r="Z164" s="545" t="s">
        <v>1131</v>
      </c>
      <c r="AA164" s="545" t="s">
        <v>178</v>
      </c>
      <c r="AB164" s="546" t="s">
        <v>187</v>
      </c>
      <c r="AC164" s="547">
        <v>2014</v>
      </c>
      <c r="AD164" s="95"/>
      <c r="AE164" s="93"/>
    </row>
    <row r="165" spans="1:31" s="94" customFormat="1" ht="82.5" customHeight="1">
      <c r="A165" s="910"/>
      <c r="B165" s="913"/>
      <c r="C165" s="927" t="s">
        <v>1491</v>
      </c>
      <c r="D165" s="927" t="s">
        <v>1495</v>
      </c>
      <c r="E165" s="636" t="str">
        <f t="shared" si="13"/>
        <v>PAGO DE RAJUSTE DE PRECIOS DE LA VIA CARIAMANGA EL LUCERO RIO PINDO</v>
      </c>
      <c r="F165" s="831" t="s">
        <v>171</v>
      </c>
      <c r="G165" s="831" t="str">
        <f>VLOOKUP(H165,'Pob. Ext, Parroquial'!$B$9:$C$117,2,0)</f>
        <v>CALVAS</v>
      </c>
      <c r="H165" s="831" t="s">
        <v>564</v>
      </c>
      <c r="I165" s="831" t="s">
        <v>270</v>
      </c>
      <c r="J165" s="831" t="s">
        <v>174</v>
      </c>
      <c r="K165" s="831"/>
      <c r="L165" s="537"/>
      <c r="M165" s="538">
        <v>677.77777777777783</v>
      </c>
      <c r="N165" s="834" t="s">
        <v>1486</v>
      </c>
      <c r="O165" s="836" t="s">
        <v>532</v>
      </c>
      <c r="P165" s="836">
        <v>1</v>
      </c>
      <c r="Q165" s="836">
        <v>843163.44</v>
      </c>
      <c r="R165" s="948">
        <v>41640</v>
      </c>
      <c r="S165" s="948">
        <v>41698</v>
      </c>
      <c r="T165" s="686" t="str">
        <f t="shared" si="7"/>
        <v>EJECUTADO</v>
      </c>
      <c r="U165" s="837">
        <f t="shared" si="6"/>
        <v>843163.44</v>
      </c>
      <c r="V165" s="544"/>
      <c r="W165" s="544"/>
      <c r="X165" s="912">
        <f t="shared" si="17"/>
        <v>843163.44</v>
      </c>
      <c r="Y165" s="640"/>
      <c r="Z165" s="545" t="s">
        <v>177</v>
      </c>
      <c r="AA165" s="545" t="s">
        <v>178</v>
      </c>
      <c r="AB165" s="546" t="s">
        <v>187</v>
      </c>
      <c r="AC165" s="547">
        <v>2014</v>
      </c>
      <c r="AD165" s="95"/>
      <c r="AE165" s="93"/>
    </row>
    <row r="166" spans="1:31" s="94" customFormat="1" ht="82.5" customHeight="1">
      <c r="A166" s="910"/>
      <c r="B166" s="913"/>
      <c r="C166" s="985" t="s">
        <v>182</v>
      </c>
      <c r="D166" s="927" t="s">
        <v>267</v>
      </c>
      <c r="E166" s="636" t="str">
        <f t="shared" si="13"/>
        <v>MANTENIMIENTO RUTINARIO VIAL EN LOS CANTONES CALVAS, ESPINDOLA, GONZANAMÁ, QUILANGA Y SOZORANGA (CONTRATO SIE-NRO.821-VIALSUR E.P.-2013)</v>
      </c>
      <c r="F166" s="831" t="s">
        <v>171</v>
      </c>
      <c r="G166" s="831" t="str">
        <f>VLOOKUP(H166,'Pob. Ext, Parroquial'!$B$9:$C$117,2,0)</f>
        <v>SOZORANGA</v>
      </c>
      <c r="H166" s="831" t="s">
        <v>654</v>
      </c>
      <c r="I166" s="831" t="s">
        <v>270</v>
      </c>
      <c r="J166" s="831" t="s">
        <v>174</v>
      </c>
      <c r="K166" s="831"/>
      <c r="L166" s="537">
        <f t="shared" si="15"/>
        <v>25.41</v>
      </c>
      <c r="M166" s="538">
        <v>677.77777777777783</v>
      </c>
      <c r="N166" s="834" t="s">
        <v>185</v>
      </c>
      <c r="O166" s="836" t="s">
        <v>184</v>
      </c>
      <c r="P166" s="836">
        <v>0.08</v>
      </c>
      <c r="Q166" s="836">
        <f>838425/6</f>
        <v>139737.5</v>
      </c>
      <c r="R166" s="948">
        <v>41640</v>
      </c>
      <c r="S166" s="948">
        <v>41698</v>
      </c>
      <c r="T166" s="686" t="str">
        <f t="shared" si="7"/>
        <v>EJECUTADO</v>
      </c>
      <c r="U166" s="837">
        <f t="shared" si="6"/>
        <v>11179</v>
      </c>
      <c r="V166" s="544"/>
      <c r="W166" s="544"/>
      <c r="X166" s="912">
        <f t="shared" si="17"/>
        <v>11179</v>
      </c>
      <c r="Y166" s="640"/>
      <c r="Z166" s="545" t="s">
        <v>177</v>
      </c>
      <c r="AA166" s="545" t="s">
        <v>178</v>
      </c>
      <c r="AB166" s="546" t="s">
        <v>187</v>
      </c>
      <c r="AC166" s="547">
        <v>2014</v>
      </c>
      <c r="AD166" s="95"/>
      <c r="AE166" s="93"/>
    </row>
    <row r="167" spans="1:31" s="94" customFormat="1" ht="76.5" customHeight="1">
      <c r="A167" s="910"/>
      <c r="B167" s="911"/>
      <c r="C167" s="985" t="s">
        <v>182</v>
      </c>
      <c r="D167" s="1117" t="s">
        <v>773</v>
      </c>
      <c r="E167" s="636" t="str">
        <f t="shared" si="13"/>
        <v>VIA MERCADILLO CHITOQUE GAUTUNUMA</v>
      </c>
      <c r="F167" s="831" t="s">
        <v>275</v>
      </c>
      <c r="G167" s="831" t="str">
        <f>VLOOKUP(H167,'Pob. Ext, Parroquial'!$B$9:$C$117,2,0)</f>
        <v>PUYANGO</v>
      </c>
      <c r="H167" s="831" t="s">
        <v>634</v>
      </c>
      <c r="I167" s="831" t="s">
        <v>173</v>
      </c>
      <c r="J167" s="831" t="s">
        <v>174</v>
      </c>
      <c r="K167" s="831">
        <v>9</v>
      </c>
      <c r="L167" s="537"/>
      <c r="M167" s="538">
        <f>IF(K167&gt;0,VLOOKUP(H167,'[5]Pob. Ext, Parroquial'!$B$8:$F$117,4,FALSE),0)</f>
        <v>489</v>
      </c>
      <c r="N167" s="834" t="s">
        <v>276</v>
      </c>
      <c r="O167" s="836" t="s">
        <v>277</v>
      </c>
      <c r="P167" s="836">
        <v>948.16</v>
      </c>
      <c r="Q167" s="836">
        <v>1</v>
      </c>
      <c r="R167" s="948">
        <v>41883</v>
      </c>
      <c r="S167" s="948">
        <v>41942</v>
      </c>
      <c r="T167" s="686" t="str">
        <f t="shared" si="7"/>
        <v>EJECUTADO</v>
      </c>
      <c r="U167" s="837">
        <f t="shared" si="6"/>
        <v>948.16</v>
      </c>
      <c r="V167" s="544"/>
      <c r="W167" s="544"/>
      <c r="X167" s="660">
        <f>SUM(U167:U175)</f>
        <v>29781.91</v>
      </c>
      <c r="Y167" s="640"/>
      <c r="Z167" s="545" t="s">
        <v>278</v>
      </c>
      <c r="AA167" s="545" t="s">
        <v>178</v>
      </c>
      <c r="AB167" s="546" t="s">
        <v>179</v>
      </c>
      <c r="AC167" s="547">
        <v>2014</v>
      </c>
      <c r="AD167" s="95"/>
      <c r="AE167" s="93"/>
    </row>
    <row r="168" spans="1:31" s="94" customFormat="1" ht="76.5" customHeight="1">
      <c r="A168" s="910"/>
      <c r="B168" s="911"/>
      <c r="C168" s="985" t="s">
        <v>182</v>
      </c>
      <c r="D168" s="1118"/>
      <c r="E168" s="636" t="str">
        <f t="shared" ref="E168:E175" si="63">+E167</f>
        <v>VIA MERCADILLO CHITOQUE GAUTUNUMA</v>
      </c>
      <c r="F168" s="831" t="s">
        <v>275</v>
      </c>
      <c r="G168" s="831" t="str">
        <f>VLOOKUP(H168,'Pob. Ext, Parroquial'!$B$9:$C$117,2,0)</f>
        <v>PUYANGO</v>
      </c>
      <c r="H168" s="831" t="s">
        <v>634</v>
      </c>
      <c r="I168" s="831" t="s">
        <v>173</v>
      </c>
      <c r="J168" s="831" t="s">
        <v>174</v>
      </c>
      <c r="K168" s="831"/>
      <c r="L168" s="537"/>
      <c r="M168" s="538">
        <f>IF(K168&gt;0,VLOOKUP(H168,'[5]Pob. Ext, Parroquial'!$B$8:$F$117,4,FALSE),0)</f>
        <v>0</v>
      </c>
      <c r="N168" s="834" t="s">
        <v>226</v>
      </c>
      <c r="O168" s="836" t="s">
        <v>176</v>
      </c>
      <c r="P168" s="836">
        <v>1.62</v>
      </c>
      <c r="Q168" s="836">
        <v>3000</v>
      </c>
      <c r="R168" s="948">
        <v>41883</v>
      </c>
      <c r="S168" s="948">
        <v>41942</v>
      </c>
      <c r="T168" s="686" t="str">
        <f t="shared" si="7"/>
        <v>EJECUTADO</v>
      </c>
      <c r="U168" s="837">
        <f t="shared" ref="U168:U231" si="64">ROUND(P168*Q168,2)</f>
        <v>4860</v>
      </c>
      <c r="V168" s="544"/>
      <c r="W168" s="544"/>
      <c r="X168" s="662"/>
      <c r="Y168" s="640"/>
      <c r="Z168" s="545" t="s">
        <v>278</v>
      </c>
      <c r="AA168" s="545" t="s">
        <v>178</v>
      </c>
      <c r="AB168" s="546" t="s">
        <v>179</v>
      </c>
      <c r="AC168" s="547">
        <v>2014</v>
      </c>
      <c r="AD168" s="95"/>
      <c r="AE168" s="93"/>
    </row>
    <row r="169" spans="1:31" s="94" customFormat="1" ht="76.5" customHeight="1">
      <c r="A169" s="910"/>
      <c r="B169" s="911"/>
      <c r="C169" s="985" t="s">
        <v>182</v>
      </c>
      <c r="D169" s="1118"/>
      <c r="E169" s="636" t="str">
        <f t="shared" si="63"/>
        <v>VIA MERCADILLO CHITOQUE GAUTUNUMA</v>
      </c>
      <c r="F169" s="831" t="s">
        <v>275</v>
      </c>
      <c r="G169" s="831" t="str">
        <f>VLOOKUP(H169,'Pob. Ext, Parroquial'!$B$9:$C$117,2,0)</f>
        <v>PUYANGO</v>
      </c>
      <c r="H169" s="831" t="s">
        <v>634</v>
      </c>
      <c r="I169" s="831" t="s">
        <v>173</v>
      </c>
      <c r="J169" s="831" t="s">
        <v>174</v>
      </c>
      <c r="K169" s="831"/>
      <c r="L169" s="537"/>
      <c r="M169" s="538">
        <f>IF(K169&gt;0,VLOOKUP(H169,'[5]Pob. Ext, Parroquial'!$B$8:$F$117,4,FALSE),0)</f>
        <v>0</v>
      </c>
      <c r="N169" s="834" t="s">
        <v>200</v>
      </c>
      <c r="O169" s="836" t="s">
        <v>176</v>
      </c>
      <c r="P169" s="836">
        <v>1.46</v>
      </c>
      <c r="Q169" s="836">
        <v>600</v>
      </c>
      <c r="R169" s="948">
        <v>41883</v>
      </c>
      <c r="S169" s="948">
        <v>41942</v>
      </c>
      <c r="T169" s="686" t="str">
        <f t="shared" si="7"/>
        <v>EJECUTADO</v>
      </c>
      <c r="U169" s="837">
        <f t="shared" si="64"/>
        <v>876</v>
      </c>
      <c r="V169" s="544"/>
      <c r="W169" s="544"/>
      <c r="X169" s="662"/>
      <c r="Y169" s="640"/>
      <c r="Z169" s="545" t="s">
        <v>278</v>
      </c>
      <c r="AA169" s="545" t="s">
        <v>178</v>
      </c>
      <c r="AB169" s="546" t="s">
        <v>179</v>
      </c>
      <c r="AC169" s="547">
        <v>2014</v>
      </c>
      <c r="AD169" s="95"/>
      <c r="AE169" s="93"/>
    </row>
    <row r="170" spans="1:31" s="94" customFormat="1" ht="76.5" customHeight="1">
      <c r="A170" s="910"/>
      <c r="B170" s="911"/>
      <c r="C170" s="985" t="s">
        <v>182</v>
      </c>
      <c r="D170" s="1118"/>
      <c r="E170" s="636" t="str">
        <f t="shared" si="63"/>
        <v>VIA MERCADILLO CHITOQUE GAUTUNUMA</v>
      </c>
      <c r="F170" s="831" t="s">
        <v>275</v>
      </c>
      <c r="G170" s="831" t="str">
        <f>VLOOKUP(H170,'Pob. Ext, Parroquial'!$B$9:$C$117,2,0)</f>
        <v>PUYANGO</v>
      </c>
      <c r="H170" s="831" t="s">
        <v>634</v>
      </c>
      <c r="I170" s="831" t="s">
        <v>173</v>
      </c>
      <c r="J170" s="831" t="s">
        <v>174</v>
      </c>
      <c r="K170" s="831"/>
      <c r="L170" s="537"/>
      <c r="M170" s="538">
        <f>IF(K170&gt;0,VLOOKUP(H170,'[5]Pob. Ext, Parroquial'!$B$8:$F$117,4,FALSE),0)</f>
        <v>0</v>
      </c>
      <c r="N170" s="834" t="s">
        <v>279</v>
      </c>
      <c r="O170" s="836" t="s">
        <v>176</v>
      </c>
      <c r="P170" s="836">
        <v>1.46</v>
      </c>
      <c r="Q170" s="836">
        <v>150</v>
      </c>
      <c r="R170" s="948">
        <v>41883</v>
      </c>
      <c r="S170" s="948">
        <v>41942</v>
      </c>
      <c r="T170" s="686" t="str">
        <f t="shared" si="7"/>
        <v>EJECUTADO</v>
      </c>
      <c r="U170" s="837">
        <f t="shared" si="64"/>
        <v>219</v>
      </c>
      <c r="V170" s="544"/>
      <c r="W170" s="544"/>
      <c r="X170" s="662"/>
      <c r="Y170" s="640"/>
      <c r="Z170" s="545" t="s">
        <v>278</v>
      </c>
      <c r="AA170" s="545" t="s">
        <v>178</v>
      </c>
      <c r="AB170" s="546" t="s">
        <v>179</v>
      </c>
      <c r="AC170" s="547">
        <v>2014</v>
      </c>
      <c r="AD170" s="95"/>
      <c r="AE170" s="93"/>
    </row>
    <row r="171" spans="1:31" s="94" customFormat="1" ht="76.5" customHeight="1">
      <c r="A171" s="910"/>
      <c r="B171" s="911"/>
      <c r="C171" s="985" t="s">
        <v>182</v>
      </c>
      <c r="D171" s="1118"/>
      <c r="E171" s="636" t="str">
        <f t="shared" si="63"/>
        <v>VIA MERCADILLO CHITOQUE GAUTUNUMA</v>
      </c>
      <c r="F171" s="831" t="s">
        <v>275</v>
      </c>
      <c r="G171" s="831" t="str">
        <f>VLOOKUP(H171,'Pob. Ext, Parroquial'!$B$9:$C$117,2,0)</f>
        <v>PUYANGO</v>
      </c>
      <c r="H171" s="831" t="s">
        <v>634</v>
      </c>
      <c r="I171" s="831" t="s">
        <v>173</v>
      </c>
      <c r="J171" s="831" t="s">
        <v>174</v>
      </c>
      <c r="K171" s="831"/>
      <c r="L171" s="537"/>
      <c r="M171" s="538">
        <f>IF(K171&gt;0,VLOOKUP(H171,'[5]Pob. Ext, Parroquial'!$B$8:$F$117,4,FALSE),0)</f>
        <v>0</v>
      </c>
      <c r="N171" s="834" t="s">
        <v>280</v>
      </c>
      <c r="O171" s="836" t="s">
        <v>181</v>
      </c>
      <c r="P171" s="836">
        <v>0.3</v>
      </c>
      <c r="Q171" s="836">
        <v>9000</v>
      </c>
      <c r="R171" s="948">
        <v>41883</v>
      </c>
      <c r="S171" s="948">
        <v>41942</v>
      </c>
      <c r="T171" s="686" t="str">
        <f t="shared" si="7"/>
        <v>EJECUTADO</v>
      </c>
      <c r="U171" s="837">
        <f t="shared" si="64"/>
        <v>2700</v>
      </c>
      <c r="V171" s="544"/>
      <c r="W171" s="544"/>
      <c r="X171" s="662"/>
      <c r="Y171" s="640"/>
      <c r="Z171" s="545" t="s">
        <v>278</v>
      </c>
      <c r="AA171" s="545" t="s">
        <v>178</v>
      </c>
      <c r="AB171" s="546" t="s">
        <v>179</v>
      </c>
      <c r="AC171" s="547">
        <v>2014</v>
      </c>
      <c r="AD171" s="95"/>
      <c r="AE171" s="93"/>
    </row>
    <row r="172" spans="1:31" s="94" customFormat="1" ht="76.5" customHeight="1">
      <c r="A172" s="910"/>
      <c r="B172" s="911"/>
      <c r="C172" s="985" t="s">
        <v>182</v>
      </c>
      <c r="D172" s="1118"/>
      <c r="E172" s="636" t="str">
        <f t="shared" si="63"/>
        <v>VIA MERCADILLO CHITOQUE GAUTUNUMA</v>
      </c>
      <c r="F172" s="831" t="s">
        <v>275</v>
      </c>
      <c r="G172" s="831" t="str">
        <f>VLOOKUP(H172,'Pob. Ext, Parroquial'!$B$9:$C$117,2,0)</f>
        <v>PUYANGO</v>
      </c>
      <c r="H172" s="831" t="s">
        <v>634</v>
      </c>
      <c r="I172" s="831" t="s">
        <v>173</v>
      </c>
      <c r="J172" s="831" t="s">
        <v>174</v>
      </c>
      <c r="K172" s="831"/>
      <c r="L172" s="537"/>
      <c r="M172" s="538">
        <f>IF(K172&gt;0,VLOOKUP(H172,'[5]Pob. Ext, Parroquial'!$B$8:$F$117,4,FALSE),0)</f>
        <v>0</v>
      </c>
      <c r="N172" s="834" t="s">
        <v>281</v>
      </c>
      <c r="O172" s="836" t="s">
        <v>181</v>
      </c>
      <c r="P172" s="836">
        <v>0.3</v>
      </c>
      <c r="Q172" s="836">
        <v>2812.5</v>
      </c>
      <c r="R172" s="948">
        <v>41883</v>
      </c>
      <c r="S172" s="948">
        <v>41942</v>
      </c>
      <c r="T172" s="686" t="str">
        <f t="shared" si="7"/>
        <v>EJECUTADO</v>
      </c>
      <c r="U172" s="837">
        <f t="shared" si="64"/>
        <v>843.75</v>
      </c>
      <c r="V172" s="544"/>
      <c r="W172" s="544"/>
      <c r="X172" s="662"/>
      <c r="Y172" s="640"/>
      <c r="Z172" s="545" t="s">
        <v>278</v>
      </c>
      <c r="AA172" s="545" t="s">
        <v>178</v>
      </c>
      <c r="AB172" s="546" t="s">
        <v>179</v>
      </c>
      <c r="AC172" s="547">
        <v>2014</v>
      </c>
      <c r="AD172" s="95"/>
      <c r="AE172" s="93"/>
    </row>
    <row r="173" spans="1:31" s="94" customFormat="1" ht="76.5" customHeight="1">
      <c r="A173" s="910"/>
      <c r="B173" s="911"/>
      <c r="C173" s="985" t="s">
        <v>182</v>
      </c>
      <c r="D173" s="1118"/>
      <c r="E173" s="636" t="str">
        <f t="shared" si="63"/>
        <v>VIA MERCADILLO CHITOQUE GAUTUNUMA</v>
      </c>
      <c r="F173" s="831" t="s">
        <v>275</v>
      </c>
      <c r="G173" s="831" t="str">
        <f>VLOOKUP(H173,'Pob. Ext, Parroquial'!$B$9:$C$117,2,0)</f>
        <v>PUYANGO</v>
      </c>
      <c r="H173" s="831" t="s">
        <v>634</v>
      </c>
      <c r="I173" s="831" t="s">
        <v>173</v>
      </c>
      <c r="J173" s="831" t="s">
        <v>174</v>
      </c>
      <c r="K173" s="831"/>
      <c r="L173" s="537">
        <f t="shared" ref="L173:L174" si="65">ROUNDUP(Q173/5.5/1000,2)</f>
        <v>10.91</v>
      </c>
      <c r="M173" s="538">
        <f>IF(K173&gt;0,VLOOKUP(H173,'[5]Pob. Ext, Parroquial'!$B$8:$F$117,4,FALSE),0)</f>
        <v>0</v>
      </c>
      <c r="N173" s="834" t="s">
        <v>185</v>
      </c>
      <c r="O173" s="836" t="s">
        <v>184</v>
      </c>
      <c r="P173" s="836">
        <v>0.08</v>
      </c>
      <c r="Q173" s="836">
        <v>60000</v>
      </c>
      <c r="R173" s="948">
        <v>41883</v>
      </c>
      <c r="S173" s="948">
        <v>41942</v>
      </c>
      <c r="T173" s="686" t="str">
        <f t="shared" si="7"/>
        <v>EJECUTADO</v>
      </c>
      <c r="U173" s="837">
        <f t="shared" si="64"/>
        <v>4800</v>
      </c>
      <c r="V173" s="544"/>
      <c r="W173" s="544"/>
      <c r="X173" s="662"/>
      <c r="Y173" s="640"/>
      <c r="Z173" s="545" t="s">
        <v>278</v>
      </c>
      <c r="AA173" s="545" t="s">
        <v>178</v>
      </c>
      <c r="AB173" s="546" t="s">
        <v>179</v>
      </c>
      <c r="AC173" s="547">
        <v>2014</v>
      </c>
      <c r="AD173" s="95"/>
      <c r="AE173" s="93"/>
    </row>
    <row r="174" spans="1:31" s="94" customFormat="1" ht="76.5" customHeight="1">
      <c r="A174" s="910"/>
      <c r="B174" s="911"/>
      <c r="C174" s="985" t="s">
        <v>182</v>
      </c>
      <c r="D174" s="1118"/>
      <c r="E174" s="636" t="str">
        <f t="shared" si="63"/>
        <v>VIA MERCADILLO CHITOQUE GAUTUNUMA</v>
      </c>
      <c r="F174" s="831" t="s">
        <v>275</v>
      </c>
      <c r="G174" s="831" t="str">
        <f>VLOOKUP(H174,'Pob. Ext, Parroquial'!$B$9:$C$117,2,0)</f>
        <v>PUYANGO</v>
      </c>
      <c r="H174" s="831" t="s">
        <v>634</v>
      </c>
      <c r="I174" s="831" t="s">
        <v>173</v>
      </c>
      <c r="J174" s="831" t="s">
        <v>174</v>
      </c>
      <c r="K174" s="831"/>
      <c r="L174" s="537">
        <f t="shared" si="65"/>
        <v>4.0999999999999996</v>
      </c>
      <c r="M174" s="538">
        <f>IF(K174&gt;0,VLOOKUP(H174,'[5]Pob. Ext, Parroquial'!$B$8:$F$117,4,FALSE),0)</f>
        <v>0</v>
      </c>
      <c r="N174" s="834" t="s">
        <v>282</v>
      </c>
      <c r="O174" s="836" t="s">
        <v>184</v>
      </c>
      <c r="P174" s="836">
        <v>0.35</v>
      </c>
      <c r="Q174" s="836">
        <v>22500</v>
      </c>
      <c r="R174" s="948">
        <v>41883</v>
      </c>
      <c r="S174" s="948">
        <v>41942</v>
      </c>
      <c r="T174" s="686" t="str">
        <f t="shared" si="7"/>
        <v>EJECUTADO</v>
      </c>
      <c r="U174" s="837">
        <f t="shared" si="64"/>
        <v>7875</v>
      </c>
      <c r="V174" s="544"/>
      <c r="W174" s="544"/>
      <c r="X174" s="662"/>
      <c r="Y174" s="640"/>
      <c r="Z174" s="545" t="s">
        <v>278</v>
      </c>
      <c r="AA174" s="545" t="s">
        <v>178</v>
      </c>
      <c r="AB174" s="546" t="s">
        <v>179</v>
      </c>
      <c r="AC174" s="547">
        <v>2014</v>
      </c>
      <c r="AD174" s="95"/>
      <c r="AE174" s="93"/>
    </row>
    <row r="175" spans="1:31" s="94" customFormat="1" ht="76.5" customHeight="1">
      <c r="A175" s="910"/>
      <c r="B175" s="911"/>
      <c r="C175" s="985" t="s">
        <v>182</v>
      </c>
      <c r="D175" s="1120"/>
      <c r="E175" s="636" t="str">
        <f t="shared" si="63"/>
        <v>VIA MERCADILLO CHITOQUE GAUTUNUMA</v>
      </c>
      <c r="F175" s="831" t="s">
        <v>275</v>
      </c>
      <c r="G175" s="831" t="str">
        <f>VLOOKUP(H175,'Pob. Ext, Parroquial'!$B$9:$C$117,2,0)</f>
        <v>PUYANGO</v>
      </c>
      <c r="H175" s="831" t="s">
        <v>634</v>
      </c>
      <c r="I175" s="831" t="s">
        <v>173</v>
      </c>
      <c r="J175" s="831" t="s">
        <v>174</v>
      </c>
      <c r="K175" s="831"/>
      <c r="L175" s="537">
        <f>+ROUND(Q175/5500/0.2,2)</f>
        <v>1.02</v>
      </c>
      <c r="M175" s="538">
        <f>IF(K175&gt;0,VLOOKUP(H175,'[5]Pob. Ext, Parroquial'!$B$8:$F$117,4,FALSE),0)</f>
        <v>0</v>
      </c>
      <c r="N175" s="834" t="s">
        <v>229</v>
      </c>
      <c r="O175" s="836" t="s">
        <v>176</v>
      </c>
      <c r="P175" s="836">
        <v>5.92</v>
      </c>
      <c r="Q175" s="836">
        <v>1125</v>
      </c>
      <c r="R175" s="948">
        <v>41883</v>
      </c>
      <c r="S175" s="948">
        <v>41942</v>
      </c>
      <c r="T175" s="686" t="str">
        <f t="shared" si="7"/>
        <v>EJECUTADO</v>
      </c>
      <c r="U175" s="837">
        <f t="shared" si="64"/>
        <v>6660</v>
      </c>
      <c r="V175" s="544"/>
      <c r="W175" s="544"/>
      <c r="X175" s="664"/>
      <c r="Y175" s="640"/>
      <c r="Z175" s="545" t="s">
        <v>278</v>
      </c>
      <c r="AA175" s="545" t="s">
        <v>178</v>
      </c>
      <c r="AB175" s="546" t="s">
        <v>179</v>
      </c>
      <c r="AC175" s="547">
        <v>2014</v>
      </c>
      <c r="AD175" s="95"/>
      <c r="AE175" s="93"/>
    </row>
    <row r="176" spans="1:31" s="94" customFormat="1" ht="70.900000000000006" customHeight="1">
      <c r="A176" s="1068"/>
      <c r="B176" s="645"/>
      <c r="C176" s="985" t="s">
        <v>182</v>
      </c>
      <c r="D176" s="1117" t="s">
        <v>274</v>
      </c>
      <c r="E176" s="636" t="str">
        <f t="shared" si="13"/>
        <v>VIA TACAMOROS - LA VICTORIA - LA BOCANA- EL LIMON; TRAMO - TACAMOROS - LA VICTORIA L= 14 KM.
(PARALIZADO POR INVIERNO)</v>
      </c>
      <c r="F176" s="831" t="s">
        <v>275</v>
      </c>
      <c r="G176" s="831" t="str">
        <f>VLOOKUP(H176,'Pob. Ext, Parroquial'!$B$9:$C$117,2,0)</f>
        <v>MACARA</v>
      </c>
      <c r="H176" s="831" t="s">
        <v>606</v>
      </c>
      <c r="I176" s="831" t="s">
        <v>173</v>
      </c>
      <c r="J176" s="831" t="s">
        <v>174</v>
      </c>
      <c r="K176" s="831">
        <v>14</v>
      </c>
      <c r="L176" s="537"/>
      <c r="M176" s="538">
        <f>IF(K176&gt;0,VLOOKUP(H176,'[5]Pob. Ext, Parroquial'!$B$8:$F$117,4,FALSE),0)</f>
        <v>1077</v>
      </c>
      <c r="N176" s="834" t="s">
        <v>276</v>
      </c>
      <c r="O176" s="836" t="s">
        <v>277</v>
      </c>
      <c r="P176" s="836">
        <v>948.16</v>
      </c>
      <c r="Q176" s="968">
        <v>0</v>
      </c>
      <c r="R176" s="948">
        <v>41640</v>
      </c>
      <c r="S176" s="948">
        <v>41670</v>
      </c>
      <c r="T176" s="686" t="str">
        <f t="shared" si="7"/>
        <v>EJECUTADO</v>
      </c>
      <c r="U176" s="837">
        <f t="shared" si="64"/>
        <v>0</v>
      </c>
      <c r="V176" s="544"/>
      <c r="W176" s="544"/>
      <c r="X176" s="660">
        <f>SUM(U176:U184)</f>
        <v>44877.760000000002</v>
      </c>
      <c r="Y176" s="640"/>
      <c r="Z176" s="545" t="s">
        <v>278</v>
      </c>
      <c r="AA176" s="545" t="s">
        <v>178</v>
      </c>
      <c r="AB176" s="546" t="s">
        <v>179</v>
      </c>
      <c r="AC176" s="547">
        <v>2014</v>
      </c>
      <c r="AD176" s="95"/>
      <c r="AE176" s="93"/>
    </row>
    <row r="177" spans="1:31" s="94" customFormat="1" ht="70.900000000000006" customHeight="1">
      <c r="A177" s="1068"/>
      <c r="B177" s="648"/>
      <c r="C177" s="985" t="s">
        <v>182</v>
      </c>
      <c r="D177" s="1118"/>
      <c r="E177" s="636" t="str">
        <f>+E176</f>
        <v>VIA TACAMOROS - LA VICTORIA - LA BOCANA- EL LIMON; TRAMO - TACAMOROS - LA VICTORIA L= 14 KM.
(PARALIZADO POR INVIERNO)</v>
      </c>
      <c r="F177" s="831" t="s">
        <v>275</v>
      </c>
      <c r="G177" s="831" t="str">
        <f>VLOOKUP(H177,'Pob. Ext, Parroquial'!$B$9:$C$117,2,0)</f>
        <v>MACARA</v>
      </c>
      <c r="H177" s="831" t="s">
        <v>606</v>
      </c>
      <c r="I177" s="831" t="s">
        <v>173</v>
      </c>
      <c r="J177" s="831" t="s">
        <v>174</v>
      </c>
      <c r="K177" s="831"/>
      <c r="L177" s="537"/>
      <c r="M177" s="538">
        <f>IF(K177&gt;0,VLOOKUP(H177,'[5]Pob. Ext, Parroquial'!$B$8:$F$117,4,FALSE),0)</f>
        <v>0</v>
      </c>
      <c r="N177" s="834" t="s">
        <v>226</v>
      </c>
      <c r="O177" s="836" t="s">
        <v>176</v>
      </c>
      <c r="P177" s="836">
        <v>1.62</v>
      </c>
      <c r="Q177" s="968">
        <v>4884</v>
      </c>
      <c r="R177" s="948">
        <v>41640</v>
      </c>
      <c r="S177" s="948">
        <v>41698</v>
      </c>
      <c r="T177" s="686" t="str">
        <f t="shared" si="7"/>
        <v>EJECUTADO</v>
      </c>
      <c r="U177" s="837">
        <f t="shared" si="64"/>
        <v>7912.08</v>
      </c>
      <c r="V177" s="544"/>
      <c r="W177" s="544"/>
      <c r="X177" s="662"/>
      <c r="Y177" s="640"/>
      <c r="Z177" s="545" t="s">
        <v>278</v>
      </c>
      <c r="AA177" s="545" t="s">
        <v>178</v>
      </c>
      <c r="AB177" s="546" t="s">
        <v>187</v>
      </c>
      <c r="AC177" s="547">
        <v>2014</v>
      </c>
      <c r="AD177" s="95"/>
      <c r="AE177" s="93"/>
    </row>
    <row r="178" spans="1:31" s="94" customFormat="1" ht="73.900000000000006" customHeight="1">
      <c r="A178" s="1068"/>
      <c r="B178" s="648"/>
      <c r="C178" s="985" t="s">
        <v>182</v>
      </c>
      <c r="D178" s="1118"/>
      <c r="E178" s="636" t="str">
        <f t="shared" ref="E178:E184" si="66">+E177</f>
        <v>VIA TACAMOROS - LA VICTORIA - LA BOCANA- EL LIMON; TRAMO - TACAMOROS - LA VICTORIA L= 14 KM.
(PARALIZADO POR INVIERNO)</v>
      </c>
      <c r="F178" s="831" t="s">
        <v>275</v>
      </c>
      <c r="G178" s="831" t="str">
        <f>VLOOKUP(H178,'Pob. Ext, Parroquial'!$B$9:$C$117,2,0)</f>
        <v>MACARA</v>
      </c>
      <c r="H178" s="831" t="s">
        <v>606</v>
      </c>
      <c r="I178" s="831" t="s">
        <v>173</v>
      </c>
      <c r="J178" s="831" t="s">
        <v>174</v>
      </c>
      <c r="K178" s="831"/>
      <c r="L178" s="537"/>
      <c r="M178" s="538">
        <f>IF(K178&gt;0,VLOOKUP(H178,'[5]Pob. Ext, Parroquial'!$B$8:$F$117,4,FALSE),0)</f>
        <v>0</v>
      </c>
      <c r="N178" s="834" t="s">
        <v>200</v>
      </c>
      <c r="O178" s="836" t="s">
        <v>176</v>
      </c>
      <c r="P178" s="836">
        <v>1.46</v>
      </c>
      <c r="Q178" s="968">
        <v>3300</v>
      </c>
      <c r="R178" s="948">
        <v>41640</v>
      </c>
      <c r="S178" s="948">
        <v>41698</v>
      </c>
      <c r="T178" s="686" t="str">
        <f t="shared" si="7"/>
        <v>EJECUTADO</v>
      </c>
      <c r="U178" s="837">
        <f t="shared" si="64"/>
        <v>4818</v>
      </c>
      <c r="V178" s="544"/>
      <c r="W178" s="544"/>
      <c r="X178" s="662"/>
      <c r="Y178" s="640"/>
      <c r="Z178" s="545" t="s">
        <v>278</v>
      </c>
      <c r="AA178" s="545" t="s">
        <v>178</v>
      </c>
      <c r="AB178" s="546" t="s">
        <v>187</v>
      </c>
      <c r="AC178" s="547">
        <v>2014</v>
      </c>
      <c r="AD178" s="95"/>
      <c r="AE178" s="93"/>
    </row>
    <row r="179" spans="1:31" s="94" customFormat="1" ht="81.599999999999994" customHeight="1">
      <c r="A179" s="1068"/>
      <c r="B179" s="648"/>
      <c r="C179" s="985" t="s">
        <v>182</v>
      </c>
      <c r="D179" s="1118"/>
      <c r="E179" s="636" t="str">
        <f t="shared" si="66"/>
        <v>VIA TACAMOROS - LA VICTORIA - LA BOCANA- EL LIMON; TRAMO - TACAMOROS - LA VICTORIA L= 14 KM.
(PARALIZADO POR INVIERNO)</v>
      </c>
      <c r="F179" s="831" t="s">
        <v>275</v>
      </c>
      <c r="G179" s="831" t="str">
        <f>VLOOKUP(H179,'Pob. Ext, Parroquial'!$B$9:$C$117,2,0)</f>
        <v>MACARA</v>
      </c>
      <c r="H179" s="831" t="s">
        <v>606</v>
      </c>
      <c r="I179" s="831" t="s">
        <v>173</v>
      </c>
      <c r="J179" s="831" t="s">
        <v>174</v>
      </c>
      <c r="K179" s="831"/>
      <c r="L179" s="537"/>
      <c r="M179" s="538">
        <f>IF(K179&gt;0,VLOOKUP(H179,'[5]Pob. Ext, Parroquial'!$B$8:$F$117,4,FALSE),0)</f>
        <v>0</v>
      </c>
      <c r="N179" s="834" t="s">
        <v>279</v>
      </c>
      <c r="O179" s="836" t="s">
        <v>176</v>
      </c>
      <c r="P179" s="836">
        <v>1.47</v>
      </c>
      <c r="Q179" s="968">
        <v>0</v>
      </c>
      <c r="R179" s="948">
        <v>41640</v>
      </c>
      <c r="S179" s="948">
        <v>41670</v>
      </c>
      <c r="T179" s="686" t="str">
        <f t="shared" si="7"/>
        <v>EJECUTADO</v>
      </c>
      <c r="U179" s="837">
        <f t="shared" si="64"/>
        <v>0</v>
      </c>
      <c r="V179" s="544"/>
      <c r="W179" s="544"/>
      <c r="X179" s="662"/>
      <c r="Y179" s="640"/>
      <c r="Z179" s="545" t="s">
        <v>278</v>
      </c>
      <c r="AA179" s="545" t="s">
        <v>178</v>
      </c>
      <c r="AB179" s="546" t="s">
        <v>179</v>
      </c>
      <c r="AC179" s="547">
        <v>2014</v>
      </c>
      <c r="AD179" s="95"/>
      <c r="AE179" s="93"/>
    </row>
    <row r="180" spans="1:31" s="94" customFormat="1" ht="81.599999999999994" customHeight="1">
      <c r="A180" s="1068"/>
      <c r="B180" s="648"/>
      <c r="C180" s="985" t="s">
        <v>182</v>
      </c>
      <c r="D180" s="1118"/>
      <c r="E180" s="636" t="str">
        <f t="shared" si="66"/>
        <v>VIA TACAMOROS - LA VICTORIA - LA BOCANA- EL LIMON; TRAMO - TACAMOROS - LA VICTORIA L= 14 KM.
(PARALIZADO POR INVIERNO)</v>
      </c>
      <c r="F180" s="831" t="s">
        <v>275</v>
      </c>
      <c r="G180" s="831" t="str">
        <f>VLOOKUP(H180,'Pob. Ext, Parroquial'!$B$9:$C$117,2,0)</f>
        <v>MACARA</v>
      </c>
      <c r="H180" s="831" t="s">
        <v>606</v>
      </c>
      <c r="I180" s="831" t="s">
        <v>173</v>
      </c>
      <c r="J180" s="831" t="s">
        <v>174</v>
      </c>
      <c r="K180" s="831"/>
      <c r="L180" s="537"/>
      <c r="M180" s="538">
        <f>IF(K180&gt;0,VLOOKUP(H180,'[5]Pob. Ext, Parroquial'!$B$8:$F$117,4,FALSE),0)</f>
        <v>0</v>
      </c>
      <c r="N180" s="834" t="s">
        <v>280</v>
      </c>
      <c r="O180" s="836" t="s">
        <v>181</v>
      </c>
      <c r="P180" s="836">
        <v>0.3</v>
      </c>
      <c r="Q180" s="968">
        <v>0</v>
      </c>
      <c r="R180" s="948">
        <v>41640</v>
      </c>
      <c r="S180" s="948">
        <v>41670</v>
      </c>
      <c r="T180" s="686" t="str">
        <f t="shared" si="7"/>
        <v>EJECUTADO</v>
      </c>
      <c r="U180" s="837">
        <f t="shared" si="64"/>
        <v>0</v>
      </c>
      <c r="V180" s="544"/>
      <c r="W180" s="544"/>
      <c r="X180" s="662"/>
      <c r="Y180" s="640"/>
      <c r="Z180" s="545" t="s">
        <v>278</v>
      </c>
      <c r="AA180" s="545" t="s">
        <v>178</v>
      </c>
      <c r="AB180" s="546" t="s">
        <v>179</v>
      </c>
      <c r="AC180" s="547">
        <v>2014</v>
      </c>
      <c r="AD180" s="95"/>
      <c r="AE180" s="93"/>
    </row>
    <row r="181" spans="1:31" s="94" customFormat="1" ht="70.900000000000006" customHeight="1">
      <c r="A181" s="1068"/>
      <c r="B181" s="648"/>
      <c r="C181" s="985" t="s">
        <v>182</v>
      </c>
      <c r="D181" s="1118"/>
      <c r="E181" s="636" t="str">
        <f t="shared" si="66"/>
        <v>VIA TACAMOROS - LA VICTORIA - LA BOCANA- EL LIMON; TRAMO - TACAMOROS - LA VICTORIA L= 14 KM.
(PARALIZADO POR INVIERNO)</v>
      </c>
      <c r="F181" s="831" t="s">
        <v>275</v>
      </c>
      <c r="G181" s="831" t="str">
        <f>VLOOKUP(H181,'Pob. Ext, Parroquial'!$B$9:$C$117,2,0)</f>
        <v>MACARA</v>
      </c>
      <c r="H181" s="831" t="s">
        <v>606</v>
      </c>
      <c r="I181" s="831" t="s">
        <v>173</v>
      </c>
      <c r="J181" s="831" t="s">
        <v>174</v>
      </c>
      <c r="K181" s="831"/>
      <c r="L181" s="537"/>
      <c r="M181" s="538">
        <f>IF(K181&gt;0,VLOOKUP(H181,'[5]Pob. Ext, Parroquial'!$B$8:$F$117,4,FALSE),0)</f>
        <v>0</v>
      </c>
      <c r="N181" s="834" t="s">
        <v>281</v>
      </c>
      <c r="O181" s="836" t="s">
        <v>181</v>
      </c>
      <c r="P181" s="836">
        <v>0.3</v>
      </c>
      <c r="Q181" s="968">
        <v>32520</v>
      </c>
      <c r="R181" s="948">
        <v>41640</v>
      </c>
      <c r="S181" s="948">
        <v>41698</v>
      </c>
      <c r="T181" s="686" t="str">
        <f t="shared" si="7"/>
        <v>EJECUTADO</v>
      </c>
      <c r="U181" s="837">
        <f t="shared" si="64"/>
        <v>9756</v>
      </c>
      <c r="V181" s="544"/>
      <c r="W181" s="544"/>
      <c r="X181" s="662"/>
      <c r="Y181" s="640"/>
      <c r="Z181" s="545" t="s">
        <v>278</v>
      </c>
      <c r="AA181" s="545" t="s">
        <v>178</v>
      </c>
      <c r="AB181" s="546" t="s">
        <v>187</v>
      </c>
      <c r="AC181" s="547">
        <v>2014</v>
      </c>
      <c r="AD181" s="95"/>
      <c r="AE181" s="93"/>
    </row>
    <row r="182" spans="1:31" s="94" customFormat="1" ht="73.900000000000006" customHeight="1">
      <c r="A182" s="1068"/>
      <c r="B182" s="648"/>
      <c r="C182" s="985" t="s">
        <v>182</v>
      </c>
      <c r="D182" s="1118"/>
      <c r="E182" s="636" t="str">
        <f t="shared" si="66"/>
        <v>VIA TACAMOROS - LA VICTORIA - LA BOCANA- EL LIMON; TRAMO - TACAMOROS - LA VICTORIA L= 14 KM.
(PARALIZADO POR INVIERNO)</v>
      </c>
      <c r="F182" s="831" t="s">
        <v>275</v>
      </c>
      <c r="G182" s="831" t="str">
        <f>VLOOKUP(H182,'Pob. Ext, Parroquial'!$B$9:$C$117,2,0)</f>
        <v>MACARA</v>
      </c>
      <c r="H182" s="831" t="s">
        <v>606</v>
      </c>
      <c r="I182" s="831" t="s">
        <v>173</v>
      </c>
      <c r="J182" s="831" t="s">
        <v>174</v>
      </c>
      <c r="K182" s="831"/>
      <c r="L182" s="537">
        <f t="shared" ref="L182:L183" si="67">ROUNDUP(Q182/5.5/1000,2)</f>
        <v>11.82</v>
      </c>
      <c r="M182" s="538">
        <f>IF(K182&gt;0,VLOOKUP(H182,'[5]Pob. Ext, Parroquial'!$B$8:$F$117,4,FALSE),0)</f>
        <v>0</v>
      </c>
      <c r="N182" s="834" t="s">
        <v>185</v>
      </c>
      <c r="O182" s="836" t="s">
        <v>184</v>
      </c>
      <c r="P182" s="836">
        <v>0.08</v>
      </c>
      <c r="Q182" s="968">
        <v>65000</v>
      </c>
      <c r="R182" s="948">
        <v>41640</v>
      </c>
      <c r="S182" s="948">
        <v>41698</v>
      </c>
      <c r="T182" s="686" t="str">
        <f t="shared" si="7"/>
        <v>EJECUTADO</v>
      </c>
      <c r="U182" s="837">
        <f t="shared" si="64"/>
        <v>5200</v>
      </c>
      <c r="V182" s="544"/>
      <c r="W182" s="544"/>
      <c r="X182" s="662"/>
      <c r="Y182" s="640"/>
      <c r="Z182" s="545" t="s">
        <v>278</v>
      </c>
      <c r="AA182" s="545" t="s">
        <v>178</v>
      </c>
      <c r="AB182" s="546" t="s">
        <v>187</v>
      </c>
      <c r="AC182" s="547">
        <v>2014</v>
      </c>
      <c r="AD182" s="95"/>
      <c r="AE182" s="93"/>
    </row>
    <row r="183" spans="1:31" s="94" customFormat="1" ht="76.900000000000006" customHeight="1">
      <c r="A183" s="1068"/>
      <c r="B183" s="648"/>
      <c r="C183" s="985" t="s">
        <v>182</v>
      </c>
      <c r="D183" s="1118"/>
      <c r="E183" s="636" t="str">
        <f t="shared" si="66"/>
        <v>VIA TACAMOROS - LA VICTORIA - LA BOCANA- EL LIMON; TRAMO - TACAMOROS - LA VICTORIA L= 14 KM.
(PARALIZADO POR INVIERNO)</v>
      </c>
      <c r="F183" s="831" t="s">
        <v>275</v>
      </c>
      <c r="G183" s="831" t="str">
        <f>VLOOKUP(H183,'Pob. Ext, Parroquial'!$B$9:$C$117,2,0)</f>
        <v>MACARA</v>
      </c>
      <c r="H183" s="831" t="s">
        <v>606</v>
      </c>
      <c r="I183" s="831" t="s">
        <v>173</v>
      </c>
      <c r="J183" s="831" t="s">
        <v>174</v>
      </c>
      <c r="K183" s="831"/>
      <c r="L183" s="537">
        <f t="shared" si="67"/>
        <v>0</v>
      </c>
      <c r="M183" s="538">
        <f>IF(K183&gt;0,VLOOKUP(H183,'[5]Pob. Ext, Parroquial'!$B$8:$F$117,4,FALSE),0)</f>
        <v>0</v>
      </c>
      <c r="N183" s="834" t="s">
        <v>282</v>
      </c>
      <c r="O183" s="836" t="s">
        <v>184</v>
      </c>
      <c r="P183" s="836">
        <v>0.35</v>
      </c>
      <c r="Q183" s="968">
        <v>0</v>
      </c>
      <c r="R183" s="948">
        <v>41640</v>
      </c>
      <c r="S183" s="948">
        <v>41670</v>
      </c>
      <c r="T183" s="686" t="str">
        <f t="shared" si="7"/>
        <v>EJECUTADO</v>
      </c>
      <c r="U183" s="837">
        <f t="shared" si="64"/>
        <v>0</v>
      </c>
      <c r="V183" s="544"/>
      <c r="W183" s="544"/>
      <c r="X183" s="662"/>
      <c r="Y183" s="640"/>
      <c r="Z183" s="545" t="s">
        <v>278</v>
      </c>
      <c r="AA183" s="545" t="s">
        <v>178</v>
      </c>
      <c r="AB183" s="546" t="s">
        <v>179</v>
      </c>
      <c r="AC183" s="547">
        <v>2014</v>
      </c>
      <c r="AD183" s="95"/>
      <c r="AE183" s="93"/>
    </row>
    <row r="184" spans="1:31" s="94" customFormat="1" ht="75" customHeight="1">
      <c r="A184" s="1068"/>
      <c r="B184" s="646"/>
      <c r="C184" s="985" t="s">
        <v>182</v>
      </c>
      <c r="D184" s="1120"/>
      <c r="E184" s="636" t="str">
        <f t="shared" si="66"/>
        <v>VIA TACAMOROS - LA VICTORIA - LA BOCANA- EL LIMON; TRAMO - TACAMOROS - LA VICTORIA L= 14 KM.
(PARALIZADO POR INVIERNO)</v>
      </c>
      <c r="F184" s="831" t="s">
        <v>275</v>
      </c>
      <c r="G184" s="831" t="str">
        <f>VLOOKUP(H184,'Pob. Ext, Parroquial'!$B$9:$C$117,2,0)</f>
        <v>MACARA</v>
      </c>
      <c r="H184" s="831" t="s">
        <v>606</v>
      </c>
      <c r="I184" s="831" t="s">
        <v>173</v>
      </c>
      <c r="J184" s="831" t="s">
        <v>174</v>
      </c>
      <c r="K184" s="831"/>
      <c r="L184" s="537">
        <f>+ROUND(Q184/5500/0.2,2)</f>
        <v>2.64</v>
      </c>
      <c r="M184" s="538">
        <f>IF(K184&gt;0,VLOOKUP(H184,'[5]Pob. Ext, Parroquial'!$B$8:$F$117,4,FALSE),0)</f>
        <v>0</v>
      </c>
      <c r="N184" s="834" t="s">
        <v>229</v>
      </c>
      <c r="O184" s="836" t="s">
        <v>176</v>
      </c>
      <c r="P184" s="836">
        <v>5.92</v>
      </c>
      <c r="Q184" s="968">
        <v>2904</v>
      </c>
      <c r="R184" s="948">
        <v>41671</v>
      </c>
      <c r="S184" s="948">
        <v>41698</v>
      </c>
      <c r="T184" s="686" t="str">
        <f t="shared" si="7"/>
        <v>EJECUTADO</v>
      </c>
      <c r="U184" s="837">
        <f t="shared" si="64"/>
        <v>17191.68</v>
      </c>
      <c r="V184" s="544"/>
      <c r="W184" s="544"/>
      <c r="X184" s="664"/>
      <c r="Y184" s="640"/>
      <c r="Z184" s="545" t="s">
        <v>278</v>
      </c>
      <c r="AA184" s="545" t="s">
        <v>178</v>
      </c>
      <c r="AB184" s="546" t="s">
        <v>187</v>
      </c>
      <c r="AC184" s="547">
        <v>2014</v>
      </c>
      <c r="AD184" s="95"/>
      <c r="AE184" s="93"/>
    </row>
    <row r="185" spans="1:31" s="94" customFormat="1" ht="50.1" customHeight="1">
      <c r="A185" s="1068"/>
      <c r="B185" s="645"/>
      <c r="C185" s="985" t="s">
        <v>182</v>
      </c>
      <c r="D185" s="1117" t="s">
        <v>283</v>
      </c>
      <c r="E185" s="636" t="str">
        <f t="shared" si="13"/>
        <v xml:space="preserve">VIA ALAMOR VICENTINO </v>
      </c>
      <c r="F185" s="831" t="s">
        <v>275</v>
      </c>
      <c r="G185" s="831" t="str">
        <f>VLOOKUP(H185,'Pob. Ext, Parroquial'!$B$9:$C$117,2,0)</f>
        <v>PUYANGO</v>
      </c>
      <c r="H185" s="831" t="s">
        <v>284</v>
      </c>
      <c r="I185" s="831" t="s">
        <v>173</v>
      </c>
      <c r="J185" s="831" t="s">
        <v>174</v>
      </c>
      <c r="K185" s="831">
        <v>16</v>
      </c>
      <c r="L185" s="537"/>
      <c r="M185" s="538">
        <f>IF(K185&gt;0,VLOOKUP(H185,'[5]Pob. Ext, Parroquial'!$B$8:$F$117,4,FALSE),0)</f>
        <v>640</v>
      </c>
      <c r="N185" s="834" t="s">
        <v>276</v>
      </c>
      <c r="O185" s="836" t="s">
        <v>277</v>
      </c>
      <c r="P185" s="836">
        <v>948.16</v>
      </c>
      <c r="Q185" s="968">
        <v>0</v>
      </c>
      <c r="R185" s="948">
        <v>41671</v>
      </c>
      <c r="S185" s="948">
        <v>41698</v>
      </c>
      <c r="T185" s="686" t="str">
        <f t="shared" si="7"/>
        <v>EJECUTADO</v>
      </c>
      <c r="U185" s="837">
        <f t="shared" si="64"/>
        <v>0</v>
      </c>
      <c r="V185" s="544"/>
      <c r="W185" s="544"/>
      <c r="X185" s="660">
        <f>SUM(U185:U193)</f>
        <v>54658</v>
      </c>
      <c r="Y185" s="640"/>
      <c r="Z185" s="545" t="s">
        <v>278</v>
      </c>
      <c r="AA185" s="545" t="s">
        <v>178</v>
      </c>
      <c r="AB185" s="546" t="s">
        <v>187</v>
      </c>
      <c r="AC185" s="547">
        <v>2014</v>
      </c>
      <c r="AD185" s="95"/>
      <c r="AE185" s="93"/>
    </row>
    <row r="186" spans="1:31" s="94" customFormat="1" ht="50.1" customHeight="1">
      <c r="A186" s="1068"/>
      <c r="B186" s="648"/>
      <c r="C186" s="985" t="s">
        <v>182</v>
      </c>
      <c r="D186" s="1118"/>
      <c r="E186" s="636" t="str">
        <f>+E185</f>
        <v xml:space="preserve">VIA ALAMOR VICENTINO </v>
      </c>
      <c r="F186" s="831" t="s">
        <v>275</v>
      </c>
      <c r="G186" s="831" t="str">
        <f>VLOOKUP(H186,'Pob. Ext, Parroquial'!$B$9:$C$117,2,0)</f>
        <v>PUYANGO</v>
      </c>
      <c r="H186" s="831" t="s">
        <v>284</v>
      </c>
      <c r="I186" s="831" t="s">
        <v>173</v>
      </c>
      <c r="J186" s="831" t="s">
        <v>174</v>
      </c>
      <c r="K186" s="831"/>
      <c r="L186" s="537"/>
      <c r="M186" s="538">
        <f>IF(K186&gt;0,VLOOKUP(H186,'[5]Pob. Ext, Parroquial'!$B$8:$F$117,4,FALSE),0)</f>
        <v>0</v>
      </c>
      <c r="N186" s="834" t="s">
        <v>226</v>
      </c>
      <c r="O186" s="836" t="s">
        <v>176</v>
      </c>
      <c r="P186" s="836">
        <v>1.62</v>
      </c>
      <c r="Q186" s="968">
        <v>700</v>
      </c>
      <c r="R186" s="948">
        <v>41671</v>
      </c>
      <c r="S186" s="948">
        <v>41698</v>
      </c>
      <c r="T186" s="686" t="str">
        <f t="shared" si="7"/>
        <v>EJECUTADO</v>
      </c>
      <c r="U186" s="837">
        <f t="shared" si="64"/>
        <v>1134</v>
      </c>
      <c r="V186" s="544"/>
      <c r="W186" s="544"/>
      <c r="X186" s="662"/>
      <c r="Y186" s="640"/>
      <c r="Z186" s="545" t="s">
        <v>278</v>
      </c>
      <c r="AA186" s="545" t="s">
        <v>178</v>
      </c>
      <c r="AB186" s="546" t="s">
        <v>187</v>
      </c>
      <c r="AC186" s="547">
        <v>2014</v>
      </c>
      <c r="AD186" s="95"/>
      <c r="AE186" s="93"/>
    </row>
    <row r="187" spans="1:31" s="94" customFormat="1" ht="50.1" customHeight="1">
      <c r="A187" s="1068"/>
      <c r="B187" s="648"/>
      <c r="C187" s="985" t="s">
        <v>182</v>
      </c>
      <c r="D187" s="1118"/>
      <c r="E187" s="636" t="str">
        <f t="shared" ref="E187:E226" si="68">+E186</f>
        <v xml:space="preserve">VIA ALAMOR VICENTINO </v>
      </c>
      <c r="F187" s="831" t="s">
        <v>275</v>
      </c>
      <c r="G187" s="831" t="str">
        <f>VLOOKUP(H187,'Pob. Ext, Parroquial'!$B$9:$C$117,2,0)</f>
        <v>PUYANGO</v>
      </c>
      <c r="H187" s="831" t="s">
        <v>284</v>
      </c>
      <c r="I187" s="831" t="s">
        <v>173</v>
      </c>
      <c r="J187" s="831" t="s">
        <v>174</v>
      </c>
      <c r="K187" s="831"/>
      <c r="L187" s="537"/>
      <c r="M187" s="538">
        <f>IF(K187&gt;0,VLOOKUP(H187,'[5]Pob. Ext, Parroquial'!$B$8:$F$117,4,FALSE),0)</f>
        <v>0</v>
      </c>
      <c r="N187" s="834" t="s">
        <v>200</v>
      </c>
      <c r="O187" s="836" t="s">
        <v>176</v>
      </c>
      <c r="P187" s="836">
        <v>1.46</v>
      </c>
      <c r="Q187" s="968">
        <v>1000</v>
      </c>
      <c r="R187" s="948">
        <v>41671</v>
      </c>
      <c r="S187" s="948">
        <v>41698</v>
      </c>
      <c r="T187" s="686" t="str">
        <f t="shared" si="7"/>
        <v>EJECUTADO</v>
      </c>
      <c r="U187" s="837">
        <f t="shared" si="64"/>
        <v>1460</v>
      </c>
      <c r="V187" s="544"/>
      <c r="W187" s="544"/>
      <c r="X187" s="662"/>
      <c r="Y187" s="640"/>
      <c r="Z187" s="545" t="s">
        <v>278</v>
      </c>
      <c r="AA187" s="545" t="s">
        <v>178</v>
      </c>
      <c r="AB187" s="546" t="s">
        <v>187</v>
      </c>
      <c r="AC187" s="547">
        <v>2014</v>
      </c>
      <c r="AD187" s="95"/>
      <c r="AE187" s="93"/>
    </row>
    <row r="188" spans="1:31" s="94" customFormat="1" ht="50.1" customHeight="1">
      <c r="A188" s="1068"/>
      <c r="B188" s="648"/>
      <c r="C188" s="985" t="s">
        <v>182</v>
      </c>
      <c r="D188" s="1118"/>
      <c r="E188" s="636" t="str">
        <f t="shared" si="68"/>
        <v xml:space="preserve">VIA ALAMOR VICENTINO </v>
      </c>
      <c r="F188" s="831" t="s">
        <v>275</v>
      </c>
      <c r="G188" s="831" t="str">
        <f>VLOOKUP(H188,'Pob. Ext, Parroquial'!$B$9:$C$117,2,0)</f>
        <v>PUYANGO</v>
      </c>
      <c r="H188" s="831" t="s">
        <v>284</v>
      </c>
      <c r="I188" s="831" t="s">
        <v>173</v>
      </c>
      <c r="J188" s="831" t="s">
        <v>174</v>
      </c>
      <c r="K188" s="831"/>
      <c r="L188" s="537"/>
      <c r="M188" s="538">
        <f>IF(K188&gt;0,VLOOKUP(H188,'[5]Pob. Ext, Parroquial'!$B$8:$F$117,4,FALSE),0)</f>
        <v>0</v>
      </c>
      <c r="N188" s="834" t="s">
        <v>279</v>
      </c>
      <c r="O188" s="836" t="s">
        <v>176</v>
      </c>
      <c r="P188" s="836">
        <v>1.47</v>
      </c>
      <c r="Q188" s="968">
        <v>0</v>
      </c>
      <c r="R188" s="948">
        <v>41671</v>
      </c>
      <c r="S188" s="948">
        <v>41698</v>
      </c>
      <c r="T188" s="686" t="str">
        <f t="shared" si="7"/>
        <v>EJECUTADO</v>
      </c>
      <c r="U188" s="837">
        <f t="shared" si="64"/>
        <v>0</v>
      </c>
      <c r="V188" s="544"/>
      <c r="W188" s="544"/>
      <c r="X188" s="662"/>
      <c r="Y188" s="640"/>
      <c r="Z188" s="545" t="s">
        <v>278</v>
      </c>
      <c r="AA188" s="545" t="s">
        <v>178</v>
      </c>
      <c r="AB188" s="546" t="s">
        <v>187</v>
      </c>
      <c r="AC188" s="547">
        <v>2014</v>
      </c>
      <c r="AD188" s="95"/>
      <c r="AE188" s="93"/>
    </row>
    <row r="189" spans="1:31" s="94" customFormat="1" ht="50.1" customHeight="1">
      <c r="A189" s="1068"/>
      <c r="B189" s="648"/>
      <c r="C189" s="985" t="s">
        <v>182</v>
      </c>
      <c r="D189" s="1118"/>
      <c r="E189" s="636" t="str">
        <f>+E188</f>
        <v xml:space="preserve">VIA ALAMOR VICENTINO </v>
      </c>
      <c r="F189" s="831" t="s">
        <v>275</v>
      </c>
      <c r="G189" s="831" t="str">
        <f>VLOOKUP(H189,'Pob. Ext, Parroquial'!$B$9:$C$117,2,0)</f>
        <v>PUYANGO</v>
      </c>
      <c r="H189" s="831" t="s">
        <v>284</v>
      </c>
      <c r="I189" s="831" t="s">
        <v>173</v>
      </c>
      <c r="J189" s="831" t="s">
        <v>174</v>
      </c>
      <c r="K189" s="831"/>
      <c r="L189" s="537"/>
      <c r="M189" s="538">
        <f>IF(K189&gt;0,VLOOKUP(H189,'[5]Pob. Ext, Parroquial'!$B$8:$F$117,4,FALSE),0)</f>
        <v>0</v>
      </c>
      <c r="N189" s="834" t="s">
        <v>280</v>
      </c>
      <c r="O189" s="836" t="s">
        <v>181</v>
      </c>
      <c r="P189" s="836">
        <v>0.3</v>
      </c>
      <c r="Q189" s="968">
        <v>0</v>
      </c>
      <c r="R189" s="948">
        <v>41671</v>
      </c>
      <c r="S189" s="948">
        <v>41698</v>
      </c>
      <c r="T189" s="686" t="str">
        <f t="shared" si="7"/>
        <v>EJECUTADO</v>
      </c>
      <c r="U189" s="837">
        <f t="shared" si="64"/>
        <v>0</v>
      </c>
      <c r="V189" s="544"/>
      <c r="W189" s="544"/>
      <c r="X189" s="662"/>
      <c r="Y189" s="640"/>
      <c r="Z189" s="545" t="s">
        <v>278</v>
      </c>
      <c r="AA189" s="545" t="s">
        <v>178</v>
      </c>
      <c r="AB189" s="546" t="s">
        <v>187</v>
      </c>
      <c r="AC189" s="547">
        <v>2014</v>
      </c>
      <c r="AD189" s="95"/>
      <c r="AE189" s="93"/>
    </row>
    <row r="190" spans="1:31" s="94" customFormat="1" ht="50.1" customHeight="1">
      <c r="A190" s="1068"/>
      <c r="B190" s="648"/>
      <c r="C190" s="985" t="s">
        <v>182</v>
      </c>
      <c r="D190" s="1118"/>
      <c r="E190" s="636" t="str">
        <f>+E189</f>
        <v xml:space="preserve">VIA ALAMOR VICENTINO </v>
      </c>
      <c r="F190" s="831" t="s">
        <v>275</v>
      </c>
      <c r="G190" s="831" t="str">
        <f>VLOOKUP(H190,'Pob. Ext, Parroquial'!$B$9:$C$117,2,0)</f>
        <v>PUYANGO</v>
      </c>
      <c r="H190" s="831" t="s">
        <v>284</v>
      </c>
      <c r="I190" s="831" t="s">
        <v>173</v>
      </c>
      <c r="J190" s="831" t="s">
        <v>174</v>
      </c>
      <c r="K190" s="831"/>
      <c r="L190" s="537"/>
      <c r="M190" s="538">
        <f>IF(K190&gt;0,VLOOKUP(H190,'[5]Pob. Ext, Parroquial'!$B$8:$F$117,4,FALSE),0)</f>
        <v>0</v>
      </c>
      <c r="N190" s="834" t="s">
        <v>281</v>
      </c>
      <c r="O190" s="836" t="s">
        <v>181</v>
      </c>
      <c r="P190" s="836">
        <v>0.3</v>
      </c>
      <c r="Q190" s="968">
        <v>15900</v>
      </c>
      <c r="R190" s="948">
        <v>41671</v>
      </c>
      <c r="S190" s="948">
        <v>41698</v>
      </c>
      <c r="T190" s="686" t="str">
        <f t="shared" si="7"/>
        <v>EJECUTADO</v>
      </c>
      <c r="U190" s="837">
        <f t="shared" si="64"/>
        <v>4770</v>
      </c>
      <c r="V190" s="544"/>
      <c r="W190" s="544"/>
      <c r="X190" s="662"/>
      <c r="Y190" s="640"/>
      <c r="Z190" s="545" t="s">
        <v>278</v>
      </c>
      <c r="AA190" s="545" t="s">
        <v>178</v>
      </c>
      <c r="AB190" s="546" t="s">
        <v>187</v>
      </c>
      <c r="AC190" s="547">
        <v>2014</v>
      </c>
      <c r="AD190" s="95"/>
      <c r="AE190" s="93"/>
    </row>
    <row r="191" spans="1:31" s="94" customFormat="1" ht="50.1" customHeight="1">
      <c r="A191" s="1068"/>
      <c r="B191" s="648"/>
      <c r="C191" s="985" t="s">
        <v>182</v>
      </c>
      <c r="D191" s="1118"/>
      <c r="E191" s="636" t="str">
        <f t="shared" si="68"/>
        <v xml:space="preserve">VIA ALAMOR VICENTINO </v>
      </c>
      <c r="F191" s="831" t="s">
        <v>275</v>
      </c>
      <c r="G191" s="831" t="str">
        <f>VLOOKUP(H191,'Pob. Ext, Parroquial'!$B$9:$C$117,2,0)</f>
        <v>PUYANGO</v>
      </c>
      <c r="H191" s="831" t="s">
        <v>284</v>
      </c>
      <c r="I191" s="831" t="s">
        <v>173</v>
      </c>
      <c r="J191" s="831" t="s">
        <v>174</v>
      </c>
      <c r="K191" s="831"/>
      <c r="L191" s="537">
        <f t="shared" ref="L191:L192" si="69">ROUNDUP(Q191/5.5/1000,2)</f>
        <v>14.549999999999999</v>
      </c>
      <c r="M191" s="538">
        <f>IF(K191&gt;0,VLOOKUP(H191,'[5]Pob. Ext, Parroquial'!$B$8:$F$117,4,FALSE),0)</f>
        <v>0</v>
      </c>
      <c r="N191" s="834" t="s">
        <v>185</v>
      </c>
      <c r="O191" s="836" t="s">
        <v>184</v>
      </c>
      <c r="P191" s="836">
        <v>0.08</v>
      </c>
      <c r="Q191" s="968">
        <v>80000</v>
      </c>
      <c r="R191" s="948">
        <v>41671</v>
      </c>
      <c r="S191" s="948">
        <v>41698</v>
      </c>
      <c r="T191" s="686" t="str">
        <f t="shared" si="7"/>
        <v>EJECUTADO</v>
      </c>
      <c r="U191" s="837">
        <f t="shared" si="64"/>
        <v>6400</v>
      </c>
      <c r="V191" s="544"/>
      <c r="W191" s="544"/>
      <c r="X191" s="662"/>
      <c r="Y191" s="640"/>
      <c r="Z191" s="545" t="s">
        <v>278</v>
      </c>
      <c r="AA191" s="545" t="s">
        <v>178</v>
      </c>
      <c r="AB191" s="546" t="s">
        <v>187</v>
      </c>
      <c r="AC191" s="547">
        <v>2014</v>
      </c>
      <c r="AD191" s="95"/>
      <c r="AE191" s="93"/>
    </row>
    <row r="192" spans="1:31" s="94" customFormat="1" ht="50.1" customHeight="1">
      <c r="A192" s="1068"/>
      <c r="B192" s="648"/>
      <c r="C192" s="985" t="s">
        <v>182</v>
      </c>
      <c r="D192" s="1118"/>
      <c r="E192" s="636" t="str">
        <f t="shared" si="68"/>
        <v xml:space="preserve">VIA ALAMOR VICENTINO </v>
      </c>
      <c r="F192" s="831" t="s">
        <v>275</v>
      </c>
      <c r="G192" s="831" t="str">
        <f>VLOOKUP(H192,'Pob. Ext, Parroquial'!$B$9:$C$117,2,0)</f>
        <v>PUYANGO</v>
      </c>
      <c r="H192" s="831" t="s">
        <v>284</v>
      </c>
      <c r="I192" s="831" t="s">
        <v>173</v>
      </c>
      <c r="J192" s="831" t="s">
        <v>174</v>
      </c>
      <c r="K192" s="831"/>
      <c r="L192" s="537">
        <f t="shared" si="69"/>
        <v>19.100000000000001</v>
      </c>
      <c r="M192" s="538">
        <f>IF(K192&gt;0,VLOOKUP(H192,'[5]Pob. Ext, Parroquial'!$B$8:$F$117,4,FALSE),0)</f>
        <v>0</v>
      </c>
      <c r="N192" s="834" t="s">
        <v>282</v>
      </c>
      <c r="O192" s="836" t="s">
        <v>184</v>
      </c>
      <c r="P192" s="836">
        <v>0.35</v>
      </c>
      <c r="Q192" s="968">
        <v>105000</v>
      </c>
      <c r="R192" s="948">
        <v>41671</v>
      </c>
      <c r="S192" s="948">
        <v>41670</v>
      </c>
      <c r="T192" s="686" t="str">
        <f t="shared" si="7"/>
        <v>EJECUTADO</v>
      </c>
      <c r="U192" s="837">
        <f t="shared" si="64"/>
        <v>36750</v>
      </c>
      <c r="V192" s="544"/>
      <c r="W192" s="544"/>
      <c r="X192" s="662"/>
      <c r="Y192" s="640"/>
      <c r="Z192" s="545" t="s">
        <v>278</v>
      </c>
      <c r="AA192" s="545" t="s">
        <v>178</v>
      </c>
      <c r="AB192" s="546" t="s">
        <v>179</v>
      </c>
      <c r="AC192" s="547">
        <v>2014</v>
      </c>
      <c r="AD192" s="95"/>
      <c r="AE192" s="93"/>
    </row>
    <row r="193" spans="1:31" s="94" customFormat="1" ht="50.1" customHeight="1">
      <c r="A193" s="1068"/>
      <c r="B193" s="646"/>
      <c r="C193" s="985" t="s">
        <v>182</v>
      </c>
      <c r="D193" s="1120"/>
      <c r="E193" s="636" t="str">
        <f t="shared" si="68"/>
        <v xml:space="preserve">VIA ALAMOR VICENTINO </v>
      </c>
      <c r="F193" s="831" t="s">
        <v>275</v>
      </c>
      <c r="G193" s="831" t="str">
        <f>VLOOKUP(H193,'Pob. Ext, Parroquial'!$B$9:$C$117,2,0)</f>
        <v>PUYANGO</v>
      </c>
      <c r="H193" s="831" t="s">
        <v>284</v>
      </c>
      <c r="I193" s="831" t="s">
        <v>173</v>
      </c>
      <c r="J193" s="831" t="s">
        <v>174</v>
      </c>
      <c r="K193" s="831"/>
      <c r="L193" s="537">
        <f>+ROUND(Q193/5500/0.2,2)</f>
        <v>0.64</v>
      </c>
      <c r="M193" s="538">
        <f>IF(K193&gt;0,VLOOKUP(H193,'[5]Pob. Ext, Parroquial'!$B$8:$F$117,4,FALSE),0)</f>
        <v>0</v>
      </c>
      <c r="N193" s="834" t="s">
        <v>229</v>
      </c>
      <c r="O193" s="836" t="s">
        <v>176</v>
      </c>
      <c r="P193" s="836">
        <v>5.92</v>
      </c>
      <c r="Q193" s="968">
        <v>700</v>
      </c>
      <c r="R193" s="948">
        <v>41671</v>
      </c>
      <c r="S193" s="948">
        <v>41698</v>
      </c>
      <c r="T193" s="686" t="str">
        <f t="shared" si="7"/>
        <v>EJECUTADO</v>
      </c>
      <c r="U193" s="837">
        <f t="shared" si="64"/>
        <v>4144</v>
      </c>
      <c r="V193" s="544"/>
      <c r="W193" s="544"/>
      <c r="X193" s="664"/>
      <c r="Y193" s="640"/>
      <c r="Z193" s="545" t="s">
        <v>278</v>
      </c>
      <c r="AA193" s="545" t="s">
        <v>178</v>
      </c>
      <c r="AB193" s="546" t="s">
        <v>187</v>
      </c>
      <c r="AC193" s="547">
        <v>2014</v>
      </c>
      <c r="AD193" s="95"/>
      <c r="AE193" s="93"/>
    </row>
    <row r="194" spans="1:31" s="94" customFormat="1" ht="50.1" customHeight="1">
      <c r="A194" s="1068"/>
      <c r="B194" s="645"/>
      <c r="C194" s="985" t="s">
        <v>182</v>
      </c>
      <c r="D194" s="1117" t="s">
        <v>285</v>
      </c>
      <c r="E194" s="636" t="str">
        <f t="shared" si="13"/>
        <v>VIA LA HOYADA EL LIMO (CANTON PUYANGO)</v>
      </c>
      <c r="F194" s="831" t="s">
        <v>275</v>
      </c>
      <c r="G194" s="831" t="str">
        <f>VLOOKUP(H194,'Pob. Ext, Parroquial'!$B$9:$C$117,2,0)</f>
        <v>PUYANGO</v>
      </c>
      <c r="H194" s="831" t="s">
        <v>286</v>
      </c>
      <c r="I194" s="831" t="s">
        <v>173</v>
      </c>
      <c r="J194" s="831" t="s">
        <v>174</v>
      </c>
      <c r="K194" s="831">
        <v>16</v>
      </c>
      <c r="L194" s="537"/>
      <c r="M194" s="538">
        <f>IF(K194&gt;0,VLOOKUP(H194,'[5]Pob. Ext, Parroquial'!$B$8:$F$117,4,FALSE),0)</f>
        <v>1388</v>
      </c>
      <c r="N194" s="834" t="s">
        <v>276</v>
      </c>
      <c r="O194" s="836" t="s">
        <v>277</v>
      </c>
      <c r="P194" s="836">
        <v>948.16</v>
      </c>
      <c r="Q194" s="836">
        <v>0</v>
      </c>
      <c r="R194" s="948">
        <v>41640</v>
      </c>
      <c r="S194" s="948">
        <v>41670</v>
      </c>
      <c r="T194" s="686" t="str">
        <f t="shared" si="7"/>
        <v>EJECUTADO</v>
      </c>
      <c r="U194" s="837">
        <f t="shared" si="64"/>
        <v>0</v>
      </c>
      <c r="V194" s="544"/>
      <c r="W194" s="544"/>
      <c r="X194" s="660">
        <f>SUM(U194:U202)</f>
        <v>43646</v>
      </c>
      <c r="Y194" s="640"/>
      <c r="Z194" s="545" t="s">
        <v>278</v>
      </c>
      <c r="AA194" s="545" t="s">
        <v>178</v>
      </c>
      <c r="AB194" s="546" t="s">
        <v>179</v>
      </c>
      <c r="AC194" s="547">
        <v>2014</v>
      </c>
      <c r="AD194" s="95"/>
      <c r="AE194" s="93"/>
    </row>
    <row r="195" spans="1:31" s="94" customFormat="1" ht="50.1" customHeight="1">
      <c r="A195" s="1068"/>
      <c r="B195" s="648"/>
      <c r="C195" s="985" t="s">
        <v>182</v>
      </c>
      <c r="D195" s="1118"/>
      <c r="E195" s="636" t="str">
        <f t="shared" si="68"/>
        <v>VIA LA HOYADA EL LIMO (CANTON PUYANGO)</v>
      </c>
      <c r="F195" s="831" t="s">
        <v>275</v>
      </c>
      <c r="G195" s="831" t="str">
        <f>VLOOKUP(H195,'Pob. Ext, Parroquial'!$B$9:$C$117,2,0)</f>
        <v>PUYANGO</v>
      </c>
      <c r="H195" s="831" t="s">
        <v>286</v>
      </c>
      <c r="I195" s="831" t="s">
        <v>173</v>
      </c>
      <c r="J195" s="831" t="s">
        <v>174</v>
      </c>
      <c r="K195" s="831"/>
      <c r="L195" s="537"/>
      <c r="M195" s="538">
        <f>IF(K195&gt;0,VLOOKUP(H195,'[5]Pob. Ext, Parroquial'!$B$8:$F$117,4,FALSE),0)</f>
        <v>0</v>
      </c>
      <c r="N195" s="834" t="s">
        <v>226</v>
      </c>
      <c r="O195" s="836" t="s">
        <v>176</v>
      </c>
      <c r="P195" s="836">
        <v>1.62</v>
      </c>
      <c r="Q195" s="836">
        <v>500</v>
      </c>
      <c r="R195" s="948">
        <v>41640</v>
      </c>
      <c r="S195" s="948">
        <v>41670</v>
      </c>
      <c r="T195" s="686" t="str">
        <f t="shared" si="7"/>
        <v>EJECUTADO</v>
      </c>
      <c r="U195" s="837">
        <f t="shared" si="64"/>
        <v>810</v>
      </c>
      <c r="V195" s="544"/>
      <c r="W195" s="544"/>
      <c r="X195" s="662"/>
      <c r="Y195" s="640"/>
      <c r="Z195" s="545" t="s">
        <v>278</v>
      </c>
      <c r="AA195" s="545" t="s">
        <v>178</v>
      </c>
      <c r="AB195" s="546" t="s">
        <v>179</v>
      </c>
      <c r="AC195" s="547">
        <v>2014</v>
      </c>
      <c r="AD195" s="95"/>
      <c r="AE195" s="93"/>
    </row>
    <row r="196" spans="1:31" s="94" customFormat="1" ht="50.1" customHeight="1">
      <c r="A196" s="1068"/>
      <c r="B196" s="648"/>
      <c r="C196" s="985" t="s">
        <v>182</v>
      </c>
      <c r="D196" s="1118"/>
      <c r="E196" s="636" t="str">
        <f t="shared" si="68"/>
        <v>VIA LA HOYADA EL LIMO (CANTON PUYANGO)</v>
      </c>
      <c r="F196" s="831" t="s">
        <v>275</v>
      </c>
      <c r="G196" s="831" t="str">
        <f>VLOOKUP(H196,'Pob. Ext, Parroquial'!$B$9:$C$117,2,0)</f>
        <v>PUYANGO</v>
      </c>
      <c r="H196" s="831" t="s">
        <v>286</v>
      </c>
      <c r="I196" s="831" t="s">
        <v>173</v>
      </c>
      <c r="J196" s="831" t="s">
        <v>174</v>
      </c>
      <c r="K196" s="831"/>
      <c r="L196" s="537"/>
      <c r="M196" s="538">
        <f>IF(K196&gt;0,VLOOKUP(H196,'[5]Pob. Ext, Parroquial'!$B$8:$F$117,4,FALSE),0)</f>
        <v>0</v>
      </c>
      <c r="N196" s="834" t="s">
        <v>200</v>
      </c>
      <c r="O196" s="836" t="s">
        <v>176</v>
      </c>
      <c r="P196" s="836">
        <v>1.46</v>
      </c>
      <c r="Q196" s="836">
        <v>600</v>
      </c>
      <c r="R196" s="948">
        <v>41640</v>
      </c>
      <c r="S196" s="948">
        <v>41670</v>
      </c>
      <c r="T196" s="686" t="str">
        <f t="shared" si="7"/>
        <v>EJECUTADO</v>
      </c>
      <c r="U196" s="837">
        <f t="shared" si="64"/>
        <v>876</v>
      </c>
      <c r="V196" s="544"/>
      <c r="W196" s="544"/>
      <c r="X196" s="662"/>
      <c r="Y196" s="640"/>
      <c r="Z196" s="545" t="s">
        <v>278</v>
      </c>
      <c r="AA196" s="545" t="s">
        <v>178</v>
      </c>
      <c r="AB196" s="546" t="s">
        <v>179</v>
      </c>
      <c r="AC196" s="547">
        <v>2014</v>
      </c>
      <c r="AD196" s="95"/>
      <c r="AE196" s="93"/>
    </row>
    <row r="197" spans="1:31" s="94" customFormat="1" ht="50.1" customHeight="1">
      <c r="A197" s="1068"/>
      <c r="B197" s="648"/>
      <c r="C197" s="985" t="s">
        <v>182</v>
      </c>
      <c r="D197" s="1118"/>
      <c r="E197" s="636" t="str">
        <f t="shared" si="68"/>
        <v>VIA LA HOYADA EL LIMO (CANTON PUYANGO)</v>
      </c>
      <c r="F197" s="831" t="s">
        <v>275</v>
      </c>
      <c r="G197" s="831" t="str">
        <f>VLOOKUP(H197,'Pob. Ext, Parroquial'!$B$9:$C$117,2,0)</f>
        <v>PUYANGO</v>
      </c>
      <c r="H197" s="831" t="s">
        <v>286</v>
      </c>
      <c r="I197" s="831" t="s">
        <v>173</v>
      </c>
      <c r="J197" s="831" t="s">
        <v>174</v>
      </c>
      <c r="K197" s="831"/>
      <c r="L197" s="537"/>
      <c r="M197" s="538">
        <f>IF(K197&gt;0,VLOOKUP(H197,'[5]Pob. Ext, Parroquial'!$B$8:$F$117,4,FALSE),0)</f>
        <v>0</v>
      </c>
      <c r="N197" s="834" t="s">
        <v>279</v>
      </c>
      <c r="O197" s="836" t="s">
        <v>176</v>
      </c>
      <c r="P197" s="836">
        <v>1.47</v>
      </c>
      <c r="Q197" s="836">
        <v>0</v>
      </c>
      <c r="R197" s="948">
        <v>41640</v>
      </c>
      <c r="S197" s="948">
        <v>41670</v>
      </c>
      <c r="T197" s="686" t="str">
        <f t="shared" si="7"/>
        <v>EJECUTADO</v>
      </c>
      <c r="U197" s="837">
        <f t="shared" si="64"/>
        <v>0</v>
      </c>
      <c r="V197" s="544"/>
      <c r="W197" s="544"/>
      <c r="X197" s="662"/>
      <c r="Y197" s="640"/>
      <c r="Z197" s="545" t="s">
        <v>278</v>
      </c>
      <c r="AA197" s="545" t="s">
        <v>178</v>
      </c>
      <c r="AB197" s="546" t="s">
        <v>179</v>
      </c>
      <c r="AC197" s="547">
        <v>2014</v>
      </c>
      <c r="AD197" s="95">
        <f>SUM(X653:X685)</f>
        <v>1205907.27</v>
      </c>
      <c r="AE197" s="93"/>
    </row>
    <row r="198" spans="1:31" s="94" customFormat="1" ht="50.1" customHeight="1">
      <c r="A198" s="1068"/>
      <c r="B198" s="648"/>
      <c r="C198" s="985" t="s">
        <v>182</v>
      </c>
      <c r="D198" s="1118"/>
      <c r="E198" s="636" t="str">
        <f t="shared" si="68"/>
        <v>VIA LA HOYADA EL LIMO (CANTON PUYANGO)</v>
      </c>
      <c r="F198" s="831" t="s">
        <v>275</v>
      </c>
      <c r="G198" s="831" t="str">
        <f>VLOOKUP(H198,'Pob. Ext, Parroquial'!$B$9:$C$117,2,0)</f>
        <v>PUYANGO</v>
      </c>
      <c r="H198" s="831" t="s">
        <v>286</v>
      </c>
      <c r="I198" s="831" t="s">
        <v>173</v>
      </c>
      <c r="J198" s="831" t="s">
        <v>174</v>
      </c>
      <c r="K198" s="831"/>
      <c r="L198" s="537"/>
      <c r="M198" s="538">
        <f>IF(K198&gt;0,VLOOKUP(H198,'[5]Pob. Ext, Parroquial'!$B$8:$F$117,4,FALSE),0)</f>
        <v>0</v>
      </c>
      <c r="N198" s="834" t="s">
        <v>280</v>
      </c>
      <c r="O198" s="836" t="s">
        <v>181</v>
      </c>
      <c r="P198" s="836">
        <v>0.3</v>
      </c>
      <c r="Q198" s="836">
        <v>0</v>
      </c>
      <c r="R198" s="948">
        <v>41640</v>
      </c>
      <c r="S198" s="948">
        <v>41670</v>
      </c>
      <c r="T198" s="686" t="str">
        <f t="shared" si="7"/>
        <v>EJECUTADO</v>
      </c>
      <c r="U198" s="837">
        <f t="shared" si="64"/>
        <v>0</v>
      </c>
      <c r="V198" s="544"/>
      <c r="W198" s="544"/>
      <c r="X198" s="662"/>
      <c r="Y198" s="640"/>
      <c r="Z198" s="545" t="s">
        <v>278</v>
      </c>
      <c r="AA198" s="545" t="s">
        <v>178</v>
      </c>
      <c r="AB198" s="546" t="s">
        <v>179</v>
      </c>
      <c r="AC198" s="547">
        <v>2014</v>
      </c>
      <c r="AD198" s="95"/>
      <c r="AE198" s="93"/>
    </row>
    <row r="199" spans="1:31" s="94" customFormat="1" ht="50.1" customHeight="1">
      <c r="A199" s="1068"/>
      <c r="B199" s="648"/>
      <c r="C199" s="985" t="s">
        <v>182</v>
      </c>
      <c r="D199" s="1118"/>
      <c r="E199" s="636" t="str">
        <f t="shared" si="68"/>
        <v>VIA LA HOYADA EL LIMO (CANTON PUYANGO)</v>
      </c>
      <c r="F199" s="831" t="s">
        <v>275</v>
      </c>
      <c r="G199" s="831" t="str">
        <f>VLOOKUP(H199,'Pob. Ext, Parroquial'!$B$9:$C$117,2,0)</f>
        <v>PUYANGO</v>
      </c>
      <c r="H199" s="831" t="s">
        <v>286</v>
      </c>
      <c r="I199" s="831" t="s">
        <v>173</v>
      </c>
      <c r="J199" s="831" t="s">
        <v>174</v>
      </c>
      <c r="K199" s="831"/>
      <c r="L199" s="537"/>
      <c r="M199" s="538">
        <f>IF(K199&gt;0,VLOOKUP(H199,'[5]Pob. Ext, Parroquial'!$B$8:$F$117,4,FALSE),0)</f>
        <v>0</v>
      </c>
      <c r="N199" s="834" t="s">
        <v>281</v>
      </c>
      <c r="O199" s="836" t="s">
        <v>181</v>
      </c>
      <c r="P199" s="836">
        <v>0.3</v>
      </c>
      <c r="Q199" s="836">
        <v>7500</v>
      </c>
      <c r="R199" s="948">
        <v>41640</v>
      </c>
      <c r="S199" s="948">
        <v>41670</v>
      </c>
      <c r="T199" s="686" t="str">
        <f t="shared" si="7"/>
        <v>EJECUTADO</v>
      </c>
      <c r="U199" s="837">
        <f t="shared" si="64"/>
        <v>2250</v>
      </c>
      <c r="V199" s="544"/>
      <c r="W199" s="544"/>
      <c r="X199" s="662"/>
      <c r="Y199" s="640"/>
      <c r="Z199" s="545" t="s">
        <v>278</v>
      </c>
      <c r="AA199" s="545" t="s">
        <v>178</v>
      </c>
      <c r="AB199" s="546" t="s">
        <v>179</v>
      </c>
      <c r="AC199" s="547">
        <v>2014</v>
      </c>
      <c r="AD199" s="95"/>
      <c r="AE199" s="93"/>
    </row>
    <row r="200" spans="1:31" s="94" customFormat="1" ht="50.1" customHeight="1">
      <c r="A200" s="1068"/>
      <c r="B200" s="648"/>
      <c r="C200" s="985" t="s">
        <v>182</v>
      </c>
      <c r="D200" s="1118"/>
      <c r="E200" s="636" t="str">
        <f t="shared" si="68"/>
        <v>VIA LA HOYADA EL LIMO (CANTON PUYANGO)</v>
      </c>
      <c r="F200" s="831" t="s">
        <v>275</v>
      </c>
      <c r="G200" s="831" t="str">
        <f>VLOOKUP(H200,'Pob. Ext, Parroquial'!$B$9:$C$117,2,0)</f>
        <v>PUYANGO</v>
      </c>
      <c r="H200" s="831" t="s">
        <v>286</v>
      </c>
      <c r="I200" s="831" t="s">
        <v>173</v>
      </c>
      <c r="J200" s="831" t="s">
        <v>174</v>
      </c>
      <c r="K200" s="831"/>
      <c r="L200" s="537">
        <f t="shared" ref="L200:L201" si="70">ROUNDUP(Q200/5.5/1000,2)</f>
        <v>0</v>
      </c>
      <c r="M200" s="538">
        <f>IF(K200&gt;0,VLOOKUP(H200,'[5]Pob. Ext, Parroquial'!$B$8:$F$117,4,FALSE),0)</f>
        <v>0</v>
      </c>
      <c r="N200" s="834" t="s">
        <v>185</v>
      </c>
      <c r="O200" s="836" t="s">
        <v>184</v>
      </c>
      <c r="P200" s="836">
        <v>0.08</v>
      </c>
      <c r="Q200" s="836"/>
      <c r="R200" s="948">
        <v>41673</v>
      </c>
      <c r="S200" s="948">
        <v>41670</v>
      </c>
      <c r="T200" s="686" t="str">
        <f t="shared" si="7"/>
        <v>EJECUTADO</v>
      </c>
      <c r="U200" s="837">
        <f t="shared" si="64"/>
        <v>0</v>
      </c>
      <c r="V200" s="544"/>
      <c r="W200" s="544"/>
      <c r="X200" s="662"/>
      <c r="Y200" s="640"/>
      <c r="Z200" s="545" t="s">
        <v>278</v>
      </c>
      <c r="AA200" s="545" t="s">
        <v>178</v>
      </c>
      <c r="AB200" s="546" t="s">
        <v>179</v>
      </c>
      <c r="AC200" s="547">
        <v>2014</v>
      </c>
      <c r="AD200" s="95"/>
      <c r="AE200" s="93"/>
    </row>
    <row r="201" spans="1:31" s="94" customFormat="1" ht="50.1" customHeight="1">
      <c r="A201" s="1068"/>
      <c r="B201" s="648"/>
      <c r="C201" s="985" t="s">
        <v>182</v>
      </c>
      <c r="D201" s="1118"/>
      <c r="E201" s="636" t="str">
        <f t="shared" si="68"/>
        <v>VIA LA HOYADA EL LIMO (CANTON PUYANGO)</v>
      </c>
      <c r="F201" s="831" t="s">
        <v>275</v>
      </c>
      <c r="G201" s="831" t="str">
        <f>VLOOKUP(H201,'Pob. Ext, Parroquial'!$B$9:$C$117,2,0)</f>
        <v>PUYANGO</v>
      </c>
      <c r="H201" s="831" t="s">
        <v>286</v>
      </c>
      <c r="I201" s="831" t="s">
        <v>173</v>
      </c>
      <c r="J201" s="831" t="s">
        <v>174</v>
      </c>
      <c r="K201" s="831"/>
      <c r="L201" s="537">
        <f t="shared" si="70"/>
        <v>19.100000000000001</v>
      </c>
      <c r="M201" s="538">
        <f>IF(K201&gt;0,VLOOKUP(H201,'[5]Pob. Ext, Parroquial'!$B$8:$F$117,4,FALSE),0)</f>
        <v>0</v>
      </c>
      <c r="N201" s="834" t="s">
        <v>282</v>
      </c>
      <c r="O201" s="836" t="s">
        <v>184</v>
      </c>
      <c r="P201" s="836">
        <v>0.35</v>
      </c>
      <c r="Q201" s="836">
        <v>105000</v>
      </c>
      <c r="R201" s="948">
        <v>41640</v>
      </c>
      <c r="S201" s="948">
        <v>41670</v>
      </c>
      <c r="T201" s="686" t="str">
        <f t="shared" si="7"/>
        <v>EJECUTADO</v>
      </c>
      <c r="U201" s="837">
        <f t="shared" si="64"/>
        <v>36750</v>
      </c>
      <c r="V201" s="544"/>
      <c r="W201" s="544"/>
      <c r="X201" s="662"/>
      <c r="Y201" s="640"/>
      <c r="Z201" s="545" t="s">
        <v>278</v>
      </c>
      <c r="AA201" s="545" t="s">
        <v>178</v>
      </c>
      <c r="AB201" s="546" t="s">
        <v>179</v>
      </c>
      <c r="AC201" s="547">
        <v>2014</v>
      </c>
      <c r="AD201" s="95"/>
      <c r="AE201" s="93"/>
    </row>
    <row r="202" spans="1:31" s="94" customFormat="1" ht="50.1" customHeight="1">
      <c r="A202" s="1068"/>
      <c r="B202" s="646"/>
      <c r="C202" s="985" t="s">
        <v>182</v>
      </c>
      <c r="D202" s="1120"/>
      <c r="E202" s="636" t="str">
        <f t="shared" si="68"/>
        <v>VIA LA HOYADA EL LIMO (CANTON PUYANGO)</v>
      </c>
      <c r="F202" s="831" t="s">
        <v>275</v>
      </c>
      <c r="G202" s="831" t="str">
        <f>VLOOKUP(H202,'Pob. Ext, Parroquial'!$B$9:$C$117,2,0)</f>
        <v>PUYANGO</v>
      </c>
      <c r="H202" s="831" t="s">
        <v>286</v>
      </c>
      <c r="I202" s="831" t="s">
        <v>173</v>
      </c>
      <c r="J202" s="831" t="s">
        <v>174</v>
      </c>
      <c r="K202" s="831"/>
      <c r="L202" s="537">
        <f>+ROUND(Q202/5500/0.2,2)</f>
        <v>0.45</v>
      </c>
      <c r="M202" s="538">
        <f>IF(K202&gt;0,VLOOKUP(H202,'[5]Pob. Ext, Parroquial'!$B$8:$F$117,4,FALSE),0)</f>
        <v>0</v>
      </c>
      <c r="N202" s="834" t="s">
        <v>229</v>
      </c>
      <c r="O202" s="836" t="s">
        <v>176</v>
      </c>
      <c r="P202" s="836">
        <v>5.92</v>
      </c>
      <c r="Q202" s="836">
        <v>500</v>
      </c>
      <c r="R202" s="948">
        <v>41640</v>
      </c>
      <c r="S202" s="948">
        <v>41670</v>
      </c>
      <c r="T202" s="686" t="str">
        <f t="shared" si="7"/>
        <v>EJECUTADO</v>
      </c>
      <c r="U202" s="837">
        <f t="shared" si="64"/>
        <v>2960</v>
      </c>
      <c r="V202" s="544"/>
      <c r="W202" s="544"/>
      <c r="X202" s="664"/>
      <c r="Y202" s="640"/>
      <c r="Z202" s="545" t="s">
        <v>278</v>
      </c>
      <c r="AA202" s="545" t="s">
        <v>178</v>
      </c>
      <c r="AB202" s="546" t="s">
        <v>179</v>
      </c>
      <c r="AC202" s="547">
        <v>2014</v>
      </c>
      <c r="AD202" s="95"/>
      <c r="AE202" s="93"/>
    </row>
    <row r="203" spans="1:31" s="94" customFormat="1" ht="50.1" customHeight="1">
      <c r="A203" s="1068"/>
      <c r="B203" s="645"/>
      <c r="C203" s="985" t="s">
        <v>182</v>
      </c>
      <c r="D203" s="1117" t="s">
        <v>287</v>
      </c>
      <c r="E203" s="636" t="str">
        <f t="shared" si="13"/>
        <v>VIA GUAYACAN - PALTAPAMBA - (CANTON PUYANGO)
(PARALIZADO POR INVIERNO)</v>
      </c>
      <c r="F203" s="831" t="s">
        <v>275</v>
      </c>
      <c r="G203" s="831" t="str">
        <f>VLOOKUP(H203,'Pob. Ext, Parroquial'!$B$9:$C$117,2,0)</f>
        <v>PUYANGO</v>
      </c>
      <c r="H203" s="831" t="s">
        <v>284</v>
      </c>
      <c r="I203" s="831" t="s">
        <v>173</v>
      </c>
      <c r="J203" s="831" t="s">
        <v>174</v>
      </c>
      <c r="K203" s="831">
        <v>6.5</v>
      </c>
      <c r="L203" s="537"/>
      <c r="M203" s="538">
        <f>IF(K203&gt;0,VLOOKUP(H203,'[5]Pob. Ext, Parroquial'!$B$8:$F$117,4,FALSE),0)</f>
        <v>640</v>
      </c>
      <c r="N203" s="834" t="s">
        <v>276</v>
      </c>
      <c r="O203" s="836" t="s">
        <v>277</v>
      </c>
      <c r="P203" s="836">
        <v>948.16</v>
      </c>
      <c r="Q203" s="968">
        <v>0</v>
      </c>
      <c r="R203" s="948">
        <v>41640</v>
      </c>
      <c r="S203" s="948">
        <v>41698</v>
      </c>
      <c r="T203" s="686" t="str">
        <f t="shared" si="7"/>
        <v>EJECUTADO</v>
      </c>
      <c r="U203" s="837">
        <f t="shared" si="64"/>
        <v>0</v>
      </c>
      <c r="V203" s="544"/>
      <c r="W203" s="544"/>
      <c r="X203" s="660">
        <f>SUM(U203:U211)</f>
        <v>46818.9</v>
      </c>
      <c r="Y203" s="640"/>
      <c r="Z203" s="545" t="s">
        <v>278</v>
      </c>
      <c r="AA203" s="545" t="s">
        <v>178</v>
      </c>
      <c r="AB203" s="546" t="s">
        <v>187</v>
      </c>
      <c r="AC203" s="547">
        <v>2014</v>
      </c>
      <c r="AD203" s="95"/>
      <c r="AE203" s="93"/>
    </row>
    <row r="204" spans="1:31" s="94" customFormat="1" ht="50.1" customHeight="1">
      <c r="A204" s="1068"/>
      <c r="B204" s="648"/>
      <c r="C204" s="985" t="s">
        <v>182</v>
      </c>
      <c r="D204" s="1118"/>
      <c r="E204" s="636" t="str">
        <f t="shared" si="68"/>
        <v>VIA GUAYACAN - PALTAPAMBA - (CANTON PUYANGO)
(PARALIZADO POR INVIERNO)</v>
      </c>
      <c r="F204" s="831" t="s">
        <v>275</v>
      </c>
      <c r="G204" s="831" t="str">
        <f>VLOOKUP(H204,'Pob. Ext, Parroquial'!$B$9:$C$117,2,0)</f>
        <v>PUYANGO</v>
      </c>
      <c r="H204" s="831" t="s">
        <v>284</v>
      </c>
      <c r="I204" s="831" t="s">
        <v>173</v>
      </c>
      <c r="J204" s="831" t="s">
        <v>174</v>
      </c>
      <c r="K204" s="831"/>
      <c r="L204" s="537"/>
      <c r="M204" s="538">
        <f>IF(K204&gt;0,VLOOKUP(H204,'[5]Pob. Ext, Parroquial'!$B$8:$F$117,4,FALSE),0)</f>
        <v>0</v>
      </c>
      <c r="N204" s="834" t="s">
        <v>226</v>
      </c>
      <c r="O204" s="836" t="s">
        <v>176</v>
      </c>
      <c r="P204" s="836">
        <v>1.62</v>
      </c>
      <c r="Q204" s="968">
        <v>1800</v>
      </c>
      <c r="R204" s="948">
        <v>41640</v>
      </c>
      <c r="S204" s="948">
        <v>41698</v>
      </c>
      <c r="T204" s="686" t="str">
        <f t="shared" si="7"/>
        <v>EJECUTADO</v>
      </c>
      <c r="U204" s="837">
        <f t="shared" si="64"/>
        <v>2916</v>
      </c>
      <c r="V204" s="544"/>
      <c r="W204" s="544"/>
      <c r="X204" s="662"/>
      <c r="Y204" s="640"/>
      <c r="Z204" s="545" t="s">
        <v>278</v>
      </c>
      <c r="AA204" s="545" t="s">
        <v>178</v>
      </c>
      <c r="AB204" s="546" t="s">
        <v>187</v>
      </c>
      <c r="AC204" s="547">
        <v>2014</v>
      </c>
      <c r="AD204" s="95"/>
      <c r="AE204" s="93"/>
    </row>
    <row r="205" spans="1:31" s="94" customFormat="1" ht="50.1" customHeight="1">
      <c r="A205" s="1068"/>
      <c r="B205" s="648"/>
      <c r="C205" s="985" t="s">
        <v>182</v>
      </c>
      <c r="D205" s="1118"/>
      <c r="E205" s="636" t="str">
        <f t="shared" si="68"/>
        <v>VIA GUAYACAN - PALTAPAMBA - (CANTON PUYANGO)
(PARALIZADO POR INVIERNO)</v>
      </c>
      <c r="F205" s="831" t="s">
        <v>275</v>
      </c>
      <c r="G205" s="831" t="str">
        <f>VLOOKUP(H205,'Pob. Ext, Parroquial'!$B$9:$C$117,2,0)</f>
        <v>PUYANGO</v>
      </c>
      <c r="H205" s="831" t="s">
        <v>284</v>
      </c>
      <c r="I205" s="831" t="s">
        <v>173</v>
      </c>
      <c r="J205" s="831" t="s">
        <v>174</v>
      </c>
      <c r="K205" s="831"/>
      <c r="L205" s="537"/>
      <c r="M205" s="538">
        <f>IF(K205&gt;0,VLOOKUP(H205,'[5]Pob. Ext, Parroquial'!$B$8:$F$117,4,FALSE),0)</f>
        <v>0</v>
      </c>
      <c r="N205" s="834" t="s">
        <v>200</v>
      </c>
      <c r="O205" s="836" t="s">
        <v>176</v>
      </c>
      <c r="P205" s="836">
        <v>1.46</v>
      </c>
      <c r="Q205" s="968">
        <v>900</v>
      </c>
      <c r="R205" s="948">
        <v>41640</v>
      </c>
      <c r="S205" s="948">
        <v>41698</v>
      </c>
      <c r="T205" s="686" t="str">
        <f t="shared" si="7"/>
        <v>EJECUTADO</v>
      </c>
      <c r="U205" s="837">
        <f t="shared" si="64"/>
        <v>1314</v>
      </c>
      <c r="V205" s="544"/>
      <c r="W205" s="544"/>
      <c r="X205" s="662"/>
      <c r="Y205" s="640"/>
      <c r="Z205" s="545" t="s">
        <v>278</v>
      </c>
      <c r="AA205" s="545" t="s">
        <v>178</v>
      </c>
      <c r="AB205" s="546" t="s">
        <v>187</v>
      </c>
      <c r="AC205" s="547">
        <v>2014</v>
      </c>
      <c r="AD205" s="95"/>
      <c r="AE205" s="93"/>
    </row>
    <row r="206" spans="1:31" s="94" customFormat="1" ht="50.1" customHeight="1">
      <c r="A206" s="1068"/>
      <c r="B206" s="648"/>
      <c r="C206" s="985" t="s">
        <v>182</v>
      </c>
      <c r="D206" s="1118"/>
      <c r="E206" s="636" t="str">
        <f t="shared" si="68"/>
        <v>VIA GUAYACAN - PALTAPAMBA - (CANTON PUYANGO)
(PARALIZADO POR INVIERNO)</v>
      </c>
      <c r="F206" s="831" t="s">
        <v>275</v>
      </c>
      <c r="G206" s="831" t="str">
        <f>VLOOKUP(H206,'Pob. Ext, Parroquial'!$B$9:$C$117,2,0)</f>
        <v>PUYANGO</v>
      </c>
      <c r="H206" s="831" t="s">
        <v>284</v>
      </c>
      <c r="I206" s="831" t="s">
        <v>173</v>
      </c>
      <c r="J206" s="831" t="s">
        <v>174</v>
      </c>
      <c r="K206" s="831"/>
      <c r="L206" s="537"/>
      <c r="M206" s="538">
        <f>IF(K206&gt;0,VLOOKUP(H206,'[5]Pob. Ext, Parroquial'!$B$8:$F$117,4,FALSE),0)</f>
        <v>0</v>
      </c>
      <c r="N206" s="834" t="s">
        <v>279</v>
      </c>
      <c r="O206" s="836" t="s">
        <v>176</v>
      </c>
      <c r="P206" s="836">
        <v>1.47</v>
      </c>
      <c r="Q206" s="968">
        <v>70</v>
      </c>
      <c r="R206" s="948">
        <v>41673</v>
      </c>
      <c r="S206" s="948">
        <v>41698</v>
      </c>
      <c r="T206" s="686" t="str">
        <f t="shared" si="7"/>
        <v>EJECUTADO</v>
      </c>
      <c r="U206" s="837">
        <f t="shared" si="64"/>
        <v>102.9</v>
      </c>
      <c r="V206" s="544"/>
      <c r="W206" s="544"/>
      <c r="X206" s="662"/>
      <c r="Y206" s="640"/>
      <c r="Z206" s="545" t="s">
        <v>278</v>
      </c>
      <c r="AA206" s="545" t="s">
        <v>178</v>
      </c>
      <c r="AB206" s="546" t="s">
        <v>187</v>
      </c>
      <c r="AC206" s="547">
        <v>2014</v>
      </c>
      <c r="AD206" s="95"/>
      <c r="AE206" s="93"/>
    </row>
    <row r="207" spans="1:31" s="94" customFormat="1" ht="50.1" customHeight="1">
      <c r="A207" s="1068"/>
      <c r="B207" s="648"/>
      <c r="C207" s="985" t="s">
        <v>182</v>
      </c>
      <c r="D207" s="1118"/>
      <c r="E207" s="636" t="str">
        <f t="shared" si="68"/>
        <v>VIA GUAYACAN - PALTAPAMBA - (CANTON PUYANGO)
(PARALIZADO POR INVIERNO)</v>
      </c>
      <c r="F207" s="831" t="s">
        <v>275</v>
      </c>
      <c r="G207" s="831" t="str">
        <f>VLOOKUP(H207,'Pob. Ext, Parroquial'!$B$9:$C$117,2,0)</f>
        <v>PUYANGO</v>
      </c>
      <c r="H207" s="831" t="s">
        <v>284</v>
      </c>
      <c r="I207" s="831" t="s">
        <v>173</v>
      </c>
      <c r="J207" s="831" t="s">
        <v>174</v>
      </c>
      <c r="K207" s="831"/>
      <c r="L207" s="537"/>
      <c r="M207" s="538">
        <f>IF(K207&gt;0,VLOOKUP(H207,'[5]Pob. Ext, Parroquial'!$B$8:$F$117,4,FALSE),0)</f>
        <v>0</v>
      </c>
      <c r="N207" s="834" t="s">
        <v>280</v>
      </c>
      <c r="O207" s="836" t="s">
        <v>181</v>
      </c>
      <c r="P207" s="836">
        <v>0.3</v>
      </c>
      <c r="Q207" s="968">
        <v>0</v>
      </c>
      <c r="R207" s="948">
        <v>41640</v>
      </c>
      <c r="S207" s="948">
        <v>41698</v>
      </c>
      <c r="T207" s="686" t="str">
        <f t="shared" si="7"/>
        <v>EJECUTADO</v>
      </c>
      <c r="U207" s="837">
        <f t="shared" si="64"/>
        <v>0</v>
      </c>
      <c r="V207" s="544"/>
      <c r="W207" s="544"/>
      <c r="X207" s="662"/>
      <c r="Y207" s="640"/>
      <c r="Z207" s="545" t="s">
        <v>278</v>
      </c>
      <c r="AA207" s="545" t="s">
        <v>178</v>
      </c>
      <c r="AB207" s="546" t="s">
        <v>187</v>
      </c>
      <c r="AC207" s="547">
        <v>2014</v>
      </c>
      <c r="AD207" s="95"/>
      <c r="AE207" s="93"/>
    </row>
    <row r="208" spans="1:31" s="94" customFormat="1" ht="50.1" customHeight="1">
      <c r="A208" s="1068"/>
      <c r="B208" s="648"/>
      <c r="C208" s="985" t="s">
        <v>182</v>
      </c>
      <c r="D208" s="1118"/>
      <c r="E208" s="636" t="str">
        <f t="shared" si="68"/>
        <v>VIA GUAYACAN - PALTAPAMBA - (CANTON PUYANGO)
(PARALIZADO POR INVIERNO)</v>
      </c>
      <c r="F208" s="831" t="s">
        <v>275</v>
      </c>
      <c r="G208" s="831" t="str">
        <f>VLOOKUP(H208,'Pob. Ext, Parroquial'!$B$9:$C$117,2,0)</f>
        <v>PUYANGO</v>
      </c>
      <c r="H208" s="831" t="s">
        <v>284</v>
      </c>
      <c r="I208" s="831" t="s">
        <v>173</v>
      </c>
      <c r="J208" s="831" t="s">
        <v>174</v>
      </c>
      <c r="K208" s="831"/>
      <c r="L208" s="537"/>
      <c r="M208" s="538">
        <f>IF(K208&gt;0,VLOOKUP(H208,'[5]Pob. Ext, Parroquial'!$B$8:$F$117,4,FALSE),0)</f>
        <v>0</v>
      </c>
      <c r="N208" s="834" t="s">
        <v>281</v>
      </c>
      <c r="O208" s="836" t="s">
        <v>181</v>
      </c>
      <c r="P208" s="836">
        <v>0.3</v>
      </c>
      <c r="Q208" s="968">
        <v>75600</v>
      </c>
      <c r="R208" s="948">
        <v>41640</v>
      </c>
      <c r="S208" s="948">
        <v>41698</v>
      </c>
      <c r="T208" s="686" t="str">
        <f t="shared" si="7"/>
        <v>EJECUTADO</v>
      </c>
      <c r="U208" s="837">
        <f t="shared" si="64"/>
        <v>22680</v>
      </c>
      <c r="V208" s="544"/>
      <c r="W208" s="544"/>
      <c r="X208" s="662"/>
      <c r="Y208" s="640"/>
      <c r="Z208" s="545" t="s">
        <v>278</v>
      </c>
      <c r="AA208" s="545" t="s">
        <v>178</v>
      </c>
      <c r="AB208" s="546" t="s">
        <v>187</v>
      </c>
      <c r="AC208" s="547">
        <v>2014</v>
      </c>
      <c r="AD208" s="95"/>
      <c r="AE208" s="93"/>
    </row>
    <row r="209" spans="1:31" s="94" customFormat="1" ht="50.1" customHeight="1">
      <c r="A209" s="1068"/>
      <c r="B209" s="648"/>
      <c r="C209" s="985" t="s">
        <v>182</v>
      </c>
      <c r="D209" s="1118"/>
      <c r="E209" s="636" t="str">
        <f t="shared" si="68"/>
        <v>VIA GUAYACAN - PALTAPAMBA - (CANTON PUYANGO)
(PARALIZADO POR INVIERNO)</v>
      </c>
      <c r="F209" s="831" t="s">
        <v>275</v>
      </c>
      <c r="G209" s="831" t="str">
        <f>VLOOKUP(H209,'Pob. Ext, Parroquial'!$B$9:$C$117,2,0)</f>
        <v>PUYANGO</v>
      </c>
      <c r="H209" s="831" t="s">
        <v>284</v>
      </c>
      <c r="I209" s="831" t="s">
        <v>173</v>
      </c>
      <c r="J209" s="831" t="s">
        <v>174</v>
      </c>
      <c r="K209" s="831"/>
      <c r="L209" s="537">
        <f t="shared" ref="L209:L210" si="71">ROUNDUP(Q209/5.5/1000,2)</f>
        <v>0.91</v>
      </c>
      <c r="M209" s="538">
        <f>IF(K209&gt;0,VLOOKUP(H209,'[5]Pob. Ext, Parroquial'!$B$8:$F$117,4,FALSE),0)</f>
        <v>0</v>
      </c>
      <c r="N209" s="834" t="s">
        <v>185</v>
      </c>
      <c r="O209" s="836" t="s">
        <v>184</v>
      </c>
      <c r="P209" s="836">
        <v>0.08</v>
      </c>
      <c r="Q209" s="968">
        <v>5000</v>
      </c>
      <c r="R209" s="948">
        <v>41640</v>
      </c>
      <c r="S209" s="948">
        <v>41670</v>
      </c>
      <c r="T209" s="686" t="str">
        <f t="shared" si="7"/>
        <v>EJECUTADO</v>
      </c>
      <c r="U209" s="837">
        <f t="shared" si="64"/>
        <v>400</v>
      </c>
      <c r="V209" s="544"/>
      <c r="W209" s="544"/>
      <c r="X209" s="662"/>
      <c r="Y209" s="640"/>
      <c r="Z209" s="545" t="s">
        <v>278</v>
      </c>
      <c r="AA209" s="545" t="s">
        <v>178</v>
      </c>
      <c r="AB209" s="546" t="s">
        <v>179</v>
      </c>
      <c r="AC209" s="547">
        <v>2014</v>
      </c>
      <c r="AD209" s="95"/>
      <c r="AE209" s="93"/>
    </row>
    <row r="210" spans="1:31" s="94" customFormat="1" ht="50.1" customHeight="1">
      <c r="A210" s="1068"/>
      <c r="B210" s="648"/>
      <c r="C210" s="985" t="s">
        <v>182</v>
      </c>
      <c r="D210" s="1118"/>
      <c r="E210" s="636" t="str">
        <f t="shared" si="68"/>
        <v>VIA GUAYACAN - PALTAPAMBA - (CANTON PUYANGO)
(PARALIZADO POR INVIERNO)</v>
      </c>
      <c r="F210" s="831" t="s">
        <v>275</v>
      </c>
      <c r="G210" s="831" t="str">
        <f>VLOOKUP(H210,'Pob. Ext, Parroquial'!$B$9:$C$117,2,0)</f>
        <v>PUYANGO</v>
      </c>
      <c r="H210" s="831" t="s">
        <v>284</v>
      </c>
      <c r="I210" s="831" t="s">
        <v>173</v>
      </c>
      <c r="J210" s="831" t="s">
        <v>174</v>
      </c>
      <c r="K210" s="831"/>
      <c r="L210" s="537">
        <f t="shared" si="71"/>
        <v>4.55</v>
      </c>
      <c r="M210" s="538">
        <f>IF(K210&gt;0,VLOOKUP(H210,'[5]Pob. Ext, Parroquial'!$B$8:$F$117,4,FALSE),0)</f>
        <v>0</v>
      </c>
      <c r="N210" s="834" t="s">
        <v>282</v>
      </c>
      <c r="O210" s="836" t="s">
        <v>184</v>
      </c>
      <c r="P210" s="836">
        <v>0.35</v>
      </c>
      <c r="Q210" s="968">
        <v>25000</v>
      </c>
      <c r="R210" s="948">
        <v>41640</v>
      </c>
      <c r="S210" s="948">
        <v>41698</v>
      </c>
      <c r="T210" s="686" t="str">
        <f t="shared" si="7"/>
        <v>EJECUTADO</v>
      </c>
      <c r="U210" s="837">
        <f t="shared" si="64"/>
        <v>8750</v>
      </c>
      <c r="V210" s="544"/>
      <c r="W210" s="544"/>
      <c r="X210" s="662"/>
      <c r="Y210" s="640"/>
      <c r="Z210" s="545" t="s">
        <v>278</v>
      </c>
      <c r="AA210" s="545" t="s">
        <v>178</v>
      </c>
      <c r="AB210" s="546" t="s">
        <v>187</v>
      </c>
      <c r="AC210" s="547">
        <v>2014</v>
      </c>
      <c r="AD210" s="95"/>
      <c r="AE210" s="93"/>
    </row>
    <row r="211" spans="1:31" s="94" customFormat="1" ht="50.1" customHeight="1">
      <c r="A211" s="1068"/>
      <c r="B211" s="646"/>
      <c r="C211" s="985" t="s">
        <v>182</v>
      </c>
      <c r="D211" s="1120"/>
      <c r="E211" s="636" t="str">
        <f t="shared" si="68"/>
        <v>VIA GUAYACAN - PALTAPAMBA - (CANTON PUYANGO)
(PARALIZADO POR INVIERNO)</v>
      </c>
      <c r="F211" s="831" t="s">
        <v>275</v>
      </c>
      <c r="G211" s="831" t="str">
        <f>VLOOKUP(H211,'Pob. Ext, Parroquial'!$B$9:$C$117,2,0)</f>
        <v>PUYANGO</v>
      </c>
      <c r="H211" s="831" t="s">
        <v>284</v>
      </c>
      <c r="I211" s="831" t="s">
        <v>173</v>
      </c>
      <c r="J211" s="831" t="s">
        <v>174</v>
      </c>
      <c r="K211" s="831"/>
      <c r="L211" s="537">
        <f>+ROUND(Q211/5500/0.2,2)</f>
        <v>1.64</v>
      </c>
      <c r="M211" s="538">
        <f>IF(K211&gt;0,VLOOKUP(H211,'[5]Pob. Ext, Parroquial'!$B$8:$F$117,4,FALSE),0)</f>
        <v>0</v>
      </c>
      <c r="N211" s="834" t="s">
        <v>229</v>
      </c>
      <c r="O211" s="836" t="s">
        <v>176</v>
      </c>
      <c r="P211" s="836">
        <v>5.92</v>
      </c>
      <c r="Q211" s="968">
        <v>1800</v>
      </c>
      <c r="R211" s="948">
        <v>41640</v>
      </c>
      <c r="S211" s="948">
        <v>41698</v>
      </c>
      <c r="T211" s="686" t="str">
        <f t="shared" si="7"/>
        <v>EJECUTADO</v>
      </c>
      <c r="U211" s="837">
        <f t="shared" si="64"/>
        <v>10656</v>
      </c>
      <c r="V211" s="544"/>
      <c r="W211" s="544"/>
      <c r="X211" s="664"/>
      <c r="Y211" s="640"/>
      <c r="Z211" s="545" t="s">
        <v>278</v>
      </c>
      <c r="AA211" s="545" t="s">
        <v>178</v>
      </c>
      <c r="AB211" s="546" t="s">
        <v>187</v>
      </c>
      <c r="AC211" s="547">
        <v>2014</v>
      </c>
      <c r="AD211" s="95"/>
      <c r="AE211" s="93"/>
    </row>
    <row r="212" spans="1:31" s="94" customFormat="1" ht="50.1" customHeight="1">
      <c r="A212" s="1068" t="s">
        <v>288</v>
      </c>
      <c r="B212" s="1076" t="str">
        <f>+T213</f>
        <v>EJECUTADO</v>
      </c>
      <c r="C212" s="985" t="s">
        <v>182</v>
      </c>
      <c r="D212" s="1117" t="s">
        <v>289</v>
      </c>
      <c r="E212" s="636" t="str">
        <f t="shared" si="13"/>
        <v>MANTENIEMIENTO DE VIAS DEL CANTON PUYANGO (PARROQUIAS ARENAL, CIANO, EL LIMO Y MERCADILLO)</v>
      </c>
      <c r="F212" s="831" t="s">
        <v>275</v>
      </c>
      <c r="G212" s="831" t="str">
        <f>VLOOKUP(H212,'Pob. Ext, Parroquial'!$B$9:$C$117,2,0)</f>
        <v>PUYANGO</v>
      </c>
      <c r="H212" s="831" t="s">
        <v>290</v>
      </c>
      <c r="I212" s="831" t="s">
        <v>173</v>
      </c>
      <c r="J212" s="831" t="s">
        <v>174</v>
      </c>
      <c r="K212" s="831">
        <v>15</v>
      </c>
      <c r="L212" s="537"/>
      <c r="M212" s="538">
        <f>IF(K212&gt;0,VLOOKUP(H212,'[5]Pob. Ext, Parroquial'!$B$8:$F$117,4,FALSE),0)</f>
        <v>567</v>
      </c>
      <c r="N212" s="834" t="s">
        <v>276</v>
      </c>
      <c r="O212" s="836" t="s">
        <v>277</v>
      </c>
      <c r="P212" s="836">
        <v>948.16</v>
      </c>
      <c r="Q212" s="968">
        <v>1</v>
      </c>
      <c r="R212" s="948">
        <v>41699</v>
      </c>
      <c r="S212" s="948">
        <v>41729</v>
      </c>
      <c r="T212" s="686" t="str">
        <f t="shared" si="7"/>
        <v>EJECUTADO</v>
      </c>
      <c r="U212" s="837">
        <f t="shared" si="64"/>
        <v>948.16</v>
      </c>
      <c r="V212" s="544"/>
      <c r="W212" s="544"/>
      <c r="X212" s="660">
        <f>SUM(U212:U220)</f>
        <v>145347.78999999998</v>
      </c>
      <c r="Y212" s="640"/>
      <c r="Z212" s="545" t="s">
        <v>278</v>
      </c>
      <c r="AA212" s="545" t="s">
        <v>178</v>
      </c>
      <c r="AB212" s="546" t="s">
        <v>187</v>
      </c>
      <c r="AC212" s="547">
        <v>2014</v>
      </c>
      <c r="AD212" s="93"/>
    </row>
    <row r="213" spans="1:31" s="94" customFormat="1" ht="50.1" customHeight="1">
      <c r="A213" s="1068"/>
      <c r="B213" s="1076"/>
      <c r="C213" s="985" t="s">
        <v>182</v>
      </c>
      <c r="D213" s="1118"/>
      <c r="E213" s="636" t="str">
        <f t="shared" si="68"/>
        <v>MANTENIEMIENTO DE VIAS DEL CANTON PUYANGO (PARROQUIAS ARENAL, CIANO, EL LIMO Y MERCADILLO)</v>
      </c>
      <c r="F213" s="831" t="s">
        <v>275</v>
      </c>
      <c r="G213" s="831" t="str">
        <f>VLOOKUP(H213,'Pob. Ext, Parroquial'!$B$9:$C$117,2,0)</f>
        <v>PUYANGO</v>
      </c>
      <c r="H213" s="831" t="s">
        <v>290</v>
      </c>
      <c r="I213" s="831" t="s">
        <v>173</v>
      </c>
      <c r="J213" s="831" t="s">
        <v>174</v>
      </c>
      <c r="K213" s="831"/>
      <c r="L213" s="537"/>
      <c r="M213" s="538"/>
      <c r="N213" s="834" t="s">
        <v>175</v>
      </c>
      <c r="O213" s="836" t="s">
        <v>176</v>
      </c>
      <c r="P213" s="836">
        <v>1.62</v>
      </c>
      <c r="Q213" s="968">
        <v>8060</v>
      </c>
      <c r="R213" s="948">
        <v>41699</v>
      </c>
      <c r="S213" s="948">
        <v>41851</v>
      </c>
      <c r="T213" s="686" t="str">
        <f t="shared" si="7"/>
        <v>EJECUTADO</v>
      </c>
      <c r="U213" s="837">
        <f t="shared" si="64"/>
        <v>13057.2</v>
      </c>
      <c r="V213" s="544"/>
      <c r="W213" s="544"/>
      <c r="X213" s="662"/>
      <c r="Y213" s="640"/>
      <c r="Z213" s="545" t="s">
        <v>278</v>
      </c>
      <c r="AA213" s="545" t="s">
        <v>178</v>
      </c>
      <c r="AB213" s="546" t="s">
        <v>187</v>
      </c>
      <c r="AC213" s="547">
        <v>2014</v>
      </c>
      <c r="AD213" s="93"/>
    </row>
    <row r="214" spans="1:31" s="94" customFormat="1" ht="50.1" customHeight="1">
      <c r="A214" s="1068"/>
      <c r="B214" s="1076"/>
      <c r="C214" s="985" t="s">
        <v>182</v>
      </c>
      <c r="D214" s="1118"/>
      <c r="E214" s="636" t="str">
        <f t="shared" si="68"/>
        <v>MANTENIEMIENTO DE VIAS DEL CANTON PUYANGO (PARROQUIAS ARENAL, CIANO, EL LIMO Y MERCADILLO)</v>
      </c>
      <c r="F214" s="831" t="s">
        <v>275</v>
      </c>
      <c r="G214" s="831" t="str">
        <f>VLOOKUP(H214,'Pob. Ext, Parroquial'!$B$9:$C$117,2,0)</f>
        <v>PUYANGO</v>
      </c>
      <c r="H214" s="831" t="s">
        <v>290</v>
      </c>
      <c r="I214" s="831" t="s">
        <v>173</v>
      </c>
      <c r="J214" s="831" t="s">
        <v>174</v>
      </c>
      <c r="K214" s="831"/>
      <c r="L214" s="537"/>
      <c r="M214" s="538"/>
      <c r="N214" s="834" t="s">
        <v>200</v>
      </c>
      <c r="O214" s="836" t="s">
        <v>176</v>
      </c>
      <c r="P214" s="836">
        <v>1.46</v>
      </c>
      <c r="Q214" s="968">
        <v>13498</v>
      </c>
      <c r="R214" s="948">
        <v>41699</v>
      </c>
      <c r="S214" s="948">
        <v>41851</v>
      </c>
      <c r="T214" s="686" t="str">
        <f t="shared" si="7"/>
        <v>EJECUTADO</v>
      </c>
      <c r="U214" s="837">
        <f t="shared" si="64"/>
        <v>19707.080000000002</v>
      </c>
      <c r="V214" s="544"/>
      <c r="W214" s="544"/>
      <c r="X214" s="662"/>
      <c r="Y214" s="640"/>
      <c r="Z214" s="545" t="s">
        <v>278</v>
      </c>
      <c r="AA214" s="545" t="s">
        <v>178</v>
      </c>
      <c r="AB214" s="546" t="s">
        <v>187</v>
      </c>
      <c r="AC214" s="547">
        <v>2014</v>
      </c>
      <c r="AD214" s="93"/>
    </row>
    <row r="215" spans="1:31" s="94" customFormat="1" ht="50.1" customHeight="1">
      <c r="A215" s="1068"/>
      <c r="B215" s="1076"/>
      <c r="C215" s="985" t="s">
        <v>182</v>
      </c>
      <c r="D215" s="1118"/>
      <c r="E215" s="636" t="str">
        <f t="shared" si="68"/>
        <v>MANTENIEMIENTO DE VIAS DEL CANTON PUYANGO (PARROQUIAS ARENAL, CIANO, EL LIMO Y MERCADILLO)</v>
      </c>
      <c r="F215" s="831" t="s">
        <v>275</v>
      </c>
      <c r="G215" s="831" t="str">
        <f>VLOOKUP(H215,'Pob. Ext, Parroquial'!$B$9:$C$117,2,0)</f>
        <v>PUYANGO</v>
      </c>
      <c r="H215" s="831" t="s">
        <v>290</v>
      </c>
      <c r="I215" s="831" t="s">
        <v>173</v>
      </c>
      <c r="J215" s="831" t="s">
        <v>174</v>
      </c>
      <c r="K215" s="831"/>
      <c r="L215" s="537"/>
      <c r="M215" s="538"/>
      <c r="N215" s="834" t="s">
        <v>291</v>
      </c>
      <c r="O215" s="836" t="s">
        <v>176</v>
      </c>
      <c r="P215" s="836">
        <v>1.46</v>
      </c>
      <c r="Q215" s="968">
        <v>1290</v>
      </c>
      <c r="R215" s="948">
        <v>41699</v>
      </c>
      <c r="S215" s="948">
        <v>41790</v>
      </c>
      <c r="T215" s="686" t="str">
        <f t="shared" si="7"/>
        <v>EJECUTADO</v>
      </c>
      <c r="U215" s="837">
        <f t="shared" si="64"/>
        <v>1883.4</v>
      </c>
      <c r="V215" s="544"/>
      <c r="W215" s="544"/>
      <c r="X215" s="662"/>
      <c r="Y215" s="640"/>
      <c r="Z215" s="545" t="s">
        <v>278</v>
      </c>
      <c r="AA215" s="545" t="s">
        <v>178</v>
      </c>
      <c r="AB215" s="546" t="s">
        <v>187</v>
      </c>
      <c r="AC215" s="547">
        <v>2014</v>
      </c>
      <c r="AD215" s="93"/>
    </row>
    <row r="216" spans="1:31" s="94" customFormat="1" ht="50.1" customHeight="1">
      <c r="A216" s="1068"/>
      <c r="B216" s="1076"/>
      <c r="C216" s="985" t="s">
        <v>182</v>
      </c>
      <c r="D216" s="1118"/>
      <c r="E216" s="636" t="str">
        <f t="shared" si="68"/>
        <v>MANTENIEMIENTO DE VIAS DEL CANTON PUYANGO (PARROQUIAS ARENAL, CIANO, EL LIMO Y MERCADILLO)</v>
      </c>
      <c r="F216" s="831" t="s">
        <v>275</v>
      </c>
      <c r="G216" s="831" t="str">
        <f>VLOOKUP(H216,'Pob. Ext, Parroquial'!$B$9:$C$117,2,0)</f>
        <v>PUYANGO</v>
      </c>
      <c r="H216" s="831" t="s">
        <v>290</v>
      </c>
      <c r="I216" s="831" t="s">
        <v>173</v>
      </c>
      <c r="J216" s="831" t="s">
        <v>174</v>
      </c>
      <c r="K216" s="831"/>
      <c r="L216" s="537"/>
      <c r="M216" s="538"/>
      <c r="N216" s="834" t="s">
        <v>292</v>
      </c>
      <c r="O216" s="836" t="s">
        <v>181</v>
      </c>
      <c r="P216" s="836">
        <v>0.3</v>
      </c>
      <c r="Q216" s="968">
        <v>28252</v>
      </c>
      <c r="R216" s="948">
        <v>41699</v>
      </c>
      <c r="S216" s="948">
        <v>41851</v>
      </c>
      <c r="T216" s="686" t="str">
        <f t="shared" si="7"/>
        <v>EJECUTADO</v>
      </c>
      <c r="U216" s="837">
        <f t="shared" si="64"/>
        <v>8475.6</v>
      </c>
      <c r="V216" s="544"/>
      <c r="W216" s="544"/>
      <c r="X216" s="662"/>
      <c r="Y216" s="640"/>
      <c r="Z216" s="545" t="s">
        <v>278</v>
      </c>
      <c r="AA216" s="545" t="s">
        <v>178</v>
      </c>
      <c r="AB216" s="546" t="s">
        <v>187</v>
      </c>
      <c r="AC216" s="547">
        <v>2014</v>
      </c>
      <c r="AD216" s="93"/>
    </row>
    <row r="217" spans="1:31" s="94" customFormat="1" ht="50.1" customHeight="1">
      <c r="A217" s="1068"/>
      <c r="B217" s="1076"/>
      <c r="C217" s="985" t="s">
        <v>182</v>
      </c>
      <c r="D217" s="1118"/>
      <c r="E217" s="636" t="str">
        <f t="shared" si="68"/>
        <v>MANTENIEMIENTO DE VIAS DEL CANTON PUYANGO (PARROQUIAS ARENAL, CIANO, EL LIMO Y MERCADILLO)</v>
      </c>
      <c r="F217" s="831" t="s">
        <v>275</v>
      </c>
      <c r="G217" s="831" t="str">
        <f>VLOOKUP(H217,'Pob. Ext, Parroquial'!$B$9:$C$117,2,0)</f>
        <v>PUYANGO</v>
      </c>
      <c r="H217" s="831" t="s">
        <v>290</v>
      </c>
      <c r="I217" s="831" t="s">
        <v>173</v>
      </c>
      <c r="J217" s="831" t="s">
        <v>174</v>
      </c>
      <c r="K217" s="831"/>
      <c r="L217" s="537"/>
      <c r="M217" s="538"/>
      <c r="N217" s="834" t="s">
        <v>180</v>
      </c>
      <c r="O217" s="836" t="s">
        <v>181</v>
      </c>
      <c r="P217" s="836">
        <v>0.3</v>
      </c>
      <c r="Q217" s="968">
        <v>37740.5</v>
      </c>
      <c r="R217" s="948">
        <v>41699</v>
      </c>
      <c r="S217" s="948">
        <v>41851</v>
      </c>
      <c r="T217" s="686" t="str">
        <f t="shared" si="7"/>
        <v>EJECUTADO</v>
      </c>
      <c r="U217" s="837">
        <f t="shared" si="64"/>
        <v>11322.15</v>
      </c>
      <c r="V217" s="544"/>
      <c r="W217" s="544"/>
      <c r="X217" s="662"/>
      <c r="Y217" s="640"/>
      <c r="Z217" s="545" t="s">
        <v>278</v>
      </c>
      <c r="AA217" s="545" t="s">
        <v>178</v>
      </c>
      <c r="AB217" s="546" t="s">
        <v>187</v>
      </c>
      <c r="AC217" s="547">
        <v>2014</v>
      </c>
      <c r="AD217" s="93"/>
    </row>
    <row r="218" spans="1:31" s="94" customFormat="1" ht="50.1" customHeight="1">
      <c r="A218" s="1068"/>
      <c r="B218" s="1076"/>
      <c r="C218" s="985" t="s">
        <v>182</v>
      </c>
      <c r="D218" s="1118"/>
      <c r="E218" s="636" t="str">
        <f t="shared" si="68"/>
        <v>MANTENIEMIENTO DE VIAS DEL CANTON PUYANGO (PARROQUIAS ARENAL, CIANO, EL LIMO Y MERCADILLO)</v>
      </c>
      <c r="F218" s="831" t="s">
        <v>275</v>
      </c>
      <c r="G218" s="831" t="str">
        <f>VLOOKUP(H218,'Pob. Ext, Parroquial'!$B$9:$C$117,2,0)</f>
        <v>PUYANGO</v>
      </c>
      <c r="H218" s="831" t="s">
        <v>290</v>
      </c>
      <c r="I218" s="831" t="s">
        <v>173</v>
      </c>
      <c r="J218" s="831" t="s">
        <v>174</v>
      </c>
      <c r="K218" s="831"/>
      <c r="L218" s="537">
        <f t="shared" ref="L218:L219" si="72">ROUNDUP(Q218/5.5/1000,2)</f>
        <v>107.37</v>
      </c>
      <c r="M218" s="538"/>
      <c r="N218" s="834" t="s">
        <v>185</v>
      </c>
      <c r="O218" s="836" t="s">
        <v>184</v>
      </c>
      <c r="P218" s="836">
        <v>0.08</v>
      </c>
      <c r="Q218" s="968">
        <v>590500</v>
      </c>
      <c r="R218" s="948">
        <v>41699</v>
      </c>
      <c r="S218" s="948">
        <v>41851</v>
      </c>
      <c r="T218" s="686" t="str">
        <f t="shared" si="7"/>
        <v>EJECUTADO</v>
      </c>
      <c r="U218" s="837">
        <f t="shared" si="64"/>
        <v>47240</v>
      </c>
      <c r="V218" s="544"/>
      <c r="W218" s="544"/>
      <c r="X218" s="662"/>
      <c r="Y218" s="640"/>
      <c r="Z218" s="545" t="s">
        <v>278</v>
      </c>
      <c r="AA218" s="545" t="s">
        <v>178</v>
      </c>
      <c r="AB218" s="546" t="s">
        <v>187</v>
      </c>
      <c r="AC218" s="547">
        <v>2014</v>
      </c>
      <c r="AD218" s="93"/>
    </row>
    <row r="219" spans="1:31" s="94" customFormat="1" ht="50.1" customHeight="1">
      <c r="A219" s="1068"/>
      <c r="B219" s="1076"/>
      <c r="C219" s="985" t="s">
        <v>182</v>
      </c>
      <c r="D219" s="1118"/>
      <c r="E219" s="636" t="str">
        <f t="shared" si="68"/>
        <v>MANTENIEMIENTO DE VIAS DEL CANTON PUYANGO (PARROQUIAS ARENAL, CIANO, EL LIMO Y MERCADILLO)</v>
      </c>
      <c r="F219" s="831" t="s">
        <v>275</v>
      </c>
      <c r="G219" s="831" t="str">
        <f>VLOOKUP(H219,'Pob. Ext, Parroquial'!$B$9:$C$117,2,0)</f>
        <v>PUYANGO</v>
      </c>
      <c r="H219" s="831" t="s">
        <v>290</v>
      </c>
      <c r="I219" s="831" t="s">
        <v>173</v>
      </c>
      <c r="J219" s="831" t="s">
        <v>174</v>
      </c>
      <c r="K219" s="831"/>
      <c r="L219" s="537">
        <f t="shared" si="72"/>
        <v>4.0999999999999996</v>
      </c>
      <c r="M219" s="538"/>
      <c r="N219" s="834" t="s">
        <v>282</v>
      </c>
      <c r="O219" s="836" t="s">
        <v>184</v>
      </c>
      <c r="P219" s="836">
        <v>0.35</v>
      </c>
      <c r="Q219" s="968">
        <v>22500</v>
      </c>
      <c r="R219" s="948">
        <v>41699</v>
      </c>
      <c r="S219" s="948">
        <v>41759</v>
      </c>
      <c r="T219" s="686" t="str">
        <f t="shared" si="7"/>
        <v>EJECUTADO</v>
      </c>
      <c r="U219" s="837">
        <f t="shared" si="64"/>
        <v>7875</v>
      </c>
      <c r="V219" s="544"/>
      <c r="W219" s="544"/>
      <c r="X219" s="662"/>
      <c r="Y219" s="640"/>
      <c r="Z219" s="545" t="s">
        <v>278</v>
      </c>
      <c r="AA219" s="545" t="s">
        <v>178</v>
      </c>
      <c r="AB219" s="546" t="s">
        <v>187</v>
      </c>
      <c r="AC219" s="547">
        <v>2014</v>
      </c>
      <c r="AD219" s="93"/>
    </row>
    <row r="220" spans="1:31" s="94" customFormat="1" ht="50.1" customHeight="1">
      <c r="A220" s="1068"/>
      <c r="B220" s="1076"/>
      <c r="C220" s="985" t="s">
        <v>182</v>
      </c>
      <c r="D220" s="1120"/>
      <c r="E220" s="636" t="str">
        <f t="shared" si="68"/>
        <v>MANTENIEMIENTO DE VIAS DEL CANTON PUYANGO (PARROQUIAS ARENAL, CIANO, EL LIMO Y MERCADILLO)</v>
      </c>
      <c r="F220" s="831" t="s">
        <v>275</v>
      </c>
      <c r="G220" s="831" t="str">
        <f>VLOOKUP(H220,'Pob. Ext, Parroquial'!$B$9:$C$117,2,0)</f>
        <v>PUYANGO</v>
      </c>
      <c r="H220" s="831" t="s">
        <v>290</v>
      </c>
      <c r="I220" s="831" t="s">
        <v>173</v>
      </c>
      <c r="J220" s="831" t="s">
        <v>174</v>
      </c>
      <c r="K220" s="831"/>
      <c r="L220" s="537">
        <f>+ROUND(Q220/5500/0.2,2)</f>
        <v>5.35</v>
      </c>
      <c r="M220" s="538"/>
      <c r="N220" s="834" t="s">
        <v>229</v>
      </c>
      <c r="O220" s="836" t="s">
        <v>176</v>
      </c>
      <c r="P220" s="836">
        <v>5.92</v>
      </c>
      <c r="Q220" s="968">
        <v>5885</v>
      </c>
      <c r="R220" s="948">
        <v>41699</v>
      </c>
      <c r="S220" s="948">
        <v>41851</v>
      </c>
      <c r="T220" s="686" t="str">
        <f t="shared" si="7"/>
        <v>EJECUTADO</v>
      </c>
      <c r="U220" s="837">
        <f t="shared" si="64"/>
        <v>34839.199999999997</v>
      </c>
      <c r="V220" s="544"/>
      <c r="W220" s="544"/>
      <c r="X220" s="664"/>
      <c r="Y220" s="640"/>
      <c r="Z220" s="545" t="s">
        <v>278</v>
      </c>
      <c r="AA220" s="545" t="s">
        <v>178</v>
      </c>
      <c r="AB220" s="546" t="s">
        <v>187</v>
      </c>
      <c r="AC220" s="547">
        <v>2014</v>
      </c>
      <c r="AD220" s="93"/>
    </row>
    <row r="221" spans="1:31" s="94" customFormat="1" ht="50.1" customHeight="1">
      <c r="A221" s="1068" t="s">
        <v>293</v>
      </c>
      <c r="B221" s="1076" t="s">
        <v>187</v>
      </c>
      <c r="C221" s="927" t="s">
        <v>1492</v>
      </c>
      <c r="D221" s="1117" t="s">
        <v>294</v>
      </c>
      <c r="E221" s="636" t="str">
        <f t="shared" si="13"/>
        <v>REHABILITACION DE LA VIA Y CELICA - POZUL - PINDAL
(CONVENIO GPL - VIALSUR.EP RECURSOS)</v>
      </c>
      <c r="F221" s="831" t="s">
        <v>275</v>
      </c>
      <c r="G221" s="831" t="str">
        <f>VLOOKUP(H221,'Pob. Ext, Parroquial'!$B$9:$C$117,2,0)</f>
        <v>PINDAL</v>
      </c>
      <c r="H221" s="831" t="s">
        <v>313</v>
      </c>
      <c r="I221" s="831" t="s">
        <v>265</v>
      </c>
      <c r="J221" s="831" t="s">
        <v>174</v>
      </c>
      <c r="K221" s="831">
        <v>26</v>
      </c>
      <c r="L221" s="537">
        <f>+ROUND(Q221/0.15/7200,2)</f>
        <v>1.02</v>
      </c>
      <c r="M221" s="538">
        <f>IF(K221&gt;0,VLOOKUP(H221,'[5]Pob. Ext, Parroquial'!$B$8:$F$117,4,FALSE),0)</f>
        <v>2919</v>
      </c>
      <c r="N221" s="834" t="s">
        <v>296</v>
      </c>
      <c r="O221" s="836" t="s">
        <v>176</v>
      </c>
      <c r="P221" s="836">
        <v>19.149999999999999</v>
      </c>
      <c r="Q221" s="968">
        <v>1100</v>
      </c>
      <c r="R221" s="948">
        <v>41673</v>
      </c>
      <c r="S221" s="948">
        <v>41851</v>
      </c>
      <c r="T221" s="686" t="str">
        <f t="shared" si="7"/>
        <v>EJECUTADO</v>
      </c>
      <c r="U221" s="837">
        <f t="shared" si="64"/>
        <v>21065</v>
      </c>
      <c r="V221" s="544"/>
      <c r="W221" s="544"/>
      <c r="X221" s="660">
        <f>SUM(U221:U226)</f>
        <v>883751.8</v>
      </c>
      <c r="Y221" s="640"/>
      <c r="Z221" s="545" t="s">
        <v>278</v>
      </c>
      <c r="AA221" s="545" t="s">
        <v>178</v>
      </c>
      <c r="AB221" s="546" t="s">
        <v>187</v>
      </c>
      <c r="AC221" s="547">
        <v>2014</v>
      </c>
      <c r="AD221" s="93"/>
    </row>
    <row r="222" spans="1:31" s="94" customFormat="1" ht="50.1" customHeight="1">
      <c r="A222" s="1068"/>
      <c r="B222" s="1076"/>
      <c r="C222" s="927" t="s">
        <v>1492</v>
      </c>
      <c r="D222" s="1118"/>
      <c r="E222" s="636" t="str">
        <f t="shared" si="68"/>
        <v>REHABILITACION DE LA VIA Y CELICA - POZUL - PINDAL
(CONVENIO GPL - VIALSUR.EP RECURSOS)</v>
      </c>
      <c r="F222" s="831" t="s">
        <v>275</v>
      </c>
      <c r="G222" s="831" t="str">
        <f>VLOOKUP(H222,'Pob. Ext, Parroquial'!$B$9:$C$117,2,0)</f>
        <v>PINDAL</v>
      </c>
      <c r="H222" s="831" t="s">
        <v>313</v>
      </c>
      <c r="I222" s="831" t="s">
        <v>265</v>
      </c>
      <c r="J222" s="831" t="s">
        <v>174</v>
      </c>
      <c r="K222" s="831"/>
      <c r="L222" s="537"/>
      <c r="M222" s="538">
        <f>IF(K222&gt;0,VLOOKUP(H222,'[5]Pob. Ext, Parroquial'!$B$8:$F$117,4,FALSE),0)</f>
        <v>0</v>
      </c>
      <c r="N222" s="834" t="s">
        <v>298</v>
      </c>
      <c r="O222" s="836" t="s">
        <v>299</v>
      </c>
      <c r="P222" s="836">
        <v>0.98</v>
      </c>
      <c r="Q222" s="968">
        <v>59500</v>
      </c>
      <c r="R222" s="948">
        <v>41673</v>
      </c>
      <c r="S222" s="948">
        <v>41729</v>
      </c>
      <c r="T222" s="686" t="str">
        <f t="shared" si="7"/>
        <v>EJECUTADO</v>
      </c>
      <c r="U222" s="837">
        <f t="shared" si="64"/>
        <v>58310</v>
      </c>
      <c r="V222" s="544"/>
      <c r="W222" s="544"/>
      <c r="X222" s="662"/>
      <c r="Y222" s="640"/>
      <c r="Z222" s="545" t="s">
        <v>278</v>
      </c>
      <c r="AA222" s="545" t="s">
        <v>178</v>
      </c>
      <c r="AB222" s="546" t="s">
        <v>187</v>
      </c>
      <c r="AC222" s="547">
        <v>2014</v>
      </c>
      <c r="AD222" s="93"/>
    </row>
    <row r="223" spans="1:31" s="94" customFormat="1" ht="50.1" customHeight="1">
      <c r="A223" s="1068"/>
      <c r="B223" s="1076"/>
      <c r="C223" s="927" t="s">
        <v>1492</v>
      </c>
      <c r="D223" s="1118"/>
      <c r="E223" s="636" t="str">
        <f t="shared" si="68"/>
        <v>REHABILITACION DE LA VIA Y CELICA - POZUL - PINDAL
(CONVENIO GPL - VIALSUR.EP RECURSOS)</v>
      </c>
      <c r="F223" s="831" t="s">
        <v>275</v>
      </c>
      <c r="G223" s="831" t="str">
        <f>VLOOKUP(H223,'Pob. Ext, Parroquial'!$B$9:$C$117,2,0)</f>
        <v>PINDAL</v>
      </c>
      <c r="H223" s="831" t="s">
        <v>313</v>
      </c>
      <c r="I223" s="831" t="s">
        <v>265</v>
      </c>
      <c r="J223" s="831" t="s">
        <v>174</v>
      </c>
      <c r="K223" s="831"/>
      <c r="L223" s="537"/>
      <c r="M223" s="538">
        <f>IF(K223&gt;0,VLOOKUP(H223,'[5]Pob. Ext, Parroquial'!$B$8:$F$117,4,FALSE),0)</f>
        <v>0</v>
      </c>
      <c r="N223" s="834" t="s">
        <v>300</v>
      </c>
      <c r="O223" s="836" t="s">
        <v>184</v>
      </c>
      <c r="P223" s="836">
        <v>3.17</v>
      </c>
      <c r="Q223" s="968">
        <v>25880</v>
      </c>
      <c r="R223" s="948">
        <v>41673</v>
      </c>
      <c r="S223" s="948">
        <v>41851</v>
      </c>
      <c r="T223" s="686" t="str">
        <f t="shared" si="7"/>
        <v>EJECUTADO</v>
      </c>
      <c r="U223" s="837">
        <f t="shared" si="64"/>
        <v>82039.600000000006</v>
      </c>
      <c r="V223" s="544"/>
      <c r="W223" s="544"/>
      <c r="X223" s="662"/>
      <c r="Y223" s="640"/>
      <c r="Z223" s="545" t="s">
        <v>278</v>
      </c>
      <c r="AA223" s="545" t="s">
        <v>178</v>
      </c>
      <c r="AB223" s="546" t="s">
        <v>187</v>
      </c>
      <c r="AC223" s="547">
        <v>2014</v>
      </c>
      <c r="AD223" s="93"/>
    </row>
    <row r="224" spans="1:31" s="94" customFormat="1" ht="50.1" customHeight="1">
      <c r="A224" s="1068"/>
      <c r="B224" s="1076"/>
      <c r="C224" s="927" t="s">
        <v>1492</v>
      </c>
      <c r="D224" s="1118"/>
      <c r="E224" s="636" t="str">
        <f t="shared" si="68"/>
        <v>REHABILITACION DE LA VIA Y CELICA - POZUL - PINDAL
(CONVENIO GPL - VIALSUR.EP RECURSOS)</v>
      </c>
      <c r="F224" s="831" t="s">
        <v>275</v>
      </c>
      <c r="G224" s="831" t="str">
        <f>VLOOKUP(H224,'Pob. Ext, Parroquial'!$B$9:$C$117,2,0)</f>
        <v>PINDAL</v>
      </c>
      <c r="H224" s="831" t="s">
        <v>313</v>
      </c>
      <c r="I224" s="831" t="s">
        <v>265</v>
      </c>
      <c r="J224" s="831" t="s">
        <v>174</v>
      </c>
      <c r="K224" s="831"/>
      <c r="L224" s="537">
        <v>27</v>
      </c>
      <c r="M224" s="538">
        <f>IF(K224&gt;0,VLOOKUP(H224,'[5]Pob. Ext, Parroquial'!$B$8:$F$117,4,FALSE),0)</f>
        <v>0</v>
      </c>
      <c r="N224" s="834" t="s">
        <v>301</v>
      </c>
      <c r="O224" s="836" t="s">
        <v>184</v>
      </c>
      <c r="P224" s="836">
        <v>2.8</v>
      </c>
      <c r="Q224" s="968">
        <v>173874</v>
      </c>
      <c r="R224" s="948">
        <v>41699</v>
      </c>
      <c r="S224" s="948">
        <v>41851</v>
      </c>
      <c r="T224" s="686" t="str">
        <f t="shared" si="7"/>
        <v>EJECUTADO</v>
      </c>
      <c r="U224" s="837">
        <f t="shared" si="64"/>
        <v>486847.2</v>
      </c>
      <c r="V224" s="544"/>
      <c r="W224" s="544"/>
      <c r="X224" s="662"/>
      <c r="Y224" s="640"/>
      <c r="Z224" s="545" t="s">
        <v>278</v>
      </c>
      <c r="AA224" s="545" t="s">
        <v>178</v>
      </c>
      <c r="AB224" s="546" t="s">
        <v>187</v>
      </c>
      <c r="AC224" s="547">
        <v>2014</v>
      </c>
      <c r="AD224" s="93"/>
    </row>
    <row r="225" spans="1:31" s="94" customFormat="1" ht="50.1" customHeight="1">
      <c r="A225" s="1068"/>
      <c r="B225" s="1076"/>
      <c r="C225" s="927" t="s">
        <v>1492</v>
      </c>
      <c r="D225" s="1118"/>
      <c r="E225" s="636" t="str">
        <f t="shared" si="68"/>
        <v>REHABILITACION DE LA VIA Y CELICA - POZUL - PINDAL
(CONVENIO GPL - VIALSUR.EP RECURSOS)</v>
      </c>
      <c r="F225" s="831" t="s">
        <v>275</v>
      </c>
      <c r="G225" s="831" t="str">
        <f>VLOOKUP(H225,'Pob. Ext, Parroquial'!$B$9:$C$117,2,0)</f>
        <v>PINDAL</v>
      </c>
      <c r="H225" s="831" t="s">
        <v>313</v>
      </c>
      <c r="I225" s="831" t="s">
        <v>265</v>
      </c>
      <c r="J225" s="831" t="s">
        <v>174</v>
      </c>
      <c r="K225" s="831"/>
      <c r="L225" s="537">
        <f>ROUNDUP(Q225/5.5/1000,2)</f>
        <v>8.59</v>
      </c>
      <c r="M225" s="538">
        <f>IF(K225&gt;0,VLOOKUP(H225,'[5]Pob. Ext, Parroquial'!$B$8:$F$117,4,FALSE),0)</f>
        <v>0</v>
      </c>
      <c r="N225" s="834" t="s">
        <v>302</v>
      </c>
      <c r="O225" s="836" t="s">
        <v>184</v>
      </c>
      <c r="P225" s="836">
        <v>0.35</v>
      </c>
      <c r="Q225" s="968">
        <v>47200</v>
      </c>
      <c r="R225" s="948">
        <v>41644</v>
      </c>
      <c r="S225" s="948">
        <v>41851</v>
      </c>
      <c r="T225" s="686" t="str">
        <f t="shared" si="7"/>
        <v>EJECUTADO</v>
      </c>
      <c r="U225" s="837">
        <f t="shared" si="64"/>
        <v>16520</v>
      </c>
      <c r="V225" s="544"/>
      <c r="W225" s="544"/>
      <c r="X225" s="662"/>
      <c r="Y225" s="640"/>
      <c r="Z225" s="545" t="s">
        <v>278</v>
      </c>
      <c r="AA225" s="545" t="s">
        <v>178</v>
      </c>
      <c r="AB225" s="546" t="s">
        <v>187</v>
      </c>
      <c r="AC225" s="547">
        <v>2014</v>
      </c>
      <c r="AD225" s="93"/>
    </row>
    <row r="226" spans="1:31" s="94" customFormat="1" ht="50.1" customHeight="1">
      <c r="A226" s="1068"/>
      <c r="B226" s="1076"/>
      <c r="C226" s="927" t="s">
        <v>1492</v>
      </c>
      <c r="D226" s="1120"/>
      <c r="E226" s="636" t="str">
        <f t="shared" si="68"/>
        <v>REHABILITACION DE LA VIA Y CELICA - POZUL - PINDAL
(CONVENIO GPL - VIALSUR.EP RECURSOS)</v>
      </c>
      <c r="F226" s="831" t="s">
        <v>275</v>
      </c>
      <c r="G226" s="831" t="str">
        <f>VLOOKUP(H226,'Pob. Ext, Parroquial'!$B$9:$C$117,2,0)</f>
        <v>CELICA</v>
      </c>
      <c r="H226" s="831" t="s">
        <v>295</v>
      </c>
      <c r="I226" s="831" t="s">
        <v>265</v>
      </c>
      <c r="J226" s="831" t="s">
        <v>174</v>
      </c>
      <c r="K226" s="831"/>
      <c r="L226" s="537"/>
      <c r="M226" s="538">
        <f>IF(K226&gt;0,VLOOKUP(H226,'[5]Pob. Ext, Parroquial'!$B$8:$F$117,4,FALSE),0)</f>
        <v>0</v>
      </c>
      <c r="N226" s="834" t="s">
        <v>303</v>
      </c>
      <c r="O226" s="836" t="s">
        <v>181</v>
      </c>
      <c r="P226" s="836">
        <v>0.3</v>
      </c>
      <c r="Q226" s="968">
        <v>729900</v>
      </c>
      <c r="R226" s="948">
        <v>41673</v>
      </c>
      <c r="S226" s="948">
        <v>41851</v>
      </c>
      <c r="T226" s="686" t="str">
        <f t="shared" si="7"/>
        <v>EJECUTADO</v>
      </c>
      <c r="U226" s="837">
        <f t="shared" si="64"/>
        <v>218970</v>
      </c>
      <c r="V226" s="544"/>
      <c r="W226" s="544"/>
      <c r="X226" s="664"/>
      <c r="Y226" s="640"/>
      <c r="Z226" s="545" t="s">
        <v>278</v>
      </c>
      <c r="AA226" s="545" t="s">
        <v>178</v>
      </c>
      <c r="AB226" s="546" t="s">
        <v>187</v>
      </c>
      <c r="AC226" s="547">
        <v>2014</v>
      </c>
      <c r="AD226" s="95"/>
      <c r="AE226" s="93"/>
    </row>
    <row r="227" spans="1:31" s="94" customFormat="1" ht="50.1" customHeight="1">
      <c r="A227" s="1068" t="s">
        <v>304</v>
      </c>
      <c r="B227" s="1076" t="str">
        <f>+T227</f>
        <v>EJECUTADO</v>
      </c>
      <c r="C227" s="927" t="s">
        <v>1492</v>
      </c>
      <c r="D227" s="1117" t="s">
        <v>305</v>
      </c>
      <c r="E227" s="636" t="str">
        <f t="shared" si="13"/>
        <v>REHABILITACION DE LA VÍA MACARÁ - SAUCILLO
(CONVENIO GPL - VIALSUR.EP RECURSOS)</v>
      </c>
      <c r="F227" s="831" t="s">
        <v>275</v>
      </c>
      <c r="G227" s="831" t="str">
        <f>VLOOKUP(H227,'Pob. Ext, Parroquial'!$B$9:$C$117,2,0)</f>
        <v>MACARA</v>
      </c>
      <c r="H227" s="831" t="s">
        <v>306</v>
      </c>
      <c r="I227" s="831" t="s">
        <v>265</v>
      </c>
      <c r="J227" s="831" t="s">
        <v>174</v>
      </c>
      <c r="K227" s="831">
        <v>42</v>
      </c>
      <c r="L227" s="537">
        <f>+ROUND(Q227/0.2/7200,2)</f>
        <v>0.51</v>
      </c>
      <c r="M227" s="538">
        <f>IF(K227&gt;0,VLOOKUP(H227,'[5]Pob. Ext, Parroquial'!$B$8:$F$117,4,FALSE),0)</f>
        <v>6573</v>
      </c>
      <c r="N227" s="834" t="s">
        <v>296</v>
      </c>
      <c r="O227" s="836" t="s">
        <v>176</v>
      </c>
      <c r="P227" s="836">
        <v>19.149999999999999</v>
      </c>
      <c r="Q227" s="968">
        <v>732.5</v>
      </c>
      <c r="R227" s="948">
        <v>41699</v>
      </c>
      <c r="S227" s="948">
        <v>41851</v>
      </c>
      <c r="T227" s="686" t="str">
        <f t="shared" ref="T227:T338" si="73">IF(S227&lt;$G$5,"EJECUTADO","EN EJECUCION")</f>
        <v>EJECUTADO</v>
      </c>
      <c r="U227" s="837">
        <f t="shared" si="64"/>
        <v>14027.38</v>
      </c>
      <c r="V227" s="544"/>
      <c r="W227" s="544"/>
      <c r="X227" s="660">
        <f>SUM(U227:U232)</f>
        <v>590470.46</v>
      </c>
      <c r="Y227" s="640"/>
      <c r="Z227" s="545" t="s">
        <v>278</v>
      </c>
      <c r="AA227" s="545" t="s">
        <v>178</v>
      </c>
      <c r="AB227" s="546" t="s">
        <v>187</v>
      </c>
      <c r="AC227" s="547">
        <v>2014</v>
      </c>
      <c r="AD227" s="95"/>
      <c r="AE227" s="93"/>
    </row>
    <row r="228" spans="1:31" s="94" customFormat="1" ht="50.1" customHeight="1">
      <c r="A228" s="1068"/>
      <c r="B228" s="1076"/>
      <c r="C228" s="927" t="s">
        <v>1492</v>
      </c>
      <c r="D228" s="1118"/>
      <c r="E228" s="655" t="str">
        <f t="shared" ref="E228:E242" si="74">+E227</f>
        <v>REHABILITACION DE LA VÍA MACARÁ - SAUCILLO
(CONVENIO GPL - VIALSUR.EP RECURSOS)</v>
      </c>
      <c r="F228" s="831" t="s">
        <v>275</v>
      </c>
      <c r="G228" s="831" t="str">
        <f>VLOOKUP(H228,'Pob. Ext, Parroquial'!$B$9:$C$117,2,0)</f>
        <v>MACARA</v>
      </c>
      <c r="H228" s="831" t="s">
        <v>306</v>
      </c>
      <c r="I228" s="831" t="s">
        <v>265</v>
      </c>
      <c r="J228" s="831" t="s">
        <v>174</v>
      </c>
      <c r="K228" s="831"/>
      <c r="L228" s="537"/>
      <c r="M228" s="538">
        <f>IF(K228&gt;0,VLOOKUP(H228,'[5]Pob. Ext, Parroquial'!$B$8:$F$117,4,FALSE),0)</f>
        <v>0</v>
      </c>
      <c r="N228" s="834" t="s">
        <v>307</v>
      </c>
      <c r="O228" s="836" t="s">
        <v>308</v>
      </c>
      <c r="P228" s="836">
        <v>0.98</v>
      </c>
      <c r="Q228" s="968">
        <v>75582</v>
      </c>
      <c r="R228" s="948">
        <v>41699</v>
      </c>
      <c r="S228" s="948">
        <v>41851</v>
      </c>
      <c r="T228" s="686" t="str">
        <f t="shared" si="73"/>
        <v>EJECUTADO</v>
      </c>
      <c r="U228" s="837">
        <f t="shared" si="64"/>
        <v>74070.36</v>
      </c>
      <c r="V228" s="544"/>
      <c r="W228" s="544"/>
      <c r="X228" s="662"/>
      <c r="Y228" s="640"/>
      <c r="Z228" s="545" t="s">
        <v>278</v>
      </c>
      <c r="AA228" s="545" t="s">
        <v>178</v>
      </c>
      <c r="AB228" s="546" t="s">
        <v>187</v>
      </c>
      <c r="AC228" s="547">
        <v>2014</v>
      </c>
      <c r="AD228" s="95"/>
      <c r="AE228" s="93"/>
    </row>
    <row r="229" spans="1:31" s="94" customFormat="1" ht="50.1" customHeight="1">
      <c r="A229" s="1068"/>
      <c r="B229" s="1076"/>
      <c r="C229" s="927" t="s">
        <v>1492</v>
      </c>
      <c r="D229" s="1118"/>
      <c r="E229" s="655" t="str">
        <f t="shared" si="74"/>
        <v>REHABILITACION DE LA VÍA MACARÁ - SAUCILLO
(CONVENIO GPL - VIALSUR.EP RECURSOS)</v>
      </c>
      <c r="F229" s="831" t="s">
        <v>275</v>
      </c>
      <c r="G229" s="831" t="str">
        <f>VLOOKUP(H229,'Pob. Ext, Parroquial'!$B$9:$C$117,2,0)</f>
        <v>MACARA</v>
      </c>
      <c r="H229" s="831" t="s">
        <v>306</v>
      </c>
      <c r="I229" s="831" t="s">
        <v>265</v>
      </c>
      <c r="J229" s="831" t="s">
        <v>174</v>
      </c>
      <c r="K229" s="831"/>
      <c r="L229" s="537">
        <v>42</v>
      </c>
      <c r="M229" s="538">
        <f>IF(K229&gt;0,VLOOKUP(H229,'[5]Pob. Ext, Parroquial'!$B$8:$F$117,4,FALSE),0)</f>
        <v>0</v>
      </c>
      <c r="N229" s="834" t="s">
        <v>309</v>
      </c>
      <c r="O229" s="836" t="s">
        <v>184</v>
      </c>
      <c r="P229" s="836">
        <v>3.48</v>
      </c>
      <c r="Q229" s="968">
        <v>8314</v>
      </c>
      <c r="R229" s="948">
        <v>41699</v>
      </c>
      <c r="S229" s="948">
        <v>41851</v>
      </c>
      <c r="T229" s="686" t="str">
        <f t="shared" si="73"/>
        <v>EJECUTADO</v>
      </c>
      <c r="U229" s="837">
        <f t="shared" si="64"/>
        <v>28932.720000000001</v>
      </c>
      <c r="V229" s="544"/>
      <c r="W229" s="544"/>
      <c r="X229" s="662"/>
      <c r="Y229" s="640"/>
      <c r="Z229" s="545" t="s">
        <v>278</v>
      </c>
      <c r="AA229" s="545" t="s">
        <v>178</v>
      </c>
      <c r="AB229" s="546" t="s">
        <v>187</v>
      </c>
      <c r="AC229" s="547">
        <v>2014</v>
      </c>
      <c r="AD229" s="95"/>
      <c r="AE229" s="93"/>
    </row>
    <row r="230" spans="1:31" s="94" customFormat="1" ht="50.1" customHeight="1">
      <c r="A230" s="1068"/>
      <c r="B230" s="1076"/>
      <c r="C230" s="927" t="s">
        <v>1492</v>
      </c>
      <c r="D230" s="1118"/>
      <c r="E230" s="655" t="str">
        <f t="shared" si="74"/>
        <v>REHABILITACION DE LA VÍA MACARÁ - SAUCILLO
(CONVENIO GPL - VIALSUR.EP RECURSOS)</v>
      </c>
      <c r="F230" s="831" t="s">
        <v>275</v>
      </c>
      <c r="G230" s="831" t="str">
        <f>VLOOKUP(H230,'Pob. Ext, Parroquial'!$B$9:$C$117,2,0)</f>
        <v>MACARA</v>
      </c>
      <c r="H230" s="831" t="s">
        <v>306</v>
      </c>
      <c r="I230" s="831" t="s">
        <v>265</v>
      </c>
      <c r="J230" s="831" t="s">
        <v>174</v>
      </c>
      <c r="K230" s="831"/>
      <c r="L230" s="537"/>
      <c r="M230" s="538">
        <f>IF(K230&gt;0,VLOOKUP(H230,'[5]Pob. Ext, Parroquial'!$B$8:$F$117,4,FALSE),0)</f>
        <v>0</v>
      </c>
      <c r="N230" s="834" t="s">
        <v>310</v>
      </c>
      <c r="O230" s="836" t="s">
        <v>181</v>
      </c>
      <c r="P230" s="836">
        <v>0.3</v>
      </c>
      <c r="Q230" s="968">
        <v>295300</v>
      </c>
      <c r="R230" s="948">
        <v>41699</v>
      </c>
      <c r="S230" s="948">
        <v>41851</v>
      </c>
      <c r="T230" s="686" t="str">
        <f t="shared" si="73"/>
        <v>EJECUTADO</v>
      </c>
      <c r="U230" s="837">
        <f t="shared" si="64"/>
        <v>88590</v>
      </c>
      <c r="V230" s="544"/>
      <c r="W230" s="544"/>
      <c r="X230" s="662"/>
      <c r="Y230" s="640"/>
      <c r="Z230" s="545" t="s">
        <v>278</v>
      </c>
      <c r="AA230" s="545" t="s">
        <v>178</v>
      </c>
      <c r="AB230" s="546" t="s">
        <v>187</v>
      </c>
      <c r="AC230" s="547">
        <v>2014</v>
      </c>
      <c r="AD230" s="95"/>
      <c r="AE230" s="93"/>
    </row>
    <row r="231" spans="1:31" s="94" customFormat="1" ht="50.1" customHeight="1">
      <c r="A231" s="1068"/>
      <c r="B231" s="1076"/>
      <c r="C231" s="927" t="s">
        <v>1492</v>
      </c>
      <c r="D231" s="1118"/>
      <c r="E231" s="655" t="str">
        <f t="shared" si="74"/>
        <v>REHABILITACION DE LA VÍA MACARÁ - SAUCILLO
(CONVENIO GPL - VIALSUR.EP RECURSOS)</v>
      </c>
      <c r="F231" s="831" t="s">
        <v>275</v>
      </c>
      <c r="G231" s="831" t="str">
        <f>VLOOKUP(H231,'Pob. Ext, Parroquial'!$B$9:$C$117,2,0)</f>
        <v>MACARA</v>
      </c>
      <c r="H231" s="831" t="s">
        <v>306</v>
      </c>
      <c r="I231" s="831" t="s">
        <v>265</v>
      </c>
      <c r="J231" s="831" t="s">
        <v>174</v>
      </c>
      <c r="K231" s="831"/>
      <c r="L231" s="537">
        <f>ROUNDUP(Q231/5.5/1000,2)</f>
        <v>12.91</v>
      </c>
      <c r="M231" s="538">
        <f>IF(K231&gt;0,VLOOKUP(H231,'[5]Pob. Ext, Parroquial'!$B$8:$F$117,4,FALSE),0)</f>
        <v>0</v>
      </c>
      <c r="N231" s="834" t="s">
        <v>302</v>
      </c>
      <c r="O231" s="836" t="s">
        <v>184</v>
      </c>
      <c r="P231" s="836">
        <v>0.35</v>
      </c>
      <c r="Q231" s="968">
        <v>71000</v>
      </c>
      <c r="R231" s="948">
        <v>41644</v>
      </c>
      <c r="S231" s="948">
        <v>41851</v>
      </c>
      <c r="T231" s="686" t="str">
        <f t="shared" si="73"/>
        <v>EJECUTADO</v>
      </c>
      <c r="U231" s="837">
        <f t="shared" si="64"/>
        <v>24850</v>
      </c>
      <c r="V231" s="544"/>
      <c r="W231" s="544"/>
      <c r="X231" s="662"/>
      <c r="Y231" s="640"/>
      <c r="Z231" s="545" t="s">
        <v>278</v>
      </c>
      <c r="AA231" s="545" t="s">
        <v>178</v>
      </c>
      <c r="AB231" s="546" t="s">
        <v>187</v>
      </c>
      <c r="AC231" s="547">
        <v>2014</v>
      </c>
      <c r="AD231" s="95"/>
      <c r="AE231" s="93"/>
    </row>
    <row r="232" spans="1:31" s="94" customFormat="1" ht="50.1" customHeight="1">
      <c r="A232" s="1068"/>
      <c r="B232" s="1076"/>
      <c r="C232" s="927" t="s">
        <v>1492</v>
      </c>
      <c r="D232" s="1120"/>
      <c r="E232" s="655" t="str">
        <f t="shared" si="74"/>
        <v>REHABILITACION DE LA VÍA MACARÁ - SAUCILLO
(CONVENIO GPL - VIALSUR.EP RECURSOS)</v>
      </c>
      <c r="F232" s="831" t="s">
        <v>275</v>
      </c>
      <c r="G232" s="831" t="str">
        <f>VLOOKUP(H232,'Pob. Ext, Parroquial'!$B$9:$C$117,2,0)</f>
        <v>MACARA</v>
      </c>
      <c r="H232" s="831" t="s">
        <v>306</v>
      </c>
      <c r="I232" s="831" t="s">
        <v>265</v>
      </c>
      <c r="J232" s="831" t="s">
        <v>174</v>
      </c>
      <c r="K232" s="831"/>
      <c r="L232" s="537"/>
      <c r="M232" s="538">
        <f>IF(K232&gt;0,VLOOKUP(H232,'[5]Pob. Ext, Parroquial'!$B$8:$F$117,4,FALSE),0)</f>
        <v>0</v>
      </c>
      <c r="N232" s="834" t="s">
        <v>311</v>
      </c>
      <c r="O232" s="836" t="s">
        <v>184</v>
      </c>
      <c r="P232" s="836">
        <v>4.5</v>
      </c>
      <c r="Q232" s="968">
        <v>80000</v>
      </c>
      <c r="R232" s="948">
        <v>41644</v>
      </c>
      <c r="S232" s="948">
        <v>41790</v>
      </c>
      <c r="T232" s="686" t="str">
        <f t="shared" si="73"/>
        <v>EJECUTADO</v>
      </c>
      <c r="U232" s="837">
        <f t="shared" ref="U232:U288" si="75">ROUND(P232*Q232,2)</f>
        <v>360000</v>
      </c>
      <c r="V232" s="544"/>
      <c r="W232" s="544"/>
      <c r="X232" s="664"/>
      <c r="Y232" s="640"/>
      <c r="Z232" s="545" t="s">
        <v>278</v>
      </c>
      <c r="AA232" s="545" t="s">
        <v>178</v>
      </c>
      <c r="AB232" s="546" t="s">
        <v>187</v>
      </c>
      <c r="AC232" s="547">
        <v>2014</v>
      </c>
      <c r="AD232" s="95"/>
      <c r="AE232" s="93"/>
    </row>
    <row r="233" spans="1:31" s="94" customFormat="1" ht="90" customHeight="1">
      <c r="A233" s="1068"/>
      <c r="B233" s="1076"/>
      <c r="C233" s="985" t="s">
        <v>182</v>
      </c>
      <c r="D233" s="1117" t="s">
        <v>312</v>
      </c>
      <c r="E233" s="636" t="str">
        <f t="shared" si="13"/>
        <v>CONTRATO SIE-NRO-828-VIALSUR.EP-2013 CONTRATACION DE MAQUINARIA PARA EL MANTENIMIENTO RUTINARIO DE VIAS EN LOS CANTONES (PINDAL CELICA PUYANGO MACARA Y ZAPOTILLO)</v>
      </c>
      <c r="F233" s="831" t="s">
        <v>275</v>
      </c>
      <c r="G233" s="831" t="str">
        <f>VLOOKUP(H233,'Pob. Ext, Parroquial'!$B$9:$C$117,2,0)</f>
        <v>PINDAL</v>
      </c>
      <c r="H233" s="831" t="s">
        <v>313</v>
      </c>
      <c r="I233" s="831" t="s">
        <v>270</v>
      </c>
      <c r="J233" s="831" t="s">
        <v>174</v>
      </c>
      <c r="K233" s="831">
        <v>3.1</v>
      </c>
      <c r="L233" s="537">
        <f t="shared" ref="L233:L238" si="76">ROUNDUP(Q233/5.5/1000,2)</f>
        <v>15.709999999999999</v>
      </c>
      <c r="M233" s="538">
        <f>IF(K233&gt;0,VLOOKUP(H233,'[5]Pob. Ext, Parroquial'!$B$8:$F$117,4,FALSE),0)</f>
        <v>2919</v>
      </c>
      <c r="N233" s="834" t="s">
        <v>185</v>
      </c>
      <c r="O233" s="836" t="s">
        <v>314</v>
      </c>
      <c r="P233" s="836">
        <v>0.08</v>
      </c>
      <c r="Q233" s="836">
        <v>86355</v>
      </c>
      <c r="R233" s="948">
        <v>41687</v>
      </c>
      <c r="S233" s="948">
        <v>41698</v>
      </c>
      <c r="T233" s="686" t="str">
        <f t="shared" si="73"/>
        <v>EJECUTADO</v>
      </c>
      <c r="U233" s="837">
        <f t="shared" si="75"/>
        <v>6908.4</v>
      </c>
      <c r="V233" s="544"/>
      <c r="W233" s="544"/>
      <c r="X233" s="912">
        <f t="shared" ref="X233:X238" si="77">U233+V233+W233</f>
        <v>6908.4</v>
      </c>
      <c r="Y233" s="640"/>
      <c r="Z233" s="545" t="s">
        <v>278</v>
      </c>
      <c r="AA233" s="545" t="s">
        <v>178</v>
      </c>
      <c r="AB233" s="546" t="s">
        <v>187</v>
      </c>
      <c r="AC233" s="547">
        <v>2014</v>
      </c>
      <c r="AD233" s="95"/>
      <c r="AE233" s="93"/>
    </row>
    <row r="234" spans="1:31" s="94" customFormat="1" ht="83.45" customHeight="1">
      <c r="A234" s="1068"/>
      <c r="B234" s="1076"/>
      <c r="C234" s="985" t="s">
        <v>182</v>
      </c>
      <c r="D234" s="1118"/>
      <c r="E234" s="655" t="str">
        <f t="shared" si="74"/>
        <v>CONTRATO SIE-NRO-828-VIALSUR.EP-2013 CONTRATACION DE MAQUINARIA PARA EL MANTENIMIENTO RUTINARIO DE VIAS EN LOS CANTONES (PINDAL CELICA PUYANGO MACARA Y ZAPOTILLO)</v>
      </c>
      <c r="F234" s="831" t="s">
        <v>275</v>
      </c>
      <c r="G234" s="831" t="str">
        <f>VLOOKUP(H234,'Pob. Ext, Parroquial'!$B$9:$C$117,2,0)</f>
        <v>ZAPOTILLO</v>
      </c>
      <c r="H234" s="831" t="s">
        <v>315</v>
      </c>
      <c r="I234" s="831" t="s">
        <v>270</v>
      </c>
      <c r="J234" s="831" t="s">
        <v>174</v>
      </c>
      <c r="K234" s="831">
        <v>3.1</v>
      </c>
      <c r="L234" s="537">
        <f t="shared" si="76"/>
        <v>12.89</v>
      </c>
      <c r="M234" s="538">
        <f>IF(K234&gt;0,VLOOKUP(H234,'[5]Pob. Ext, Parroquial'!$B$8:$F$117,4,FALSE),0)</f>
        <v>889</v>
      </c>
      <c r="N234" s="834" t="s">
        <v>185</v>
      </c>
      <c r="O234" s="836" t="s">
        <v>314</v>
      </c>
      <c r="P234" s="836">
        <v>0.08</v>
      </c>
      <c r="Q234" s="836">
        <v>70865</v>
      </c>
      <c r="R234" s="948">
        <v>41687</v>
      </c>
      <c r="S234" s="948">
        <v>41698</v>
      </c>
      <c r="T234" s="686" t="str">
        <f t="shared" si="73"/>
        <v>EJECUTADO</v>
      </c>
      <c r="U234" s="837">
        <f t="shared" si="75"/>
        <v>5669.2</v>
      </c>
      <c r="V234" s="544"/>
      <c r="W234" s="544"/>
      <c r="X234" s="912">
        <f t="shared" si="77"/>
        <v>5669.2</v>
      </c>
      <c r="Y234" s="640"/>
      <c r="Z234" s="545" t="s">
        <v>278</v>
      </c>
      <c r="AA234" s="545" t="s">
        <v>178</v>
      </c>
      <c r="AB234" s="546" t="s">
        <v>187</v>
      </c>
      <c r="AC234" s="547">
        <v>2014</v>
      </c>
      <c r="AD234" s="95"/>
      <c r="AE234" s="93"/>
    </row>
    <row r="235" spans="1:31" s="94" customFormat="1" ht="80.45" customHeight="1">
      <c r="A235" s="1068"/>
      <c r="B235" s="1076"/>
      <c r="C235" s="985" t="s">
        <v>182</v>
      </c>
      <c r="D235" s="1118"/>
      <c r="E235" s="655" t="str">
        <f t="shared" si="74"/>
        <v>CONTRATO SIE-NRO-828-VIALSUR.EP-2013 CONTRATACION DE MAQUINARIA PARA EL MANTENIMIENTO RUTINARIO DE VIAS EN LOS CANTONES (PINDAL CELICA PUYANGO MACARA Y ZAPOTILLO)</v>
      </c>
      <c r="F235" s="831" t="s">
        <v>275</v>
      </c>
      <c r="G235" s="831" t="str">
        <f>VLOOKUP(H235,'Pob. Ext, Parroquial'!$B$9:$C$117,2,0)</f>
        <v>ZAPOTILLO</v>
      </c>
      <c r="H235" s="831" t="s">
        <v>316</v>
      </c>
      <c r="I235" s="831" t="s">
        <v>270</v>
      </c>
      <c r="J235" s="831" t="s">
        <v>174</v>
      </c>
      <c r="K235" s="831">
        <v>3.1</v>
      </c>
      <c r="L235" s="537">
        <f t="shared" si="76"/>
        <v>19.610000000000003</v>
      </c>
      <c r="M235" s="538">
        <f>IF(K235&gt;0,VLOOKUP(H235,'[5]Pob. Ext, Parroquial'!$B$8:$F$117,4,FALSE),0)</f>
        <v>1426</v>
      </c>
      <c r="N235" s="834" t="s">
        <v>185</v>
      </c>
      <c r="O235" s="836" t="s">
        <v>314</v>
      </c>
      <c r="P235" s="836">
        <v>0.08</v>
      </c>
      <c r="Q235" s="836">
        <v>107820</v>
      </c>
      <c r="R235" s="948">
        <v>41699</v>
      </c>
      <c r="S235" s="948">
        <v>41729</v>
      </c>
      <c r="T235" s="686" t="str">
        <f t="shared" si="73"/>
        <v>EJECUTADO</v>
      </c>
      <c r="U235" s="837">
        <f t="shared" si="75"/>
        <v>8625.6</v>
      </c>
      <c r="V235" s="544"/>
      <c r="W235" s="544"/>
      <c r="X235" s="912">
        <f t="shared" si="77"/>
        <v>8625.6</v>
      </c>
      <c r="Y235" s="640"/>
      <c r="Z235" s="545" t="s">
        <v>278</v>
      </c>
      <c r="AA235" s="545" t="s">
        <v>178</v>
      </c>
      <c r="AB235" s="546" t="s">
        <v>187</v>
      </c>
      <c r="AC235" s="547">
        <v>2014</v>
      </c>
      <c r="AD235" s="95"/>
      <c r="AE235" s="93"/>
    </row>
    <row r="236" spans="1:31" s="94" customFormat="1" ht="79.150000000000006" customHeight="1">
      <c r="A236" s="1068"/>
      <c r="B236" s="1076"/>
      <c r="C236" s="985" t="s">
        <v>182</v>
      </c>
      <c r="D236" s="1118"/>
      <c r="E236" s="655" t="str">
        <f t="shared" si="74"/>
        <v>CONTRATO SIE-NRO-828-VIALSUR.EP-2013 CONTRATACION DE MAQUINARIA PARA EL MANTENIMIENTO RUTINARIO DE VIAS EN LOS CANTONES (PINDAL CELICA PUYANGO MACARA Y ZAPOTILLO)</v>
      </c>
      <c r="F236" s="831" t="s">
        <v>275</v>
      </c>
      <c r="G236" s="831" t="str">
        <f>VLOOKUP(H236,'Pob. Ext, Parroquial'!$B$9:$C$117,2,0)</f>
        <v>ZAPOTILLO</v>
      </c>
      <c r="H236" s="831" t="s">
        <v>317</v>
      </c>
      <c r="I236" s="831" t="s">
        <v>270</v>
      </c>
      <c r="J236" s="831" t="s">
        <v>174</v>
      </c>
      <c r="K236" s="831">
        <v>3.1</v>
      </c>
      <c r="L236" s="537">
        <f t="shared" si="76"/>
        <v>48.01</v>
      </c>
      <c r="M236" s="538">
        <f>IF(K236&gt;0,VLOOKUP(H236,'[5]Pob. Ext, Parroquial'!$B$8:$F$117,4,FALSE),0)</f>
        <v>879</v>
      </c>
      <c r="N236" s="834" t="s">
        <v>185</v>
      </c>
      <c r="O236" s="836" t="s">
        <v>314</v>
      </c>
      <c r="P236" s="836">
        <v>0.08</v>
      </c>
      <c r="Q236" s="836">
        <v>264017.5</v>
      </c>
      <c r="R236" s="948">
        <v>41699</v>
      </c>
      <c r="S236" s="948">
        <v>41729</v>
      </c>
      <c r="T236" s="686" t="str">
        <f t="shared" si="73"/>
        <v>EJECUTADO</v>
      </c>
      <c r="U236" s="837">
        <f t="shared" si="75"/>
        <v>21121.4</v>
      </c>
      <c r="V236" s="544"/>
      <c r="W236" s="544"/>
      <c r="X236" s="912">
        <f t="shared" si="77"/>
        <v>21121.4</v>
      </c>
      <c r="Y236" s="640"/>
      <c r="Z236" s="545" t="s">
        <v>278</v>
      </c>
      <c r="AA236" s="545" t="s">
        <v>178</v>
      </c>
      <c r="AB236" s="546" t="s">
        <v>187</v>
      </c>
      <c r="AC236" s="547">
        <v>2014</v>
      </c>
      <c r="AD236" s="95"/>
      <c r="AE236" s="93"/>
    </row>
    <row r="237" spans="1:31" s="94" customFormat="1" ht="85.9" customHeight="1">
      <c r="A237" s="1068"/>
      <c r="B237" s="1076"/>
      <c r="C237" s="985" t="s">
        <v>182</v>
      </c>
      <c r="D237" s="1118"/>
      <c r="E237" s="655" t="str">
        <f t="shared" si="74"/>
        <v>CONTRATO SIE-NRO-828-VIALSUR.EP-2013 CONTRATACION DE MAQUINARIA PARA EL MANTENIMIENTO RUTINARIO DE VIAS EN LOS CANTONES (PINDAL CELICA PUYANGO MACARA Y ZAPOTILLO)</v>
      </c>
      <c r="F237" s="831" t="s">
        <v>275</v>
      </c>
      <c r="G237" s="831" t="str">
        <f>VLOOKUP(H237,'Pob. Ext, Parroquial'!$B$9:$C$117,2,0)</f>
        <v>PUYANGO</v>
      </c>
      <c r="H237" s="831" t="s">
        <v>286</v>
      </c>
      <c r="I237" s="831" t="s">
        <v>270</v>
      </c>
      <c r="J237" s="831" t="s">
        <v>174</v>
      </c>
      <c r="K237" s="831">
        <v>3.1</v>
      </c>
      <c r="L237" s="537">
        <f t="shared" si="76"/>
        <v>24.25</v>
      </c>
      <c r="M237" s="538">
        <f>IF(K237&gt;0,VLOOKUP(H237,'[5]Pob. Ext, Parroquial'!$B$8:$F$117,4,FALSE),0)</f>
        <v>1388</v>
      </c>
      <c r="N237" s="834" t="s">
        <v>185</v>
      </c>
      <c r="O237" s="836" t="s">
        <v>314</v>
      </c>
      <c r="P237" s="836">
        <v>0.08</v>
      </c>
      <c r="Q237" s="836">
        <v>133350</v>
      </c>
      <c r="R237" s="948">
        <v>41699</v>
      </c>
      <c r="S237" s="948">
        <v>41729</v>
      </c>
      <c r="T237" s="686" t="str">
        <f t="shared" si="73"/>
        <v>EJECUTADO</v>
      </c>
      <c r="U237" s="837">
        <f t="shared" si="75"/>
        <v>10668</v>
      </c>
      <c r="V237" s="544"/>
      <c r="W237" s="544"/>
      <c r="X237" s="912">
        <f t="shared" si="77"/>
        <v>10668</v>
      </c>
      <c r="Y237" s="640"/>
      <c r="Z237" s="545" t="s">
        <v>278</v>
      </c>
      <c r="AA237" s="545" t="s">
        <v>178</v>
      </c>
      <c r="AB237" s="546" t="s">
        <v>187</v>
      </c>
      <c r="AC237" s="547">
        <v>2014</v>
      </c>
      <c r="AD237" s="95"/>
      <c r="AE237" s="93"/>
    </row>
    <row r="238" spans="1:31" s="94" customFormat="1" ht="96.6" customHeight="1">
      <c r="A238" s="1068"/>
      <c r="B238" s="1076"/>
      <c r="C238" s="985" t="s">
        <v>182</v>
      </c>
      <c r="D238" s="1120"/>
      <c r="E238" s="655" t="str">
        <f t="shared" si="74"/>
        <v>CONTRATO SIE-NRO-828-VIALSUR.EP-2013 CONTRATACION DE MAQUINARIA PARA EL MANTENIMIENTO RUTINARIO DE VIAS EN LOS CANTONES (PINDAL CELICA PUYANGO MACARA Y ZAPOTILLO)</v>
      </c>
      <c r="F238" s="831" t="s">
        <v>275</v>
      </c>
      <c r="G238" s="831" t="str">
        <f>VLOOKUP(H238,'Pob. Ext, Parroquial'!$B$9:$C$117,2,0)</f>
        <v>CELICA</v>
      </c>
      <c r="H238" s="831" t="s">
        <v>318</v>
      </c>
      <c r="I238" s="831" t="s">
        <v>270</v>
      </c>
      <c r="J238" s="831" t="s">
        <v>174</v>
      </c>
      <c r="K238" s="831">
        <v>3.1</v>
      </c>
      <c r="L238" s="537">
        <f t="shared" si="76"/>
        <v>19.610000000000003</v>
      </c>
      <c r="M238" s="538">
        <f>IF(K238&gt;0,VLOOKUP(H238,'[5]Pob. Ext, Parroquial'!$B$8:$F$117,4,FALSE),0)</f>
        <v>661</v>
      </c>
      <c r="N238" s="834" t="s">
        <v>185</v>
      </c>
      <c r="O238" s="836" t="s">
        <v>314</v>
      </c>
      <c r="P238" s="836">
        <v>0.08</v>
      </c>
      <c r="Q238" s="836">
        <v>107820</v>
      </c>
      <c r="R238" s="948">
        <v>41699</v>
      </c>
      <c r="S238" s="948">
        <v>41729</v>
      </c>
      <c r="T238" s="686" t="str">
        <f t="shared" si="73"/>
        <v>EJECUTADO</v>
      </c>
      <c r="U238" s="837">
        <f t="shared" si="75"/>
        <v>8625.6</v>
      </c>
      <c r="V238" s="544"/>
      <c r="W238" s="544"/>
      <c r="X238" s="912">
        <f t="shared" si="77"/>
        <v>8625.6</v>
      </c>
      <c r="Y238" s="640"/>
      <c r="Z238" s="545" t="s">
        <v>278</v>
      </c>
      <c r="AA238" s="545" t="s">
        <v>178</v>
      </c>
      <c r="AB238" s="546" t="s">
        <v>187</v>
      </c>
      <c r="AC238" s="547">
        <v>2014</v>
      </c>
      <c r="AD238" s="95"/>
      <c r="AE238" s="93"/>
    </row>
    <row r="239" spans="1:31" s="94" customFormat="1" ht="50.1" customHeight="1">
      <c r="A239" s="910" t="s">
        <v>319</v>
      </c>
      <c r="B239" s="913" t="str">
        <f>+T239</f>
        <v>EJECUTADO</v>
      </c>
      <c r="C239" s="985" t="s">
        <v>182</v>
      </c>
      <c r="D239" s="1117" t="s">
        <v>320</v>
      </c>
      <c r="E239" s="636" t="str">
        <f t="shared" ref="E239:E361" si="78">+D239</f>
        <v>MANTENIMIENTO DE LA VIA MANGAHURQUILLO CAZADEROS PROGRESO GRAMADALES LA LEONERA</v>
      </c>
      <c r="F239" s="831" t="s">
        <v>275</v>
      </c>
      <c r="G239" s="831" t="str">
        <f>VLOOKUP(H239,'Pob. Ext, Parroquial'!$B$9:$C$117,2,0)</f>
        <v>ZAPOTILLO</v>
      </c>
      <c r="H239" s="831" t="s">
        <v>317</v>
      </c>
      <c r="I239" s="831" t="s">
        <v>173</v>
      </c>
      <c r="J239" s="831" t="s">
        <v>174</v>
      </c>
      <c r="K239" s="831"/>
      <c r="L239" s="537"/>
      <c r="M239" s="538">
        <f>IF(K239&gt;0,VLOOKUP(H239,'[5]Pob. Ext, Parroquial'!$B$8:$F$117,4,FALSE),0)</f>
        <v>0</v>
      </c>
      <c r="N239" s="834" t="s">
        <v>200</v>
      </c>
      <c r="O239" s="836" t="s">
        <v>176</v>
      </c>
      <c r="P239" s="836">
        <v>1.46</v>
      </c>
      <c r="Q239" s="968">
        <v>52000</v>
      </c>
      <c r="R239" s="948">
        <v>41791</v>
      </c>
      <c r="S239" s="948">
        <v>41851</v>
      </c>
      <c r="T239" s="686" t="str">
        <f t="shared" si="73"/>
        <v>EJECUTADO</v>
      </c>
      <c r="U239" s="837">
        <f t="shared" si="75"/>
        <v>75920</v>
      </c>
      <c r="V239" s="544"/>
      <c r="W239" s="544"/>
      <c r="X239" s="660">
        <f>SUM(U239:U240)</f>
        <v>147920</v>
      </c>
      <c r="Y239" s="640"/>
      <c r="Z239" s="545" t="s">
        <v>278</v>
      </c>
      <c r="AA239" s="545" t="s">
        <v>178</v>
      </c>
      <c r="AB239" s="546" t="s">
        <v>187</v>
      </c>
      <c r="AC239" s="547">
        <v>2014</v>
      </c>
      <c r="AD239" s="95"/>
      <c r="AE239" s="93"/>
    </row>
    <row r="240" spans="1:31" s="94" customFormat="1" ht="50.1" customHeight="1">
      <c r="A240" s="910"/>
      <c r="B240" s="913"/>
      <c r="C240" s="985" t="s">
        <v>182</v>
      </c>
      <c r="D240" s="1120"/>
      <c r="E240" s="655" t="str">
        <f t="shared" si="74"/>
        <v>MANTENIMIENTO DE LA VIA MANGAHURQUILLO CAZADEROS PROGRESO GRAMADALES LA LEONERA</v>
      </c>
      <c r="F240" s="831" t="s">
        <v>275</v>
      </c>
      <c r="G240" s="831" t="str">
        <f>VLOOKUP(H240,'Pob. Ext, Parroquial'!$B$9:$C$117,2,0)</f>
        <v>ZAPOTILLO</v>
      </c>
      <c r="H240" s="831" t="s">
        <v>317</v>
      </c>
      <c r="I240" s="831" t="s">
        <v>173</v>
      </c>
      <c r="J240" s="831" t="s">
        <v>174</v>
      </c>
      <c r="K240" s="831"/>
      <c r="L240" s="537">
        <f>ROUNDUP(Q240/5.5/1000,2)</f>
        <v>109.10000000000001</v>
      </c>
      <c r="M240" s="538">
        <f>IF(K240&gt;0,VLOOKUP(H240,'[5]Pob. Ext, Parroquial'!$B$8:$F$117,4,FALSE),0)</f>
        <v>0</v>
      </c>
      <c r="N240" s="834" t="s">
        <v>322</v>
      </c>
      <c r="O240" s="836" t="s">
        <v>176</v>
      </c>
      <c r="P240" s="836">
        <v>0.12</v>
      </c>
      <c r="Q240" s="968">
        <v>600000</v>
      </c>
      <c r="R240" s="948">
        <v>41791</v>
      </c>
      <c r="S240" s="948">
        <v>41851</v>
      </c>
      <c r="T240" s="686" t="str">
        <f t="shared" si="73"/>
        <v>EJECUTADO</v>
      </c>
      <c r="U240" s="837">
        <f t="shared" si="75"/>
        <v>72000</v>
      </c>
      <c r="V240" s="544"/>
      <c r="W240" s="544"/>
      <c r="X240" s="664"/>
      <c r="Y240" s="640"/>
      <c r="Z240" s="545" t="s">
        <v>278</v>
      </c>
      <c r="AA240" s="545" t="s">
        <v>178</v>
      </c>
      <c r="AB240" s="546" t="s">
        <v>187</v>
      </c>
      <c r="AC240" s="547">
        <v>2014</v>
      </c>
      <c r="AD240" s="95"/>
      <c r="AE240" s="93"/>
    </row>
    <row r="241" spans="1:31" s="94" customFormat="1" ht="50.1" customHeight="1">
      <c r="A241" s="910" t="s">
        <v>319</v>
      </c>
      <c r="B241" s="913" t="str">
        <f>+T241</f>
        <v>EJECUTADO</v>
      </c>
      <c r="C241" s="985" t="s">
        <v>182</v>
      </c>
      <c r="D241" s="1117" t="s">
        <v>1166</v>
      </c>
      <c r="E241" s="636" t="str">
        <f t="shared" ref="E241" si="79">+D241</f>
        <v>MANTENIMINETO DE VIAS DE LA PARROQUIA BOLASPAMBA CANTON ZAPOTILLO</v>
      </c>
      <c r="F241" s="831" t="s">
        <v>275</v>
      </c>
      <c r="G241" s="831" t="str">
        <f>VLOOKUP(H241,'Pob. Ext, Parroquial'!$B$9:$C$117,2,0)</f>
        <v>ZAPOTILLO</v>
      </c>
      <c r="H241" s="831" t="s">
        <v>317</v>
      </c>
      <c r="I241" s="831" t="s">
        <v>173</v>
      </c>
      <c r="J241" s="831" t="s">
        <v>174</v>
      </c>
      <c r="K241" s="831"/>
      <c r="L241" s="537"/>
      <c r="M241" s="538">
        <f>IF(K241&gt;0,VLOOKUP(H241,'[5]Pob. Ext, Parroquial'!$B$8:$F$117,4,FALSE),0)</f>
        <v>0</v>
      </c>
      <c r="N241" s="834" t="s">
        <v>200</v>
      </c>
      <c r="O241" s="836" t="s">
        <v>176</v>
      </c>
      <c r="P241" s="836">
        <v>1.46</v>
      </c>
      <c r="Q241" s="968">
        <v>6750</v>
      </c>
      <c r="R241" s="948">
        <v>41791</v>
      </c>
      <c r="S241" s="948">
        <v>41851</v>
      </c>
      <c r="T241" s="686" t="str">
        <f t="shared" si="73"/>
        <v>EJECUTADO</v>
      </c>
      <c r="U241" s="837">
        <f t="shared" si="75"/>
        <v>9855</v>
      </c>
      <c r="V241" s="544"/>
      <c r="W241" s="544"/>
      <c r="X241" s="660">
        <f>SUM(U241:U242)</f>
        <v>45855</v>
      </c>
      <c r="Y241" s="640"/>
      <c r="Z241" s="545" t="s">
        <v>278</v>
      </c>
      <c r="AA241" s="545" t="s">
        <v>178</v>
      </c>
      <c r="AB241" s="546" t="s">
        <v>187</v>
      </c>
      <c r="AC241" s="547">
        <v>2014</v>
      </c>
      <c r="AD241" s="95"/>
      <c r="AE241" s="93"/>
    </row>
    <row r="242" spans="1:31" s="94" customFormat="1" ht="50.1" customHeight="1">
      <c r="A242" s="910"/>
      <c r="B242" s="913"/>
      <c r="C242" s="985" t="s">
        <v>182</v>
      </c>
      <c r="D242" s="1120"/>
      <c r="E242" s="655" t="str">
        <f t="shared" si="74"/>
        <v>MANTENIMINETO DE VIAS DE LA PARROQUIA BOLASPAMBA CANTON ZAPOTILLO</v>
      </c>
      <c r="F242" s="831" t="s">
        <v>275</v>
      </c>
      <c r="G242" s="831" t="str">
        <f>VLOOKUP(H242,'Pob. Ext, Parroquial'!$B$9:$C$117,2,0)</f>
        <v>ZAPOTILLO</v>
      </c>
      <c r="H242" s="831" t="s">
        <v>317</v>
      </c>
      <c r="I242" s="831" t="s">
        <v>173</v>
      </c>
      <c r="J242" s="831" t="s">
        <v>174</v>
      </c>
      <c r="K242" s="831"/>
      <c r="L242" s="537">
        <f>ROUNDUP(Q242/5.5/1000,2)</f>
        <v>54.55</v>
      </c>
      <c r="M242" s="538">
        <f>IF(K242&gt;0,VLOOKUP(H242,'[5]Pob. Ext, Parroquial'!$B$8:$F$117,4,FALSE),0)</f>
        <v>0</v>
      </c>
      <c r="N242" s="834" t="s">
        <v>322</v>
      </c>
      <c r="O242" s="836" t="s">
        <v>176</v>
      </c>
      <c r="P242" s="836">
        <v>0.12</v>
      </c>
      <c r="Q242" s="968">
        <v>300000</v>
      </c>
      <c r="R242" s="948">
        <v>41791</v>
      </c>
      <c r="S242" s="948">
        <v>41851</v>
      </c>
      <c r="T242" s="686" t="str">
        <f t="shared" si="73"/>
        <v>EJECUTADO</v>
      </c>
      <c r="U242" s="837">
        <f t="shared" si="75"/>
        <v>36000</v>
      </c>
      <c r="V242" s="544"/>
      <c r="W242" s="544"/>
      <c r="X242" s="664"/>
      <c r="Y242" s="640"/>
      <c r="Z242" s="545" t="s">
        <v>278</v>
      </c>
      <c r="AA242" s="545" t="s">
        <v>178</v>
      </c>
      <c r="AB242" s="546" t="s">
        <v>187</v>
      </c>
      <c r="AC242" s="547">
        <v>2014</v>
      </c>
      <c r="AD242" s="95"/>
      <c r="AE242" s="93"/>
    </row>
    <row r="243" spans="1:31" s="94" customFormat="1" ht="50.1" customHeight="1">
      <c r="A243" s="1068"/>
      <c r="B243" s="645"/>
      <c r="C243" s="985" t="s">
        <v>182</v>
      </c>
      <c r="D243" s="1117" t="s">
        <v>1167</v>
      </c>
      <c r="E243" s="636" t="str">
        <f t="shared" ref="E243" si="80">+D243</f>
        <v>MEJORAMIENTO DE LA VIA MERCADILLO SAN JOSE I ETAPA, CANTON PUYANGO</v>
      </c>
      <c r="F243" s="831" t="s">
        <v>275</v>
      </c>
      <c r="G243" s="831" t="str">
        <f>VLOOKUP(H243,'Pob. Ext, Parroquial'!$B$9:$C$117,2,0)</f>
        <v>PUYANGO</v>
      </c>
      <c r="H243" s="831" t="s">
        <v>634</v>
      </c>
      <c r="I243" s="831" t="s">
        <v>173</v>
      </c>
      <c r="J243" s="831" t="s">
        <v>174</v>
      </c>
      <c r="K243" s="831"/>
      <c r="L243" s="537"/>
      <c r="M243" s="538">
        <f>IF(K243&gt;0,VLOOKUP(H243,'[5]Pob. Ext, Parroquial'!$B$8:$F$117,4,FALSE),0)</f>
        <v>0</v>
      </c>
      <c r="N243" s="834" t="s">
        <v>276</v>
      </c>
      <c r="O243" s="836" t="s">
        <v>277</v>
      </c>
      <c r="P243" s="836">
        <v>948.16</v>
      </c>
      <c r="Q243" s="968">
        <v>1.2</v>
      </c>
      <c r="R243" s="948">
        <v>41913</v>
      </c>
      <c r="S243" s="948">
        <v>41973</v>
      </c>
      <c r="T243" s="686" t="str">
        <f t="shared" si="73"/>
        <v>EN EJECUCION</v>
      </c>
      <c r="U243" s="837">
        <f t="shared" si="75"/>
        <v>1137.79</v>
      </c>
      <c r="V243" s="544"/>
      <c r="W243" s="544"/>
      <c r="X243" s="660">
        <f>SUM(U243:U251)</f>
        <v>94279.420000000013</v>
      </c>
      <c r="Y243" s="640"/>
      <c r="Z243" s="545" t="s">
        <v>278</v>
      </c>
      <c r="AA243" s="545" t="s">
        <v>178</v>
      </c>
      <c r="AB243" s="546" t="s">
        <v>187</v>
      </c>
      <c r="AC243" s="547">
        <v>2014</v>
      </c>
      <c r="AD243" s="95"/>
      <c r="AE243" s="93"/>
    </row>
    <row r="244" spans="1:31" s="94" customFormat="1" ht="50.1" customHeight="1">
      <c r="A244" s="1068"/>
      <c r="B244" s="648"/>
      <c r="C244" s="985" t="s">
        <v>182</v>
      </c>
      <c r="D244" s="1118"/>
      <c r="E244" s="636" t="str">
        <f t="shared" ref="E244:E287" si="81">+E243</f>
        <v>MEJORAMIENTO DE LA VIA MERCADILLO SAN JOSE I ETAPA, CANTON PUYANGO</v>
      </c>
      <c r="F244" s="831" t="s">
        <v>275</v>
      </c>
      <c r="G244" s="831" t="str">
        <f>VLOOKUP(H244,'Pob. Ext, Parroquial'!$B$9:$C$117,2,0)</f>
        <v>PUYANGO</v>
      </c>
      <c r="H244" s="831" t="s">
        <v>634</v>
      </c>
      <c r="I244" s="831" t="s">
        <v>173</v>
      </c>
      <c r="J244" s="831" t="s">
        <v>174</v>
      </c>
      <c r="K244" s="831"/>
      <c r="L244" s="537"/>
      <c r="M244" s="538">
        <f>IF(K244&gt;0,VLOOKUP(H244,'[5]Pob. Ext, Parroquial'!$B$8:$F$117,4,FALSE),0)</f>
        <v>0</v>
      </c>
      <c r="N244" s="834" t="s">
        <v>226</v>
      </c>
      <c r="O244" s="836" t="s">
        <v>176</v>
      </c>
      <c r="P244" s="836">
        <v>1.62</v>
      </c>
      <c r="Q244" s="968">
        <v>22826</v>
      </c>
      <c r="R244" s="948">
        <v>41913</v>
      </c>
      <c r="S244" s="948">
        <v>41973</v>
      </c>
      <c r="T244" s="686" t="str">
        <f t="shared" si="73"/>
        <v>EN EJECUCION</v>
      </c>
      <c r="U244" s="837">
        <f t="shared" si="75"/>
        <v>36978.120000000003</v>
      </c>
      <c r="V244" s="544"/>
      <c r="W244" s="544"/>
      <c r="X244" s="662"/>
      <c r="Y244" s="640"/>
      <c r="Z244" s="545" t="s">
        <v>278</v>
      </c>
      <c r="AA244" s="545" t="s">
        <v>178</v>
      </c>
      <c r="AB244" s="546" t="s">
        <v>187</v>
      </c>
      <c r="AC244" s="547">
        <v>2014</v>
      </c>
      <c r="AD244" s="95"/>
      <c r="AE244" s="93"/>
    </row>
    <row r="245" spans="1:31" s="94" customFormat="1" ht="50.1" customHeight="1">
      <c r="A245" s="1068"/>
      <c r="B245" s="648"/>
      <c r="C245" s="985" t="s">
        <v>182</v>
      </c>
      <c r="D245" s="1118"/>
      <c r="E245" s="636" t="str">
        <f t="shared" si="81"/>
        <v>MEJORAMIENTO DE LA VIA MERCADILLO SAN JOSE I ETAPA, CANTON PUYANGO</v>
      </c>
      <c r="F245" s="831" t="s">
        <v>275</v>
      </c>
      <c r="G245" s="831" t="str">
        <f>VLOOKUP(H245,'Pob. Ext, Parroquial'!$B$9:$C$117,2,0)</f>
        <v>PUYANGO</v>
      </c>
      <c r="H245" s="831" t="s">
        <v>634</v>
      </c>
      <c r="I245" s="831" t="s">
        <v>173</v>
      </c>
      <c r="J245" s="831" t="s">
        <v>174</v>
      </c>
      <c r="K245" s="831"/>
      <c r="L245" s="537"/>
      <c r="M245" s="538">
        <f>IF(K245&gt;0,VLOOKUP(H245,'[5]Pob. Ext, Parroquial'!$B$8:$F$117,4,FALSE),0)</f>
        <v>0</v>
      </c>
      <c r="N245" s="834" t="s">
        <v>200</v>
      </c>
      <c r="O245" s="836" t="s">
        <v>176</v>
      </c>
      <c r="P245" s="836">
        <v>1.46</v>
      </c>
      <c r="Q245" s="968">
        <v>0</v>
      </c>
      <c r="R245" s="948">
        <v>41913</v>
      </c>
      <c r="S245" s="948">
        <v>41973</v>
      </c>
      <c r="T245" s="686" t="str">
        <f t="shared" si="73"/>
        <v>EN EJECUCION</v>
      </c>
      <c r="U245" s="837">
        <f t="shared" si="75"/>
        <v>0</v>
      </c>
      <c r="V245" s="544"/>
      <c r="W245" s="544"/>
      <c r="X245" s="662"/>
      <c r="Y245" s="640"/>
      <c r="Z245" s="545" t="s">
        <v>278</v>
      </c>
      <c r="AA245" s="545" t="s">
        <v>178</v>
      </c>
      <c r="AB245" s="546" t="s">
        <v>187</v>
      </c>
      <c r="AC245" s="547">
        <v>2014</v>
      </c>
      <c r="AD245" s="95"/>
      <c r="AE245" s="93"/>
    </row>
    <row r="246" spans="1:31" s="94" customFormat="1" ht="50.1" customHeight="1">
      <c r="A246" s="1068"/>
      <c r="B246" s="648"/>
      <c r="C246" s="985" t="s">
        <v>182</v>
      </c>
      <c r="D246" s="1118"/>
      <c r="E246" s="636" t="str">
        <f t="shared" si="81"/>
        <v>MEJORAMIENTO DE LA VIA MERCADILLO SAN JOSE I ETAPA, CANTON PUYANGO</v>
      </c>
      <c r="F246" s="831" t="s">
        <v>275</v>
      </c>
      <c r="G246" s="831" t="str">
        <f>VLOOKUP(H246,'Pob. Ext, Parroquial'!$B$9:$C$117,2,0)</f>
        <v>PUYANGO</v>
      </c>
      <c r="H246" s="831" t="s">
        <v>634</v>
      </c>
      <c r="I246" s="831" t="s">
        <v>173</v>
      </c>
      <c r="J246" s="831" t="s">
        <v>174</v>
      </c>
      <c r="K246" s="831"/>
      <c r="L246" s="537"/>
      <c r="M246" s="538">
        <f>IF(K246&gt;0,VLOOKUP(H246,'[5]Pob. Ext, Parroquial'!$B$8:$F$117,4,FALSE),0)</f>
        <v>0</v>
      </c>
      <c r="N246" s="834" t="s">
        <v>279</v>
      </c>
      <c r="O246" s="836" t="s">
        <v>176</v>
      </c>
      <c r="P246" s="836">
        <v>1.47</v>
      </c>
      <c r="Q246" s="968">
        <v>0</v>
      </c>
      <c r="R246" s="948">
        <v>41913</v>
      </c>
      <c r="S246" s="948">
        <v>41973</v>
      </c>
      <c r="T246" s="686" t="str">
        <f t="shared" si="73"/>
        <v>EN EJECUCION</v>
      </c>
      <c r="U246" s="837">
        <f t="shared" si="75"/>
        <v>0</v>
      </c>
      <c r="V246" s="544"/>
      <c r="W246" s="544"/>
      <c r="X246" s="662"/>
      <c r="Y246" s="640"/>
      <c r="Z246" s="545" t="s">
        <v>278</v>
      </c>
      <c r="AA246" s="545" t="s">
        <v>178</v>
      </c>
      <c r="AB246" s="546" t="s">
        <v>187</v>
      </c>
      <c r="AC246" s="547">
        <v>2014</v>
      </c>
      <c r="AD246" s="95"/>
      <c r="AE246" s="93"/>
    </row>
    <row r="247" spans="1:31" s="94" customFormat="1" ht="50.1" customHeight="1">
      <c r="A247" s="1068"/>
      <c r="B247" s="648"/>
      <c r="C247" s="985" t="s">
        <v>182</v>
      </c>
      <c r="D247" s="1118"/>
      <c r="E247" s="636" t="str">
        <f t="shared" si="81"/>
        <v>MEJORAMIENTO DE LA VIA MERCADILLO SAN JOSE I ETAPA, CANTON PUYANGO</v>
      </c>
      <c r="F247" s="831" t="s">
        <v>275</v>
      </c>
      <c r="G247" s="831" t="str">
        <f>VLOOKUP(H247,'Pob. Ext, Parroquial'!$B$9:$C$117,2,0)</f>
        <v>PUYANGO</v>
      </c>
      <c r="H247" s="831" t="s">
        <v>634</v>
      </c>
      <c r="I247" s="831" t="s">
        <v>173</v>
      </c>
      <c r="J247" s="831" t="s">
        <v>174</v>
      </c>
      <c r="K247" s="831"/>
      <c r="L247" s="537"/>
      <c r="M247" s="538">
        <f>IF(K247&gt;0,VLOOKUP(H247,'[5]Pob. Ext, Parroquial'!$B$8:$F$117,4,FALSE),0)</f>
        <v>0</v>
      </c>
      <c r="N247" s="834" t="s">
        <v>280</v>
      </c>
      <c r="O247" s="836" t="s">
        <v>181</v>
      </c>
      <c r="P247" s="836">
        <v>0.3</v>
      </c>
      <c r="Q247" s="968">
        <v>10271.700000000001</v>
      </c>
      <c r="R247" s="948">
        <v>41913</v>
      </c>
      <c r="S247" s="948">
        <v>41973</v>
      </c>
      <c r="T247" s="686" t="str">
        <f t="shared" si="73"/>
        <v>EN EJECUCION</v>
      </c>
      <c r="U247" s="837">
        <f t="shared" si="75"/>
        <v>3081.51</v>
      </c>
      <c r="V247" s="544"/>
      <c r="W247" s="544"/>
      <c r="X247" s="662"/>
      <c r="Y247" s="640"/>
      <c r="Z247" s="545" t="s">
        <v>278</v>
      </c>
      <c r="AA247" s="545" t="s">
        <v>178</v>
      </c>
      <c r="AB247" s="546" t="s">
        <v>187</v>
      </c>
      <c r="AC247" s="547">
        <v>2014</v>
      </c>
      <c r="AD247" s="95"/>
      <c r="AE247" s="93"/>
    </row>
    <row r="248" spans="1:31" s="94" customFormat="1" ht="50.1" customHeight="1">
      <c r="A248" s="1068"/>
      <c r="B248" s="648"/>
      <c r="C248" s="985" t="s">
        <v>182</v>
      </c>
      <c r="D248" s="1118"/>
      <c r="E248" s="636" t="str">
        <f t="shared" si="81"/>
        <v>MEJORAMIENTO DE LA VIA MERCADILLO SAN JOSE I ETAPA, CANTON PUYANGO</v>
      </c>
      <c r="F248" s="831" t="s">
        <v>275</v>
      </c>
      <c r="G248" s="831" t="str">
        <f>VLOOKUP(H248,'Pob. Ext, Parroquial'!$B$9:$C$117,2,0)</f>
        <v>PUYANGO</v>
      </c>
      <c r="H248" s="831" t="s">
        <v>634</v>
      </c>
      <c r="I248" s="831" t="s">
        <v>173</v>
      </c>
      <c r="J248" s="831" t="s">
        <v>174</v>
      </c>
      <c r="K248" s="831"/>
      <c r="L248" s="537"/>
      <c r="M248" s="538">
        <f>IF(K248&gt;0,VLOOKUP(H248,'[5]Pob. Ext, Parroquial'!$B$8:$F$117,4,FALSE),0)</f>
        <v>0</v>
      </c>
      <c r="N248" s="834" t="s">
        <v>281</v>
      </c>
      <c r="O248" s="836" t="s">
        <v>181</v>
      </c>
      <c r="P248" s="836">
        <v>0.3</v>
      </c>
      <c r="Q248" s="968">
        <v>36840</v>
      </c>
      <c r="R248" s="948">
        <v>41913</v>
      </c>
      <c r="S248" s="948">
        <v>41973</v>
      </c>
      <c r="T248" s="686" t="str">
        <f t="shared" si="73"/>
        <v>EN EJECUCION</v>
      </c>
      <c r="U248" s="837">
        <f t="shared" si="75"/>
        <v>11052</v>
      </c>
      <c r="V248" s="544"/>
      <c r="W248" s="544"/>
      <c r="X248" s="662"/>
      <c r="Y248" s="640"/>
      <c r="Z248" s="545" t="s">
        <v>278</v>
      </c>
      <c r="AA248" s="545" t="s">
        <v>178</v>
      </c>
      <c r="AB248" s="546" t="s">
        <v>187</v>
      </c>
      <c r="AC248" s="547">
        <v>2014</v>
      </c>
      <c r="AD248" s="95"/>
      <c r="AE248" s="93"/>
    </row>
    <row r="249" spans="1:31" s="94" customFormat="1" ht="50.1" customHeight="1">
      <c r="A249" s="1068"/>
      <c r="B249" s="648"/>
      <c r="C249" s="985" t="s">
        <v>182</v>
      </c>
      <c r="D249" s="1118"/>
      <c r="E249" s="636" t="str">
        <f t="shared" si="81"/>
        <v>MEJORAMIENTO DE LA VIA MERCADILLO SAN JOSE I ETAPA, CANTON PUYANGO</v>
      </c>
      <c r="F249" s="831" t="s">
        <v>275</v>
      </c>
      <c r="G249" s="831" t="str">
        <f>VLOOKUP(H249,'Pob. Ext, Parroquial'!$B$9:$C$117,2,0)</f>
        <v>PUYANGO</v>
      </c>
      <c r="H249" s="831" t="s">
        <v>634</v>
      </c>
      <c r="I249" s="831" t="s">
        <v>173</v>
      </c>
      <c r="J249" s="831" t="s">
        <v>174</v>
      </c>
      <c r="K249" s="831"/>
      <c r="L249" s="537">
        <f t="shared" ref="L249:L250" si="82">ROUNDUP(Q249/5.5/1000,2)</f>
        <v>0</v>
      </c>
      <c r="M249" s="538">
        <f>IF(K249&gt;0,VLOOKUP(H249,'[5]Pob. Ext, Parroquial'!$B$8:$F$117,4,FALSE),0)</f>
        <v>0</v>
      </c>
      <c r="N249" s="834" t="s">
        <v>185</v>
      </c>
      <c r="O249" s="836" t="s">
        <v>184</v>
      </c>
      <c r="P249" s="836">
        <v>0.08</v>
      </c>
      <c r="Q249" s="968">
        <v>0</v>
      </c>
      <c r="R249" s="948">
        <v>41913</v>
      </c>
      <c r="S249" s="948">
        <v>41973</v>
      </c>
      <c r="T249" s="686" t="str">
        <f t="shared" si="73"/>
        <v>EN EJECUCION</v>
      </c>
      <c r="U249" s="837">
        <f t="shared" si="75"/>
        <v>0</v>
      </c>
      <c r="V249" s="544"/>
      <c r="W249" s="544"/>
      <c r="X249" s="662"/>
      <c r="Y249" s="640"/>
      <c r="Z249" s="545" t="s">
        <v>278</v>
      </c>
      <c r="AA249" s="545" t="s">
        <v>178</v>
      </c>
      <c r="AB249" s="546" t="s">
        <v>179</v>
      </c>
      <c r="AC249" s="547">
        <v>2014</v>
      </c>
      <c r="AD249" s="95"/>
      <c r="AE249" s="93"/>
    </row>
    <row r="250" spans="1:31" s="94" customFormat="1" ht="50.1" customHeight="1">
      <c r="A250" s="1068"/>
      <c r="B250" s="648"/>
      <c r="C250" s="985" t="s">
        <v>182</v>
      </c>
      <c r="D250" s="1118"/>
      <c r="E250" s="636" t="str">
        <f t="shared" si="81"/>
        <v>MEJORAMIENTO DE LA VIA MERCADILLO SAN JOSE I ETAPA, CANTON PUYANGO</v>
      </c>
      <c r="F250" s="831" t="s">
        <v>275</v>
      </c>
      <c r="G250" s="831" t="str">
        <f>VLOOKUP(H250,'Pob. Ext, Parroquial'!$B$9:$C$117,2,0)</f>
        <v>PUYANGO</v>
      </c>
      <c r="H250" s="831" t="s">
        <v>634</v>
      </c>
      <c r="I250" s="831" t="s">
        <v>173</v>
      </c>
      <c r="J250" s="831" t="s">
        <v>174</v>
      </c>
      <c r="K250" s="831"/>
      <c r="L250" s="537">
        <f t="shared" si="82"/>
        <v>11.459999999999999</v>
      </c>
      <c r="M250" s="538">
        <f>IF(K250&gt;0,VLOOKUP(H250,'[5]Pob. Ext, Parroquial'!$B$8:$F$117,4,FALSE),0)</f>
        <v>0</v>
      </c>
      <c r="N250" s="834" t="s">
        <v>282</v>
      </c>
      <c r="O250" s="836" t="s">
        <v>184</v>
      </c>
      <c r="P250" s="836">
        <v>0.35</v>
      </c>
      <c r="Q250" s="968">
        <v>63000</v>
      </c>
      <c r="R250" s="948">
        <v>41913</v>
      </c>
      <c r="S250" s="948">
        <v>41973</v>
      </c>
      <c r="T250" s="686" t="str">
        <f t="shared" si="73"/>
        <v>EN EJECUCION</v>
      </c>
      <c r="U250" s="837">
        <f t="shared" si="75"/>
        <v>22050</v>
      </c>
      <c r="V250" s="544"/>
      <c r="W250" s="544"/>
      <c r="X250" s="662"/>
      <c r="Y250" s="640"/>
      <c r="Z250" s="545" t="s">
        <v>278</v>
      </c>
      <c r="AA250" s="545" t="s">
        <v>178</v>
      </c>
      <c r="AB250" s="546" t="s">
        <v>187</v>
      </c>
      <c r="AC250" s="547">
        <v>2014</v>
      </c>
      <c r="AD250" s="95"/>
      <c r="AE250" s="93"/>
    </row>
    <row r="251" spans="1:31" s="94" customFormat="1" ht="50.1" customHeight="1">
      <c r="A251" s="1068"/>
      <c r="B251" s="646"/>
      <c r="C251" s="985" t="s">
        <v>182</v>
      </c>
      <c r="D251" s="1120"/>
      <c r="E251" s="636" t="str">
        <f t="shared" si="81"/>
        <v>MEJORAMIENTO DE LA VIA MERCADILLO SAN JOSE I ETAPA, CANTON PUYANGO</v>
      </c>
      <c r="F251" s="831" t="s">
        <v>275</v>
      </c>
      <c r="G251" s="831" t="str">
        <f>VLOOKUP(H251,'Pob. Ext, Parroquial'!$B$9:$C$117,2,0)</f>
        <v>PUYANGO</v>
      </c>
      <c r="H251" s="831" t="s">
        <v>634</v>
      </c>
      <c r="I251" s="831" t="s">
        <v>173</v>
      </c>
      <c r="J251" s="831" t="s">
        <v>174</v>
      </c>
      <c r="K251" s="831"/>
      <c r="L251" s="537">
        <f>+ROUND(Q251/5500/0.2,2)</f>
        <v>3.07</v>
      </c>
      <c r="M251" s="538">
        <f>IF(K251&gt;0,VLOOKUP(H251,'[5]Pob. Ext, Parroquial'!$B$8:$F$117,4,FALSE),0)</f>
        <v>0</v>
      </c>
      <c r="N251" s="834" t="s">
        <v>229</v>
      </c>
      <c r="O251" s="836" t="s">
        <v>176</v>
      </c>
      <c r="P251" s="836">
        <v>5.92</v>
      </c>
      <c r="Q251" s="968">
        <v>3375</v>
      </c>
      <c r="R251" s="948">
        <v>41913</v>
      </c>
      <c r="S251" s="948">
        <v>41973</v>
      </c>
      <c r="T251" s="686" t="str">
        <f t="shared" si="73"/>
        <v>EN EJECUCION</v>
      </c>
      <c r="U251" s="837">
        <f t="shared" si="75"/>
        <v>19980</v>
      </c>
      <c r="V251" s="544"/>
      <c r="W251" s="544"/>
      <c r="X251" s="664"/>
      <c r="Y251" s="640"/>
      <c r="Z251" s="545" t="s">
        <v>278</v>
      </c>
      <c r="AA251" s="545" t="s">
        <v>178</v>
      </c>
      <c r="AB251" s="546" t="s">
        <v>187</v>
      </c>
      <c r="AC251" s="547">
        <v>2014</v>
      </c>
      <c r="AD251" s="95"/>
      <c r="AE251" s="93"/>
    </row>
    <row r="252" spans="1:31" s="94" customFormat="1" ht="50.1" customHeight="1">
      <c r="A252" s="1068"/>
      <c r="B252" s="645"/>
      <c r="C252" s="985" t="s">
        <v>182</v>
      </c>
      <c r="D252" s="1117" t="s">
        <v>1168</v>
      </c>
      <c r="E252" s="636" t="str">
        <f t="shared" ref="E252" si="83">+D252</f>
        <v>MEJORAMIENTO DE LA VIA PINDAL MILAGROS PALETILLAS</v>
      </c>
      <c r="F252" s="831" t="s">
        <v>275</v>
      </c>
      <c r="G252" s="831" t="str">
        <f>VLOOKUP(H252,'Pob. Ext, Parroquial'!$B$9:$C$117,2,0)</f>
        <v>ZAPOTILLO</v>
      </c>
      <c r="H252" s="831" t="s">
        <v>659</v>
      </c>
      <c r="I252" s="831" t="s">
        <v>173</v>
      </c>
      <c r="J252" s="831" t="s">
        <v>174</v>
      </c>
      <c r="K252" s="831"/>
      <c r="L252" s="537"/>
      <c r="M252" s="538">
        <f>IF(K252&gt;0,VLOOKUP(H252,'[5]Pob. Ext, Parroquial'!$B$8:$F$117,4,FALSE),0)</f>
        <v>0</v>
      </c>
      <c r="N252" s="834" t="s">
        <v>276</v>
      </c>
      <c r="O252" s="836" t="s">
        <v>277</v>
      </c>
      <c r="P252" s="836">
        <v>948.16</v>
      </c>
      <c r="Q252" s="968">
        <v>6</v>
      </c>
      <c r="R252" s="948">
        <v>41913</v>
      </c>
      <c r="S252" s="948">
        <v>41973</v>
      </c>
      <c r="T252" s="686" t="str">
        <f t="shared" si="73"/>
        <v>EN EJECUCION</v>
      </c>
      <c r="U252" s="837">
        <f t="shared" si="75"/>
        <v>5688.96</v>
      </c>
      <c r="V252" s="544"/>
      <c r="W252" s="544"/>
      <c r="X252" s="660">
        <f>SUM(U252:U260)</f>
        <v>146186.86000000002</v>
      </c>
      <c r="Y252" s="640"/>
      <c r="Z252" s="545" t="s">
        <v>278</v>
      </c>
      <c r="AA252" s="545" t="s">
        <v>178</v>
      </c>
      <c r="AB252" s="546" t="s">
        <v>187</v>
      </c>
      <c r="AC252" s="547">
        <v>2014</v>
      </c>
      <c r="AD252" s="95"/>
      <c r="AE252" s="93"/>
    </row>
    <row r="253" spans="1:31" s="94" customFormat="1" ht="50.1" customHeight="1">
      <c r="A253" s="1068"/>
      <c r="B253" s="648"/>
      <c r="C253" s="985" t="s">
        <v>182</v>
      </c>
      <c r="D253" s="1118"/>
      <c r="E253" s="636" t="str">
        <f t="shared" si="81"/>
        <v>MEJORAMIENTO DE LA VIA PINDAL MILAGROS PALETILLAS</v>
      </c>
      <c r="F253" s="831" t="s">
        <v>275</v>
      </c>
      <c r="G253" s="831" t="str">
        <f>VLOOKUP(H253,'Pob. Ext, Parroquial'!$B$9:$C$117,2,0)</f>
        <v>ZAPOTILLO</v>
      </c>
      <c r="H253" s="831" t="s">
        <v>659</v>
      </c>
      <c r="I253" s="831" t="s">
        <v>173</v>
      </c>
      <c r="J253" s="831" t="s">
        <v>174</v>
      </c>
      <c r="K253" s="831"/>
      <c r="L253" s="537"/>
      <c r="M253" s="538">
        <f>IF(K253&gt;0,VLOOKUP(H253,'[5]Pob. Ext, Parroquial'!$B$8:$F$117,4,FALSE),0)</f>
        <v>0</v>
      </c>
      <c r="N253" s="834" t="s">
        <v>226</v>
      </c>
      <c r="O253" s="836" t="s">
        <v>176</v>
      </c>
      <c r="P253" s="836">
        <v>1.62</v>
      </c>
      <c r="Q253" s="968">
        <v>12895</v>
      </c>
      <c r="R253" s="948">
        <v>41913</v>
      </c>
      <c r="S253" s="948">
        <v>41973</v>
      </c>
      <c r="T253" s="686" t="str">
        <f t="shared" si="73"/>
        <v>EN EJECUCION</v>
      </c>
      <c r="U253" s="837">
        <f t="shared" si="75"/>
        <v>20889.900000000001</v>
      </c>
      <c r="V253" s="544"/>
      <c r="W253" s="544"/>
      <c r="X253" s="662"/>
      <c r="Y253" s="640"/>
      <c r="Z253" s="545" t="s">
        <v>278</v>
      </c>
      <c r="AA253" s="545" t="s">
        <v>178</v>
      </c>
      <c r="AB253" s="546" t="s">
        <v>187</v>
      </c>
      <c r="AC253" s="547">
        <v>2014</v>
      </c>
      <c r="AD253" s="95"/>
      <c r="AE253" s="93"/>
    </row>
    <row r="254" spans="1:31" s="94" customFormat="1" ht="50.1" customHeight="1">
      <c r="A254" s="1068"/>
      <c r="B254" s="648"/>
      <c r="C254" s="985" t="s">
        <v>182</v>
      </c>
      <c r="D254" s="1118"/>
      <c r="E254" s="636" t="str">
        <f t="shared" si="81"/>
        <v>MEJORAMIENTO DE LA VIA PINDAL MILAGROS PALETILLAS</v>
      </c>
      <c r="F254" s="831" t="s">
        <v>275</v>
      </c>
      <c r="G254" s="831" t="str">
        <f>VLOOKUP(H254,'Pob. Ext, Parroquial'!$B$9:$C$117,2,0)</f>
        <v>ZAPOTILLO</v>
      </c>
      <c r="H254" s="831" t="s">
        <v>659</v>
      </c>
      <c r="I254" s="831" t="s">
        <v>173</v>
      </c>
      <c r="J254" s="831" t="s">
        <v>174</v>
      </c>
      <c r="K254" s="831"/>
      <c r="L254" s="537"/>
      <c r="M254" s="538">
        <f>IF(K254&gt;0,VLOOKUP(H254,'[5]Pob. Ext, Parroquial'!$B$8:$F$117,4,FALSE),0)</f>
        <v>0</v>
      </c>
      <c r="N254" s="834" t="s">
        <v>200</v>
      </c>
      <c r="O254" s="836" t="s">
        <v>176</v>
      </c>
      <c r="P254" s="836">
        <v>1.46</v>
      </c>
      <c r="Q254" s="968">
        <v>0</v>
      </c>
      <c r="R254" s="948">
        <v>41913</v>
      </c>
      <c r="S254" s="948">
        <v>41973</v>
      </c>
      <c r="T254" s="686" t="str">
        <f t="shared" si="73"/>
        <v>EN EJECUCION</v>
      </c>
      <c r="U254" s="837">
        <f t="shared" si="75"/>
        <v>0</v>
      </c>
      <c r="V254" s="544"/>
      <c r="W254" s="544"/>
      <c r="X254" s="662"/>
      <c r="Y254" s="640"/>
      <c r="Z254" s="545" t="s">
        <v>278</v>
      </c>
      <c r="AA254" s="545" t="s">
        <v>178</v>
      </c>
      <c r="AB254" s="546" t="s">
        <v>187</v>
      </c>
      <c r="AC254" s="547">
        <v>2014</v>
      </c>
      <c r="AD254" s="95"/>
      <c r="AE254" s="93"/>
    </row>
    <row r="255" spans="1:31" s="94" customFormat="1" ht="50.1" customHeight="1">
      <c r="A255" s="1068"/>
      <c r="B255" s="648"/>
      <c r="C255" s="985" t="s">
        <v>182</v>
      </c>
      <c r="D255" s="1118"/>
      <c r="E255" s="636" t="str">
        <f t="shared" si="81"/>
        <v>MEJORAMIENTO DE LA VIA PINDAL MILAGROS PALETILLAS</v>
      </c>
      <c r="F255" s="831" t="s">
        <v>275</v>
      </c>
      <c r="G255" s="831" t="str">
        <f>VLOOKUP(H255,'Pob. Ext, Parroquial'!$B$9:$C$117,2,0)</f>
        <v>ZAPOTILLO</v>
      </c>
      <c r="H255" s="831" t="s">
        <v>659</v>
      </c>
      <c r="I255" s="831" t="s">
        <v>173</v>
      </c>
      <c r="J255" s="831" t="s">
        <v>174</v>
      </c>
      <c r="K255" s="831"/>
      <c r="L255" s="537"/>
      <c r="M255" s="538">
        <f>IF(K255&gt;0,VLOOKUP(H255,'[5]Pob. Ext, Parroquial'!$B$8:$F$117,4,FALSE),0)</f>
        <v>0</v>
      </c>
      <c r="N255" s="834" t="s">
        <v>279</v>
      </c>
      <c r="O255" s="836" t="s">
        <v>176</v>
      </c>
      <c r="P255" s="836">
        <v>1.47</v>
      </c>
      <c r="Q255" s="968">
        <v>70</v>
      </c>
      <c r="R255" s="948">
        <v>41913</v>
      </c>
      <c r="S255" s="948">
        <v>41973</v>
      </c>
      <c r="T255" s="686" t="str">
        <f t="shared" si="73"/>
        <v>EN EJECUCION</v>
      </c>
      <c r="U255" s="837">
        <f t="shared" si="75"/>
        <v>102.9</v>
      </c>
      <c r="V255" s="544"/>
      <c r="W255" s="544"/>
      <c r="X255" s="662"/>
      <c r="Y255" s="640"/>
      <c r="Z255" s="545" t="s">
        <v>278</v>
      </c>
      <c r="AA255" s="545" t="s">
        <v>178</v>
      </c>
      <c r="AB255" s="546" t="s">
        <v>187</v>
      </c>
      <c r="AC255" s="547">
        <v>2014</v>
      </c>
      <c r="AD255" s="95"/>
      <c r="AE255" s="93"/>
    </row>
    <row r="256" spans="1:31" s="94" customFormat="1" ht="50.1" customHeight="1">
      <c r="A256" s="1068"/>
      <c r="B256" s="648"/>
      <c r="C256" s="985" t="s">
        <v>182</v>
      </c>
      <c r="D256" s="1118"/>
      <c r="E256" s="636" t="str">
        <f t="shared" si="81"/>
        <v>MEJORAMIENTO DE LA VIA PINDAL MILAGROS PALETILLAS</v>
      </c>
      <c r="F256" s="831" t="s">
        <v>275</v>
      </c>
      <c r="G256" s="831" t="str">
        <f>VLOOKUP(H256,'Pob. Ext, Parroquial'!$B$9:$C$117,2,0)</f>
        <v>ZAPOTILLO</v>
      </c>
      <c r="H256" s="831" t="s">
        <v>659</v>
      </c>
      <c r="I256" s="831" t="s">
        <v>173</v>
      </c>
      <c r="J256" s="831" t="s">
        <v>174</v>
      </c>
      <c r="K256" s="831"/>
      <c r="L256" s="537"/>
      <c r="M256" s="538">
        <f>IF(K256&gt;0,VLOOKUP(H256,'[5]Pob. Ext, Parroquial'!$B$8:$F$117,4,FALSE),0)</f>
        <v>0</v>
      </c>
      <c r="N256" s="834" t="s">
        <v>280</v>
      </c>
      <c r="O256" s="836" t="s">
        <v>181</v>
      </c>
      <c r="P256" s="836">
        <v>0.3</v>
      </c>
      <c r="Q256" s="968">
        <v>38685</v>
      </c>
      <c r="R256" s="948">
        <v>41913</v>
      </c>
      <c r="S256" s="948">
        <v>41973</v>
      </c>
      <c r="T256" s="686" t="str">
        <f t="shared" si="73"/>
        <v>EN EJECUCION</v>
      </c>
      <c r="U256" s="837">
        <f t="shared" si="75"/>
        <v>11605.5</v>
      </c>
      <c r="V256" s="544"/>
      <c r="W256" s="544"/>
      <c r="X256" s="662"/>
      <c r="Y256" s="640"/>
      <c r="Z256" s="545" t="s">
        <v>278</v>
      </c>
      <c r="AA256" s="545" t="s">
        <v>178</v>
      </c>
      <c r="AB256" s="546" t="s">
        <v>187</v>
      </c>
      <c r="AC256" s="547">
        <v>2014</v>
      </c>
      <c r="AD256" s="95"/>
      <c r="AE256" s="93"/>
    </row>
    <row r="257" spans="1:31" s="94" customFormat="1" ht="50.1" customHeight="1">
      <c r="A257" s="1068"/>
      <c r="B257" s="648"/>
      <c r="C257" s="985" t="s">
        <v>182</v>
      </c>
      <c r="D257" s="1118"/>
      <c r="E257" s="636" t="str">
        <f t="shared" si="81"/>
        <v>MEJORAMIENTO DE LA VIA PINDAL MILAGROS PALETILLAS</v>
      </c>
      <c r="F257" s="831" t="s">
        <v>275</v>
      </c>
      <c r="G257" s="831" t="str">
        <f>VLOOKUP(H257,'Pob. Ext, Parroquial'!$B$9:$C$117,2,0)</f>
        <v>ZAPOTILLO</v>
      </c>
      <c r="H257" s="831" t="s">
        <v>659</v>
      </c>
      <c r="I257" s="831" t="s">
        <v>173</v>
      </c>
      <c r="J257" s="831" t="s">
        <v>174</v>
      </c>
      <c r="K257" s="831"/>
      <c r="L257" s="537"/>
      <c r="M257" s="538">
        <f>IF(K257&gt;0,VLOOKUP(H257,'[5]Pob. Ext, Parroquial'!$B$8:$F$117,4,FALSE),0)</f>
        <v>0</v>
      </c>
      <c r="N257" s="834" t="s">
        <v>281</v>
      </c>
      <c r="O257" s="836" t="s">
        <v>181</v>
      </c>
      <c r="P257" s="836">
        <v>0.3</v>
      </c>
      <c r="Q257" s="968">
        <v>40320</v>
      </c>
      <c r="R257" s="948">
        <v>41913</v>
      </c>
      <c r="S257" s="948">
        <v>41973</v>
      </c>
      <c r="T257" s="686" t="str">
        <f t="shared" si="73"/>
        <v>EN EJECUCION</v>
      </c>
      <c r="U257" s="837">
        <f t="shared" si="75"/>
        <v>12096</v>
      </c>
      <c r="V257" s="544"/>
      <c r="W257" s="544"/>
      <c r="X257" s="662"/>
      <c r="Y257" s="640"/>
      <c r="Z257" s="545" t="s">
        <v>278</v>
      </c>
      <c r="AA257" s="545" t="s">
        <v>178</v>
      </c>
      <c r="AB257" s="546" t="s">
        <v>187</v>
      </c>
      <c r="AC257" s="547">
        <v>2014</v>
      </c>
      <c r="AD257" s="95"/>
      <c r="AE257" s="93"/>
    </row>
    <row r="258" spans="1:31" s="94" customFormat="1" ht="50.1" customHeight="1">
      <c r="A258" s="1068"/>
      <c r="B258" s="648"/>
      <c r="C258" s="985" t="s">
        <v>182</v>
      </c>
      <c r="D258" s="1118"/>
      <c r="E258" s="636" t="str">
        <f t="shared" si="81"/>
        <v>MEJORAMIENTO DE LA VIA PINDAL MILAGROS PALETILLAS</v>
      </c>
      <c r="F258" s="831" t="s">
        <v>275</v>
      </c>
      <c r="G258" s="831" t="str">
        <f>VLOOKUP(H258,'Pob. Ext, Parroquial'!$B$9:$C$117,2,0)</f>
        <v>ZAPOTILLO</v>
      </c>
      <c r="H258" s="831" t="s">
        <v>659</v>
      </c>
      <c r="I258" s="831" t="s">
        <v>173</v>
      </c>
      <c r="J258" s="831" t="s">
        <v>174</v>
      </c>
      <c r="K258" s="831"/>
      <c r="L258" s="537">
        <f t="shared" ref="L258:L259" si="84">ROUNDUP(Q258/5.5/1000,2)</f>
        <v>6.55</v>
      </c>
      <c r="M258" s="538">
        <f>IF(K258&gt;0,VLOOKUP(H258,'[5]Pob. Ext, Parroquial'!$B$8:$F$117,4,FALSE),0)</f>
        <v>0</v>
      </c>
      <c r="N258" s="834" t="s">
        <v>185</v>
      </c>
      <c r="O258" s="836" t="s">
        <v>184</v>
      </c>
      <c r="P258" s="836">
        <v>0.08</v>
      </c>
      <c r="Q258" s="968">
        <v>36000</v>
      </c>
      <c r="R258" s="948">
        <v>41913</v>
      </c>
      <c r="S258" s="948">
        <v>41973</v>
      </c>
      <c r="T258" s="686" t="str">
        <f t="shared" si="73"/>
        <v>EN EJECUCION</v>
      </c>
      <c r="U258" s="837">
        <f t="shared" si="75"/>
        <v>2880</v>
      </c>
      <c r="V258" s="544"/>
      <c r="W258" s="544"/>
      <c r="X258" s="662"/>
      <c r="Y258" s="640"/>
      <c r="Z258" s="545" t="s">
        <v>278</v>
      </c>
      <c r="AA258" s="545" t="s">
        <v>178</v>
      </c>
      <c r="AB258" s="546" t="s">
        <v>179</v>
      </c>
      <c r="AC258" s="547">
        <v>2014</v>
      </c>
      <c r="AD258" s="95"/>
      <c r="AE258" s="93"/>
    </row>
    <row r="259" spans="1:31" s="94" customFormat="1" ht="50.1" customHeight="1">
      <c r="A259" s="1068"/>
      <c r="B259" s="648"/>
      <c r="C259" s="985" t="s">
        <v>182</v>
      </c>
      <c r="D259" s="1118"/>
      <c r="E259" s="636" t="str">
        <f t="shared" si="81"/>
        <v>MEJORAMIENTO DE LA VIA PINDAL MILAGROS PALETILLAS</v>
      </c>
      <c r="F259" s="831" t="s">
        <v>275</v>
      </c>
      <c r="G259" s="831" t="str">
        <f>VLOOKUP(H259,'Pob. Ext, Parroquial'!$B$9:$C$117,2,0)</f>
        <v>ZAPOTILLO</v>
      </c>
      <c r="H259" s="831" t="s">
        <v>659</v>
      </c>
      <c r="I259" s="831" t="s">
        <v>173</v>
      </c>
      <c r="J259" s="831" t="s">
        <v>174</v>
      </c>
      <c r="K259" s="831"/>
      <c r="L259" s="537">
        <f t="shared" si="84"/>
        <v>17.28</v>
      </c>
      <c r="M259" s="538">
        <f>IF(K259&gt;0,VLOOKUP(H259,'[5]Pob. Ext, Parroquial'!$B$8:$F$117,4,FALSE),0)</f>
        <v>0</v>
      </c>
      <c r="N259" s="834" t="s">
        <v>282</v>
      </c>
      <c r="O259" s="836" t="s">
        <v>184</v>
      </c>
      <c r="P259" s="836">
        <v>0.35</v>
      </c>
      <c r="Q259" s="968">
        <v>95000</v>
      </c>
      <c r="R259" s="948">
        <v>41913</v>
      </c>
      <c r="S259" s="948">
        <v>41973</v>
      </c>
      <c r="T259" s="686" t="str">
        <f t="shared" si="73"/>
        <v>EN EJECUCION</v>
      </c>
      <c r="U259" s="837">
        <f t="shared" si="75"/>
        <v>33250</v>
      </c>
      <c r="V259" s="544"/>
      <c r="W259" s="544"/>
      <c r="X259" s="662"/>
      <c r="Y259" s="640"/>
      <c r="Z259" s="545" t="s">
        <v>278</v>
      </c>
      <c r="AA259" s="545" t="s">
        <v>178</v>
      </c>
      <c r="AB259" s="546" t="s">
        <v>187</v>
      </c>
      <c r="AC259" s="547">
        <v>2014</v>
      </c>
      <c r="AD259" s="95"/>
      <c r="AE259" s="93"/>
    </row>
    <row r="260" spans="1:31" s="94" customFormat="1" ht="50.1" customHeight="1">
      <c r="A260" s="1068"/>
      <c r="B260" s="646"/>
      <c r="C260" s="985" t="s">
        <v>182</v>
      </c>
      <c r="D260" s="1120"/>
      <c r="E260" s="636" t="str">
        <f t="shared" si="81"/>
        <v>MEJORAMIENTO DE LA VIA PINDAL MILAGROS PALETILLAS</v>
      </c>
      <c r="F260" s="831" t="s">
        <v>275</v>
      </c>
      <c r="G260" s="831" t="str">
        <f>VLOOKUP(H260,'Pob. Ext, Parroquial'!$B$9:$C$117,2,0)</f>
        <v>ZAPOTILLO</v>
      </c>
      <c r="H260" s="831" t="s">
        <v>659</v>
      </c>
      <c r="I260" s="831" t="s">
        <v>173</v>
      </c>
      <c r="J260" s="831" t="s">
        <v>174</v>
      </c>
      <c r="K260" s="831"/>
      <c r="L260" s="537">
        <f>+ROUND(Q260/5500/0.2,2)</f>
        <v>9.16</v>
      </c>
      <c r="M260" s="538">
        <f>IF(K260&gt;0,VLOOKUP(H260,'[5]Pob. Ext, Parroquial'!$B$8:$F$117,4,FALSE),0)</f>
        <v>0</v>
      </c>
      <c r="N260" s="834" t="s">
        <v>229</v>
      </c>
      <c r="O260" s="836" t="s">
        <v>176</v>
      </c>
      <c r="P260" s="836">
        <v>5.92</v>
      </c>
      <c r="Q260" s="968">
        <v>10080</v>
      </c>
      <c r="R260" s="948">
        <v>41913</v>
      </c>
      <c r="S260" s="948">
        <v>41973</v>
      </c>
      <c r="T260" s="686" t="str">
        <f t="shared" si="73"/>
        <v>EN EJECUCION</v>
      </c>
      <c r="U260" s="837">
        <f t="shared" si="75"/>
        <v>59673.599999999999</v>
      </c>
      <c r="V260" s="544"/>
      <c r="W260" s="544"/>
      <c r="X260" s="664"/>
      <c r="Y260" s="640"/>
      <c r="Z260" s="545" t="s">
        <v>278</v>
      </c>
      <c r="AA260" s="545" t="s">
        <v>178</v>
      </c>
      <c r="AB260" s="546" t="s">
        <v>187</v>
      </c>
      <c r="AC260" s="547">
        <v>2014</v>
      </c>
      <c r="AD260" s="95"/>
      <c r="AE260" s="93"/>
    </row>
    <row r="261" spans="1:31" s="94" customFormat="1" ht="50.1" customHeight="1">
      <c r="A261" s="1068"/>
      <c r="B261" s="645"/>
      <c r="C261" s="985" t="s">
        <v>182</v>
      </c>
      <c r="D261" s="1117" t="s">
        <v>1169</v>
      </c>
      <c r="E261" s="636" t="str">
        <f t="shared" ref="E261" si="85">+D261</f>
        <v>MANTENIMIENTO DE LA VIA EL LIMON LA BOCANA LA VICTORIA CANTON MACARA</v>
      </c>
      <c r="F261" s="831" t="s">
        <v>275</v>
      </c>
      <c r="G261" s="831" t="str">
        <f>VLOOKUP(H261,'Pob. Ext, Parroquial'!$B$9:$C$117,2,0)</f>
        <v>MACARA</v>
      </c>
      <c r="H261" s="831" t="s">
        <v>606</v>
      </c>
      <c r="I261" s="831" t="s">
        <v>173</v>
      </c>
      <c r="J261" s="831" t="s">
        <v>174</v>
      </c>
      <c r="K261" s="831"/>
      <c r="L261" s="537"/>
      <c r="M261" s="538">
        <f>IF(K261&gt;0,VLOOKUP(H261,'[5]Pob. Ext, Parroquial'!$B$8:$F$117,4,FALSE),0)</f>
        <v>0</v>
      </c>
      <c r="N261" s="834" t="s">
        <v>276</v>
      </c>
      <c r="O261" s="836" t="s">
        <v>277</v>
      </c>
      <c r="P261" s="836">
        <v>948.16</v>
      </c>
      <c r="Q261" s="968">
        <v>2.2999999999999998</v>
      </c>
      <c r="R261" s="948">
        <v>41913</v>
      </c>
      <c r="S261" s="948">
        <v>41973</v>
      </c>
      <c r="T261" s="686" t="str">
        <f t="shared" si="73"/>
        <v>EN EJECUCION</v>
      </c>
      <c r="U261" s="837">
        <f t="shared" si="75"/>
        <v>2180.77</v>
      </c>
      <c r="V261" s="544"/>
      <c r="W261" s="544"/>
      <c r="X261" s="660">
        <f>SUM(U261:U269)</f>
        <v>92354.569999999992</v>
      </c>
      <c r="Y261" s="640"/>
      <c r="Z261" s="545" t="s">
        <v>278</v>
      </c>
      <c r="AA261" s="545" t="s">
        <v>178</v>
      </c>
      <c r="AB261" s="546" t="s">
        <v>187</v>
      </c>
      <c r="AC261" s="547">
        <v>2014</v>
      </c>
      <c r="AD261" s="95"/>
      <c r="AE261" s="93"/>
    </row>
    <row r="262" spans="1:31" s="94" customFormat="1" ht="50.1" customHeight="1">
      <c r="A262" s="1068"/>
      <c r="B262" s="648"/>
      <c r="C262" s="985" t="s">
        <v>182</v>
      </c>
      <c r="D262" s="1118"/>
      <c r="E262" s="636" t="str">
        <f t="shared" si="81"/>
        <v>MANTENIMIENTO DE LA VIA EL LIMON LA BOCANA LA VICTORIA CANTON MACARA</v>
      </c>
      <c r="F262" s="831" t="s">
        <v>275</v>
      </c>
      <c r="G262" s="831" t="str">
        <f>VLOOKUP(H262,'Pob. Ext, Parroquial'!$B$9:$C$117,2,0)</f>
        <v>MACARA</v>
      </c>
      <c r="H262" s="831" t="s">
        <v>606</v>
      </c>
      <c r="I262" s="831" t="s">
        <v>173</v>
      </c>
      <c r="J262" s="831" t="s">
        <v>174</v>
      </c>
      <c r="K262" s="831"/>
      <c r="L262" s="537"/>
      <c r="M262" s="538">
        <f>IF(K262&gt;0,VLOOKUP(H262,'[5]Pob. Ext, Parroquial'!$B$8:$F$117,4,FALSE),0)</f>
        <v>0</v>
      </c>
      <c r="N262" s="834" t="s">
        <v>226</v>
      </c>
      <c r="O262" s="836" t="s">
        <v>176</v>
      </c>
      <c r="P262" s="836">
        <v>1.62</v>
      </c>
      <c r="Q262" s="968">
        <v>0</v>
      </c>
      <c r="R262" s="948">
        <v>41913</v>
      </c>
      <c r="S262" s="948">
        <v>41973</v>
      </c>
      <c r="T262" s="686" t="str">
        <f t="shared" si="73"/>
        <v>EN EJECUCION</v>
      </c>
      <c r="U262" s="837">
        <f t="shared" si="75"/>
        <v>0</v>
      </c>
      <c r="V262" s="544"/>
      <c r="W262" s="544"/>
      <c r="X262" s="662"/>
      <c r="Y262" s="640"/>
      <c r="Z262" s="545" t="s">
        <v>278</v>
      </c>
      <c r="AA262" s="545" t="s">
        <v>178</v>
      </c>
      <c r="AB262" s="546" t="s">
        <v>187</v>
      </c>
      <c r="AC262" s="547">
        <v>2014</v>
      </c>
      <c r="AD262" s="95"/>
      <c r="AE262" s="93"/>
    </row>
    <row r="263" spans="1:31" s="94" customFormat="1" ht="50.1" customHeight="1">
      <c r="A263" s="1068"/>
      <c r="B263" s="648"/>
      <c r="C263" s="985" t="s">
        <v>182</v>
      </c>
      <c r="D263" s="1118"/>
      <c r="E263" s="636" t="str">
        <f t="shared" si="81"/>
        <v>MANTENIMIENTO DE LA VIA EL LIMON LA BOCANA LA VICTORIA CANTON MACARA</v>
      </c>
      <c r="F263" s="831" t="s">
        <v>275</v>
      </c>
      <c r="G263" s="831" t="str">
        <f>VLOOKUP(H263,'Pob. Ext, Parroquial'!$B$9:$C$117,2,0)</f>
        <v>MACARA</v>
      </c>
      <c r="H263" s="831" t="s">
        <v>606</v>
      </c>
      <c r="I263" s="831" t="s">
        <v>173</v>
      </c>
      <c r="J263" s="831" t="s">
        <v>174</v>
      </c>
      <c r="K263" s="831"/>
      <c r="L263" s="537"/>
      <c r="M263" s="538">
        <f>IF(K263&gt;0,VLOOKUP(H263,'[5]Pob. Ext, Parroquial'!$B$8:$F$117,4,FALSE),0)</f>
        <v>0</v>
      </c>
      <c r="N263" s="834" t="s">
        <v>200</v>
      </c>
      <c r="O263" s="836" t="s">
        <v>176</v>
      </c>
      <c r="P263" s="836">
        <v>1.46</v>
      </c>
      <c r="Q263" s="968">
        <v>1035</v>
      </c>
      <c r="R263" s="948">
        <v>41913</v>
      </c>
      <c r="S263" s="948">
        <v>41973</v>
      </c>
      <c r="T263" s="686" t="str">
        <f t="shared" si="73"/>
        <v>EN EJECUCION</v>
      </c>
      <c r="U263" s="837">
        <f t="shared" si="75"/>
        <v>1511.1</v>
      </c>
      <c r="V263" s="544"/>
      <c r="W263" s="544"/>
      <c r="X263" s="662"/>
      <c r="Y263" s="640"/>
      <c r="Z263" s="545" t="s">
        <v>278</v>
      </c>
      <c r="AA263" s="545" t="s">
        <v>178</v>
      </c>
      <c r="AB263" s="546" t="s">
        <v>187</v>
      </c>
      <c r="AC263" s="547">
        <v>2014</v>
      </c>
      <c r="AD263" s="95"/>
      <c r="AE263" s="93"/>
    </row>
    <row r="264" spans="1:31" s="94" customFormat="1" ht="50.1" customHeight="1">
      <c r="A264" s="1068"/>
      <c r="B264" s="648"/>
      <c r="C264" s="985" t="s">
        <v>182</v>
      </c>
      <c r="D264" s="1118"/>
      <c r="E264" s="636" t="str">
        <f t="shared" si="81"/>
        <v>MANTENIMIENTO DE LA VIA EL LIMON LA BOCANA LA VICTORIA CANTON MACARA</v>
      </c>
      <c r="F264" s="831" t="s">
        <v>275</v>
      </c>
      <c r="G264" s="831" t="str">
        <f>VLOOKUP(H264,'Pob. Ext, Parroquial'!$B$9:$C$117,2,0)</f>
        <v>MACARA</v>
      </c>
      <c r="H264" s="831" t="s">
        <v>606</v>
      </c>
      <c r="I264" s="831" t="s">
        <v>173</v>
      </c>
      <c r="J264" s="831" t="s">
        <v>174</v>
      </c>
      <c r="K264" s="831"/>
      <c r="L264" s="537"/>
      <c r="M264" s="538">
        <f>IF(K264&gt;0,VLOOKUP(H264,'[5]Pob. Ext, Parroquial'!$B$8:$F$117,4,FALSE),0)</f>
        <v>0</v>
      </c>
      <c r="N264" s="834" t="s">
        <v>279</v>
      </c>
      <c r="O264" s="836" t="s">
        <v>176</v>
      </c>
      <c r="P264" s="836">
        <v>1.47</v>
      </c>
      <c r="Q264" s="968">
        <v>0</v>
      </c>
      <c r="R264" s="948">
        <v>41913</v>
      </c>
      <c r="S264" s="948">
        <v>41973</v>
      </c>
      <c r="T264" s="686" t="str">
        <f t="shared" si="73"/>
        <v>EN EJECUCION</v>
      </c>
      <c r="U264" s="837">
        <f t="shared" si="75"/>
        <v>0</v>
      </c>
      <c r="V264" s="544"/>
      <c r="W264" s="544"/>
      <c r="X264" s="662"/>
      <c r="Y264" s="640"/>
      <c r="Z264" s="545" t="s">
        <v>278</v>
      </c>
      <c r="AA264" s="545" t="s">
        <v>178</v>
      </c>
      <c r="AB264" s="546" t="s">
        <v>187</v>
      </c>
      <c r="AC264" s="547">
        <v>2014</v>
      </c>
      <c r="AD264" s="95"/>
      <c r="AE264" s="93"/>
    </row>
    <row r="265" spans="1:31" s="94" customFormat="1" ht="50.1" customHeight="1">
      <c r="A265" s="1068"/>
      <c r="B265" s="648"/>
      <c r="C265" s="985" t="s">
        <v>182</v>
      </c>
      <c r="D265" s="1118"/>
      <c r="E265" s="636" t="str">
        <f t="shared" si="81"/>
        <v>MANTENIMIENTO DE LA VIA EL LIMON LA BOCANA LA VICTORIA CANTON MACARA</v>
      </c>
      <c r="F265" s="831" t="s">
        <v>275</v>
      </c>
      <c r="G265" s="831" t="str">
        <f>VLOOKUP(H265,'Pob. Ext, Parroquial'!$B$9:$C$117,2,0)</f>
        <v>MACARA</v>
      </c>
      <c r="H265" s="831" t="s">
        <v>606</v>
      </c>
      <c r="I265" s="831" t="s">
        <v>173</v>
      </c>
      <c r="J265" s="831" t="s">
        <v>174</v>
      </c>
      <c r="K265" s="831"/>
      <c r="L265" s="537"/>
      <c r="M265" s="538">
        <f>IF(K265&gt;0,VLOOKUP(H265,'[5]Pob. Ext, Parroquial'!$B$8:$F$117,4,FALSE),0)</f>
        <v>0</v>
      </c>
      <c r="N265" s="834" t="s">
        <v>280</v>
      </c>
      <c r="O265" s="836" t="s">
        <v>181</v>
      </c>
      <c r="P265" s="836">
        <v>0.3</v>
      </c>
      <c r="Q265" s="968">
        <v>0</v>
      </c>
      <c r="R265" s="948">
        <v>41913</v>
      </c>
      <c r="S265" s="948">
        <v>41973</v>
      </c>
      <c r="T265" s="686" t="str">
        <f t="shared" si="73"/>
        <v>EN EJECUCION</v>
      </c>
      <c r="U265" s="837">
        <f t="shared" si="75"/>
        <v>0</v>
      </c>
      <c r="V265" s="544"/>
      <c r="W265" s="544"/>
      <c r="X265" s="662"/>
      <c r="Y265" s="640"/>
      <c r="Z265" s="545" t="s">
        <v>278</v>
      </c>
      <c r="AA265" s="545" t="s">
        <v>178</v>
      </c>
      <c r="AB265" s="546" t="s">
        <v>187</v>
      </c>
      <c r="AC265" s="547">
        <v>2014</v>
      </c>
      <c r="AD265" s="95"/>
      <c r="AE265" s="93"/>
    </row>
    <row r="266" spans="1:31" s="94" customFormat="1" ht="50.1" customHeight="1">
      <c r="A266" s="1068"/>
      <c r="B266" s="648"/>
      <c r="C266" s="985" t="s">
        <v>182</v>
      </c>
      <c r="D266" s="1118"/>
      <c r="E266" s="636" t="str">
        <f t="shared" si="81"/>
        <v>MANTENIMIENTO DE LA VIA EL LIMON LA BOCANA LA VICTORIA CANTON MACARA</v>
      </c>
      <c r="F266" s="831" t="s">
        <v>275</v>
      </c>
      <c r="G266" s="831" t="str">
        <f>VLOOKUP(H266,'Pob. Ext, Parroquial'!$B$9:$C$117,2,0)</f>
        <v>MACARA</v>
      </c>
      <c r="H266" s="831" t="s">
        <v>606</v>
      </c>
      <c r="I266" s="831" t="s">
        <v>173</v>
      </c>
      <c r="J266" s="831" t="s">
        <v>174</v>
      </c>
      <c r="K266" s="831"/>
      <c r="L266" s="537"/>
      <c r="M266" s="538">
        <f>IF(K266&gt;0,VLOOKUP(H266,'[5]Pob. Ext, Parroquial'!$B$8:$F$117,4,FALSE),0)</f>
        <v>0</v>
      </c>
      <c r="N266" s="834" t="s">
        <v>281</v>
      </c>
      <c r="O266" s="836" t="s">
        <v>181</v>
      </c>
      <c r="P266" s="836">
        <v>0.3</v>
      </c>
      <c r="Q266" s="968">
        <v>36225</v>
      </c>
      <c r="R266" s="948">
        <v>41913</v>
      </c>
      <c r="S266" s="948">
        <v>41973</v>
      </c>
      <c r="T266" s="686" t="str">
        <f t="shared" si="73"/>
        <v>EN EJECUCION</v>
      </c>
      <c r="U266" s="837">
        <f t="shared" si="75"/>
        <v>10867.5</v>
      </c>
      <c r="V266" s="544"/>
      <c r="W266" s="544"/>
      <c r="X266" s="662"/>
      <c r="Y266" s="640"/>
      <c r="Z266" s="545" t="s">
        <v>278</v>
      </c>
      <c r="AA266" s="545" t="s">
        <v>178</v>
      </c>
      <c r="AB266" s="546" t="s">
        <v>187</v>
      </c>
      <c r="AC266" s="547">
        <v>2014</v>
      </c>
      <c r="AD266" s="95"/>
      <c r="AE266" s="93"/>
    </row>
    <row r="267" spans="1:31" s="94" customFormat="1" ht="50.1" customHeight="1">
      <c r="A267" s="1068"/>
      <c r="B267" s="648"/>
      <c r="C267" s="985" t="s">
        <v>182</v>
      </c>
      <c r="D267" s="1118"/>
      <c r="E267" s="636" t="str">
        <f t="shared" si="81"/>
        <v>MANTENIMIENTO DE LA VIA EL LIMON LA BOCANA LA VICTORIA CANTON MACARA</v>
      </c>
      <c r="F267" s="831" t="s">
        <v>275</v>
      </c>
      <c r="G267" s="831" t="str">
        <f>VLOOKUP(H267,'Pob. Ext, Parroquial'!$B$9:$C$117,2,0)</f>
        <v>MACARA</v>
      </c>
      <c r="H267" s="831" t="s">
        <v>606</v>
      </c>
      <c r="I267" s="831" t="s">
        <v>173</v>
      </c>
      <c r="J267" s="831" t="s">
        <v>174</v>
      </c>
      <c r="K267" s="831"/>
      <c r="L267" s="537">
        <f t="shared" ref="L267:L268" si="86">ROUNDUP(Q267/5.5/1000,2)</f>
        <v>0</v>
      </c>
      <c r="M267" s="538">
        <f>IF(K267&gt;0,VLOOKUP(H267,'[5]Pob. Ext, Parroquial'!$B$8:$F$117,4,FALSE),0)</f>
        <v>0</v>
      </c>
      <c r="N267" s="834" t="s">
        <v>185</v>
      </c>
      <c r="O267" s="836" t="s">
        <v>184</v>
      </c>
      <c r="P267" s="836">
        <v>0.08</v>
      </c>
      <c r="Q267" s="968">
        <v>0</v>
      </c>
      <c r="R267" s="948">
        <v>41913</v>
      </c>
      <c r="S267" s="948">
        <v>41973</v>
      </c>
      <c r="T267" s="686" t="str">
        <f t="shared" si="73"/>
        <v>EN EJECUCION</v>
      </c>
      <c r="U267" s="837">
        <f t="shared" si="75"/>
        <v>0</v>
      </c>
      <c r="V267" s="544"/>
      <c r="W267" s="544"/>
      <c r="X267" s="662"/>
      <c r="Y267" s="640"/>
      <c r="Z267" s="545" t="s">
        <v>278</v>
      </c>
      <c r="AA267" s="545" t="s">
        <v>178</v>
      </c>
      <c r="AB267" s="546" t="s">
        <v>179</v>
      </c>
      <c r="AC267" s="547">
        <v>2014</v>
      </c>
      <c r="AD267" s="95"/>
      <c r="AE267" s="93"/>
    </row>
    <row r="268" spans="1:31" s="94" customFormat="1" ht="50.1" customHeight="1">
      <c r="A268" s="1068"/>
      <c r="B268" s="648"/>
      <c r="C268" s="985" t="s">
        <v>182</v>
      </c>
      <c r="D268" s="1118"/>
      <c r="E268" s="636" t="str">
        <f t="shared" si="81"/>
        <v>MANTENIMIENTO DE LA VIA EL LIMON LA BOCANA LA VICTORIA CANTON MACARA</v>
      </c>
      <c r="F268" s="831" t="s">
        <v>275</v>
      </c>
      <c r="G268" s="831" t="str">
        <f>VLOOKUP(H268,'Pob. Ext, Parroquial'!$B$9:$C$117,2,0)</f>
        <v>MACARA</v>
      </c>
      <c r="H268" s="831" t="s">
        <v>606</v>
      </c>
      <c r="I268" s="831" t="s">
        <v>173</v>
      </c>
      <c r="J268" s="831" t="s">
        <v>174</v>
      </c>
      <c r="K268" s="831"/>
      <c r="L268" s="537">
        <f t="shared" si="86"/>
        <v>29.28</v>
      </c>
      <c r="M268" s="538">
        <f>IF(K268&gt;0,VLOOKUP(H268,'[5]Pob. Ext, Parroquial'!$B$8:$F$117,4,FALSE),0)</f>
        <v>0</v>
      </c>
      <c r="N268" s="834" t="s">
        <v>282</v>
      </c>
      <c r="O268" s="836" t="s">
        <v>184</v>
      </c>
      <c r="P268" s="836">
        <v>0.35</v>
      </c>
      <c r="Q268" s="968">
        <v>161000</v>
      </c>
      <c r="R268" s="948">
        <v>41913</v>
      </c>
      <c r="S268" s="948">
        <v>41973</v>
      </c>
      <c r="T268" s="686" t="str">
        <f t="shared" si="73"/>
        <v>EN EJECUCION</v>
      </c>
      <c r="U268" s="837">
        <f t="shared" si="75"/>
        <v>56350</v>
      </c>
      <c r="V268" s="544"/>
      <c r="W268" s="544"/>
      <c r="X268" s="662"/>
      <c r="Y268" s="640"/>
      <c r="Z268" s="545" t="s">
        <v>278</v>
      </c>
      <c r="AA268" s="545" t="s">
        <v>178</v>
      </c>
      <c r="AB268" s="546" t="s">
        <v>187</v>
      </c>
      <c r="AC268" s="547">
        <v>2014</v>
      </c>
      <c r="AD268" s="95"/>
      <c r="AE268" s="93"/>
    </row>
    <row r="269" spans="1:31" s="94" customFormat="1" ht="50.1" customHeight="1">
      <c r="A269" s="1068"/>
      <c r="B269" s="646"/>
      <c r="C269" s="985" t="s">
        <v>182</v>
      </c>
      <c r="D269" s="1120"/>
      <c r="E269" s="636" t="str">
        <f t="shared" si="81"/>
        <v>MANTENIMIENTO DE LA VIA EL LIMON LA BOCANA LA VICTORIA CANTON MACARA</v>
      </c>
      <c r="F269" s="831" t="s">
        <v>275</v>
      </c>
      <c r="G269" s="831" t="str">
        <f>VLOOKUP(H269,'Pob. Ext, Parroquial'!$B$9:$C$117,2,0)</f>
        <v>MACARA</v>
      </c>
      <c r="H269" s="831" t="s">
        <v>606</v>
      </c>
      <c r="I269" s="831" t="s">
        <v>173</v>
      </c>
      <c r="J269" s="831" t="s">
        <v>174</v>
      </c>
      <c r="K269" s="831"/>
      <c r="L269" s="537">
        <f>+ROUND(Q269/5500/0.2,2)</f>
        <v>3.29</v>
      </c>
      <c r="M269" s="538">
        <f>IF(K269&gt;0,VLOOKUP(H269,'[5]Pob. Ext, Parroquial'!$B$8:$F$117,4,FALSE),0)</f>
        <v>0</v>
      </c>
      <c r="N269" s="834" t="s">
        <v>229</v>
      </c>
      <c r="O269" s="836" t="s">
        <v>176</v>
      </c>
      <c r="P269" s="836">
        <v>5.92</v>
      </c>
      <c r="Q269" s="968">
        <v>3622.5</v>
      </c>
      <c r="R269" s="948">
        <v>41913</v>
      </c>
      <c r="S269" s="948">
        <v>41973</v>
      </c>
      <c r="T269" s="686" t="str">
        <f t="shared" si="73"/>
        <v>EN EJECUCION</v>
      </c>
      <c r="U269" s="837">
        <f t="shared" si="75"/>
        <v>21445.200000000001</v>
      </c>
      <c r="V269" s="544"/>
      <c r="W269" s="544"/>
      <c r="X269" s="664"/>
      <c r="Y269" s="640"/>
      <c r="Z269" s="545" t="s">
        <v>278</v>
      </c>
      <c r="AA269" s="545" t="s">
        <v>178</v>
      </c>
      <c r="AB269" s="546" t="s">
        <v>187</v>
      </c>
      <c r="AC269" s="547">
        <v>2014</v>
      </c>
      <c r="AD269" s="95"/>
      <c r="AE269" s="93"/>
    </row>
    <row r="270" spans="1:31" s="94" customFormat="1" ht="50.1" customHeight="1">
      <c r="A270" s="1068"/>
      <c r="B270" s="645"/>
      <c r="C270" s="985" t="s">
        <v>182</v>
      </c>
      <c r="D270" s="1117" t="s">
        <v>1170</v>
      </c>
      <c r="E270" s="636" t="str">
        <f t="shared" ref="E270" si="87">+D270</f>
        <v>MANTENIMIENTO DE LA VIA SAN JUAMPAMBA - ACHIMA, PARROQUIA SABIANGO, CANTON MACARA</v>
      </c>
      <c r="F270" s="831" t="s">
        <v>275</v>
      </c>
      <c r="G270" s="831" t="str">
        <f>VLOOKUP(H270,'Pob. Ext, Parroquial'!$B$9:$C$117,2,0)</f>
        <v>MACARA</v>
      </c>
      <c r="H270" s="831" t="s">
        <v>606</v>
      </c>
      <c r="I270" s="831" t="s">
        <v>173</v>
      </c>
      <c r="J270" s="831" t="s">
        <v>174</v>
      </c>
      <c r="K270" s="831"/>
      <c r="L270" s="537"/>
      <c r="M270" s="538">
        <f>IF(K270&gt;0,VLOOKUP(H270,'[5]Pob. Ext, Parroquial'!$B$8:$F$117,4,FALSE),0)</f>
        <v>0</v>
      </c>
      <c r="N270" s="834" t="s">
        <v>276</v>
      </c>
      <c r="O270" s="836" t="s">
        <v>277</v>
      </c>
      <c r="P270" s="836">
        <v>948.16</v>
      </c>
      <c r="Q270" s="968">
        <v>2.6</v>
      </c>
      <c r="R270" s="948">
        <v>41913</v>
      </c>
      <c r="S270" s="948">
        <v>41973</v>
      </c>
      <c r="T270" s="686" t="str">
        <f t="shared" si="73"/>
        <v>EN EJECUCION</v>
      </c>
      <c r="U270" s="837">
        <f t="shared" si="75"/>
        <v>2465.2199999999998</v>
      </c>
      <c r="V270" s="544"/>
      <c r="W270" s="544"/>
      <c r="X270" s="660">
        <f>SUM(U270:U278)</f>
        <v>89042.22</v>
      </c>
      <c r="Y270" s="640"/>
      <c r="Z270" s="545" t="s">
        <v>278</v>
      </c>
      <c r="AA270" s="545" t="s">
        <v>178</v>
      </c>
      <c r="AB270" s="546" t="s">
        <v>187</v>
      </c>
      <c r="AC270" s="547">
        <v>2014</v>
      </c>
      <c r="AD270" s="95"/>
      <c r="AE270" s="93"/>
    </row>
    <row r="271" spans="1:31" s="94" customFormat="1" ht="50.1" customHeight="1">
      <c r="A271" s="1068"/>
      <c r="B271" s="648"/>
      <c r="C271" s="985" t="s">
        <v>182</v>
      </c>
      <c r="D271" s="1118"/>
      <c r="E271" s="636" t="str">
        <f t="shared" si="81"/>
        <v>MANTENIMIENTO DE LA VIA SAN JUAMPAMBA - ACHIMA, PARROQUIA SABIANGO, CANTON MACARA</v>
      </c>
      <c r="F271" s="831" t="s">
        <v>275</v>
      </c>
      <c r="G271" s="831" t="str">
        <f>VLOOKUP(H271,'Pob. Ext, Parroquial'!$B$9:$C$117,2,0)</f>
        <v>MACARA</v>
      </c>
      <c r="H271" s="831" t="s">
        <v>606</v>
      </c>
      <c r="I271" s="831" t="s">
        <v>173</v>
      </c>
      <c r="J271" s="831" t="s">
        <v>174</v>
      </c>
      <c r="K271" s="831"/>
      <c r="L271" s="537"/>
      <c r="M271" s="538">
        <f>IF(K271&gt;0,VLOOKUP(H271,'[5]Pob. Ext, Parroquial'!$B$8:$F$117,4,FALSE),0)</f>
        <v>0</v>
      </c>
      <c r="N271" s="834" t="s">
        <v>226</v>
      </c>
      <c r="O271" s="836" t="s">
        <v>176</v>
      </c>
      <c r="P271" s="836">
        <v>1.62</v>
      </c>
      <c r="Q271" s="968">
        <v>4700</v>
      </c>
      <c r="R271" s="948">
        <v>41913</v>
      </c>
      <c r="S271" s="948">
        <v>41973</v>
      </c>
      <c r="T271" s="686" t="str">
        <f t="shared" si="73"/>
        <v>EN EJECUCION</v>
      </c>
      <c r="U271" s="837">
        <f t="shared" si="75"/>
        <v>7614</v>
      </c>
      <c r="V271" s="544"/>
      <c r="W271" s="544"/>
      <c r="X271" s="662"/>
      <c r="Y271" s="640"/>
      <c r="Z271" s="545" t="s">
        <v>278</v>
      </c>
      <c r="AA271" s="545" t="s">
        <v>178</v>
      </c>
      <c r="AB271" s="546" t="s">
        <v>187</v>
      </c>
      <c r="AC271" s="547">
        <v>2014</v>
      </c>
      <c r="AD271" s="95"/>
      <c r="AE271" s="93"/>
    </row>
    <row r="272" spans="1:31" s="94" customFormat="1" ht="50.1" customHeight="1">
      <c r="A272" s="1068"/>
      <c r="B272" s="648"/>
      <c r="C272" s="985" t="s">
        <v>182</v>
      </c>
      <c r="D272" s="1118"/>
      <c r="E272" s="636" t="str">
        <f t="shared" si="81"/>
        <v>MANTENIMIENTO DE LA VIA SAN JUAMPAMBA - ACHIMA, PARROQUIA SABIANGO, CANTON MACARA</v>
      </c>
      <c r="F272" s="831" t="s">
        <v>275</v>
      </c>
      <c r="G272" s="831" t="str">
        <f>VLOOKUP(H272,'Pob. Ext, Parroquial'!$B$9:$C$117,2,0)</f>
        <v>MACARA</v>
      </c>
      <c r="H272" s="831" t="s">
        <v>606</v>
      </c>
      <c r="I272" s="831" t="s">
        <v>173</v>
      </c>
      <c r="J272" s="831" t="s">
        <v>174</v>
      </c>
      <c r="K272" s="831"/>
      <c r="L272" s="537"/>
      <c r="M272" s="538">
        <f>IF(K272&gt;0,VLOOKUP(H272,'[5]Pob. Ext, Parroquial'!$B$8:$F$117,4,FALSE),0)</f>
        <v>0</v>
      </c>
      <c r="N272" s="834" t="s">
        <v>200</v>
      </c>
      <c r="O272" s="836" t="s">
        <v>176</v>
      </c>
      <c r="P272" s="836">
        <v>1.46</v>
      </c>
      <c r="Q272" s="968">
        <v>3000</v>
      </c>
      <c r="R272" s="948">
        <v>41913</v>
      </c>
      <c r="S272" s="948">
        <v>41973</v>
      </c>
      <c r="T272" s="686" t="str">
        <f t="shared" si="73"/>
        <v>EN EJECUCION</v>
      </c>
      <c r="U272" s="837">
        <f t="shared" si="75"/>
        <v>4380</v>
      </c>
      <c r="V272" s="544"/>
      <c r="W272" s="544"/>
      <c r="X272" s="662"/>
      <c r="Y272" s="640"/>
      <c r="Z272" s="545" t="s">
        <v>278</v>
      </c>
      <c r="AA272" s="545" t="s">
        <v>178</v>
      </c>
      <c r="AB272" s="546" t="s">
        <v>187</v>
      </c>
      <c r="AC272" s="547">
        <v>2014</v>
      </c>
      <c r="AD272" s="95"/>
      <c r="AE272" s="93"/>
    </row>
    <row r="273" spans="1:31" s="94" customFormat="1" ht="50.1" customHeight="1">
      <c r="A273" s="1068"/>
      <c r="B273" s="648"/>
      <c r="C273" s="985" t="s">
        <v>182</v>
      </c>
      <c r="D273" s="1118"/>
      <c r="E273" s="636" t="str">
        <f t="shared" si="81"/>
        <v>MANTENIMIENTO DE LA VIA SAN JUAMPAMBA - ACHIMA, PARROQUIA SABIANGO, CANTON MACARA</v>
      </c>
      <c r="F273" s="831" t="s">
        <v>275</v>
      </c>
      <c r="G273" s="831" t="str">
        <f>VLOOKUP(H273,'Pob. Ext, Parroquial'!$B$9:$C$117,2,0)</f>
        <v>MACARA</v>
      </c>
      <c r="H273" s="831" t="s">
        <v>606</v>
      </c>
      <c r="I273" s="831" t="s">
        <v>173</v>
      </c>
      <c r="J273" s="831" t="s">
        <v>174</v>
      </c>
      <c r="K273" s="831"/>
      <c r="L273" s="537"/>
      <c r="M273" s="538">
        <f>IF(K273&gt;0,VLOOKUP(H273,'[5]Pob. Ext, Parroquial'!$B$8:$F$117,4,FALSE),0)</f>
        <v>0</v>
      </c>
      <c r="N273" s="834" t="s">
        <v>279</v>
      </c>
      <c r="O273" s="836" t="s">
        <v>176</v>
      </c>
      <c r="P273" s="836">
        <v>1.47</v>
      </c>
      <c r="Q273" s="968">
        <v>0</v>
      </c>
      <c r="R273" s="948">
        <v>41913</v>
      </c>
      <c r="S273" s="948">
        <v>41973</v>
      </c>
      <c r="T273" s="686" t="str">
        <f t="shared" si="73"/>
        <v>EN EJECUCION</v>
      </c>
      <c r="U273" s="837">
        <f t="shared" si="75"/>
        <v>0</v>
      </c>
      <c r="V273" s="544"/>
      <c r="W273" s="544"/>
      <c r="X273" s="662"/>
      <c r="Y273" s="640"/>
      <c r="Z273" s="545" t="s">
        <v>278</v>
      </c>
      <c r="AA273" s="545" t="s">
        <v>178</v>
      </c>
      <c r="AB273" s="546" t="s">
        <v>187</v>
      </c>
      <c r="AC273" s="547">
        <v>2014</v>
      </c>
      <c r="AD273" s="95"/>
      <c r="AE273" s="93"/>
    </row>
    <row r="274" spans="1:31" s="94" customFormat="1" ht="50.1" customHeight="1">
      <c r="A274" s="1068"/>
      <c r="B274" s="648"/>
      <c r="C274" s="985" t="s">
        <v>182</v>
      </c>
      <c r="D274" s="1118"/>
      <c r="E274" s="636" t="str">
        <f t="shared" si="81"/>
        <v>MANTENIMIENTO DE LA VIA SAN JUAMPAMBA - ACHIMA, PARROQUIA SABIANGO, CANTON MACARA</v>
      </c>
      <c r="F274" s="831" t="s">
        <v>275</v>
      </c>
      <c r="G274" s="831" t="str">
        <f>VLOOKUP(H274,'Pob. Ext, Parroquial'!$B$9:$C$117,2,0)</f>
        <v>MACARA</v>
      </c>
      <c r="H274" s="831" t="s">
        <v>606</v>
      </c>
      <c r="I274" s="831" t="s">
        <v>173</v>
      </c>
      <c r="J274" s="831" t="s">
        <v>174</v>
      </c>
      <c r="K274" s="831"/>
      <c r="L274" s="537"/>
      <c r="M274" s="538">
        <f>IF(K274&gt;0,VLOOKUP(H274,'[5]Pob. Ext, Parroquial'!$B$8:$F$117,4,FALSE),0)</f>
        <v>0</v>
      </c>
      <c r="N274" s="834" t="s">
        <v>280</v>
      </c>
      <c r="O274" s="836" t="s">
        <v>181</v>
      </c>
      <c r="P274" s="836">
        <v>0.3</v>
      </c>
      <c r="Q274" s="968">
        <v>3000</v>
      </c>
      <c r="R274" s="948">
        <v>41913</v>
      </c>
      <c r="S274" s="948">
        <v>41973</v>
      </c>
      <c r="T274" s="686" t="str">
        <f t="shared" si="73"/>
        <v>EN EJECUCION</v>
      </c>
      <c r="U274" s="837">
        <f t="shared" si="75"/>
        <v>900</v>
      </c>
      <c r="V274" s="544"/>
      <c r="W274" s="544"/>
      <c r="X274" s="662"/>
      <c r="Y274" s="640"/>
      <c r="Z274" s="545" t="s">
        <v>278</v>
      </c>
      <c r="AA274" s="545" t="s">
        <v>178</v>
      </c>
      <c r="AB274" s="546" t="s">
        <v>187</v>
      </c>
      <c r="AC274" s="547">
        <v>2014</v>
      </c>
      <c r="AD274" s="95"/>
      <c r="AE274" s="93"/>
    </row>
    <row r="275" spans="1:31" s="94" customFormat="1" ht="50.1" customHeight="1">
      <c r="A275" s="1068"/>
      <c r="B275" s="648"/>
      <c r="C275" s="985" t="s">
        <v>182</v>
      </c>
      <c r="D275" s="1118"/>
      <c r="E275" s="636" t="str">
        <f t="shared" si="81"/>
        <v>MANTENIMIENTO DE LA VIA SAN JUAMPAMBA - ACHIMA, PARROQUIA SABIANGO, CANTON MACARA</v>
      </c>
      <c r="F275" s="831" t="s">
        <v>275</v>
      </c>
      <c r="G275" s="831" t="str">
        <f>VLOOKUP(H275,'Pob. Ext, Parroquial'!$B$9:$C$117,2,0)</f>
        <v>MACARA</v>
      </c>
      <c r="H275" s="831" t="s">
        <v>606</v>
      </c>
      <c r="I275" s="831" t="s">
        <v>173</v>
      </c>
      <c r="J275" s="831" t="s">
        <v>174</v>
      </c>
      <c r="K275" s="831"/>
      <c r="L275" s="537"/>
      <c r="M275" s="538">
        <f>IF(K275&gt;0,VLOOKUP(H275,'[5]Pob. Ext, Parroquial'!$B$8:$F$117,4,FALSE),0)</f>
        <v>0</v>
      </c>
      <c r="N275" s="834" t="s">
        <v>281</v>
      </c>
      <c r="O275" s="836" t="s">
        <v>181</v>
      </c>
      <c r="P275" s="836">
        <v>0.3</v>
      </c>
      <c r="Q275" s="968">
        <v>62100</v>
      </c>
      <c r="R275" s="948">
        <v>41913</v>
      </c>
      <c r="S275" s="948">
        <v>41973</v>
      </c>
      <c r="T275" s="686" t="str">
        <f t="shared" si="73"/>
        <v>EN EJECUCION</v>
      </c>
      <c r="U275" s="837">
        <f t="shared" si="75"/>
        <v>18630</v>
      </c>
      <c r="V275" s="544"/>
      <c r="W275" s="544"/>
      <c r="X275" s="662"/>
      <c r="Y275" s="640"/>
      <c r="Z275" s="545" t="s">
        <v>278</v>
      </c>
      <c r="AA275" s="545" t="s">
        <v>178</v>
      </c>
      <c r="AB275" s="546" t="s">
        <v>187</v>
      </c>
      <c r="AC275" s="547">
        <v>2014</v>
      </c>
      <c r="AD275" s="95"/>
      <c r="AE275" s="93"/>
    </row>
    <row r="276" spans="1:31" s="94" customFormat="1" ht="50.1" customHeight="1">
      <c r="A276" s="1068"/>
      <c r="B276" s="648"/>
      <c r="C276" s="985" t="s">
        <v>182</v>
      </c>
      <c r="D276" s="1118"/>
      <c r="E276" s="636" t="str">
        <f t="shared" si="81"/>
        <v>MANTENIMIENTO DE LA VIA SAN JUAMPAMBA - ACHIMA, PARROQUIA SABIANGO, CANTON MACARA</v>
      </c>
      <c r="F276" s="831" t="s">
        <v>275</v>
      </c>
      <c r="G276" s="831" t="str">
        <f>VLOOKUP(H276,'Pob. Ext, Parroquial'!$B$9:$C$117,2,0)</f>
        <v>MACARA</v>
      </c>
      <c r="H276" s="831" t="s">
        <v>606</v>
      </c>
      <c r="I276" s="831" t="s">
        <v>173</v>
      </c>
      <c r="J276" s="831" t="s">
        <v>174</v>
      </c>
      <c r="K276" s="831"/>
      <c r="L276" s="537">
        <f t="shared" ref="L276:L277" si="88">ROUNDUP(Q276/5.5/1000,2)</f>
        <v>0</v>
      </c>
      <c r="M276" s="538">
        <f>IF(K276&gt;0,VLOOKUP(H276,'[5]Pob. Ext, Parroquial'!$B$8:$F$117,4,FALSE),0)</f>
        <v>0</v>
      </c>
      <c r="N276" s="834" t="s">
        <v>185</v>
      </c>
      <c r="O276" s="836" t="s">
        <v>184</v>
      </c>
      <c r="P276" s="836">
        <v>0.08</v>
      </c>
      <c r="Q276" s="968">
        <v>0</v>
      </c>
      <c r="R276" s="948">
        <v>41913</v>
      </c>
      <c r="S276" s="948">
        <v>41973</v>
      </c>
      <c r="T276" s="686" t="str">
        <f t="shared" si="73"/>
        <v>EN EJECUCION</v>
      </c>
      <c r="U276" s="837">
        <f t="shared" si="75"/>
        <v>0</v>
      </c>
      <c r="V276" s="544"/>
      <c r="W276" s="544"/>
      <c r="X276" s="662"/>
      <c r="Y276" s="640"/>
      <c r="Z276" s="545" t="s">
        <v>278</v>
      </c>
      <c r="AA276" s="545" t="s">
        <v>178</v>
      </c>
      <c r="AB276" s="546" t="s">
        <v>179</v>
      </c>
      <c r="AC276" s="547">
        <v>2014</v>
      </c>
      <c r="AD276" s="95"/>
      <c r="AE276" s="93"/>
    </row>
    <row r="277" spans="1:31" s="94" customFormat="1" ht="50.1" customHeight="1">
      <c r="A277" s="1068"/>
      <c r="B277" s="648"/>
      <c r="C277" s="985" t="s">
        <v>182</v>
      </c>
      <c r="D277" s="1118"/>
      <c r="E277" s="636" t="str">
        <f t="shared" si="81"/>
        <v>MANTENIMIENTO DE LA VIA SAN JUAMPAMBA - ACHIMA, PARROQUIA SABIANGO, CANTON MACARA</v>
      </c>
      <c r="F277" s="831" t="s">
        <v>275</v>
      </c>
      <c r="G277" s="831" t="str">
        <f>VLOOKUP(H277,'Pob. Ext, Parroquial'!$B$9:$C$117,2,0)</f>
        <v>MACARA</v>
      </c>
      <c r="H277" s="831" t="s">
        <v>606</v>
      </c>
      <c r="I277" s="831" t="s">
        <v>173</v>
      </c>
      <c r="J277" s="831" t="s">
        <v>174</v>
      </c>
      <c r="K277" s="831"/>
      <c r="L277" s="537">
        <f t="shared" si="88"/>
        <v>10.459999999999999</v>
      </c>
      <c r="M277" s="538">
        <f>IF(K277&gt;0,VLOOKUP(H277,'[5]Pob. Ext, Parroquial'!$B$8:$F$117,4,FALSE),0)</f>
        <v>0</v>
      </c>
      <c r="N277" s="834" t="s">
        <v>282</v>
      </c>
      <c r="O277" s="836" t="s">
        <v>184</v>
      </c>
      <c r="P277" s="836">
        <v>0.35</v>
      </c>
      <c r="Q277" s="968">
        <v>57500</v>
      </c>
      <c r="R277" s="948">
        <v>41913</v>
      </c>
      <c r="S277" s="948">
        <v>41973</v>
      </c>
      <c r="T277" s="686" t="str">
        <f t="shared" si="73"/>
        <v>EN EJECUCION</v>
      </c>
      <c r="U277" s="837">
        <f t="shared" si="75"/>
        <v>20125</v>
      </c>
      <c r="V277" s="544"/>
      <c r="W277" s="544"/>
      <c r="X277" s="662"/>
      <c r="Y277" s="640"/>
      <c r="Z277" s="545" t="s">
        <v>278</v>
      </c>
      <c r="AA277" s="545" t="s">
        <v>178</v>
      </c>
      <c r="AB277" s="546" t="s">
        <v>187</v>
      </c>
      <c r="AC277" s="547">
        <v>2014</v>
      </c>
      <c r="AD277" s="95"/>
      <c r="AE277" s="93"/>
    </row>
    <row r="278" spans="1:31" s="94" customFormat="1" ht="50.1" customHeight="1">
      <c r="A278" s="1068"/>
      <c r="B278" s="646"/>
      <c r="C278" s="985" t="s">
        <v>182</v>
      </c>
      <c r="D278" s="1120"/>
      <c r="E278" s="636" t="str">
        <f t="shared" si="81"/>
        <v>MANTENIMIENTO DE LA VIA SAN JUAMPAMBA - ACHIMA, PARROQUIA SABIANGO, CANTON MACARA</v>
      </c>
      <c r="F278" s="831" t="s">
        <v>275</v>
      </c>
      <c r="G278" s="831" t="str">
        <f>VLOOKUP(H278,'Pob. Ext, Parroquial'!$B$9:$C$117,2,0)</f>
        <v>MACARA</v>
      </c>
      <c r="H278" s="831" t="s">
        <v>606</v>
      </c>
      <c r="I278" s="831" t="s">
        <v>173</v>
      </c>
      <c r="J278" s="831" t="s">
        <v>174</v>
      </c>
      <c r="K278" s="831"/>
      <c r="L278" s="537">
        <f>+ROUND(Q278/5500/0.2,2)</f>
        <v>5.36</v>
      </c>
      <c r="M278" s="538">
        <f>IF(K278&gt;0,VLOOKUP(H278,'[5]Pob. Ext, Parroquial'!$B$8:$F$117,4,FALSE),0)</f>
        <v>0</v>
      </c>
      <c r="N278" s="834" t="s">
        <v>229</v>
      </c>
      <c r="O278" s="836" t="s">
        <v>176</v>
      </c>
      <c r="P278" s="836">
        <v>5.92</v>
      </c>
      <c r="Q278" s="968">
        <v>5900</v>
      </c>
      <c r="R278" s="948">
        <v>41913</v>
      </c>
      <c r="S278" s="948">
        <v>41973</v>
      </c>
      <c r="T278" s="686" t="str">
        <f t="shared" si="73"/>
        <v>EN EJECUCION</v>
      </c>
      <c r="U278" s="837">
        <f t="shared" si="75"/>
        <v>34928</v>
      </c>
      <c r="V278" s="544"/>
      <c r="W278" s="544"/>
      <c r="X278" s="664"/>
      <c r="Y278" s="640"/>
      <c r="Z278" s="545" t="s">
        <v>278</v>
      </c>
      <c r="AA278" s="545" t="s">
        <v>178</v>
      </c>
      <c r="AB278" s="546" t="s">
        <v>187</v>
      </c>
      <c r="AC278" s="547">
        <v>2014</v>
      </c>
      <c r="AD278" s="95"/>
      <c r="AE278" s="93"/>
    </row>
    <row r="279" spans="1:31" s="94" customFormat="1" ht="50.1" customHeight="1">
      <c r="A279" s="1068"/>
      <c r="B279" s="645"/>
      <c r="C279" s="985" t="s">
        <v>182</v>
      </c>
      <c r="D279" s="1117" t="s">
        <v>1545</v>
      </c>
      <c r="E279" s="636" t="str">
        <f t="shared" ref="E279" si="89">+D279</f>
        <v>MANTENIMIENTO DE LA VIA ALAMOR - VICENTINO, CANTON PUYANGO</v>
      </c>
      <c r="F279" s="831" t="s">
        <v>275</v>
      </c>
      <c r="G279" s="831" t="str">
        <f>VLOOKUP(H279,'Pob. Ext, Parroquial'!$B$9:$C$117,2,0)</f>
        <v>PUYANGO</v>
      </c>
      <c r="H279" s="831" t="s">
        <v>284</v>
      </c>
      <c r="I279" s="831" t="s">
        <v>173</v>
      </c>
      <c r="J279" s="831" t="s">
        <v>174</v>
      </c>
      <c r="K279" s="831"/>
      <c r="L279" s="537"/>
      <c r="M279" s="538">
        <f>IF(K279&gt;0,VLOOKUP(H279,'[5]Pob. Ext, Parroquial'!$B$8:$F$117,4,FALSE),0)</f>
        <v>0</v>
      </c>
      <c r="N279" s="834" t="s">
        <v>276</v>
      </c>
      <c r="O279" s="836" t="s">
        <v>277</v>
      </c>
      <c r="P279" s="836">
        <v>948.16</v>
      </c>
      <c r="Q279" s="968">
        <v>2</v>
      </c>
      <c r="R279" s="948">
        <v>41913</v>
      </c>
      <c r="S279" s="948">
        <v>41973</v>
      </c>
      <c r="T279" s="686" t="str">
        <f t="shared" ref="T279:T287" si="90">IF(S279&lt;$G$5,"EJECUTADO","EN EJECUCION")</f>
        <v>EN EJECUCION</v>
      </c>
      <c r="U279" s="837">
        <f t="shared" ref="U279:U287" si="91">ROUND(P279*Q279,2)</f>
        <v>1896.32</v>
      </c>
      <c r="V279" s="544"/>
      <c r="W279" s="544"/>
      <c r="X279" s="660">
        <f>SUM(U279:U287)</f>
        <v>92390.720000000001</v>
      </c>
      <c r="Y279" s="640"/>
      <c r="Z279" s="545" t="s">
        <v>278</v>
      </c>
      <c r="AA279" s="545" t="s">
        <v>178</v>
      </c>
      <c r="AB279" s="546" t="s">
        <v>187</v>
      </c>
      <c r="AC279" s="547">
        <v>2014</v>
      </c>
      <c r="AD279" s="95"/>
      <c r="AE279" s="93"/>
    </row>
    <row r="280" spans="1:31" s="94" customFormat="1" ht="50.1" customHeight="1">
      <c r="A280" s="1068"/>
      <c r="B280" s="648"/>
      <c r="C280" s="985" t="s">
        <v>182</v>
      </c>
      <c r="D280" s="1118"/>
      <c r="E280" s="636" t="str">
        <f t="shared" si="81"/>
        <v>MANTENIMIENTO DE LA VIA ALAMOR - VICENTINO, CANTON PUYANGO</v>
      </c>
      <c r="F280" s="831" t="s">
        <v>275</v>
      </c>
      <c r="G280" s="831" t="str">
        <f>VLOOKUP(H280,'Pob. Ext, Parroquial'!$B$9:$C$117,2,0)</f>
        <v>PUYANGO</v>
      </c>
      <c r="H280" s="831" t="s">
        <v>284</v>
      </c>
      <c r="I280" s="831" t="s">
        <v>173</v>
      </c>
      <c r="J280" s="831" t="s">
        <v>174</v>
      </c>
      <c r="K280" s="831"/>
      <c r="L280" s="537"/>
      <c r="M280" s="538">
        <f>IF(K280&gt;0,VLOOKUP(H280,'[5]Pob. Ext, Parroquial'!$B$8:$F$117,4,FALSE),0)</f>
        <v>0</v>
      </c>
      <c r="N280" s="834" t="s">
        <v>226</v>
      </c>
      <c r="O280" s="836" t="s">
        <v>176</v>
      </c>
      <c r="P280" s="836">
        <v>1.62</v>
      </c>
      <c r="Q280" s="968">
        <v>5760</v>
      </c>
      <c r="R280" s="948">
        <v>41913</v>
      </c>
      <c r="S280" s="948">
        <v>41973</v>
      </c>
      <c r="T280" s="686" t="str">
        <f t="shared" si="90"/>
        <v>EN EJECUCION</v>
      </c>
      <c r="U280" s="837">
        <f t="shared" si="91"/>
        <v>9331.2000000000007</v>
      </c>
      <c r="V280" s="544"/>
      <c r="W280" s="544"/>
      <c r="X280" s="662"/>
      <c r="Y280" s="640"/>
      <c r="Z280" s="545" t="s">
        <v>278</v>
      </c>
      <c r="AA280" s="545" t="s">
        <v>178</v>
      </c>
      <c r="AB280" s="546" t="s">
        <v>187</v>
      </c>
      <c r="AC280" s="547">
        <v>2014</v>
      </c>
      <c r="AD280" s="95"/>
      <c r="AE280" s="93"/>
    </row>
    <row r="281" spans="1:31" s="94" customFormat="1" ht="50.1" customHeight="1">
      <c r="A281" s="1068"/>
      <c r="B281" s="648"/>
      <c r="C281" s="985" t="s">
        <v>182</v>
      </c>
      <c r="D281" s="1118"/>
      <c r="E281" s="636" t="str">
        <f t="shared" si="81"/>
        <v>MANTENIMIENTO DE LA VIA ALAMOR - VICENTINO, CANTON PUYANGO</v>
      </c>
      <c r="F281" s="831" t="s">
        <v>275</v>
      </c>
      <c r="G281" s="831" t="str">
        <f>VLOOKUP(H281,'Pob. Ext, Parroquial'!$B$9:$C$117,2,0)</f>
        <v>PUYANGO</v>
      </c>
      <c r="H281" s="831" t="s">
        <v>284</v>
      </c>
      <c r="I281" s="831" t="s">
        <v>173</v>
      </c>
      <c r="J281" s="831" t="s">
        <v>174</v>
      </c>
      <c r="K281" s="831"/>
      <c r="L281" s="537"/>
      <c r="M281" s="538">
        <f>IF(K281&gt;0,VLOOKUP(H281,'[5]Pob. Ext, Parroquial'!$B$8:$F$117,4,FALSE),0)</f>
        <v>0</v>
      </c>
      <c r="N281" s="834" t="s">
        <v>200</v>
      </c>
      <c r="O281" s="836" t="s">
        <v>176</v>
      </c>
      <c r="P281" s="836">
        <v>1.46</v>
      </c>
      <c r="Q281" s="968">
        <v>6000</v>
      </c>
      <c r="R281" s="948">
        <v>41913</v>
      </c>
      <c r="S281" s="948">
        <v>41973</v>
      </c>
      <c r="T281" s="686" t="str">
        <f t="shared" si="90"/>
        <v>EN EJECUCION</v>
      </c>
      <c r="U281" s="837">
        <f t="shared" si="91"/>
        <v>8760</v>
      </c>
      <c r="V281" s="544"/>
      <c r="W281" s="544"/>
      <c r="X281" s="662"/>
      <c r="Y281" s="640"/>
      <c r="Z281" s="545" t="s">
        <v>278</v>
      </c>
      <c r="AA281" s="545" t="s">
        <v>178</v>
      </c>
      <c r="AB281" s="546" t="s">
        <v>187</v>
      </c>
      <c r="AC281" s="547">
        <v>2014</v>
      </c>
      <c r="AD281" s="95"/>
      <c r="AE281" s="93"/>
    </row>
    <row r="282" spans="1:31" s="94" customFormat="1" ht="50.1" customHeight="1">
      <c r="A282" s="1068"/>
      <c r="B282" s="648"/>
      <c r="C282" s="985" t="s">
        <v>182</v>
      </c>
      <c r="D282" s="1118"/>
      <c r="E282" s="636" t="str">
        <f t="shared" si="81"/>
        <v>MANTENIMIENTO DE LA VIA ALAMOR - VICENTINO, CANTON PUYANGO</v>
      </c>
      <c r="F282" s="831" t="s">
        <v>275</v>
      </c>
      <c r="G282" s="831" t="str">
        <f>VLOOKUP(H282,'Pob. Ext, Parroquial'!$B$9:$C$117,2,0)</f>
        <v>PUYANGO</v>
      </c>
      <c r="H282" s="831" t="s">
        <v>284</v>
      </c>
      <c r="I282" s="831" t="s">
        <v>173</v>
      </c>
      <c r="J282" s="831" t="s">
        <v>174</v>
      </c>
      <c r="K282" s="831"/>
      <c r="L282" s="537"/>
      <c r="M282" s="538">
        <f>IF(K282&gt;0,VLOOKUP(H282,'[5]Pob. Ext, Parroquial'!$B$8:$F$117,4,FALSE),0)</f>
        <v>0</v>
      </c>
      <c r="N282" s="834" t="s">
        <v>279</v>
      </c>
      <c r="O282" s="836" t="s">
        <v>176</v>
      </c>
      <c r="P282" s="836">
        <v>1.47</v>
      </c>
      <c r="Q282" s="968">
        <v>0</v>
      </c>
      <c r="R282" s="948">
        <v>41913</v>
      </c>
      <c r="S282" s="948">
        <v>41973</v>
      </c>
      <c r="T282" s="686" t="str">
        <f t="shared" si="90"/>
        <v>EN EJECUCION</v>
      </c>
      <c r="U282" s="837">
        <f t="shared" si="91"/>
        <v>0</v>
      </c>
      <c r="V282" s="544"/>
      <c r="W282" s="544"/>
      <c r="X282" s="662"/>
      <c r="Y282" s="640"/>
      <c r="Z282" s="545" t="s">
        <v>278</v>
      </c>
      <c r="AA282" s="545" t="s">
        <v>178</v>
      </c>
      <c r="AB282" s="546" t="s">
        <v>187</v>
      </c>
      <c r="AC282" s="547">
        <v>2014</v>
      </c>
      <c r="AD282" s="95"/>
      <c r="AE282" s="93"/>
    </row>
    <row r="283" spans="1:31" s="94" customFormat="1" ht="50.1" customHeight="1">
      <c r="A283" s="1068"/>
      <c r="B283" s="648"/>
      <c r="C283" s="985" t="s">
        <v>182</v>
      </c>
      <c r="D283" s="1118"/>
      <c r="E283" s="636" t="str">
        <f t="shared" si="81"/>
        <v>MANTENIMIENTO DE LA VIA ALAMOR - VICENTINO, CANTON PUYANGO</v>
      </c>
      <c r="F283" s="831" t="s">
        <v>275</v>
      </c>
      <c r="G283" s="831" t="str">
        <f>VLOOKUP(H283,'Pob. Ext, Parroquial'!$B$9:$C$117,2,0)</f>
        <v>PUYANGO</v>
      </c>
      <c r="H283" s="831" t="s">
        <v>284</v>
      </c>
      <c r="I283" s="831" t="s">
        <v>173</v>
      </c>
      <c r="J283" s="831" t="s">
        <v>174</v>
      </c>
      <c r="K283" s="831"/>
      <c r="L283" s="537"/>
      <c r="M283" s="538">
        <f>IF(K283&gt;0,VLOOKUP(H283,'[5]Pob. Ext, Parroquial'!$B$8:$F$117,4,FALSE),0)</f>
        <v>0</v>
      </c>
      <c r="N283" s="834" t="s">
        <v>280</v>
      </c>
      <c r="O283" s="836" t="s">
        <v>181</v>
      </c>
      <c r="P283" s="836">
        <v>0.3</v>
      </c>
      <c r="Q283" s="968">
        <v>48000</v>
      </c>
      <c r="R283" s="948">
        <v>41913</v>
      </c>
      <c r="S283" s="948">
        <v>41973</v>
      </c>
      <c r="T283" s="686" t="str">
        <f t="shared" si="90"/>
        <v>EN EJECUCION</v>
      </c>
      <c r="U283" s="837">
        <f t="shared" si="91"/>
        <v>14400</v>
      </c>
      <c r="V283" s="544"/>
      <c r="W283" s="544"/>
      <c r="X283" s="662"/>
      <c r="Y283" s="640"/>
      <c r="Z283" s="545" t="s">
        <v>278</v>
      </c>
      <c r="AA283" s="545" t="s">
        <v>178</v>
      </c>
      <c r="AB283" s="546" t="s">
        <v>187</v>
      </c>
      <c r="AC283" s="547">
        <v>2014</v>
      </c>
      <c r="AD283" s="95"/>
      <c r="AE283" s="93"/>
    </row>
    <row r="284" spans="1:31" s="94" customFormat="1" ht="50.1" customHeight="1">
      <c r="A284" s="1068"/>
      <c r="B284" s="648"/>
      <c r="C284" s="985" t="s">
        <v>182</v>
      </c>
      <c r="D284" s="1118"/>
      <c r="E284" s="636" t="str">
        <f t="shared" si="81"/>
        <v>MANTENIMIENTO DE LA VIA ALAMOR - VICENTINO, CANTON PUYANGO</v>
      </c>
      <c r="F284" s="831" t="s">
        <v>275</v>
      </c>
      <c r="G284" s="831" t="str">
        <f>VLOOKUP(H284,'Pob. Ext, Parroquial'!$B$9:$C$117,2,0)</f>
        <v>PUYANGO</v>
      </c>
      <c r="H284" s="831" t="s">
        <v>284</v>
      </c>
      <c r="I284" s="831" t="s">
        <v>173</v>
      </c>
      <c r="J284" s="831" t="s">
        <v>174</v>
      </c>
      <c r="K284" s="831"/>
      <c r="L284" s="537"/>
      <c r="M284" s="538">
        <f>IF(K284&gt;0,VLOOKUP(H284,'[5]Pob. Ext, Parroquial'!$B$8:$F$117,4,FALSE),0)</f>
        <v>0</v>
      </c>
      <c r="N284" s="834" t="s">
        <v>281</v>
      </c>
      <c r="O284" s="836" t="s">
        <v>181</v>
      </c>
      <c r="P284" s="836">
        <v>0.3</v>
      </c>
      <c r="Q284" s="968">
        <v>46080</v>
      </c>
      <c r="R284" s="948">
        <v>41913</v>
      </c>
      <c r="S284" s="948">
        <v>41973</v>
      </c>
      <c r="T284" s="686" t="str">
        <f t="shared" si="90"/>
        <v>EN EJECUCION</v>
      </c>
      <c r="U284" s="837">
        <f t="shared" si="91"/>
        <v>13824</v>
      </c>
      <c r="V284" s="544"/>
      <c r="W284" s="544"/>
      <c r="X284" s="662"/>
      <c r="Y284" s="640"/>
      <c r="Z284" s="545" t="s">
        <v>278</v>
      </c>
      <c r="AA284" s="545" t="s">
        <v>178</v>
      </c>
      <c r="AB284" s="546" t="s">
        <v>187</v>
      </c>
      <c r="AC284" s="547">
        <v>2014</v>
      </c>
      <c r="AD284" s="95"/>
      <c r="AE284" s="93"/>
    </row>
    <row r="285" spans="1:31" s="94" customFormat="1" ht="50.1" customHeight="1">
      <c r="A285" s="1068"/>
      <c r="B285" s="648"/>
      <c r="C285" s="985" t="s">
        <v>182</v>
      </c>
      <c r="D285" s="1118"/>
      <c r="E285" s="636" t="str">
        <f t="shared" si="81"/>
        <v>MANTENIMIENTO DE LA VIA ALAMOR - VICENTINO, CANTON PUYANGO</v>
      </c>
      <c r="F285" s="831" t="s">
        <v>275</v>
      </c>
      <c r="G285" s="831" t="str">
        <f>VLOOKUP(H285,'Pob. Ext, Parroquial'!$B$9:$C$117,2,0)</f>
        <v>PUYANGO</v>
      </c>
      <c r="H285" s="831" t="s">
        <v>284</v>
      </c>
      <c r="I285" s="831" t="s">
        <v>173</v>
      </c>
      <c r="J285" s="831" t="s">
        <v>174</v>
      </c>
      <c r="K285" s="831"/>
      <c r="L285" s="537">
        <f t="shared" ref="L285:L286" si="92">ROUNDUP(Q285/5.5/1000,2)</f>
        <v>0</v>
      </c>
      <c r="M285" s="538">
        <f>IF(K285&gt;0,VLOOKUP(H285,'[5]Pob. Ext, Parroquial'!$B$8:$F$117,4,FALSE),0)</f>
        <v>0</v>
      </c>
      <c r="N285" s="834" t="s">
        <v>185</v>
      </c>
      <c r="O285" s="836" t="s">
        <v>184</v>
      </c>
      <c r="P285" s="836">
        <v>0.08</v>
      </c>
      <c r="Q285" s="968">
        <v>0</v>
      </c>
      <c r="R285" s="948">
        <v>41913</v>
      </c>
      <c r="S285" s="948">
        <v>41973</v>
      </c>
      <c r="T285" s="686" t="str">
        <f t="shared" si="90"/>
        <v>EN EJECUCION</v>
      </c>
      <c r="U285" s="837">
        <f t="shared" si="91"/>
        <v>0</v>
      </c>
      <c r="V285" s="544"/>
      <c r="W285" s="544"/>
      <c r="X285" s="662"/>
      <c r="Y285" s="640"/>
      <c r="Z285" s="545" t="s">
        <v>278</v>
      </c>
      <c r="AA285" s="545" t="s">
        <v>178</v>
      </c>
      <c r="AB285" s="546" t="s">
        <v>179</v>
      </c>
      <c r="AC285" s="547">
        <v>2014</v>
      </c>
      <c r="AD285" s="95"/>
      <c r="AE285" s="93"/>
    </row>
    <row r="286" spans="1:31" s="94" customFormat="1" ht="50.1" customHeight="1">
      <c r="A286" s="1068"/>
      <c r="B286" s="648"/>
      <c r="C286" s="985" t="s">
        <v>182</v>
      </c>
      <c r="D286" s="1118"/>
      <c r="E286" s="636" t="str">
        <f t="shared" si="81"/>
        <v>MANTENIMIENTO DE LA VIA ALAMOR - VICENTINO, CANTON PUYANGO</v>
      </c>
      <c r="F286" s="831" t="s">
        <v>275</v>
      </c>
      <c r="G286" s="831" t="str">
        <f>VLOOKUP(H286,'Pob. Ext, Parroquial'!$B$9:$C$117,2,0)</f>
        <v>PUYANGO</v>
      </c>
      <c r="H286" s="831" t="s">
        <v>284</v>
      </c>
      <c r="I286" s="831" t="s">
        <v>173</v>
      </c>
      <c r="J286" s="831" t="s">
        <v>174</v>
      </c>
      <c r="K286" s="831"/>
      <c r="L286" s="537">
        <f t="shared" si="92"/>
        <v>5.24</v>
      </c>
      <c r="M286" s="538">
        <f>IF(K286&gt;0,VLOOKUP(H286,'[5]Pob. Ext, Parroquial'!$B$8:$F$117,4,FALSE),0)</f>
        <v>0</v>
      </c>
      <c r="N286" s="834" t="s">
        <v>282</v>
      </c>
      <c r="O286" s="836" t="s">
        <v>184</v>
      </c>
      <c r="P286" s="836">
        <v>0.35</v>
      </c>
      <c r="Q286" s="968">
        <v>28800</v>
      </c>
      <c r="R286" s="948">
        <v>41913</v>
      </c>
      <c r="S286" s="948">
        <v>41973</v>
      </c>
      <c r="T286" s="686" t="str">
        <f t="shared" si="90"/>
        <v>EN EJECUCION</v>
      </c>
      <c r="U286" s="837">
        <f t="shared" si="91"/>
        <v>10080</v>
      </c>
      <c r="V286" s="544"/>
      <c r="W286" s="544"/>
      <c r="X286" s="662"/>
      <c r="Y286" s="640"/>
      <c r="Z286" s="545" t="s">
        <v>278</v>
      </c>
      <c r="AA286" s="545" t="s">
        <v>178</v>
      </c>
      <c r="AB286" s="546" t="s">
        <v>187</v>
      </c>
      <c r="AC286" s="547">
        <v>2014</v>
      </c>
      <c r="AD286" s="95"/>
      <c r="AE286" s="93"/>
    </row>
    <row r="287" spans="1:31" s="94" customFormat="1" ht="50.1" customHeight="1">
      <c r="A287" s="1068"/>
      <c r="B287" s="646"/>
      <c r="C287" s="985" t="s">
        <v>182</v>
      </c>
      <c r="D287" s="1120"/>
      <c r="E287" s="636" t="str">
        <f t="shared" si="81"/>
        <v>MANTENIMIENTO DE LA VIA ALAMOR - VICENTINO, CANTON PUYANGO</v>
      </c>
      <c r="F287" s="831" t="s">
        <v>275</v>
      </c>
      <c r="G287" s="831" t="str">
        <f>VLOOKUP(H287,'Pob. Ext, Parroquial'!$B$9:$C$117,2,0)</f>
        <v>PUYANGO</v>
      </c>
      <c r="H287" s="831" t="s">
        <v>284</v>
      </c>
      <c r="I287" s="831" t="s">
        <v>173</v>
      </c>
      <c r="J287" s="831" t="s">
        <v>174</v>
      </c>
      <c r="K287" s="831"/>
      <c r="L287" s="537">
        <f>+ROUND(Q287/5500/0.2,2)</f>
        <v>5.24</v>
      </c>
      <c r="M287" s="538">
        <f>IF(K287&gt;0,VLOOKUP(H287,'[5]Pob. Ext, Parroquial'!$B$8:$F$117,4,FALSE),0)</f>
        <v>0</v>
      </c>
      <c r="N287" s="834" t="s">
        <v>229</v>
      </c>
      <c r="O287" s="836" t="s">
        <v>176</v>
      </c>
      <c r="P287" s="836">
        <v>5.92</v>
      </c>
      <c r="Q287" s="968">
        <v>5760</v>
      </c>
      <c r="R287" s="948">
        <v>41913</v>
      </c>
      <c r="S287" s="948">
        <v>41973</v>
      </c>
      <c r="T287" s="686" t="str">
        <f t="shared" si="90"/>
        <v>EN EJECUCION</v>
      </c>
      <c r="U287" s="837">
        <f t="shared" si="91"/>
        <v>34099.199999999997</v>
      </c>
      <c r="V287" s="544"/>
      <c r="W287" s="544"/>
      <c r="X287" s="664"/>
      <c r="Y287" s="640"/>
      <c r="Z287" s="545" t="s">
        <v>278</v>
      </c>
      <c r="AA287" s="545" t="s">
        <v>178</v>
      </c>
      <c r="AB287" s="546" t="s">
        <v>187</v>
      </c>
      <c r="AC287" s="547">
        <v>2014</v>
      </c>
      <c r="AD287" s="95"/>
      <c r="AE287" s="93"/>
    </row>
    <row r="288" spans="1:31" s="94" customFormat="1" ht="240.6" customHeight="1">
      <c r="A288" s="910"/>
      <c r="B288" s="913"/>
      <c r="C288" s="927" t="s">
        <v>323</v>
      </c>
      <c r="D288" s="927" t="s">
        <v>324</v>
      </c>
      <c r="E288" s="636" t="str">
        <f t="shared" si="78"/>
        <v>CONSTRUCCION DE ESTRIBOS PARA PUENTE BAYLEY SECTOR EL ARENAL CONVENIO NRO 007-2013 GADM PUYANGO - VIALSUR.EP(MUNICIPIO AUN NO INICIA LOS TRABAJOS) APORTES GAD $ 10000,00 Y VIALSUR $ 10 500,00, las estructuras se encuentran en bodega del GAP. PUYANGO, en espera de firma de convenio para realizar entrega</v>
      </c>
      <c r="F288" s="831" t="s">
        <v>275</v>
      </c>
      <c r="G288" s="831" t="str">
        <f>VLOOKUP(H288,'Pob. Ext, Parroquial'!$B$9:$C$117,2,0)</f>
        <v>PUYANGO</v>
      </c>
      <c r="H288" s="831" t="s">
        <v>325</v>
      </c>
      <c r="I288" s="831" t="s">
        <v>265</v>
      </c>
      <c r="J288" s="831" t="s">
        <v>174</v>
      </c>
      <c r="K288" s="831">
        <v>3.1</v>
      </c>
      <c r="L288" s="537">
        <f>ROUNDUP(Q288/6/1000,2)</f>
        <v>0</v>
      </c>
      <c r="M288" s="538">
        <f>IF(K288&gt;0,VLOOKUP(H288,'[5]Pob. Ext, Parroquial'!$B$8:$F$117,4,FALSE),0)</f>
        <v>467</v>
      </c>
      <c r="N288" s="834"/>
      <c r="O288" s="836" t="s">
        <v>176</v>
      </c>
      <c r="P288" s="836"/>
      <c r="Q288" s="836">
        <v>0</v>
      </c>
      <c r="R288" s="948"/>
      <c r="S288" s="948"/>
      <c r="T288" s="686" t="str">
        <f t="shared" si="73"/>
        <v>EJECUTADO</v>
      </c>
      <c r="U288" s="837">
        <f t="shared" si="75"/>
        <v>0</v>
      </c>
      <c r="V288" s="544"/>
      <c r="W288" s="544"/>
      <c r="X288" s="912">
        <f>U288+V288+W288</f>
        <v>0</v>
      </c>
      <c r="Y288" s="640"/>
      <c r="Z288" s="545" t="s">
        <v>278</v>
      </c>
      <c r="AA288" s="545" t="s">
        <v>178</v>
      </c>
      <c r="AB288" s="546" t="s">
        <v>187</v>
      </c>
      <c r="AC288" s="547">
        <v>2014</v>
      </c>
      <c r="AD288" s="95"/>
      <c r="AE288" s="93"/>
    </row>
    <row r="289" spans="1:31" s="94" customFormat="1" ht="143.25" customHeight="1">
      <c r="A289" s="910"/>
      <c r="B289" s="913"/>
      <c r="C289" s="927" t="s">
        <v>323</v>
      </c>
      <c r="D289" s="927" t="s">
        <v>326</v>
      </c>
      <c r="E289" s="636" t="str">
        <f t="shared" si="78"/>
        <v>CONSTRUCCION DE ESTRIBOS PARA PUENTE BAYLEY SECTOR CIANO CONVENIO  NRO. 006-2013 GADP CIANO - VIALSUR.EP(ESTRIBOS EJECUTADOS) GADP $ 15 000, 00 Y VIALSUR. EP $ 10 000,00. Las estructuras se encuentran en bodega del GAP. PUYANGO, en espera de firma de convenio para realizar entrega</v>
      </c>
      <c r="F289" s="831" t="s">
        <v>275</v>
      </c>
      <c r="G289" s="831" t="str">
        <f>VLOOKUP(H289,'Pob. Ext, Parroquial'!$B$9:$C$117,2,0)</f>
        <v>PUYANGO</v>
      </c>
      <c r="H289" s="831" t="s">
        <v>290</v>
      </c>
      <c r="I289" s="831" t="s">
        <v>265</v>
      </c>
      <c r="J289" s="831" t="s">
        <v>174</v>
      </c>
      <c r="K289" s="831">
        <v>3.1</v>
      </c>
      <c r="L289" s="537">
        <f>ROUNDUP(Q289/6/1000,2)</f>
        <v>0</v>
      </c>
      <c r="M289" s="538">
        <f>IF(K289&gt;0,VLOOKUP(H289,'[5]Pob. Ext, Parroquial'!$B$8:$F$117,4,FALSE),0)</f>
        <v>567</v>
      </c>
      <c r="N289" s="834" t="s">
        <v>327</v>
      </c>
      <c r="O289" s="836" t="s">
        <v>176</v>
      </c>
      <c r="P289" s="836"/>
      <c r="Q289" s="836">
        <v>0</v>
      </c>
      <c r="R289" s="948">
        <v>41640</v>
      </c>
      <c r="S289" s="948">
        <v>41670</v>
      </c>
      <c r="T289" s="686" t="str">
        <f t="shared" si="73"/>
        <v>EJECUTADO</v>
      </c>
      <c r="U289" s="837">
        <v>10000</v>
      </c>
      <c r="V289" s="544"/>
      <c r="W289" s="544"/>
      <c r="X289" s="912">
        <f>U289+V289+W289</f>
        <v>10000</v>
      </c>
      <c r="Y289" s="640"/>
      <c r="Z289" s="545" t="s">
        <v>278</v>
      </c>
      <c r="AA289" s="545" t="s">
        <v>178</v>
      </c>
      <c r="AB289" s="546" t="s">
        <v>187</v>
      </c>
      <c r="AC289" s="547">
        <v>2014</v>
      </c>
      <c r="AD289" s="95"/>
      <c r="AE289" s="93"/>
    </row>
    <row r="290" spans="1:31" s="94" customFormat="1" ht="50.1" customHeight="1">
      <c r="A290" s="1068" t="s">
        <v>328</v>
      </c>
      <c r="B290" s="1083" t="str">
        <f>+T295</f>
        <v>EJECUTADO</v>
      </c>
      <c r="C290" s="985" t="s">
        <v>182</v>
      </c>
      <c r="D290" s="1117" t="s">
        <v>329</v>
      </c>
      <c r="E290" s="636" t="str">
        <f t="shared" si="78"/>
        <v>VIA, CHINCHAS-ZAMBI-RIO PINDO, L=55,88 km. (Catamayo)</v>
      </c>
      <c r="F290" s="831" t="s">
        <v>330</v>
      </c>
      <c r="G290" s="831" t="str">
        <f>VLOOKUP(H290,'Pob. Ext, Parroquial'!$B$9:$C$117,2,0)</f>
        <v>CATAMAYO</v>
      </c>
      <c r="H290" s="831" t="s">
        <v>1141</v>
      </c>
      <c r="I290" s="831" t="s">
        <v>173</v>
      </c>
      <c r="J290" s="831" t="s">
        <v>174</v>
      </c>
      <c r="K290" s="831">
        <v>15</v>
      </c>
      <c r="L290" s="537"/>
      <c r="M290" s="538">
        <f>IF(K290&gt;0,VLOOKUP(H290,'[5]Pob. Ext, Parroquial'!$B$8:$F$117,4,FALSE),0)</f>
        <v>267</v>
      </c>
      <c r="N290" s="834" t="s">
        <v>332</v>
      </c>
      <c r="O290" s="836" t="s">
        <v>333</v>
      </c>
      <c r="P290" s="836">
        <v>1.62</v>
      </c>
      <c r="Q290" s="968">
        <v>700</v>
      </c>
      <c r="R290" s="948">
        <v>41791</v>
      </c>
      <c r="S290" s="948">
        <v>41820</v>
      </c>
      <c r="T290" s="686" t="str">
        <f t="shared" si="73"/>
        <v>EJECUTADO</v>
      </c>
      <c r="U290" s="837">
        <f t="shared" ref="U290:U356" si="93">ROUND(P290*Q290,2)</f>
        <v>1134</v>
      </c>
      <c r="V290" s="544"/>
      <c r="W290" s="544"/>
      <c r="X290" s="660">
        <f>SUM(U290:U299)</f>
        <v>202459.11000000002</v>
      </c>
      <c r="Y290" s="640"/>
      <c r="Z290" s="545" t="s">
        <v>334</v>
      </c>
      <c r="AA290" s="545" t="s">
        <v>178</v>
      </c>
      <c r="AB290" s="546" t="s">
        <v>187</v>
      </c>
      <c r="AC290" s="547">
        <v>2014</v>
      </c>
      <c r="AD290" s="95"/>
      <c r="AE290" s="93"/>
    </row>
    <row r="291" spans="1:31" s="94" customFormat="1" ht="50.1" customHeight="1">
      <c r="A291" s="1068"/>
      <c r="B291" s="1084"/>
      <c r="C291" s="985" t="s">
        <v>182</v>
      </c>
      <c r="D291" s="1118"/>
      <c r="E291" s="655" t="str">
        <f t="shared" ref="E291:E299" si="94">+E290</f>
        <v>VIA, CHINCHAS-ZAMBI-RIO PINDO, L=55,88 km. (Catamayo)</v>
      </c>
      <c r="F291" s="831" t="s">
        <v>330</v>
      </c>
      <c r="G291" s="831" t="str">
        <f>VLOOKUP(H291,'Pob. Ext, Parroquial'!$B$9:$C$117,2,0)</f>
        <v>CATAMAYO</v>
      </c>
      <c r="H291" s="831" t="s">
        <v>331</v>
      </c>
      <c r="I291" s="831" t="s">
        <v>173</v>
      </c>
      <c r="J291" s="831" t="s">
        <v>174</v>
      </c>
      <c r="K291" s="831"/>
      <c r="L291" s="537"/>
      <c r="M291" s="538">
        <f>IF(K291&gt;0,VLOOKUP(H291,'[5]Pob. Ext, Parroquial'!$B$8:$F$117,4,FALSE),0)</f>
        <v>0</v>
      </c>
      <c r="N291" s="834" t="s">
        <v>335</v>
      </c>
      <c r="O291" s="836" t="s">
        <v>333</v>
      </c>
      <c r="P291" s="836">
        <v>2.54</v>
      </c>
      <c r="Q291" s="968">
        <v>800</v>
      </c>
      <c r="R291" s="948">
        <v>41644</v>
      </c>
      <c r="S291" s="948">
        <v>41790</v>
      </c>
      <c r="T291" s="686" t="str">
        <f t="shared" si="73"/>
        <v>EJECUTADO</v>
      </c>
      <c r="U291" s="837">
        <f t="shared" si="93"/>
        <v>2032</v>
      </c>
      <c r="V291" s="544"/>
      <c r="W291" s="544"/>
      <c r="X291" s="662"/>
      <c r="Y291" s="640"/>
      <c r="Z291" s="545" t="s">
        <v>334</v>
      </c>
      <c r="AA291" s="545" t="s">
        <v>178</v>
      </c>
      <c r="AB291" s="546" t="s">
        <v>187</v>
      </c>
      <c r="AC291" s="547">
        <v>2014</v>
      </c>
      <c r="AD291" s="95"/>
      <c r="AE291" s="93"/>
    </row>
    <row r="292" spans="1:31" s="94" customFormat="1" ht="50.1" customHeight="1">
      <c r="A292" s="1068"/>
      <c r="B292" s="1084"/>
      <c r="C292" s="985" t="s">
        <v>182</v>
      </c>
      <c r="D292" s="1118"/>
      <c r="E292" s="655" t="str">
        <f t="shared" si="94"/>
        <v>VIA, CHINCHAS-ZAMBI-RIO PINDO, L=55,88 km. (Catamayo)</v>
      </c>
      <c r="F292" s="831" t="s">
        <v>330</v>
      </c>
      <c r="G292" s="831" t="str">
        <f>VLOOKUP(H292,'Pob. Ext, Parroquial'!$B$9:$C$117,2,0)</f>
        <v>CATAMAYO</v>
      </c>
      <c r="H292" s="831" t="s">
        <v>331</v>
      </c>
      <c r="I292" s="831" t="s">
        <v>173</v>
      </c>
      <c r="J292" s="831" t="s">
        <v>174</v>
      </c>
      <c r="K292" s="831"/>
      <c r="L292" s="537"/>
      <c r="M292" s="538">
        <f>IF(K292&gt;0,VLOOKUP(H292,'[5]Pob. Ext, Parroquial'!$B$8:$F$117,4,FALSE),0)</f>
        <v>0</v>
      </c>
      <c r="N292" s="834" t="s">
        <v>1513</v>
      </c>
      <c r="O292" s="836" t="s">
        <v>333</v>
      </c>
      <c r="P292" s="836">
        <v>5.05</v>
      </c>
      <c r="Q292" s="968">
        <v>368</v>
      </c>
      <c r="R292" s="948">
        <v>41965</v>
      </c>
      <c r="S292" s="948">
        <v>41987</v>
      </c>
      <c r="T292" s="686" t="str">
        <f t="shared" ref="T292" si="95">IF(S292&lt;$G$5,"EJECUTADO","EN EJECUCION")</f>
        <v>EN EJECUCION</v>
      </c>
      <c r="U292" s="837">
        <f t="shared" ref="U292" si="96">ROUND(P292*Q292,2)</f>
        <v>1858.4</v>
      </c>
      <c r="V292" s="544"/>
      <c r="W292" s="544"/>
      <c r="X292" s="662"/>
      <c r="Y292" s="640"/>
      <c r="Z292" s="545" t="s">
        <v>334</v>
      </c>
      <c r="AA292" s="545" t="s">
        <v>178</v>
      </c>
      <c r="AB292" s="546" t="s">
        <v>187</v>
      </c>
      <c r="AC292" s="547">
        <v>2014</v>
      </c>
      <c r="AD292" s="95"/>
      <c r="AE292" s="93"/>
    </row>
    <row r="293" spans="1:31" s="94" customFormat="1" ht="50.1" customHeight="1">
      <c r="A293" s="1068"/>
      <c r="B293" s="1084"/>
      <c r="C293" s="985" t="s">
        <v>182</v>
      </c>
      <c r="D293" s="1118"/>
      <c r="E293" s="655" t="str">
        <f>+E291</f>
        <v>VIA, CHINCHAS-ZAMBI-RIO PINDO, L=55,88 km. (Catamayo)</v>
      </c>
      <c r="F293" s="831" t="s">
        <v>330</v>
      </c>
      <c r="G293" s="831" t="str">
        <f>VLOOKUP(H293,'Pob. Ext, Parroquial'!$B$9:$C$117,2,0)</f>
        <v>CATAMAYO</v>
      </c>
      <c r="H293" s="831" t="s">
        <v>331</v>
      </c>
      <c r="I293" s="831" t="s">
        <v>173</v>
      </c>
      <c r="J293" s="831" t="s">
        <v>174</v>
      </c>
      <c r="K293" s="831"/>
      <c r="L293" s="537"/>
      <c r="M293" s="538">
        <f>IF(K293&gt;0,VLOOKUP(H293,'[5]Pob. Ext, Parroquial'!$B$8:$F$117,4,FALSE),0)</f>
        <v>0</v>
      </c>
      <c r="N293" s="834" t="s">
        <v>336</v>
      </c>
      <c r="O293" s="836" t="s">
        <v>333</v>
      </c>
      <c r="P293" s="836">
        <v>1.47</v>
      </c>
      <c r="Q293" s="968">
        <v>700</v>
      </c>
      <c r="R293" s="948">
        <v>41802</v>
      </c>
      <c r="S293" s="948">
        <v>41820</v>
      </c>
      <c r="T293" s="686" t="str">
        <f t="shared" si="73"/>
        <v>EJECUTADO</v>
      </c>
      <c r="U293" s="837">
        <f t="shared" si="93"/>
        <v>1029</v>
      </c>
      <c r="V293" s="544"/>
      <c r="W293" s="544"/>
      <c r="X293" s="662"/>
      <c r="Y293" s="640"/>
      <c r="Z293" s="545" t="s">
        <v>334</v>
      </c>
      <c r="AA293" s="545" t="s">
        <v>178</v>
      </c>
      <c r="AB293" s="546" t="s">
        <v>187</v>
      </c>
      <c r="AC293" s="547">
        <v>2014</v>
      </c>
      <c r="AD293" s="95"/>
      <c r="AE293" s="93"/>
    </row>
    <row r="294" spans="1:31" s="94" customFormat="1" ht="50.1" customHeight="1">
      <c r="A294" s="1068"/>
      <c r="B294" s="1084"/>
      <c r="C294" s="985" t="s">
        <v>182</v>
      </c>
      <c r="D294" s="1118"/>
      <c r="E294" s="655" t="str">
        <f t="shared" si="94"/>
        <v>VIA, CHINCHAS-ZAMBI-RIO PINDO, L=55,88 km. (Catamayo)</v>
      </c>
      <c r="F294" s="831" t="s">
        <v>330</v>
      </c>
      <c r="G294" s="831" t="str">
        <f>VLOOKUP(H294,'Pob. Ext, Parroquial'!$B$9:$C$117,2,0)</f>
        <v>CATAMAYO</v>
      </c>
      <c r="H294" s="831" t="s">
        <v>331</v>
      </c>
      <c r="I294" s="831" t="s">
        <v>173</v>
      </c>
      <c r="J294" s="831" t="s">
        <v>174</v>
      </c>
      <c r="K294" s="831"/>
      <c r="L294" s="537"/>
      <c r="M294" s="538">
        <f>IF(K294&gt;0,VLOOKUP(H294,'[5]Pob. Ext, Parroquial'!$B$8:$F$117,4,FALSE),0)</f>
        <v>0</v>
      </c>
      <c r="N294" s="834" t="s">
        <v>337</v>
      </c>
      <c r="O294" s="836" t="s">
        <v>333</v>
      </c>
      <c r="P294" s="836">
        <v>1.46</v>
      </c>
      <c r="Q294" s="968">
        <v>10858</v>
      </c>
      <c r="R294" s="948">
        <v>41640</v>
      </c>
      <c r="S294" s="948">
        <v>41820</v>
      </c>
      <c r="T294" s="686" t="str">
        <f t="shared" si="73"/>
        <v>EJECUTADO</v>
      </c>
      <c r="U294" s="837">
        <f t="shared" si="93"/>
        <v>15852.68</v>
      </c>
      <c r="V294" s="544"/>
      <c r="W294" s="544"/>
      <c r="X294" s="662"/>
      <c r="Y294" s="640"/>
      <c r="Z294" s="545" t="s">
        <v>334</v>
      </c>
      <c r="AA294" s="545" t="s">
        <v>178</v>
      </c>
      <c r="AB294" s="546" t="s">
        <v>187</v>
      </c>
      <c r="AC294" s="547">
        <v>2014</v>
      </c>
      <c r="AD294" s="95"/>
      <c r="AE294" s="93"/>
    </row>
    <row r="295" spans="1:31" s="94" customFormat="1" ht="50.1" customHeight="1">
      <c r="A295" s="1068"/>
      <c r="B295" s="1084"/>
      <c r="C295" s="985" t="s">
        <v>182</v>
      </c>
      <c r="D295" s="1118"/>
      <c r="E295" s="655" t="str">
        <f t="shared" si="94"/>
        <v>VIA, CHINCHAS-ZAMBI-RIO PINDO, L=55,88 km. (Catamayo)</v>
      </c>
      <c r="F295" s="831" t="s">
        <v>330</v>
      </c>
      <c r="G295" s="831" t="str">
        <f>VLOOKUP(H295,'Pob. Ext, Parroquial'!$B$9:$C$117,2,0)</f>
        <v>CATAMAYO</v>
      </c>
      <c r="H295" s="831" t="s">
        <v>331</v>
      </c>
      <c r="I295" s="831" t="s">
        <v>173</v>
      </c>
      <c r="J295" s="831" t="s">
        <v>174</v>
      </c>
      <c r="K295" s="831"/>
      <c r="L295" s="537"/>
      <c r="M295" s="538">
        <f>IF(K295&gt;0,VLOOKUP(H295,'[5]Pob. Ext, Parroquial'!$B$8:$F$117,4,FALSE),0)</f>
        <v>0</v>
      </c>
      <c r="N295" s="834" t="s">
        <v>279</v>
      </c>
      <c r="O295" s="836" t="s">
        <v>333</v>
      </c>
      <c r="P295" s="836">
        <v>1.47</v>
      </c>
      <c r="Q295" s="968">
        <v>2380</v>
      </c>
      <c r="R295" s="948">
        <v>41644</v>
      </c>
      <c r="S295" s="948">
        <v>41851</v>
      </c>
      <c r="T295" s="686" t="str">
        <f t="shared" si="73"/>
        <v>EJECUTADO</v>
      </c>
      <c r="U295" s="837">
        <f t="shared" si="93"/>
        <v>3498.6</v>
      </c>
      <c r="V295" s="544"/>
      <c r="W295" s="544"/>
      <c r="X295" s="662"/>
      <c r="Y295" s="640"/>
      <c r="Z295" s="545" t="s">
        <v>334</v>
      </c>
      <c r="AA295" s="545" t="s">
        <v>178</v>
      </c>
      <c r="AB295" s="546" t="s">
        <v>187</v>
      </c>
      <c r="AC295" s="547">
        <v>2014</v>
      </c>
      <c r="AD295" s="95"/>
      <c r="AE295" s="93"/>
    </row>
    <row r="296" spans="1:31" s="94" customFormat="1" ht="50.1" customHeight="1">
      <c r="A296" s="1068"/>
      <c r="B296" s="1084"/>
      <c r="C296" s="985" t="s">
        <v>182</v>
      </c>
      <c r="D296" s="1118"/>
      <c r="E296" s="655" t="str">
        <f t="shared" si="94"/>
        <v>VIA, CHINCHAS-ZAMBI-RIO PINDO, L=55,88 km. (Catamayo)</v>
      </c>
      <c r="F296" s="831" t="s">
        <v>330</v>
      </c>
      <c r="G296" s="831" t="str">
        <f>VLOOKUP(H296,'Pob. Ext, Parroquial'!$B$9:$C$117,2,0)</f>
        <v>CATAMAYO</v>
      </c>
      <c r="H296" s="831" t="s">
        <v>338</v>
      </c>
      <c r="I296" s="831" t="s">
        <v>173</v>
      </c>
      <c r="J296" s="831" t="s">
        <v>174</v>
      </c>
      <c r="K296" s="831">
        <v>17</v>
      </c>
      <c r="L296" s="537">
        <f t="shared" ref="L296:L297" si="97">ROUNDUP(Q296/5.5/1000,2)</f>
        <v>16.330000000000002</v>
      </c>
      <c r="M296" s="538">
        <f>IF(K296&gt;0,VLOOKUP(H296,'[5]Pob. Ext, Parroquial'!$B$8:$F$117,4,FALSE),0)</f>
        <v>144</v>
      </c>
      <c r="N296" s="834" t="s">
        <v>185</v>
      </c>
      <c r="O296" s="836" t="s">
        <v>314</v>
      </c>
      <c r="P296" s="836">
        <v>0.1</v>
      </c>
      <c r="Q296" s="968">
        <v>89782</v>
      </c>
      <c r="R296" s="948">
        <v>41640</v>
      </c>
      <c r="S296" s="948">
        <v>41973</v>
      </c>
      <c r="T296" s="686" t="str">
        <f t="shared" si="73"/>
        <v>EN EJECUCION</v>
      </c>
      <c r="U296" s="837">
        <f t="shared" si="93"/>
        <v>8978.2000000000007</v>
      </c>
      <c r="V296" s="544"/>
      <c r="W296" s="544"/>
      <c r="X296" s="662"/>
      <c r="Y296" s="640"/>
      <c r="Z296" s="545" t="s">
        <v>334</v>
      </c>
      <c r="AA296" s="545" t="s">
        <v>178</v>
      </c>
      <c r="AB296" s="546" t="s">
        <v>187</v>
      </c>
      <c r="AC296" s="547">
        <v>2014</v>
      </c>
      <c r="AD296" s="95"/>
      <c r="AE296" s="93"/>
    </row>
    <row r="297" spans="1:31" s="94" customFormat="1" ht="50.1" customHeight="1">
      <c r="A297" s="1068"/>
      <c r="B297" s="1084"/>
      <c r="C297" s="985" t="s">
        <v>182</v>
      </c>
      <c r="D297" s="1118"/>
      <c r="E297" s="655" t="str">
        <f t="shared" si="94"/>
        <v>VIA, CHINCHAS-ZAMBI-RIO PINDO, L=55,88 km. (Catamayo)</v>
      </c>
      <c r="F297" s="831" t="s">
        <v>330</v>
      </c>
      <c r="G297" s="831" t="str">
        <f>VLOOKUP(H297,'Pob. Ext, Parroquial'!$B$9:$C$117,2,0)</f>
        <v>CATAMAYO</v>
      </c>
      <c r="H297" s="831" t="s">
        <v>338</v>
      </c>
      <c r="I297" s="831" t="s">
        <v>173</v>
      </c>
      <c r="J297" s="831" t="s">
        <v>174</v>
      </c>
      <c r="K297" s="831"/>
      <c r="L297" s="537">
        <f t="shared" si="97"/>
        <v>83.76</v>
      </c>
      <c r="M297" s="538">
        <f>IF(K297&gt;0,VLOOKUP(H297,'[5]Pob. Ext, Parroquial'!$B$8:$F$117,4,FALSE),0)</f>
        <v>0</v>
      </c>
      <c r="N297" s="834" t="s">
        <v>339</v>
      </c>
      <c r="O297" s="836" t="s">
        <v>314</v>
      </c>
      <c r="P297" s="836">
        <v>0.35</v>
      </c>
      <c r="Q297" s="968">
        <v>460641</v>
      </c>
      <c r="R297" s="948">
        <v>41640</v>
      </c>
      <c r="S297" s="948">
        <v>41987</v>
      </c>
      <c r="T297" s="686" t="str">
        <f t="shared" si="73"/>
        <v>EN EJECUCION</v>
      </c>
      <c r="U297" s="837">
        <f t="shared" si="93"/>
        <v>161224.35</v>
      </c>
      <c r="V297" s="544"/>
      <c r="W297" s="544"/>
      <c r="X297" s="662"/>
      <c r="Y297" s="640"/>
      <c r="Z297" s="545" t="s">
        <v>334</v>
      </c>
      <c r="AA297" s="545" t="s">
        <v>178</v>
      </c>
      <c r="AB297" s="546" t="s">
        <v>187</v>
      </c>
      <c r="AC297" s="547">
        <v>2014</v>
      </c>
      <c r="AD297" s="95"/>
      <c r="AE297" s="93"/>
    </row>
    <row r="298" spans="1:31" s="94" customFormat="1" ht="50.1" customHeight="1">
      <c r="A298" s="1068"/>
      <c r="B298" s="1084"/>
      <c r="C298" s="985" t="s">
        <v>182</v>
      </c>
      <c r="D298" s="1118"/>
      <c r="E298" s="655" t="str">
        <f t="shared" si="94"/>
        <v>VIA, CHINCHAS-ZAMBI-RIO PINDO, L=55,88 km. (Catamayo)</v>
      </c>
      <c r="F298" s="831" t="s">
        <v>330</v>
      </c>
      <c r="G298" s="831" t="str">
        <f>VLOOKUP(H298,'Pob. Ext, Parroquial'!$B$9:$C$117,2,0)</f>
        <v>CATAMAYO</v>
      </c>
      <c r="H298" s="831" t="s">
        <v>338</v>
      </c>
      <c r="I298" s="831" t="s">
        <v>173</v>
      </c>
      <c r="J298" s="831" t="s">
        <v>174</v>
      </c>
      <c r="K298" s="831"/>
      <c r="L298" s="537"/>
      <c r="M298" s="538">
        <f>IF(K298&gt;0,VLOOKUP(H298,'[5]Pob. Ext, Parroquial'!$B$8:$F$117,4,FALSE),0)</f>
        <v>0</v>
      </c>
      <c r="N298" s="834" t="s">
        <v>340</v>
      </c>
      <c r="O298" s="836" t="s">
        <v>341</v>
      </c>
      <c r="P298" s="836">
        <v>0.3</v>
      </c>
      <c r="Q298" s="968">
        <v>7052.92</v>
      </c>
      <c r="R298" s="948">
        <v>41644</v>
      </c>
      <c r="S298" s="948">
        <v>41987</v>
      </c>
      <c r="T298" s="686" t="str">
        <f t="shared" si="73"/>
        <v>EN EJECUCION</v>
      </c>
      <c r="U298" s="837">
        <f t="shared" si="93"/>
        <v>2115.88</v>
      </c>
      <c r="V298" s="544"/>
      <c r="W298" s="544"/>
      <c r="X298" s="662"/>
      <c r="Y298" s="640"/>
      <c r="Z298" s="545" t="s">
        <v>334</v>
      </c>
      <c r="AA298" s="545" t="s">
        <v>178</v>
      </c>
      <c r="AB298" s="546" t="s">
        <v>187</v>
      </c>
      <c r="AC298" s="547">
        <v>2014</v>
      </c>
      <c r="AD298" s="95"/>
      <c r="AE298" s="93"/>
    </row>
    <row r="299" spans="1:31" s="94" customFormat="1" ht="50.1" customHeight="1">
      <c r="A299" s="1068"/>
      <c r="B299" s="1084"/>
      <c r="C299" s="985" t="s">
        <v>182</v>
      </c>
      <c r="D299" s="1118"/>
      <c r="E299" s="655" t="str">
        <f t="shared" si="94"/>
        <v>VIA, CHINCHAS-ZAMBI-RIO PINDO, L=55,88 km. (Catamayo)</v>
      </c>
      <c r="F299" s="831" t="s">
        <v>330</v>
      </c>
      <c r="G299" s="831" t="str">
        <f>VLOOKUP(H299,'Pob. Ext, Parroquial'!$B$9:$C$117,2,0)</f>
        <v>CATAMAYO</v>
      </c>
      <c r="H299" s="831" t="s">
        <v>338</v>
      </c>
      <c r="I299" s="831" t="s">
        <v>173</v>
      </c>
      <c r="J299" s="831" t="s">
        <v>174</v>
      </c>
      <c r="K299" s="831"/>
      <c r="L299" s="537"/>
      <c r="M299" s="538">
        <f>IF(K299&gt;0,VLOOKUP(H299,'[5]Pob. Ext, Parroquial'!$B$8:$F$117,4,FALSE),0)</f>
        <v>0</v>
      </c>
      <c r="N299" s="834" t="s">
        <v>229</v>
      </c>
      <c r="O299" s="836" t="s">
        <v>333</v>
      </c>
      <c r="P299" s="836">
        <v>5.92</v>
      </c>
      <c r="Q299" s="968">
        <v>800</v>
      </c>
      <c r="R299" s="948">
        <v>41965</v>
      </c>
      <c r="S299" s="948">
        <v>41987</v>
      </c>
      <c r="T299" s="686" t="str">
        <f t="shared" ref="T299" si="98">IF(S299&lt;$G$5,"EJECUTADO","EN EJECUCION")</f>
        <v>EN EJECUCION</v>
      </c>
      <c r="U299" s="837">
        <f t="shared" ref="U299" si="99">ROUND(P299*Q299,2)</f>
        <v>4736</v>
      </c>
      <c r="V299" s="544"/>
      <c r="W299" s="544"/>
      <c r="X299" s="662"/>
      <c r="Y299" s="640"/>
      <c r="Z299" s="545" t="s">
        <v>334</v>
      </c>
      <c r="AA299" s="545" t="s">
        <v>178</v>
      </c>
      <c r="AB299" s="546" t="s">
        <v>187</v>
      </c>
      <c r="AC299" s="547">
        <v>2014</v>
      </c>
      <c r="AD299" s="95"/>
      <c r="AE299" s="93"/>
    </row>
    <row r="300" spans="1:31" s="94" customFormat="1" ht="50.1" customHeight="1">
      <c r="A300" s="910"/>
      <c r="B300" s="913"/>
      <c r="C300" s="985" t="s">
        <v>182</v>
      </c>
      <c r="D300" s="1117" t="s">
        <v>343</v>
      </c>
      <c r="E300" s="636" t="str">
        <f t="shared" si="78"/>
        <v>VIA, ACCESO A RUMIPOTRERO, L=4,5 km. (Catamayo)</v>
      </c>
      <c r="F300" s="831" t="s">
        <v>330</v>
      </c>
      <c r="G300" s="831" t="str">
        <f>VLOOKUP(H300,'Pob. Ext, Parroquial'!$B$9:$C$117,2,0)</f>
        <v>CATAMAYO</v>
      </c>
      <c r="H300" s="831" t="s">
        <v>338</v>
      </c>
      <c r="I300" s="831" t="s">
        <v>173</v>
      </c>
      <c r="J300" s="831" t="s">
        <v>174</v>
      </c>
      <c r="K300" s="831">
        <v>4.5</v>
      </c>
      <c r="L300" s="537"/>
      <c r="M300" s="538">
        <f>IF(K300&gt;0,VLOOKUP(H300,'[5]Pob. Ext, Parroquial'!$B$8:$F$117,4,FALSE),0)</f>
        <v>144</v>
      </c>
      <c r="N300" s="834" t="s">
        <v>200</v>
      </c>
      <c r="O300" s="836" t="s">
        <v>333</v>
      </c>
      <c r="P300" s="836">
        <v>1.46</v>
      </c>
      <c r="Q300" s="968">
        <v>440</v>
      </c>
      <c r="R300" s="948">
        <v>41740</v>
      </c>
      <c r="S300" s="948">
        <v>41820</v>
      </c>
      <c r="T300" s="686" t="str">
        <f t="shared" si="73"/>
        <v>EJECUTADO</v>
      </c>
      <c r="U300" s="837">
        <f t="shared" si="93"/>
        <v>642.4</v>
      </c>
      <c r="V300" s="544"/>
      <c r="W300" s="544"/>
      <c r="X300" s="660">
        <f>SUBTOTAL(9,U300:U301)</f>
        <v>3607.4</v>
      </c>
      <c r="Y300" s="640"/>
      <c r="Z300" s="545" t="s">
        <v>334</v>
      </c>
      <c r="AA300" s="545" t="s">
        <v>178</v>
      </c>
      <c r="AB300" s="546" t="s">
        <v>187</v>
      </c>
      <c r="AC300" s="547">
        <v>2014</v>
      </c>
      <c r="AD300" s="95"/>
      <c r="AE300" s="93"/>
    </row>
    <row r="301" spans="1:31" s="94" customFormat="1" ht="50.1" customHeight="1">
      <c r="A301" s="910"/>
      <c r="B301" s="913"/>
      <c r="C301" s="985" t="s">
        <v>182</v>
      </c>
      <c r="D301" s="1120"/>
      <c r="E301" s="655" t="str">
        <f t="shared" ref="E301" si="100">+E300</f>
        <v>VIA, ACCESO A RUMIPOTRERO, L=4,5 km. (Catamayo)</v>
      </c>
      <c r="F301" s="831" t="s">
        <v>330</v>
      </c>
      <c r="G301" s="831" t="str">
        <f>VLOOKUP(H301,'Pob. Ext, Parroquial'!$B$9:$C$117,2,0)</f>
        <v>CATAMAYO</v>
      </c>
      <c r="H301" s="831" t="s">
        <v>338</v>
      </c>
      <c r="I301" s="831" t="s">
        <v>173</v>
      </c>
      <c r="J301" s="831" t="s">
        <v>174</v>
      </c>
      <c r="K301" s="831"/>
      <c r="L301" s="537">
        <f t="shared" ref="L301:L302" si="101">ROUNDUP(Q301/5.5/1000,2)</f>
        <v>5.3999999999999995</v>
      </c>
      <c r="M301" s="538"/>
      <c r="N301" s="834" t="s">
        <v>185</v>
      </c>
      <c r="O301" s="836" t="s">
        <v>314</v>
      </c>
      <c r="P301" s="836">
        <v>0.1</v>
      </c>
      <c r="Q301" s="968">
        <v>29650</v>
      </c>
      <c r="R301" s="948">
        <v>41791</v>
      </c>
      <c r="S301" s="948">
        <v>41912</v>
      </c>
      <c r="T301" s="686" t="str">
        <f t="shared" si="73"/>
        <v>EJECUTADO</v>
      </c>
      <c r="U301" s="837">
        <f t="shared" si="93"/>
        <v>2965</v>
      </c>
      <c r="V301" s="544"/>
      <c r="W301" s="544"/>
      <c r="X301" s="664"/>
      <c r="Y301" s="640"/>
      <c r="Z301" s="545" t="s">
        <v>334</v>
      </c>
      <c r="AA301" s="545" t="s">
        <v>178</v>
      </c>
      <c r="AB301" s="546" t="s">
        <v>187</v>
      </c>
      <c r="AC301" s="547">
        <v>2014</v>
      </c>
      <c r="AD301" s="95"/>
      <c r="AE301" s="93"/>
    </row>
    <row r="302" spans="1:31" s="94" customFormat="1" ht="50.1" customHeight="1">
      <c r="A302" s="910"/>
      <c r="B302" s="913"/>
      <c r="C302" s="985" t="s">
        <v>182</v>
      </c>
      <c r="D302" s="927" t="s">
        <v>344</v>
      </c>
      <c r="E302" s="636" t="str">
        <f t="shared" si="78"/>
        <v>VIA, CHIGUANGO-CHIGUANGO ALTO, L=3,1 km. (Catamayo)</v>
      </c>
      <c r="F302" s="831" t="s">
        <v>330</v>
      </c>
      <c r="G302" s="831" t="str">
        <f>VLOOKUP(H302,'Pob. Ext, Parroquial'!$B$9:$C$117,2,0)</f>
        <v>CATAMAYO</v>
      </c>
      <c r="H302" s="831" t="s">
        <v>338</v>
      </c>
      <c r="I302" s="831" t="s">
        <v>173</v>
      </c>
      <c r="J302" s="831" t="s">
        <v>174</v>
      </c>
      <c r="K302" s="831">
        <v>3.1</v>
      </c>
      <c r="L302" s="537">
        <f t="shared" si="101"/>
        <v>2.2699999999999996</v>
      </c>
      <c r="M302" s="538">
        <f>IF(K302&gt;0,VLOOKUP(H302,'[5]Pob. Ext, Parroquial'!$B$8:$F$117,4,FALSE),0)</f>
        <v>144</v>
      </c>
      <c r="N302" s="834" t="s">
        <v>185</v>
      </c>
      <c r="O302" s="836" t="s">
        <v>314</v>
      </c>
      <c r="P302" s="836">
        <v>0.08</v>
      </c>
      <c r="Q302" s="968">
        <v>12460</v>
      </c>
      <c r="R302" s="948">
        <v>41677</v>
      </c>
      <c r="S302" s="948">
        <v>41678</v>
      </c>
      <c r="T302" s="686" t="str">
        <f t="shared" si="73"/>
        <v>EJECUTADO</v>
      </c>
      <c r="U302" s="837">
        <f t="shared" si="93"/>
        <v>996.8</v>
      </c>
      <c r="V302" s="544"/>
      <c r="W302" s="544"/>
      <c r="X302" s="912">
        <f>U302+V302+W302</f>
        <v>996.8</v>
      </c>
      <c r="Y302" s="640"/>
      <c r="Z302" s="545" t="s">
        <v>334</v>
      </c>
      <c r="AA302" s="545" t="s">
        <v>178</v>
      </c>
      <c r="AB302" s="546" t="s">
        <v>187</v>
      </c>
      <c r="AC302" s="547">
        <v>2014</v>
      </c>
      <c r="AD302" s="95"/>
      <c r="AE302" s="93"/>
    </row>
    <row r="303" spans="1:31" s="94" customFormat="1" ht="50.1" customHeight="1">
      <c r="A303" s="910"/>
      <c r="B303" s="913"/>
      <c r="C303" s="985" t="s">
        <v>182</v>
      </c>
      <c r="D303" s="1117" t="s">
        <v>345</v>
      </c>
      <c r="E303" s="636" t="str">
        <f t="shared" si="78"/>
        <v>VIA CHINCHAS LA ARADA, L=6.7 KM. (incluye 0.4 km accesos al sitio la Cruz ( ( Zambi - Catamayo)</v>
      </c>
      <c r="F303" s="831" t="s">
        <v>330</v>
      </c>
      <c r="G303" s="831" t="str">
        <f>VLOOKUP(H303,'Pob. Ext, Parroquial'!$B$9:$C$117,2,0)</f>
        <v>CATAMAYO</v>
      </c>
      <c r="H303" s="831" t="s">
        <v>331</v>
      </c>
      <c r="I303" s="831" t="s">
        <v>173</v>
      </c>
      <c r="J303" s="831" t="s">
        <v>174</v>
      </c>
      <c r="K303" s="831">
        <v>6.7</v>
      </c>
      <c r="L303" s="537"/>
      <c r="M303" s="538">
        <f>IF(K303&gt;0,VLOOKUP(H303,'[5]Pob. Ext, Parroquial'!$B$8:$F$117,4,FALSE),0)</f>
        <v>267</v>
      </c>
      <c r="N303" s="834" t="s">
        <v>200</v>
      </c>
      <c r="O303" s="836" t="s">
        <v>333</v>
      </c>
      <c r="P303" s="836">
        <v>1.46</v>
      </c>
      <c r="Q303" s="968">
        <v>300</v>
      </c>
      <c r="R303" s="948">
        <v>41791</v>
      </c>
      <c r="S303" s="948">
        <v>41820</v>
      </c>
      <c r="T303" s="686" t="str">
        <f t="shared" si="73"/>
        <v>EJECUTADO</v>
      </c>
      <c r="U303" s="837">
        <f t="shared" si="93"/>
        <v>438</v>
      </c>
      <c r="V303" s="544"/>
      <c r="W303" s="544"/>
      <c r="X303" s="660">
        <f>SUBTOTAL(9,U303:U304)</f>
        <v>9846</v>
      </c>
      <c r="Y303" s="640"/>
      <c r="Z303" s="545" t="s">
        <v>334</v>
      </c>
      <c r="AA303" s="545" t="s">
        <v>178</v>
      </c>
      <c r="AB303" s="546" t="s">
        <v>187</v>
      </c>
      <c r="AC303" s="547">
        <v>2014</v>
      </c>
      <c r="AD303" s="95"/>
      <c r="AE303" s="93"/>
    </row>
    <row r="304" spans="1:31" s="94" customFormat="1" ht="50.1" customHeight="1">
      <c r="A304" s="910"/>
      <c r="B304" s="913"/>
      <c r="C304" s="985" t="s">
        <v>182</v>
      </c>
      <c r="D304" s="1120"/>
      <c r="E304" s="655" t="str">
        <f t="shared" ref="E304" si="102">+E303</f>
        <v>VIA CHINCHAS LA ARADA, L=6.7 KM. (incluye 0.4 km accesos al sitio la Cruz ( ( Zambi - Catamayo)</v>
      </c>
      <c r="F304" s="831" t="s">
        <v>330</v>
      </c>
      <c r="G304" s="831" t="str">
        <f>VLOOKUP(H304,'Pob. Ext, Parroquial'!$B$9:$C$117,2,0)</f>
        <v>CATAMAYO</v>
      </c>
      <c r="H304" s="831" t="s">
        <v>331</v>
      </c>
      <c r="I304" s="831" t="s">
        <v>173</v>
      </c>
      <c r="J304" s="831" t="s">
        <v>174</v>
      </c>
      <c r="K304" s="831"/>
      <c r="L304" s="537">
        <f>ROUNDUP(Q304/5.5/1000,2)</f>
        <v>4.8899999999999997</v>
      </c>
      <c r="M304" s="538"/>
      <c r="N304" s="834" t="s">
        <v>339</v>
      </c>
      <c r="O304" s="836" t="s">
        <v>314</v>
      </c>
      <c r="P304" s="836">
        <v>0.35</v>
      </c>
      <c r="Q304" s="968">
        <v>26880</v>
      </c>
      <c r="R304" s="948">
        <v>41791</v>
      </c>
      <c r="S304" s="948">
        <v>41820</v>
      </c>
      <c r="T304" s="686" t="str">
        <f t="shared" si="73"/>
        <v>EJECUTADO</v>
      </c>
      <c r="U304" s="837">
        <f t="shared" si="93"/>
        <v>9408</v>
      </c>
      <c r="V304" s="544"/>
      <c r="W304" s="544"/>
      <c r="X304" s="664"/>
      <c r="Y304" s="640"/>
      <c r="Z304" s="545" t="s">
        <v>334</v>
      </c>
      <c r="AA304" s="545" t="s">
        <v>178</v>
      </c>
      <c r="AB304" s="546" t="s">
        <v>187</v>
      </c>
      <c r="AC304" s="547">
        <v>2014</v>
      </c>
      <c r="AD304" s="95"/>
      <c r="AE304" s="93"/>
    </row>
    <row r="305" spans="1:31" s="94" customFormat="1" ht="50.1" customHeight="1">
      <c r="A305" s="1068"/>
      <c r="B305" s="913"/>
      <c r="C305" s="985" t="s">
        <v>182</v>
      </c>
      <c r="D305" s="1117" t="s">
        <v>346</v>
      </c>
      <c r="E305" s="636" t="str">
        <f t="shared" si="78"/>
        <v>VIA, ACCESO A BARRIOS: LA CHORA-LA LIBERTAD, L=6,7 km, AL PORVENIR, L=1,1 km.  (Catamayo)</v>
      </c>
      <c r="F305" s="831" t="s">
        <v>330</v>
      </c>
      <c r="G305" s="831" t="str">
        <f>VLOOKUP(H305,'Pob. Ext, Parroquial'!$B$9:$C$117,2,0)</f>
        <v>CATAMAYO</v>
      </c>
      <c r="H305" s="831" t="s">
        <v>331</v>
      </c>
      <c r="I305" s="831" t="s">
        <v>173</v>
      </c>
      <c r="J305" s="831" t="s">
        <v>174</v>
      </c>
      <c r="K305" s="831"/>
      <c r="L305" s="537"/>
      <c r="M305" s="538">
        <f>IF(K305&gt;0,VLOOKUP(H305,'[5]Pob. Ext, Parroquial'!$B$8:$F$117,4,FALSE),0)</f>
        <v>0</v>
      </c>
      <c r="N305" s="855" t="s">
        <v>200</v>
      </c>
      <c r="O305" s="836" t="s">
        <v>333</v>
      </c>
      <c r="P305" s="836">
        <v>1.46</v>
      </c>
      <c r="Q305" s="968">
        <v>850</v>
      </c>
      <c r="R305" s="948">
        <v>41738</v>
      </c>
      <c r="S305" s="948">
        <v>41820</v>
      </c>
      <c r="T305" s="686" t="str">
        <f t="shared" si="73"/>
        <v>EJECUTADO</v>
      </c>
      <c r="U305" s="837">
        <f t="shared" si="93"/>
        <v>1241</v>
      </c>
      <c r="V305" s="544"/>
      <c r="W305" s="544"/>
      <c r="X305" s="660">
        <f>+U305+U306+U307</f>
        <v>16156.5</v>
      </c>
      <c r="Y305" s="640"/>
      <c r="Z305" s="545" t="s">
        <v>334</v>
      </c>
      <c r="AA305" s="545" t="s">
        <v>178</v>
      </c>
      <c r="AB305" s="546" t="s">
        <v>187</v>
      </c>
      <c r="AC305" s="547">
        <v>2014</v>
      </c>
      <c r="AD305" s="95"/>
      <c r="AE305" s="93"/>
    </row>
    <row r="306" spans="1:31" s="94" customFormat="1" ht="50.1" customHeight="1">
      <c r="A306" s="1068"/>
      <c r="B306" s="913"/>
      <c r="C306" s="985" t="s">
        <v>182</v>
      </c>
      <c r="D306" s="1118"/>
      <c r="E306" s="655" t="str">
        <f t="shared" ref="E306:E307" si="103">+E305</f>
        <v>VIA, ACCESO A BARRIOS: LA CHORA-LA LIBERTAD, L=6,7 km, AL PORVENIR, L=1,1 km.  (Catamayo)</v>
      </c>
      <c r="F306" s="831" t="s">
        <v>330</v>
      </c>
      <c r="G306" s="831" t="str">
        <f>VLOOKUP(H306,'Pob. Ext, Parroquial'!$B$9:$C$117,2,0)</f>
        <v>CATAMAYO</v>
      </c>
      <c r="H306" s="831" t="s">
        <v>331</v>
      </c>
      <c r="I306" s="831" t="s">
        <v>173</v>
      </c>
      <c r="J306" s="831" t="s">
        <v>174</v>
      </c>
      <c r="K306" s="831"/>
      <c r="L306" s="537">
        <f>ROUNDUP(Q306/5.5/1000,2)</f>
        <v>1.85</v>
      </c>
      <c r="M306" s="538">
        <f>IF(K306&gt;0,VLOOKUP(H306,'[5]Pob. Ext, Parroquial'!$B$8:$F$117,4,FALSE),0)</f>
        <v>0</v>
      </c>
      <c r="N306" s="855" t="s">
        <v>185</v>
      </c>
      <c r="O306" s="836" t="s">
        <v>314</v>
      </c>
      <c r="P306" s="836">
        <v>0.08</v>
      </c>
      <c r="Q306" s="968">
        <v>10175</v>
      </c>
      <c r="R306" s="948">
        <v>41738</v>
      </c>
      <c r="S306" s="948">
        <v>41744</v>
      </c>
      <c r="T306" s="686" t="str">
        <f t="shared" si="73"/>
        <v>EJECUTADO</v>
      </c>
      <c r="U306" s="837">
        <f t="shared" si="93"/>
        <v>814</v>
      </c>
      <c r="V306" s="544"/>
      <c r="W306" s="544"/>
      <c r="X306" s="662"/>
      <c r="Y306" s="640"/>
      <c r="Z306" s="545" t="s">
        <v>334</v>
      </c>
      <c r="AA306" s="545" t="s">
        <v>178</v>
      </c>
      <c r="AB306" s="546" t="s">
        <v>187</v>
      </c>
      <c r="AC306" s="547">
        <v>2014</v>
      </c>
      <c r="AD306" s="95"/>
      <c r="AE306" s="93"/>
    </row>
    <row r="307" spans="1:31" s="94" customFormat="1" ht="50.1" customHeight="1">
      <c r="A307" s="1068"/>
      <c r="B307" s="667"/>
      <c r="C307" s="985" t="s">
        <v>182</v>
      </c>
      <c r="D307" s="1120"/>
      <c r="E307" s="655" t="str">
        <f t="shared" si="103"/>
        <v>VIA, ACCESO A BARRIOS: LA CHORA-LA LIBERTAD, L=6,7 km, AL PORVENIR, L=1,1 km.  (Catamayo)</v>
      </c>
      <c r="F307" s="831" t="s">
        <v>330</v>
      </c>
      <c r="G307" s="831" t="str">
        <f>VLOOKUP(H307,'Pob. Ext, Parroquial'!$B$9:$C$117,2,0)</f>
        <v>CATAMAYO</v>
      </c>
      <c r="H307" s="831" t="s">
        <v>331</v>
      </c>
      <c r="I307" s="831" t="s">
        <v>173</v>
      </c>
      <c r="J307" s="831" t="s">
        <v>174</v>
      </c>
      <c r="K307" s="831">
        <v>7.8</v>
      </c>
      <c r="L307" s="537">
        <f>ROUNDUP(Q307/5.5/1000,2)</f>
        <v>7.33</v>
      </c>
      <c r="M307" s="538">
        <f>IF(K307&gt;0,VLOOKUP(H307,'[5]Pob. Ext, Parroquial'!$B$8:$F$117,4,FALSE),0)</f>
        <v>267</v>
      </c>
      <c r="N307" s="834" t="s">
        <v>183</v>
      </c>
      <c r="O307" s="836" t="s">
        <v>314</v>
      </c>
      <c r="P307" s="836">
        <v>0.35</v>
      </c>
      <c r="Q307" s="968">
        <v>40290</v>
      </c>
      <c r="R307" s="948">
        <v>41738</v>
      </c>
      <c r="S307" s="948">
        <v>41820</v>
      </c>
      <c r="T307" s="686" t="str">
        <f t="shared" si="73"/>
        <v>EJECUTADO</v>
      </c>
      <c r="U307" s="837">
        <f t="shared" si="93"/>
        <v>14101.5</v>
      </c>
      <c r="V307" s="544"/>
      <c r="W307" s="544"/>
      <c r="X307" s="664"/>
      <c r="Y307" s="640"/>
      <c r="Z307" s="545" t="s">
        <v>334</v>
      </c>
      <c r="AA307" s="545" t="s">
        <v>178</v>
      </c>
      <c r="AB307" s="546" t="s">
        <v>187</v>
      </c>
      <c r="AC307" s="547">
        <v>2014</v>
      </c>
      <c r="AD307" s="95"/>
      <c r="AE307" s="93"/>
    </row>
    <row r="308" spans="1:31" s="94" customFormat="1" ht="50.1" customHeight="1">
      <c r="A308" s="1068"/>
      <c r="B308" s="1076"/>
      <c r="C308" s="985" t="s">
        <v>182</v>
      </c>
      <c r="D308" s="1117" t="s">
        <v>347</v>
      </c>
      <c r="E308" s="636" t="str">
        <f t="shared" si="78"/>
        <v>VIA, ACCESO AL BARRIO, TOGUEROS, L=1,65 km (Catamayo)</v>
      </c>
      <c r="F308" s="831" t="s">
        <v>330</v>
      </c>
      <c r="G308" s="831" t="str">
        <f>VLOOKUP(H308,'Pob. Ext, Parroquial'!$B$9:$C$117,2,0)</f>
        <v>CATAMAYO</v>
      </c>
      <c r="H308" s="831" t="s">
        <v>348</v>
      </c>
      <c r="I308" s="831" t="s">
        <v>173</v>
      </c>
      <c r="J308" s="831" t="s">
        <v>174</v>
      </c>
      <c r="K308" s="831">
        <v>1.65</v>
      </c>
      <c r="L308" s="537"/>
      <c r="M308" s="538">
        <f>IF(K308&gt;0,VLOOKUP(H308,'[5]Pob. Ext, Parroquial'!$B$8:$F$117,4,FALSE),0)</f>
        <v>245</v>
      </c>
      <c r="N308" s="856" t="s">
        <v>349</v>
      </c>
      <c r="O308" s="836" t="s">
        <v>333</v>
      </c>
      <c r="P308" s="836">
        <v>1.62</v>
      </c>
      <c r="Q308" s="968">
        <v>1920</v>
      </c>
      <c r="R308" s="948">
        <v>41760</v>
      </c>
      <c r="S308" s="948">
        <v>41790</v>
      </c>
      <c r="T308" s="686" t="str">
        <f t="shared" si="73"/>
        <v>EJECUTADO</v>
      </c>
      <c r="U308" s="837">
        <f t="shared" si="93"/>
        <v>3110.4</v>
      </c>
      <c r="V308" s="544"/>
      <c r="W308" s="544"/>
      <c r="X308" s="660">
        <f>SUM(U308:U315)</f>
        <v>20934.349999999999</v>
      </c>
      <c r="Y308" s="640"/>
      <c r="Z308" s="545" t="s">
        <v>334</v>
      </c>
      <c r="AA308" s="545" t="s">
        <v>178</v>
      </c>
      <c r="AB308" s="546" t="s">
        <v>187</v>
      </c>
      <c r="AC308" s="547">
        <v>2014</v>
      </c>
      <c r="AD308" s="95"/>
      <c r="AE308" s="93"/>
    </row>
    <row r="309" spans="1:31" s="94" customFormat="1" ht="50.1" customHeight="1">
      <c r="A309" s="1068"/>
      <c r="B309" s="1076"/>
      <c r="C309" s="985" t="s">
        <v>182</v>
      </c>
      <c r="D309" s="1118"/>
      <c r="E309" s="655" t="str">
        <f t="shared" ref="E309:E315" si="104">+E308</f>
        <v>VIA, ACCESO AL BARRIO, TOGUEROS, L=1,65 km (Catamayo)</v>
      </c>
      <c r="F309" s="831" t="s">
        <v>330</v>
      </c>
      <c r="G309" s="831" t="str">
        <f>VLOOKUP(H309,'Pob. Ext, Parroquial'!$B$9:$C$117,2,0)</f>
        <v>CATAMAYO</v>
      </c>
      <c r="H309" s="831" t="s">
        <v>348</v>
      </c>
      <c r="I309" s="831" t="s">
        <v>173</v>
      </c>
      <c r="J309" s="831" t="s">
        <v>174</v>
      </c>
      <c r="K309" s="831"/>
      <c r="L309" s="537"/>
      <c r="M309" s="538">
        <f>IF(K309&gt;0,VLOOKUP(H309,'[5]Pob. Ext, Parroquial'!$B$8:$F$117,4,FALSE),0)</f>
        <v>0</v>
      </c>
      <c r="N309" s="856" t="s">
        <v>350</v>
      </c>
      <c r="O309" s="836" t="s">
        <v>333</v>
      </c>
      <c r="P309" s="836">
        <v>1.62</v>
      </c>
      <c r="Q309" s="968">
        <v>700</v>
      </c>
      <c r="R309" s="948">
        <v>41745</v>
      </c>
      <c r="S309" s="948">
        <v>41759</v>
      </c>
      <c r="T309" s="686" t="str">
        <f t="shared" si="73"/>
        <v>EJECUTADO</v>
      </c>
      <c r="U309" s="837">
        <f t="shared" si="93"/>
        <v>1134</v>
      </c>
      <c r="V309" s="544"/>
      <c r="W309" s="544"/>
      <c r="X309" s="662"/>
      <c r="Y309" s="640"/>
      <c r="Z309" s="545" t="s">
        <v>334</v>
      </c>
      <c r="AA309" s="545" t="s">
        <v>178</v>
      </c>
      <c r="AB309" s="546" t="s">
        <v>187</v>
      </c>
      <c r="AC309" s="547">
        <v>2014</v>
      </c>
      <c r="AD309" s="95"/>
      <c r="AE309" s="93"/>
    </row>
    <row r="310" spans="1:31" s="94" customFormat="1" ht="50.1" customHeight="1">
      <c r="A310" s="1068"/>
      <c r="B310" s="1076"/>
      <c r="C310" s="985" t="s">
        <v>182</v>
      </c>
      <c r="D310" s="1118"/>
      <c r="E310" s="655" t="str">
        <f t="shared" si="104"/>
        <v>VIA, ACCESO AL BARRIO, TOGUEROS, L=1,65 km (Catamayo)</v>
      </c>
      <c r="F310" s="831" t="s">
        <v>330</v>
      </c>
      <c r="G310" s="831" t="str">
        <f>VLOOKUP(H310,'Pob. Ext, Parroquial'!$B$9:$C$117,2,0)</f>
        <v>CATAMAYO</v>
      </c>
      <c r="H310" s="831" t="s">
        <v>348</v>
      </c>
      <c r="I310" s="831" t="s">
        <v>173</v>
      </c>
      <c r="J310" s="831" t="s">
        <v>174</v>
      </c>
      <c r="K310" s="831"/>
      <c r="L310" s="537"/>
      <c r="M310" s="538">
        <f>IF(K310&gt;0,VLOOKUP(H310,'[5]Pob. Ext, Parroquial'!$B$8:$F$117,4,FALSE),0)</f>
        <v>0</v>
      </c>
      <c r="N310" s="834" t="s">
        <v>336</v>
      </c>
      <c r="O310" s="836" t="s">
        <v>333</v>
      </c>
      <c r="P310" s="836">
        <v>1.47</v>
      </c>
      <c r="Q310" s="968">
        <v>1500</v>
      </c>
      <c r="R310" s="948">
        <v>41644</v>
      </c>
      <c r="S310" s="948">
        <v>41790</v>
      </c>
      <c r="T310" s="686" t="str">
        <f t="shared" si="73"/>
        <v>EJECUTADO</v>
      </c>
      <c r="U310" s="837">
        <f t="shared" si="93"/>
        <v>2205</v>
      </c>
      <c r="V310" s="544"/>
      <c r="W310" s="544"/>
      <c r="X310" s="662"/>
      <c r="Y310" s="640"/>
      <c r="Z310" s="545" t="s">
        <v>334</v>
      </c>
      <c r="AA310" s="545" t="s">
        <v>178</v>
      </c>
      <c r="AB310" s="546" t="s">
        <v>187</v>
      </c>
      <c r="AC310" s="547">
        <v>2014</v>
      </c>
      <c r="AD310" s="95"/>
      <c r="AE310" s="93"/>
    </row>
    <row r="311" spans="1:31" s="94" customFormat="1" ht="50.1" customHeight="1">
      <c r="A311" s="1068"/>
      <c r="B311" s="1076"/>
      <c r="C311" s="985" t="s">
        <v>182</v>
      </c>
      <c r="D311" s="1118"/>
      <c r="E311" s="655" t="str">
        <f t="shared" si="104"/>
        <v>VIA, ACCESO AL BARRIO, TOGUEROS, L=1,65 km (Catamayo)</v>
      </c>
      <c r="F311" s="831" t="s">
        <v>330</v>
      </c>
      <c r="G311" s="831" t="str">
        <f>VLOOKUP(H311,'Pob. Ext, Parroquial'!$B$9:$C$117,2,0)</f>
        <v>CATAMAYO</v>
      </c>
      <c r="H311" s="831" t="s">
        <v>348</v>
      </c>
      <c r="I311" s="831" t="s">
        <v>173</v>
      </c>
      <c r="J311" s="831" t="s">
        <v>174</v>
      </c>
      <c r="K311" s="831"/>
      <c r="L311" s="537"/>
      <c r="M311" s="538">
        <f>IF(K311&gt;0,VLOOKUP(H311,'[5]Pob. Ext, Parroquial'!$B$8:$F$117,4,FALSE),0)</f>
        <v>0</v>
      </c>
      <c r="N311" s="855" t="s">
        <v>200</v>
      </c>
      <c r="O311" s="836" t="s">
        <v>333</v>
      </c>
      <c r="P311" s="836">
        <v>1.46</v>
      </c>
      <c r="Q311" s="968">
        <v>875</v>
      </c>
      <c r="R311" s="948">
        <v>41745</v>
      </c>
      <c r="S311" s="948">
        <v>41759</v>
      </c>
      <c r="T311" s="686" t="str">
        <f t="shared" si="73"/>
        <v>EJECUTADO</v>
      </c>
      <c r="U311" s="837">
        <f t="shared" si="93"/>
        <v>1277.5</v>
      </c>
      <c r="V311" s="544"/>
      <c r="W311" s="544"/>
      <c r="X311" s="662"/>
      <c r="Y311" s="640"/>
      <c r="Z311" s="545" t="s">
        <v>334</v>
      </c>
      <c r="AA311" s="545" t="s">
        <v>178</v>
      </c>
      <c r="AB311" s="546" t="s">
        <v>187</v>
      </c>
      <c r="AC311" s="547">
        <v>2014</v>
      </c>
      <c r="AD311" s="95"/>
      <c r="AE311" s="93"/>
    </row>
    <row r="312" spans="1:31" s="94" customFormat="1" ht="50.1" customHeight="1">
      <c r="A312" s="1068"/>
      <c r="B312" s="1076"/>
      <c r="C312" s="985" t="s">
        <v>182</v>
      </c>
      <c r="D312" s="1118"/>
      <c r="E312" s="655" t="str">
        <f t="shared" si="104"/>
        <v>VIA, ACCESO AL BARRIO, TOGUEROS, L=1,65 km (Catamayo)</v>
      </c>
      <c r="F312" s="831" t="s">
        <v>330</v>
      </c>
      <c r="G312" s="831" t="str">
        <f>VLOOKUP(H312,'Pob. Ext, Parroquial'!$B$9:$C$117,2,0)</f>
        <v>CATAMAYO</v>
      </c>
      <c r="H312" s="831" t="s">
        <v>348</v>
      </c>
      <c r="I312" s="831" t="s">
        <v>173</v>
      </c>
      <c r="J312" s="831" t="s">
        <v>174</v>
      </c>
      <c r="K312" s="831"/>
      <c r="L312" s="537">
        <f>ROUNDUP(Q312/5.5/1000,2)</f>
        <v>1.53</v>
      </c>
      <c r="M312" s="538">
        <f>IF(K312&gt;0,VLOOKUP(H312,'[5]Pob. Ext, Parroquial'!$B$8:$F$117,4,FALSE),0)</f>
        <v>0</v>
      </c>
      <c r="N312" s="855" t="s">
        <v>185</v>
      </c>
      <c r="O312" s="836" t="s">
        <v>314</v>
      </c>
      <c r="P312" s="836">
        <v>0.08</v>
      </c>
      <c r="Q312" s="968">
        <v>8370</v>
      </c>
      <c r="R312" s="948">
        <v>41745</v>
      </c>
      <c r="S312" s="948">
        <v>41759</v>
      </c>
      <c r="T312" s="686" t="str">
        <f t="shared" si="73"/>
        <v>EJECUTADO</v>
      </c>
      <c r="U312" s="837">
        <f t="shared" si="93"/>
        <v>669.6</v>
      </c>
      <c r="V312" s="544"/>
      <c r="W312" s="544"/>
      <c r="X312" s="662"/>
      <c r="Y312" s="640"/>
      <c r="Z312" s="545" t="s">
        <v>334</v>
      </c>
      <c r="AA312" s="545" t="s">
        <v>178</v>
      </c>
      <c r="AB312" s="546" t="s">
        <v>187</v>
      </c>
      <c r="AC312" s="547">
        <v>2014</v>
      </c>
      <c r="AD312" s="95"/>
      <c r="AE312" s="93"/>
    </row>
    <row r="313" spans="1:31" s="94" customFormat="1" ht="50.1" customHeight="1">
      <c r="A313" s="1068"/>
      <c r="B313" s="1076"/>
      <c r="C313" s="985" t="s">
        <v>182</v>
      </c>
      <c r="D313" s="1118"/>
      <c r="E313" s="655" t="str">
        <f t="shared" si="104"/>
        <v>VIA, ACCESO AL BARRIO, TOGUEROS, L=1,65 km (Catamayo)</v>
      </c>
      <c r="F313" s="831" t="s">
        <v>330</v>
      </c>
      <c r="G313" s="831" t="str">
        <f>VLOOKUP(H313,'Pob. Ext, Parroquial'!$B$9:$C$117,2,0)</f>
        <v>CATAMAYO</v>
      </c>
      <c r="H313" s="831" t="s">
        <v>348</v>
      </c>
      <c r="I313" s="831" t="s">
        <v>173</v>
      </c>
      <c r="J313" s="831" t="s">
        <v>174</v>
      </c>
      <c r="K313" s="831"/>
      <c r="L313" s="537"/>
      <c r="M313" s="538">
        <f>IF(K313&gt;0,VLOOKUP(H313,'[5]Pob. Ext, Parroquial'!$B$8:$F$117,4,FALSE),0)</f>
        <v>0</v>
      </c>
      <c r="N313" s="855" t="s">
        <v>351</v>
      </c>
      <c r="O313" s="836" t="s">
        <v>352</v>
      </c>
      <c r="P313" s="836">
        <v>0.38</v>
      </c>
      <c r="Q313" s="968">
        <v>780</v>
      </c>
      <c r="R313" s="948">
        <v>41745</v>
      </c>
      <c r="S313" s="948">
        <v>41759</v>
      </c>
      <c r="T313" s="686" t="str">
        <f t="shared" si="73"/>
        <v>EJECUTADO</v>
      </c>
      <c r="U313" s="837">
        <f t="shared" si="93"/>
        <v>296.39999999999998</v>
      </c>
      <c r="V313" s="544"/>
      <c r="W313" s="544"/>
      <c r="X313" s="662"/>
      <c r="Y313" s="640"/>
      <c r="Z313" s="545" t="s">
        <v>334</v>
      </c>
      <c r="AA313" s="545" t="s">
        <v>178</v>
      </c>
      <c r="AB313" s="546" t="s">
        <v>187</v>
      </c>
      <c r="AC313" s="547">
        <v>2014</v>
      </c>
      <c r="AD313" s="95"/>
      <c r="AE313" s="93"/>
    </row>
    <row r="314" spans="1:31" s="94" customFormat="1" ht="50.1" customHeight="1">
      <c r="A314" s="1068"/>
      <c r="B314" s="1076"/>
      <c r="C314" s="985" t="s">
        <v>182</v>
      </c>
      <c r="D314" s="1118"/>
      <c r="E314" s="655" t="str">
        <f t="shared" si="104"/>
        <v>VIA, ACCESO AL BARRIO, TOGUEROS, L=1,65 km (Catamayo)</v>
      </c>
      <c r="F314" s="831" t="s">
        <v>330</v>
      </c>
      <c r="G314" s="831" t="str">
        <f>VLOOKUP(H314,'Pob. Ext, Parroquial'!$B$9:$C$117,2,0)</f>
        <v>CATAMAYO</v>
      </c>
      <c r="H314" s="831" t="s">
        <v>348</v>
      </c>
      <c r="I314" s="831" t="s">
        <v>173</v>
      </c>
      <c r="J314" s="831" t="s">
        <v>174</v>
      </c>
      <c r="K314" s="831"/>
      <c r="L314" s="537"/>
      <c r="M314" s="538">
        <f>IF(K314&gt;0,VLOOKUP(H314,'[5]Pob. Ext, Parroquial'!$B$8:$F$117,4,FALSE),0)</f>
        <v>0</v>
      </c>
      <c r="N314" s="855" t="s">
        <v>180</v>
      </c>
      <c r="O314" s="836" t="s">
        <v>352</v>
      </c>
      <c r="P314" s="836">
        <v>0.3</v>
      </c>
      <c r="Q314" s="968">
        <v>6429.36</v>
      </c>
      <c r="R314" s="948">
        <v>41745</v>
      </c>
      <c r="S314" s="948">
        <v>41790</v>
      </c>
      <c r="T314" s="686" t="str">
        <f t="shared" si="73"/>
        <v>EJECUTADO</v>
      </c>
      <c r="U314" s="837">
        <f t="shared" si="93"/>
        <v>1928.81</v>
      </c>
      <c r="V314" s="544"/>
      <c r="W314" s="544"/>
      <c r="X314" s="662"/>
      <c r="Y314" s="640"/>
      <c r="Z314" s="545" t="s">
        <v>334</v>
      </c>
      <c r="AA314" s="545" t="s">
        <v>178</v>
      </c>
      <c r="AB314" s="546" t="s">
        <v>187</v>
      </c>
      <c r="AC314" s="547">
        <v>2014</v>
      </c>
      <c r="AD314" s="95"/>
      <c r="AE314" s="93"/>
    </row>
    <row r="315" spans="1:31" s="94" customFormat="1" ht="50.1" customHeight="1">
      <c r="A315" s="1068"/>
      <c r="B315" s="1076"/>
      <c r="C315" s="985" t="s">
        <v>182</v>
      </c>
      <c r="D315" s="1120"/>
      <c r="E315" s="655" t="str">
        <f t="shared" si="104"/>
        <v>VIA, ACCESO AL BARRIO, TOGUEROS, L=1,65 km (Catamayo)</v>
      </c>
      <c r="F315" s="831" t="s">
        <v>330</v>
      </c>
      <c r="G315" s="831" t="str">
        <f>VLOOKUP(H315,'Pob. Ext, Parroquial'!$B$9:$C$117,2,0)</f>
        <v>CATAMAYO</v>
      </c>
      <c r="H315" s="831" t="s">
        <v>348</v>
      </c>
      <c r="I315" s="831" t="s">
        <v>173</v>
      </c>
      <c r="J315" s="831" t="s">
        <v>174</v>
      </c>
      <c r="K315" s="831"/>
      <c r="L315" s="537">
        <f>+ROUND(Q315/5500/0.2,2)</f>
        <v>1.58</v>
      </c>
      <c r="M315" s="538">
        <f>IF(K315&gt;0,VLOOKUP(H315,'[5]Pob. Ext, Parroquial'!$B$8:$F$117,4,FALSE),0)</f>
        <v>0</v>
      </c>
      <c r="N315" s="855" t="s">
        <v>229</v>
      </c>
      <c r="O315" s="836" t="s">
        <v>333</v>
      </c>
      <c r="P315" s="836">
        <v>5.92</v>
      </c>
      <c r="Q315" s="968">
        <v>1742</v>
      </c>
      <c r="R315" s="948">
        <v>41745</v>
      </c>
      <c r="S315" s="948">
        <v>41790</v>
      </c>
      <c r="T315" s="686" t="str">
        <f t="shared" si="73"/>
        <v>EJECUTADO</v>
      </c>
      <c r="U315" s="837">
        <f t="shared" si="93"/>
        <v>10312.64</v>
      </c>
      <c r="V315" s="544"/>
      <c r="W315" s="544"/>
      <c r="X315" s="664"/>
      <c r="Y315" s="640"/>
      <c r="Z315" s="545" t="s">
        <v>334</v>
      </c>
      <c r="AA315" s="545" t="s">
        <v>178</v>
      </c>
      <c r="AB315" s="546" t="s">
        <v>187</v>
      </c>
      <c r="AC315" s="547">
        <v>2014</v>
      </c>
      <c r="AD315" s="95"/>
      <c r="AE315" s="93"/>
    </row>
    <row r="316" spans="1:31" s="94" customFormat="1" ht="50.1" customHeight="1">
      <c r="A316" s="1068"/>
      <c r="B316" s="1086"/>
      <c r="C316" s="985" t="s">
        <v>182</v>
      </c>
      <c r="D316" s="1117" t="s">
        <v>354</v>
      </c>
      <c r="E316" s="636" t="str">
        <f t="shared" si="78"/>
        <v>VIA, INDIUCHO-EL TAMBO, L=12,7 km. (Catamayo)  FALLA GEOLOGICA, ABS. 8+500  Inicio: 7 de marzo, continúa.</v>
      </c>
      <c r="F316" s="831" t="s">
        <v>330</v>
      </c>
      <c r="G316" s="831" t="str">
        <f>VLOOKUP(H316,'Pob. Ext, Parroquial'!$B$9:$C$117,2,0)</f>
        <v>CATAMAYO</v>
      </c>
      <c r="H316" s="831" t="s">
        <v>355</v>
      </c>
      <c r="I316" s="831" t="s">
        <v>173</v>
      </c>
      <c r="J316" s="831" t="s">
        <v>174</v>
      </c>
      <c r="K316" s="831">
        <v>12.7</v>
      </c>
      <c r="L316" s="537"/>
      <c r="M316" s="538">
        <f>IF(K316&gt;0,VLOOKUP(H316,'[5]Pob. Ext, Parroquial'!$B$8:$F$117,4,FALSE),0)</f>
        <v>2886</v>
      </c>
      <c r="N316" s="834" t="s">
        <v>356</v>
      </c>
      <c r="O316" s="836" t="s">
        <v>357</v>
      </c>
      <c r="P316" s="836">
        <v>208.57</v>
      </c>
      <c r="Q316" s="968">
        <v>14</v>
      </c>
      <c r="R316" s="948">
        <v>41644</v>
      </c>
      <c r="S316" s="948">
        <v>41790</v>
      </c>
      <c r="T316" s="686" t="str">
        <f t="shared" si="73"/>
        <v>EJECUTADO</v>
      </c>
      <c r="U316" s="837">
        <f t="shared" si="93"/>
        <v>2919.98</v>
      </c>
      <c r="V316" s="544"/>
      <c r="W316" s="544"/>
      <c r="X316" s="660">
        <f>SUM(U316:U326)</f>
        <v>42722.719999999994</v>
      </c>
      <c r="Y316" s="640"/>
      <c r="Z316" s="545" t="s">
        <v>334</v>
      </c>
      <c r="AA316" s="545" t="s">
        <v>178</v>
      </c>
      <c r="AB316" s="546" t="s">
        <v>187</v>
      </c>
      <c r="AC316" s="547">
        <v>2014</v>
      </c>
      <c r="AD316" s="95"/>
      <c r="AE316" s="93"/>
    </row>
    <row r="317" spans="1:31" s="94" customFormat="1" ht="50.1" customHeight="1">
      <c r="A317" s="1068"/>
      <c r="B317" s="1087"/>
      <c r="C317" s="985" t="s">
        <v>182</v>
      </c>
      <c r="D317" s="1118"/>
      <c r="E317" s="655" t="str">
        <f t="shared" ref="E317:E326" si="105">+E316</f>
        <v>VIA, INDIUCHO-EL TAMBO, L=12,7 km. (Catamayo)  FALLA GEOLOGICA, ABS. 8+500  Inicio: 7 de marzo, continúa.</v>
      </c>
      <c r="F317" s="831" t="s">
        <v>330</v>
      </c>
      <c r="G317" s="831" t="str">
        <f>VLOOKUP(H317,'Pob. Ext, Parroquial'!$B$9:$C$117,2,0)</f>
        <v>CATAMAYO</v>
      </c>
      <c r="H317" s="831" t="s">
        <v>355</v>
      </c>
      <c r="I317" s="831" t="s">
        <v>173</v>
      </c>
      <c r="J317" s="831" t="s">
        <v>174</v>
      </c>
      <c r="K317" s="831"/>
      <c r="L317" s="537"/>
      <c r="M317" s="538">
        <f>IF(K317&gt;0,VLOOKUP(H317,'[5]Pob. Ext, Parroquial'!$B$8:$F$117,4,FALSE),0)</f>
        <v>0</v>
      </c>
      <c r="N317" s="834" t="s">
        <v>358</v>
      </c>
      <c r="O317" s="836" t="s">
        <v>176</v>
      </c>
      <c r="P317" s="836">
        <v>9.84</v>
      </c>
      <c r="Q317" s="968">
        <v>800</v>
      </c>
      <c r="R317" s="948">
        <v>41644</v>
      </c>
      <c r="S317" s="948">
        <v>41790</v>
      </c>
      <c r="T317" s="686" t="str">
        <f t="shared" si="73"/>
        <v>EJECUTADO</v>
      </c>
      <c r="U317" s="837">
        <f t="shared" si="93"/>
        <v>7872</v>
      </c>
      <c r="V317" s="544"/>
      <c r="W317" s="544"/>
      <c r="X317" s="662"/>
      <c r="Y317" s="640"/>
      <c r="Z317" s="545" t="s">
        <v>334</v>
      </c>
      <c r="AA317" s="545" t="s">
        <v>178</v>
      </c>
      <c r="AB317" s="546" t="s">
        <v>187</v>
      </c>
      <c r="AC317" s="547">
        <v>2014</v>
      </c>
      <c r="AD317" s="95"/>
      <c r="AE317" s="93"/>
    </row>
    <row r="318" spans="1:31" s="94" customFormat="1" ht="50.1" customHeight="1">
      <c r="A318" s="1068"/>
      <c r="B318" s="1087"/>
      <c r="C318" s="985" t="s">
        <v>182</v>
      </c>
      <c r="D318" s="1118"/>
      <c r="E318" s="655" t="str">
        <f t="shared" si="105"/>
        <v>VIA, INDIUCHO-EL TAMBO, L=12,7 km. (Catamayo)  FALLA GEOLOGICA, ABS. 8+500  Inicio: 7 de marzo, continúa.</v>
      </c>
      <c r="F318" s="831" t="s">
        <v>330</v>
      </c>
      <c r="G318" s="831" t="str">
        <f>VLOOKUP(H318,'Pob. Ext, Parroquial'!$B$9:$C$117,2,0)</f>
        <v>CATAMAYO</v>
      </c>
      <c r="H318" s="831" t="s">
        <v>355</v>
      </c>
      <c r="I318" s="831" t="s">
        <v>173</v>
      </c>
      <c r="J318" s="831" t="s">
        <v>174</v>
      </c>
      <c r="K318" s="831"/>
      <c r="L318" s="537"/>
      <c r="M318" s="538">
        <f>IF(K318&gt;0,VLOOKUP(H318,'[5]Pob. Ext, Parroquial'!$B$8:$F$117,4,FALSE),0)</f>
        <v>0</v>
      </c>
      <c r="N318" s="834" t="s">
        <v>359</v>
      </c>
      <c r="O318" s="836" t="s">
        <v>176</v>
      </c>
      <c r="P318" s="836">
        <v>5.05</v>
      </c>
      <c r="Q318" s="968">
        <v>440</v>
      </c>
      <c r="R318" s="948">
        <v>41644</v>
      </c>
      <c r="S318" s="948">
        <v>41790</v>
      </c>
      <c r="T318" s="686" t="str">
        <f t="shared" si="73"/>
        <v>EJECUTADO</v>
      </c>
      <c r="U318" s="837">
        <f t="shared" si="93"/>
        <v>2222</v>
      </c>
      <c r="V318" s="544"/>
      <c r="W318" s="544"/>
      <c r="X318" s="662"/>
      <c r="Y318" s="640"/>
      <c r="Z318" s="545" t="s">
        <v>334</v>
      </c>
      <c r="AA318" s="545" t="s">
        <v>178</v>
      </c>
      <c r="AB318" s="546" t="s">
        <v>187</v>
      </c>
      <c r="AC318" s="547">
        <v>2014</v>
      </c>
      <c r="AD318" s="95"/>
      <c r="AE318" s="93"/>
    </row>
    <row r="319" spans="1:31" s="94" customFormat="1" ht="50.1" customHeight="1">
      <c r="A319" s="1068"/>
      <c r="B319" s="1087"/>
      <c r="C319" s="985" t="s">
        <v>182</v>
      </c>
      <c r="D319" s="1118"/>
      <c r="E319" s="655" t="str">
        <f t="shared" si="105"/>
        <v>VIA, INDIUCHO-EL TAMBO, L=12,7 km. (Catamayo)  FALLA GEOLOGICA, ABS. 8+500  Inicio: 7 de marzo, continúa.</v>
      </c>
      <c r="F319" s="831" t="s">
        <v>330</v>
      </c>
      <c r="G319" s="831" t="str">
        <f>VLOOKUP(H319,'Pob. Ext, Parroquial'!$B$9:$C$117,2,0)</f>
        <v>CATAMAYO</v>
      </c>
      <c r="H319" s="831" t="s">
        <v>355</v>
      </c>
      <c r="I319" s="831" t="s">
        <v>173</v>
      </c>
      <c r="J319" s="831" t="s">
        <v>174</v>
      </c>
      <c r="K319" s="831"/>
      <c r="L319" s="537"/>
      <c r="M319" s="538">
        <f>IF(K319&gt;0,VLOOKUP(H319,'[5]Pob. Ext, Parroquial'!$B$8:$F$117,4,FALSE),0)</f>
        <v>0</v>
      </c>
      <c r="N319" s="834" t="s">
        <v>360</v>
      </c>
      <c r="O319" s="836" t="s">
        <v>176</v>
      </c>
      <c r="P319" s="836">
        <v>0.92</v>
      </c>
      <c r="Q319" s="968">
        <v>4372.8</v>
      </c>
      <c r="R319" s="948">
        <v>41644</v>
      </c>
      <c r="S319" s="948">
        <v>41790</v>
      </c>
      <c r="T319" s="686" t="str">
        <f t="shared" si="73"/>
        <v>EJECUTADO</v>
      </c>
      <c r="U319" s="837">
        <f t="shared" si="93"/>
        <v>4022.98</v>
      </c>
      <c r="V319" s="544"/>
      <c r="W319" s="544"/>
      <c r="X319" s="662"/>
      <c r="Y319" s="640"/>
      <c r="Z319" s="545" t="s">
        <v>334</v>
      </c>
      <c r="AA319" s="545" t="s">
        <v>178</v>
      </c>
      <c r="AB319" s="546" t="s">
        <v>187</v>
      </c>
      <c r="AC319" s="547">
        <v>2014</v>
      </c>
      <c r="AD319" s="95"/>
      <c r="AE319" s="93"/>
    </row>
    <row r="320" spans="1:31" s="94" customFormat="1" ht="50.1" customHeight="1">
      <c r="A320" s="1068"/>
      <c r="B320" s="1087"/>
      <c r="C320" s="985" t="s">
        <v>182</v>
      </c>
      <c r="D320" s="1118"/>
      <c r="E320" s="655" t="str">
        <f t="shared" si="105"/>
        <v>VIA, INDIUCHO-EL TAMBO, L=12,7 km. (Catamayo)  FALLA GEOLOGICA, ABS. 8+500  Inicio: 7 de marzo, continúa.</v>
      </c>
      <c r="F320" s="831" t="s">
        <v>330</v>
      </c>
      <c r="G320" s="831" t="str">
        <f>VLOOKUP(H320,'Pob. Ext, Parroquial'!$B$9:$C$117,2,0)</f>
        <v>CATAMAYO</v>
      </c>
      <c r="H320" s="831" t="s">
        <v>355</v>
      </c>
      <c r="I320" s="831" t="s">
        <v>173</v>
      </c>
      <c r="J320" s="831" t="s">
        <v>174</v>
      </c>
      <c r="K320" s="831"/>
      <c r="L320" s="537"/>
      <c r="M320" s="538">
        <f>IF(K320&gt;0,VLOOKUP(H320,'[5]Pob. Ext, Parroquial'!$B$8:$F$117,4,FALSE),0)</f>
        <v>0</v>
      </c>
      <c r="N320" s="834" t="s">
        <v>361</v>
      </c>
      <c r="O320" s="836" t="s">
        <v>333</v>
      </c>
      <c r="P320" s="836">
        <v>2.54</v>
      </c>
      <c r="Q320" s="968">
        <v>1300</v>
      </c>
      <c r="R320" s="948">
        <v>41705</v>
      </c>
      <c r="S320" s="948">
        <v>41752</v>
      </c>
      <c r="T320" s="686" t="str">
        <f t="shared" si="73"/>
        <v>EJECUTADO</v>
      </c>
      <c r="U320" s="837">
        <f t="shared" si="93"/>
        <v>3302</v>
      </c>
      <c r="V320" s="544"/>
      <c r="W320" s="544"/>
      <c r="X320" s="662"/>
      <c r="Y320" s="640"/>
      <c r="Z320" s="545" t="s">
        <v>334</v>
      </c>
      <c r="AA320" s="545" t="s">
        <v>178</v>
      </c>
      <c r="AB320" s="546" t="s">
        <v>187</v>
      </c>
      <c r="AC320" s="547">
        <v>2014</v>
      </c>
      <c r="AD320" s="95"/>
      <c r="AE320" s="93"/>
    </row>
    <row r="321" spans="1:31" s="94" customFormat="1" ht="50.1" customHeight="1">
      <c r="A321" s="1068"/>
      <c r="B321" s="1087"/>
      <c r="C321" s="985" t="s">
        <v>182</v>
      </c>
      <c r="D321" s="1118"/>
      <c r="E321" s="655" t="str">
        <f t="shared" si="105"/>
        <v>VIA, INDIUCHO-EL TAMBO, L=12,7 km. (Catamayo)  FALLA GEOLOGICA, ABS. 8+500  Inicio: 7 de marzo, continúa.</v>
      </c>
      <c r="F321" s="831" t="s">
        <v>330</v>
      </c>
      <c r="G321" s="831" t="str">
        <f>VLOOKUP(H321,'Pob. Ext, Parroquial'!$B$9:$C$117,2,0)</f>
        <v>CATAMAYO</v>
      </c>
      <c r="H321" s="831" t="s">
        <v>355</v>
      </c>
      <c r="I321" s="831" t="s">
        <v>173</v>
      </c>
      <c r="J321" s="831" t="s">
        <v>174</v>
      </c>
      <c r="K321" s="831"/>
      <c r="L321" s="537"/>
      <c r="M321" s="538">
        <f>IF(K321&gt;0,VLOOKUP(H321,'[5]Pob. Ext, Parroquial'!$B$8:$F$117,4,FALSE),0)</f>
        <v>0</v>
      </c>
      <c r="N321" s="834" t="s">
        <v>362</v>
      </c>
      <c r="O321" s="836" t="s">
        <v>333</v>
      </c>
      <c r="P321" s="836">
        <v>1.62</v>
      </c>
      <c r="Q321" s="968">
        <v>4930</v>
      </c>
      <c r="R321" s="948">
        <v>41705</v>
      </c>
      <c r="S321" s="948">
        <v>41752</v>
      </c>
      <c r="T321" s="686" t="str">
        <f t="shared" si="73"/>
        <v>EJECUTADO</v>
      </c>
      <c r="U321" s="837">
        <f t="shared" si="93"/>
        <v>7986.6</v>
      </c>
      <c r="V321" s="544"/>
      <c r="W321" s="544"/>
      <c r="X321" s="662"/>
      <c r="Y321" s="640"/>
      <c r="Z321" s="545" t="s">
        <v>334</v>
      </c>
      <c r="AA321" s="545" t="s">
        <v>178</v>
      </c>
      <c r="AB321" s="546" t="s">
        <v>187</v>
      </c>
      <c r="AC321" s="547">
        <v>2014</v>
      </c>
      <c r="AD321" s="95"/>
      <c r="AE321" s="93"/>
    </row>
    <row r="322" spans="1:31" s="94" customFormat="1" ht="50.1" customHeight="1">
      <c r="A322" s="1068"/>
      <c r="B322" s="1087"/>
      <c r="C322" s="985" t="s">
        <v>182</v>
      </c>
      <c r="D322" s="1118"/>
      <c r="E322" s="655" t="str">
        <f t="shared" si="105"/>
        <v>VIA, INDIUCHO-EL TAMBO, L=12,7 km. (Catamayo)  FALLA GEOLOGICA, ABS. 8+500  Inicio: 7 de marzo, continúa.</v>
      </c>
      <c r="F322" s="831" t="s">
        <v>330</v>
      </c>
      <c r="G322" s="831" t="str">
        <f>VLOOKUP(H322,'Pob. Ext, Parroquial'!$B$9:$C$117,2,0)</f>
        <v>CATAMAYO</v>
      </c>
      <c r="H322" s="831" t="s">
        <v>355</v>
      </c>
      <c r="I322" s="831" t="s">
        <v>173</v>
      </c>
      <c r="J322" s="831" t="s">
        <v>174</v>
      </c>
      <c r="K322" s="831"/>
      <c r="L322" s="537"/>
      <c r="M322" s="538">
        <f>IF(K322&gt;0,VLOOKUP(H322,'[5]Pob. Ext, Parroquial'!$B$8:$F$117,4,FALSE),0)</f>
        <v>0</v>
      </c>
      <c r="N322" s="834" t="s">
        <v>336</v>
      </c>
      <c r="O322" s="836" t="s">
        <v>333</v>
      </c>
      <c r="P322" s="836">
        <v>1.47</v>
      </c>
      <c r="Q322" s="968">
        <v>2130</v>
      </c>
      <c r="R322" s="948">
        <v>41705</v>
      </c>
      <c r="S322" s="948">
        <v>41729</v>
      </c>
      <c r="T322" s="686" t="str">
        <f t="shared" si="73"/>
        <v>EJECUTADO</v>
      </c>
      <c r="U322" s="837">
        <f t="shared" si="93"/>
        <v>3131.1</v>
      </c>
      <c r="V322" s="544"/>
      <c r="W322" s="544"/>
      <c r="X322" s="662"/>
      <c r="Y322" s="640"/>
      <c r="Z322" s="545" t="s">
        <v>334</v>
      </c>
      <c r="AA322" s="545" t="s">
        <v>178</v>
      </c>
      <c r="AB322" s="546" t="s">
        <v>187</v>
      </c>
      <c r="AC322" s="547">
        <v>2014</v>
      </c>
      <c r="AD322" s="95"/>
      <c r="AE322" s="93"/>
    </row>
    <row r="323" spans="1:31" s="94" customFormat="1" ht="50.1" customHeight="1">
      <c r="A323" s="1068"/>
      <c r="B323" s="1087"/>
      <c r="C323" s="985" t="s">
        <v>182</v>
      </c>
      <c r="D323" s="1118"/>
      <c r="E323" s="655" t="str">
        <f t="shared" si="105"/>
        <v>VIA, INDIUCHO-EL TAMBO, L=12,7 km. (Catamayo)  FALLA GEOLOGICA, ABS. 8+500  Inicio: 7 de marzo, continúa.</v>
      </c>
      <c r="F323" s="831" t="s">
        <v>330</v>
      </c>
      <c r="G323" s="831" t="str">
        <f>VLOOKUP(H323,'Pob. Ext, Parroquial'!$B$9:$C$117,2,0)</f>
        <v>CATAMAYO</v>
      </c>
      <c r="H323" s="831" t="s">
        <v>355</v>
      </c>
      <c r="I323" s="831" t="s">
        <v>173</v>
      </c>
      <c r="J323" s="831" t="s">
        <v>174</v>
      </c>
      <c r="K323" s="831"/>
      <c r="L323" s="537"/>
      <c r="M323" s="538">
        <f>IF(K323&gt;0,VLOOKUP(H323,'[5]Pob. Ext, Parroquial'!$B$8:$F$117,4,FALSE),0)</f>
        <v>0</v>
      </c>
      <c r="N323" s="834" t="s">
        <v>351</v>
      </c>
      <c r="O323" s="836" t="s">
        <v>352</v>
      </c>
      <c r="P323" s="836">
        <v>0.38</v>
      </c>
      <c r="Q323" s="968">
        <v>1457</v>
      </c>
      <c r="R323" s="948">
        <v>41705</v>
      </c>
      <c r="S323" s="948">
        <v>41752</v>
      </c>
      <c r="T323" s="686" t="str">
        <f t="shared" si="73"/>
        <v>EJECUTADO</v>
      </c>
      <c r="U323" s="837">
        <f t="shared" si="93"/>
        <v>553.66</v>
      </c>
      <c r="V323" s="544"/>
      <c r="W323" s="544"/>
      <c r="X323" s="662"/>
      <c r="Y323" s="640"/>
      <c r="Z323" s="545" t="s">
        <v>334</v>
      </c>
      <c r="AA323" s="545" t="s">
        <v>178</v>
      </c>
      <c r="AB323" s="546" t="s">
        <v>187</v>
      </c>
      <c r="AC323" s="547">
        <v>2014</v>
      </c>
      <c r="AD323" s="95"/>
      <c r="AE323" s="93"/>
    </row>
    <row r="324" spans="1:31" s="94" customFormat="1" ht="50.1" customHeight="1">
      <c r="A324" s="1068"/>
      <c r="B324" s="1087"/>
      <c r="C324" s="985" t="s">
        <v>182</v>
      </c>
      <c r="D324" s="1118"/>
      <c r="E324" s="655" t="str">
        <f t="shared" si="105"/>
        <v>VIA, INDIUCHO-EL TAMBO, L=12,7 km. (Catamayo)  FALLA GEOLOGICA, ABS. 8+500  Inicio: 7 de marzo, continúa.</v>
      </c>
      <c r="F324" s="831" t="s">
        <v>330</v>
      </c>
      <c r="G324" s="831" t="str">
        <f>VLOOKUP(H324,'Pob. Ext, Parroquial'!$B$9:$C$117,2,0)</f>
        <v>CATAMAYO</v>
      </c>
      <c r="H324" s="831" t="s">
        <v>355</v>
      </c>
      <c r="I324" s="831" t="s">
        <v>173</v>
      </c>
      <c r="J324" s="831" t="s">
        <v>174</v>
      </c>
      <c r="K324" s="831"/>
      <c r="L324" s="537"/>
      <c r="M324" s="538">
        <f>IF(K324&gt;0,VLOOKUP(H324,'[5]Pob. Ext, Parroquial'!$B$8:$F$117,4,FALSE),0)</f>
        <v>0</v>
      </c>
      <c r="N324" s="834" t="s">
        <v>363</v>
      </c>
      <c r="O324" s="836" t="s">
        <v>352</v>
      </c>
      <c r="P324" s="836">
        <v>0.3</v>
      </c>
      <c r="Q324" s="968">
        <v>5902.4</v>
      </c>
      <c r="R324" s="948">
        <v>41705</v>
      </c>
      <c r="S324" s="948">
        <v>41752</v>
      </c>
      <c r="T324" s="686" t="str">
        <f t="shared" si="73"/>
        <v>EJECUTADO</v>
      </c>
      <c r="U324" s="837">
        <f t="shared" si="93"/>
        <v>1770.72</v>
      </c>
      <c r="V324" s="544"/>
      <c r="W324" s="544"/>
      <c r="X324" s="662"/>
      <c r="Y324" s="640"/>
      <c r="Z324" s="545" t="s">
        <v>334</v>
      </c>
      <c r="AA324" s="545" t="s">
        <v>178</v>
      </c>
      <c r="AB324" s="546" t="s">
        <v>187</v>
      </c>
      <c r="AC324" s="547">
        <v>2014</v>
      </c>
      <c r="AD324" s="95"/>
      <c r="AE324" s="93"/>
    </row>
    <row r="325" spans="1:31" s="94" customFormat="1" ht="50.1" customHeight="1">
      <c r="A325" s="1068"/>
      <c r="B325" s="1087"/>
      <c r="C325" s="985" t="s">
        <v>182</v>
      </c>
      <c r="D325" s="1118"/>
      <c r="E325" s="655" t="str">
        <f t="shared" si="105"/>
        <v>VIA, INDIUCHO-EL TAMBO, L=12,7 km. (Catamayo)  FALLA GEOLOGICA, ABS. 8+500  Inicio: 7 de marzo, continúa.</v>
      </c>
      <c r="F325" s="831" t="s">
        <v>330</v>
      </c>
      <c r="G325" s="831" t="str">
        <f>VLOOKUP(H325,'Pob. Ext, Parroquial'!$B$9:$C$117,2,0)</f>
        <v>CATAMAYO</v>
      </c>
      <c r="H325" s="831" t="s">
        <v>355</v>
      </c>
      <c r="I325" s="831" t="s">
        <v>173</v>
      </c>
      <c r="J325" s="831" t="s">
        <v>174</v>
      </c>
      <c r="K325" s="831"/>
      <c r="L325" s="537"/>
      <c r="M325" s="538">
        <f>IF(K325&gt;0,VLOOKUP(H325,'[5]Pob. Ext, Parroquial'!$B$8:$F$117,4,FALSE),0)</f>
        <v>0</v>
      </c>
      <c r="N325" s="834" t="s">
        <v>180</v>
      </c>
      <c r="O325" s="836" t="s">
        <v>352</v>
      </c>
      <c r="P325" s="836">
        <v>0.3</v>
      </c>
      <c r="Q325" s="968">
        <v>11572</v>
      </c>
      <c r="R325" s="948">
        <v>41705</v>
      </c>
      <c r="S325" s="948">
        <v>41752</v>
      </c>
      <c r="T325" s="686" t="str">
        <f t="shared" si="73"/>
        <v>EJECUTADO</v>
      </c>
      <c r="U325" s="837">
        <f t="shared" si="93"/>
        <v>3471.6</v>
      </c>
      <c r="V325" s="544"/>
      <c r="W325" s="544"/>
      <c r="X325" s="662"/>
      <c r="Y325" s="640"/>
      <c r="Z325" s="545" t="s">
        <v>334</v>
      </c>
      <c r="AA325" s="545" t="s">
        <v>178</v>
      </c>
      <c r="AB325" s="546" t="s">
        <v>187</v>
      </c>
      <c r="AC325" s="547">
        <v>2014</v>
      </c>
      <c r="AD325" s="95"/>
      <c r="AE325" s="93"/>
    </row>
    <row r="326" spans="1:31" s="94" customFormat="1" ht="50.1" customHeight="1">
      <c r="A326" s="1068"/>
      <c r="B326" s="1087"/>
      <c r="C326" s="985" t="s">
        <v>182</v>
      </c>
      <c r="D326" s="1120"/>
      <c r="E326" s="655" t="str">
        <f t="shared" si="105"/>
        <v>VIA, INDIUCHO-EL TAMBO, L=12,7 km. (Catamayo)  FALLA GEOLOGICA, ABS. 8+500  Inicio: 7 de marzo, continúa.</v>
      </c>
      <c r="F326" s="831" t="s">
        <v>330</v>
      </c>
      <c r="G326" s="831" t="str">
        <f>VLOOKUP(H326,'Pob. Ext, Parroquial'!$B$9:$C$117,2,0)</f>
        <v>CATAMAYO</v>
      </c>
      <c r="H326" s="831" t="s">
        <v>355</v>
      </c>
      <c r="I326" s="831" t="s">
        <v>173</v>
      </c>
      <c r="J326" s="831" t="s">
        <v>174</v>
      </c>
      <c r="K326" s="831"/>
      <c r="L326" s="537">
        <f>+ROUND(Q326/5500/0.2,2)</f>
        <v>0.84</v>
      </c>
      <c r="M326" s="538">
        <f>IF(K326&gt;0,VLOOKUP(H326,'[5]Pob. Ext, Parroquial'!$B$8:$F$117,4,FALSE),0)</f>
        <v>0</v>
      </c>
      <c r="N326" s="834" t="s">
        <v>229</v>
      </c>
      <c r="O326" s="836" t="s">
        <v>364</v>
      </c>
      <c r="P326" s="836">
        <v>5.92</v>
      </c>
      <c r="Q326" s="968">
        <v>924</v>
      </c>
      <c r="R326" s="948">
        <v>41705</v>
      </c>
      <c r="S326" s="948">
        <v>41729</v>
      </c>
      <c r="T326" s="686" t="str">
        <f t="shared" si="73"/>
        <v>EJECUTADO</v>
      </c>
      <c r="U326" s="837">
        <f t="shared" si="93"/>
        <v>5470.08</v>
      </c>
      <c r="V326" s="544"/>
      <c r="W326" s="544"/>
      <c r="X326" s="664"/>
      <c r="Y326" s="640"/>
      <c r="Z326" s="545" t="s">
        <v>334</v>
      </c>
      <c r="AA326" s="545" t="s">
        <v>178</v>
      </c>
      <c r="AB326" s="546" t="s">
        <v>187</v>
      </c>
      <c r="AC326" s="547">
        <v>2014</v>
      </c>
      <c r="AD326" s="95"/>
      <c r="AE326" s="93"/>
    </row>
    <row r="327" spans="1:31" s="94" customFormat="1" ht="50.1" customHeight="1">
      <c r="A327" s="910"/>
      <c r="B327" s="913"/>
      <c r="C327" s="985" t="s">
        <v>182</v>
      </c>
      <c r="D327" s="927" t="s">
        <v>365</v>
      </c>
      <c r="E327" s="636" t="str">
        <f t="shared" si="78"/>
        <v>VIA, INDIUCHO-EL TAMBO, L=12,7 km. (Catamayo)</v>
      </c>
      <c r="F327" s="831" t="s">
        <v>330</v>
      </c>
      <c r="G327" s="831" t="str">
        <f>VLOOKUP(H327,'Pob. Ext, Parroquial'!$B$9:$C$117,2,0)</f>
        <v>CATAMAYO</v>
      </c>
      <c r="H327" s="831" t="s">
        <v>355</v>
      </c>
      <c r="I327" s="831" t="s">
        <v>173</v>
      </c>
      <c r="J327" s="831" t="s">
        <v>174</v>
      </c>
      <c r="K327" s="831">
        <v>12.7</v>
      </c>
      <c r="L327" s="537"/>
      <c r="M327" s="538">
        <f>IF(K327&gt;0,VLOOKUP(H327,'[5]Pob. Ext, Parroquial'!$B$8:$F$117,4,FALSE),0)</f>
        <v>2886</v>
      </c>
      <c r="N327" s="834" t="s">
        <v>200</v>
      </c>
      <c r="O327" s="836" t="s">
        <v>333</v>
      </c>
      <c r="P327" s="836">
        <v>1.46</v>
      </c>
      <c r="Q327" s="968">
        <v>1975</v>
      </c>
      <c r="R327" s="948">
        <v>41688</v>
      </c>
      <c r="S327" s="948">
        <v>41790</v>
      </c>
      <c r="T327" s="686" t="str">
        <f t="shared" si="73"/>
        <v>EJECUTADO</v>
      </c>
      <c r="U327" s="837">
        <f t="shared" si="93"/>
        <v>2883.5</v>
      </c>
      <c r="V327" s="544"/>
      <c r="W327" s="544"/>
      <c r="X327" s="912">
        <f>U327+V327+W327</f>
        <v>2883.5</v>
      </c>
      <c r="Y327" s="640"/>
      <c r="Z327" s="545" t="s">
        <v>334</v>
      </c>
      <c r="AA327" s="545" t="s">
        <v>178</v>
      </c>
      <c r="AB327" s="546" t="s">
        <v>187</v>
      </c>
      <c r="AC327" s="547">
        <v>2014</v>
      </c>
      <c r="AD327" s="95"/>
      <c r="AE327" s="93"/>
    </row>
    <row r="328" spans="1:31" s="94" customFormat="1" ht="50.1" customHeight="1">
      <c r="A328" s="910"/>
      <c r="B328" s="913"/>
      <c r="C328" s="985" t="s">
        <v>182</v>
      </c>
      <c r="D328" s="1117" t="s">
        <v>366</v>
      </c>
      <c r="E328" s="636" t="str">
        <f t="shared" si="78"/>
        <v>VIA, EL TAMBO-CHAPAMARCA-VILLONACO, L=18,2 km. (Catamayo)</v>
      </c>
      <c r="F328" s="831" t="s">
        <v>330</v>
      </c>
      <c r="G328" s="831" t="str">
        <f>VLOOKUP(H328,'Pob. Ext, Parroquial'!$B$9:$C$117,2,0)</f>
        <v>CATAMAYO</v>
      </c>
      <c r="H328" s="831" t="s">
        <v>355</v>
      </c>
      <c r="I328" s="831" t="s">
        <v>173</v>
      </c>
      <c r="J328" s="831" t="s">
        <v>174</v>
      </c>
      <c r="K328" s="831">
        <v>18.2</v>
      </c>
      <c r="L328" s="537"/>
      <c r="M328" s="538">
        <f>IF(K328&gt;0,VLOOKUP(H328,'[5]Pob. Ext, Parroquial'!$B$8:$F$117,4,FALSE),0)</f>
        <v>2886</v>
      </c>
      <c r="N328" s="834" t="s">
        <v>200</v>
      </c>
      <c r="O328" s="836" t="s">
        <v>333</v>
      </c>
      <c r="P328" s="836">
        <v>1.46</v>
      </c>
      <c r="Q328" s="968">
        <v>2750</v>
      </c>
      <c r="R328" s="948">
        <v>41733</v>
      </c>
      <c r="S328" s="948">
        <v>41820</v>
      </c>
      <c r="T328" s="686" t="str">
        <f t="shared" si="73"/>
        <v>EJECUTADO</v>
      </c>
      <c r="U328" s="837">
        <f t="shared" si="93"/>
        <v>4015</v>
      </c>
      <c r="V328" s="544"/>
      <c r="W328" s="544"/>
      <c r="X328" s="660">
        <f>SUM(U328:U329)</f>
        <v>10857.5</v>
      </c>
      <c r="Y328" s="640"/>
      <c r="Z328" s="545" t="s">
        <v>334</v>
      </c>
      <c r="AA328" s="545" t="s">
        <v>178</v>
      </c>
      <c r="AB328" s="546" t="s">
        <v>187</v>
      </c>
      <c r="AC328" s="547">
        <v>2014</v>
      </c>
      <c r="AD328" s="95"/>
      <c r="AE328" s="93"/>
    </row>
    <row r="329" spans="1:31" s="94" customFormat="1" ht="50.1" customHeight="1">
      <c r="A329" s="910"/>
      <c r="B329" s="913"/>
      <c r="C329" s="985" t="s">
        <v>182</v>
      </c>
      <c r="D329" s="1120"/>
      <c r="E329" s="655" t="str">
        <f t="shared" ref="E329" si="106">+E328</f>
        <v>VIA, EL TAMBO-CHAPAMARCA-VILLONACO, L=18,2 km. (Catamayo)</v>
      </c>
      <c r="F329" s="831" t="s">
        <v>330</v>
      </c>
      <c r="G329" s="831" t="str">
        <f>VLOOKUP(H329,'Pob. Ext, Parroquial'!$B$9:$C$117,2,0)</f>
        <v>CATAMAYO</v>
      </c>
      <c r="H329" s="831" t="s">
        <v>355</v>
      </c>
      <c r="I329" s="831" t="s">
        <v>173</v>
      </c>
      <c r="J329" s="831" t="s">
        <v>174</v>
      </c>
      <c r="K329" s="831"/>
      <c r="L329" s="537">
        <f>ROUNDUP(Q329/5.5/1000,2)</f>
        <v>3.5599999999999996</v>
      </c>
      <c r="M329" s="538">
        <f>IF(K329&gt;0,VLOOKUP(H329,'[5]Pob. Ext, Parroquial'!$B$8:$F$117,4,FALSE),0)</f>
        <v>0</v>
      </c>
      <c r="N329" s="834" t="s">
        <v>339</v>
      </c>
      <c r="O329" s="836" t="s">
        <v>184</v>
      </c>
      <c r="P329" s="836">
        <v>0.35</v>
      </c>
      <c r="Q329" s="968">
        <v>19550</v>
      </c>
      <c r="R329" s="948">
        <v>41791</v>
      </c>
      <c r="S329" s="948">
        <v>41820</v>
      </c>
      <c r="T329" s="686" t="str">
        <f t="shared" si="73"/>
        <v>EJECUTADO</v>
      </c>
      <c r="U329" s="837">
        <f t="shared" si="93"/>
        <v>6842.5</v>
      </c>
      <c r="V329" s="544"/>
      <c r="W329" s="544"/>
      <c r="X329" s="664"/>
      <c r="Y329" s="640"/>
      <c r="Z329" s="545" t="s">
        <v>334</v>
      </c>
      <c r="AA329" s="545" t="s">
        <v>178</v>
      </c>
      <c r="AB329" s="546" t="s">
        <v>187</v>
      </c>
      <c r="AC329" s="547">
        <v>2014</v>
      </c>
      <c r="AD329" s="95"/>
      <c r="AE329" s="93"/>
    </row>
    <row r="330" spans="1:31" s="94" customFormat="1" ht="50.1" customHeight="1">
      <c r="A330" s="1068"/>
      <c r="B330" s="1076"/>
      <c r="C330" s="985" t="s">
        <v>182</v>
      </c>
      <c r="D330" s="1117" t="s">
        <v>367</v>
      </c>
      <c r="E330" s="636" t="str">
        <f t="shared" si="78"/>
        <v>VIA, EL TAMBO-LA ERA, L=8,6 km. (Catamayo)</v>
      </c>
      <c r="F330" s="831" t="s">
        <v>330</v>
      </c>
      <c r="G330" s="831" t="str">
        <f>VLOOKUP(H330,'Pob. Ext, Parroquial'!$B$9:$C$117,2,0)</f>
        <v>CATAMAYO</v>
      </c>
      <c r="H330" s="831" t="s">
        <v>355</v>
      </c>
      <c r="I330" s="831" t="s">
        <v>173</v>
      </c>
      <c r="J330" s="831" t="s">
        <v>174</v>
      </c>
      <c r="K330" s="831">
        <v>8.6</v>
      </c>
      <c r="L330" s="537"/>
      <c r="M330" s="538">
        <f>IF(K330&gt;0,VLOOKUP(H330,'[5]Pob. Ext, Parroquial'!$B$8:$F$117,4,FALSE),0)</f>
        <v>2886</v>
      </c>
      <c r="N330" s="834" t="s">
        <v>200</v>
      </c>
      <c r="O330" s="836" t="s">
        <v>333</v>
      </c>
      <c r="P330" s="836">
        <v>1.46</v>
      </c>
      <c r="Q330" s="968">
        <v>3200</v>
      </c>
      <c r="R330" s="948">
        <v>41739</v>
      </c>
      <c r="S330" s="948">
        <v>41820</v>
      </c>
      <c r="T330" s="686" t="str">
        <f t="shared" si="73"/>
        <v>EJECUTADO</v>
      </c>
      <c r="U330" s="837">
        <f t="shared" si="93"/>
        <v>4672</v>
      </c>
      <c r="V330" s="544"/>
      <c r="W330" s="544"/>
      <c r="X330" s="660">
        <f>SUM(U330:U333)</f>
        <v>40493.599999999999</v>
      </c>
      <c r="Y330" s="640"/>
      <c r="Z330" s="545" t="s">
        <v>334</v>
      </c>
      <c r="AA330" s="545" t="s">
        <v>178</v>
      </c>
      <c r="AB330" s="546" t="s">
        <v>187</v>
      </c>
      <c r="AC330" s="547">
        <v>2014</v>
      </c>
      <c r="AD330" s="95"/>
      <c r="AE330" s="93"/>
    </row>
    <row r="331" spans="1:31" s="94" customFormat="1" ht="50.1" customHeight="1">
      <c r="A331" s="1068"/>
      <c r="B331" s="1076"/>
      <c r="C331" s="985" t="s">
        <v>182</v>
      </c>
      <c r="D331" s="1118"/>
      <c r="E331" s="655" t="str">
        <f t="shared" ref="E331:E333" si="107">+E330</f>
        <v>VIA, EL TAMBO-LA ERA, L=8,6 km. (Catamayo)</v>
      </c>
      <c r="F331" s="831" t="s">
        <v>330</v>
      </c>
      <c r="G331" s="831" t="str">
        <f>VLOOKUP(H331,'Pob. Ext, Parroquial'!$B$9:$C$117,2,0)</f>
        <v>CATAMAYO</v>
      </c>
      <c r="H331" s="831" t="s">
        <v>355</v>
      </c>
      <c r="I331" s="831" t="s">
        <v>173</v>
      </c>
      <c r="J331" s="831" t="s">
        <v>174</v>
      </c>
      <c r="K331" s="831"/>
      <c r="L331" s="537"/>
      <c r="M331" s="538">
        <f>IF(K331&gt;0,VLOOKUP(H331,'[5]Pob. Ext, Parroquial'!$B$8:$F$117,4,FALSE),0)</f>
        <v>0</v>
      </c>
      <c r="N331" s="834" t="s">
        <v>359</v>
      </c>
      <c r="O331" s="836" t="s">
        <v>333</v>
      </c>
      <c r="P331" s="836">
        <v>5.05</v>
      </c>
      <c r="Q331" s="968">
        <v>360</v>
      </c>
      <c r="R331" s="948">
        <v>41791</v>
      </c>
      <c r="S331" s="948">
        <v>41820</v>
      </c>
      <c r="T331" s="686" t="str">
        <f t="shared" si="73"/>
        <v>EJECUTADO</v>
      </c>
      <c r="U331" s="837">
        <f t="shared" si="93"/>
        <v>1818</v>
      </c>
      <c r="V331" s="544"/>
      <c r="W331" s="544"/>
      <c r="X331" s="662"/>
      <c r="Y331" s="640"/>
      <c r="Z331" s="545" t="s">
        <v>334</v>
      </c>
      <c r="AA331" s="545" t="s">
        <v>178</v>
      </c>
      <c r="AB331" s="546" t="s">
        <v>187</v>
      </c>
      <c r="AC331" s="547">
        <v>2014</v>
      </c>
      <c r="AD331" s="95"/>
      <c r="AE331" s="93"/>
    </row>
    <row r="332" spans="1:31" s="94" customFormat="1" ht="50.1" customHeight="1">
      <c r="A332" s="1068"/>
      <c r="B332" s="1076"/>
      <c r="C332" s="985" t="s">
        <v>182</v>
      </c>
      <c r="D332" s="1118"/>
      <c r="E332" s="655" t="str">
        <f t="shared" si="107"/>
        <v>VIA, EL TAMBO-LA ERA, L=8,6 km. (Catamayo)</v>
      </c>
      <c r="F332" s="831" t="s">
        <v>330</v>
      </c>
      <c r="G332" s="831" t="str">
        <f>VLOOKUP(H332,'Pob. Ext, Parroquial'!$B$9:$C$117,2,0)</f>
        <v>CATAMAYO</v>
      </c>
      <c r="H332" s="831" t="s">
        <v>355</v>
      </c>
      <c r="I332" s="831" t="s">
        <v>173</v>
      </c>
      <c r="J332" s="831" t="s">
        <v>174</v>
      </c>
      <c r="K332" s="831"/>
      <c r="L332" s="537"/>
      <c r="M332" s="538">
        <f>IF(K332&gt;0,VLOOKUP(H332,'[5]Pob. Ext, Parroquial'!$B$8:$F$117,4,FALSE),0)</f>
        <v>0</v>
      </c>
      <c r="N332" s="834" t="s">
        <v>368</v>
      </c>
      <c r="O332" s="836" t="s">
        <v>369</v>
      </c>
      <c r="P332" s="836">
        <v>0.3</v>
      </c>
      <c r="Q332" s="968">
        <v>972</v>
      </c>
      <c r="R332" s="948">
        <v>41791</v>
      </c>
      <c r="S332" s="948">
        <v>41820</v>
      </c>
      <c r="T332" s="686" t="str">
        <f t="shared" si="73"/>
        <v>EJECUTADO</v>
      </c>
      <c r="U332" s="837">
        <f t="shared" si="93"/>
        <v>291.60000000000002</v>
      </c>
      <c r="V332" s="544"/>
      <c r="W332" s="544"/>
      <c r="X332" s="662"/>
      <c r="Y332" s="640"/>
      <c r="Z332" s="545" t="s">
        <v>334</v>
      </c>
      <c r="AA332" s="545" t="s">
        <v>178</v>
      </c>
      <c r="AB332" s="546" t="s">
        <v>187</v>
      </c>
      <c r="AC332" s="547">
        <v>2014</v>
      </c>
      <c r="AD332" s="95"/>
      <c r="AE332" s="93"/>
    </row>
    <row r="333" spans="1:31" s="94" customFormat="1" ht="50.1" customHeight="1">
      <c r="A333" s="1068"/>
      <c r="B333" s="1076"/>
      <c r="C333" s="985" t="s">
        <v>182</v>
      </c>
      <c r="D333" s="1120"/>
      <c r="E333" s="655" t="str">
        <f t="shared" si="107"/>
        <v>VIA, EL TAMBO-LA ERA, L=8,6 km. (Catamayo)</v>
      </c>
      <c r="F333" s="831" t="s">
        <v>330</v>
      </c>
      <c r="G333" s="831" t="str">
        <f>VLOOKUP(H333,'Pob. Ext, Parroquial'!$B$9:$C$117,2,0)</f>
        <v>CATAMAYO</v>
      </c>
      <c r="H333" s="831" t="s">
        <v>355</v>
      </c>
      <c r="I333" s="831" t="s">
        <v>173</v>
      </c>
      <c r="J333" s="831" t="s">
        <v>174</v>
      </c>
      <c r="K333" s="831"/>
      <c r="L333" s="537">
        <f>ROUNDUP(Q333/5.5/1000,2)</f>
        <v>17.520000000000003</v>
      </c>
      <c r="M333" s="538">
        <f>IF(K333&gt;0,VLOOKUP(H333,'[5]Pob. Ext, Parroquial'!$B$8:$F$117,4,FALSE),0)</f>
        <v>0</v>
      </c>
      <c r="N333" s="834" t="s">
        <v>339</v>
      </c>
      <c r="O333" s="836" t="s">
        <v>333</v>
      </c>
      <c r="P333" s="836">
        <v>0.35</v>
      </c>
      <c r="Q333" s="968">
        <v>96320</v>
      </c>
      <c r="R333" s="948">
        <v>41644</v>
      </c>
      <c r="S333" s="948">
        <v>41820</v>
      </c>
      <c r="T333" s="686" t="str">
        <f t="shared" si="73"/>
        <v>EJECUTADO</v>
      </c>
      <c r="U333" s="837">
        <f t="shared" si="93"/>
        <v>33712</v>
      </c>
      <c r="V333" s="544"/>
      <c r="W333" s="544"/>
      <c r="X333" s="664"/>
      <c r="Y333" s="640"/>
      <c r="Z333" s="545" t="s">
        <v>334</v>
      </c>
      <c r="AA333" s="545" t="s">
        <v>178</v>
      </c>
      <c r="AB333" s="546" t="s">
        <v>187</v>
      </c>
      <c r="AC333" s="547">
        <v>2014</v>
      </c>
      <c r="AD333" s="95"/>
      <c r="AE333" s="93"/>
    </row>
    <row r="334" spans="1:31" s="94" customFormat="1" ht="50.1" customHeight="1">
      <c r="A334" s="910"/>
      <c r="B334" s="913"/>
      <c r="C334" s="985" t="s">
        <v>182</v>
      </c>
      <c r="D334" s="1117" t="s">
        <v>370</v>
      </c>
      <c r="E334" s="636" t="str">
        <f t="shared" si="78"/>
        <v>VIA ACCESO A LA MERCED BAJA, L= 1.6 KM. VIA ANTIGUA, LA ERA - "Y" DEL CANAL, L= 2,3 KM (EL TAMBO - CATAMAYO)</v>
      </c>
      <c r="F334" s="831" t="s">
        <v>330</v>
      </c>
      <c r="G334" s="831" t="str">
        <f>VLOOKUP(H334,'Pob. Ext, Parroquial'!$B$9:$C$117,2,0)</f>
        <v>CATAMAYO</v>
      </c>
      <c r="H334" s="831" t="s">
        <v>355</v>
      </c>
      <c r="I334" s="831" t="s">
        <v>173</v>
      </c>
      <c r="J334" s="831" t="s">
        <v>174</v>
      </c>
      <c r="K334" s="831">
        <v>1.6</v>
      </c>
      <c r="L334" s="537"/>
      <c r="M334" s="538">
        <f>IF(K334&gt;0,VLOOKUP(H334,'[5]Pob. Ext, Parroquial'!$B$8:$F$117,4,FALSE),0)</f>
        <v>2886</v>
      </c>
      <c r="N334" s="834" t="s">
        <v>200</v>
      </c>
      <c r="O334" s="836" t="s">
        <v>333</v>
      </c>
      <c r="P334" s="836">
        <v>1.46</v>
      </c>
      <c r="Q334" s="968">
        <v>1050</v>
      </c>
      <c r="R334" s="948">
        <v>41791</v>
      </c>
      <c r="S334" s="948">
        <v>41820</v>
      </c>
      <c r="T334" s="686" t="str">
        <f t="shared" si="73"/>
        <v>EJECUTADO</v>
      </c>
      <c r="U334" s="837">
        <f t="shared" si="93"/>
        <v>1533</v>
      </c>
      <c r="V334" s="544"/>
      <c r="W334" s="544"/>
      <c r="X334" s="660">
        <f>SUM(U334:U335)</f>
        <v>7780.5</v>
      </c>
      <c r="Y334" s="640"/>
      <c r="Z334" s="545" t="s">
        <v>334</v>
      </c>
      <c r="AA334" s="545" t="s">
        <v>178</v>
      </c>
      <c r="AB334" s="546" t="s">
        <v>187</v>
      </c>
      <c r="AC334" s="547">
        <v>2014</v>
      </c>
      <c r="AD334" s="95"/>
      <c r="AE334" s="93"/>
    </row>
    <row r="335" spans="1:31" s="94" customFormat="1" ht="50.1" customHeight="1">
      <c r="A335" s="910"/>
      <c r="B335" s="913"/>
      <c r="C335" s="985" t="s">
        <v>182</v>
      </c>
      <c r="D335" s="1120"/>
      <c r="E335" s="655" t="str">
        <f t="shared" ref="E335" si="108">+E334</f>
        <v>VIA ACCESO A LA MERCED BAJA, L= 1.6 KM. VIA ANTIGUA, LA ERA - "Y" DEL CANAL, L= 2,3 KM (EL TAMBO - CATAMAYO)</v>
      </c>
      <c r="F335" s="831" t="s">
        <v>330</v>
      </c>
      <c r="G335" s="831" t="str">
        <f>VLOOKUP(H335,'Pob. Ext, Parroquial'!$B$9:$C$117,2,0)</f>
        <v>CATAMAYO</v>
      </c>
      <c r="H335" s="831" t="s">
        <v>355</v>
      </c>
      <c r="I335" s="831" t="s">
        <v>173</v>
      </c>
      <c r="J335" s="831" t="s">
        <v>174</v>
      </c>
      <c r="K335" s="831"/>
      <c r="L335" s="537">
        <f>ROUNDUP(Q335/5.5/1000,2)</f>
        <v>3.25</v>
      </c>
      <c r="M335" s="538">
        <f>IF(K335&gt;0,VLOOKUP(H335,'[5]Pob. Ext, Parroquial'!$B$8:$F$117,4,FALSE),0)</f>
        <v>0</v>
      </c>
      <c r="N335" s="834" t="s">
        <v>339</v>
      </c>
      <c r="O335" s="836" t="s">
        <v>184</v>
      </c>
      <c r="P335" s="836">
        <v>0.35</v>
      </c>
      <c r="Q335" s="968">
        <v>17850</v>
      </c>
      <c r="R335" s="948">
        <v>41791</v>
      </c>
      <c r="S335" s="948">
        <v>41820</v>
      </c>
      <c r="T335" s="686" t="str">
        <f t="shared" si="73"/>
        <v>EJECUTADO</v>
      </c>
      <c r="U335" s="837">
        <f t="shared" si="93"/>
        <v>6247.5</v>
      </c>
      <c r="V335" s="544"/>
      <c r="W335" s="544"/>
      <c r="X335" s="664"/>
      <c r="Y335" s="640"/>
      <c r="Z335" s="545" t="s">
        <v>334</v>
      </c>
      <c r="AA335" s="545" t="s">
        <v>178</v>
      </c>
      <c r="AB335" s="546" t="s">
        <v>187</v>
      </c>
      <c r="AC335" s="547">
        <v>2014</v>
      </c>
      <c r="AD335" s="95"/>
      <c r="AE335" s="93"/>
    </row>
    <row r="336" spans="1:31" s="94" customFormat="1" ht="50.1" customHeight="1">
      <c r="A336" s="1068"/>
      <c r="B336" s="1076"/>
      <c r="C336" s="985" t="s">
        <v>182</v>
      </c>
      <c r="D336" s="1117" t="s">
        <v>371</v>
      </c>
      <c r="E336" s="636" t="str">
        <f t="shared" si="78"/>
        <v>VIA, SOBRINOSPAMBA-EL HUAYCO, L=4,7 km. (Catamayo)</v>
      </c>
      <c r="F336" s="831" t="s">
        <v>330</v>
      </c>
      <c r="G336" s="831" t="str">
        <f>VLOOKUP(H336,'Pob. Ext, Parroquial'!$B$9:$C$117,2,0)</f>
        <v>CATAMAYO</v>
      </c>
      <c r="H336" s="831" t="s">
        <v>355</v>
      </c>
      <c r="I336" s="831" t="s">
        <v>173</v>
      </c>
      <c r="J336" s="831" t="s">
        <v>174</v>
      </c>
      <c r="K336" s="831">
        <v>4.7</v>
      </c>
      <c r="L336" s="537"/>
      <c r="M336" s="538">
        <f>IF(K336&gt;0,VLOOKUP(H336,'[5]Pob. Ext, Parroquial'!$B$8:$F$117,4,FALSE),0)</f>
        <v>2886</v>
      </c>
      <c r="N336" s="834" t="s">
        <v>336</v>
      </c>
      <c r="O336" s="836" t="s">
        <v>333</v>
      </c>
      <c r="P336" s="836">
        <v>1.47</v>
      </c>
      <c r="Q336" s="968">
        <v>100</v>
      </c>
      <c r="R336" s="948">
        <v>41739</v>
      </c>
      <c r="S336" s="948">
        <v>41740</v>
      </c>
      <c r="T336" s="686" t="str">
        <f t="shared" si="73"/>
        <v>EJECUTADO</v>
      </c>
      <c r="U336" s="837">
        <f t="shared" si="93"/>
        <v>147</v>
      </c>
      <c r="V336" s="544"/>
      <c r="W336" s="544"/>
      <c r="X336" s="660">
        <f>SUM(U336:U338)</f>
        <v>627.24</v>
      </c>
      <c r="Y336" s="640"/>
      <c r="Z336" s="545" t="s">
        <v>334</v>
      </c>
      <c r="AA336" s="545" t="s">
        <v>178</v>
      </c>
      <c r="AB336" s="546" t="s">
        <v>187</v>
      </c>
      <c r="AC336" s="547">
        <v>2014</v>
      </c>
      <c r="AD336" s="95"/>
      <c r="AE336" s="93"/>
    </row>
    <row r="337" spans="1:31" s="94" customFormat="1" ht="50.1" customHeight="1">
      <c r="A337" s="1068"/>
      <c r="B337" s="1076"/>
      <c r="C337" s="985" t="s">
        <v>182</v>
      </c>
      <c r="D337" s="1118"/>
      <c r="E337" s="655" t="str">
        <f t="shared" ref="E337:E348" si="109">+E336</f>
        <v>VIA, SOBRINOSPAMBA-EL HUAYCO, L=4,7 km. (Catamayo)</v>
      </c>
      <c r="F337" s="831" t="s">
        <v>330</v>
      </c>
      <c r="G337" s="831" t="str">
        <f>VLOOKUP(H337,'Pob. Ext, Parroquial'!$B$9:$C$117,2,0)</f>
        <v>CATAMAYO</v>
      </c>
      <c r="H337" s="831" t="s">
        <v>355</v>
      </c>
      <c r="I337" s="831" t="s">
        <v>173</v>
      </c>
      <c r="J337" s="831" t="s">
        <v>174</v>
      </c>
      <c r="K337" s="831">
        <v>4.7</v>
      </c>
      <c r="L337" s="537"/>
      <c r="M337" s="538">
        <f>IF(K337&gt;0,VLOOKUP(H337,'[5]Pob. Ext, Parroquial'!$B$8:$F$117,4,FALSE),0)</f>
        <v>2886</v>
      </c>
      <c r="N337" s="857" t="s">
        <v>180</v>
      </c>
      <c r="O337" s="836" t="s">
        <v>352</v>
      </c>
      <c r="P337" s="836">
        <v>0.3</v>
      </c>
      <c r="Q337" s="968">
        <v>180</v>
      </c>
      <c r="R337" s="948">
        <v>41739</v>
      </c>
      <c r="S337" s="948">
        <v>41740</v>
      </c>
      <c r="T337" s="686" t="str">
        <f t="shared" si="73"/>
        <v>EJECUTADO</v>
      </c>
      <c r="U337" s="837">
        <f t="shared" si="93"/>
        <v>54</v>
      </c>
      <c r="V337" s="544"/>
      <c r="W337" s="544"/>
      <c r="X337" s="662"/>
      <c r="Y337" s="640"/>
      <c r="Z337" s="545" t="s">
        <v>334</v>
      </c>
      <c r="AA337" s="545" t="s">
        <v>178</v>
      </c>
      <c r="AB337" s="546" t="s">
        <v>187</v>
      </c>
      <c r="AC337" s="547">
        <v>2014</v>
      </c>
      <c r="AD337" s="95"/>
      <c r="AE337" s="93"/>
    </row>
    <row r="338" spans="1:31" s="94" customFormat="1" ht="50.1" customHeight="1">
      <c r="A338" s="1068"/>
      <c r="B338" s="1076"/>
      <c r="C338" s="985" t="s">
        <v>182</v>
      </c>
      <c r="D338" s="1120"/>
      <c r="E338" s="655" t="str">
        <f t="shared" si="109"/>
        <v>VIA, SOBRINOSPAMBA-EL HUAYCO, L=4,7 km. (Catamayo)</v>
      </c>
      <c r="F338" s="831" t="s">
        <v>330</v>
      </c>
      <c r="G338" s="831" t="str">
        <f>VLOOKUP(H338,'Pob. Ext, Parroquial'!$B$9:$C$117,2,0)</f>
        <v>CATAMAYO</v>
      </c>
      <c r="H338" s="831" t="s">
        <v>355</v>
      </c>
      <c r="I338" s="831" t="s">
        <v>173</v>
      </c>
      <c r="J338" s="831" t="s">
        <v>174</v>
      </c>
      <c r="K338" s="831">
        <v>4.7</v>
      </c>
      <c r="L338" s="537">
        <f>+ROUND(Q338/5500/0.2,2)</f>
        <v>7.0000000000000007E-2</v>
      </c>
      <c r="M338" s="538">
        <f>IF(K338&gt;0,VLOOKUP(H338,'[5]Pob. Ext, Parroquial'!$B$8:$F$117,4,FALSE),0)</f>
        <v>2886</v>
      </c>
      <c r="N338" s="857" t="s">
        <v>229</v>
      </c>
      <c r="O338" s="836" t="s">
        <v>333</v>
      </c>
      <c r="P338" s="836">
        <v>5.92</v>
      </c>
      <c r="Q338" s="968">
        <v>72</v>
      </c>
      <c r="R338" s="948">
        <v>41739</v>
      </c>
      <c r="S338" s="948">
        <v>41740</v>
      </c>
      <c r="T338" s="686" t="str">
        <f t="shared" si="73"/>
        <v>EJECUTADO</v>
      </c>
      <c r="U338" s="837">
        <f t="shared" si="93"/>
        <v>426.24</v>
      </c>
      <c r="V338" s="544"/>
      <c r="W338" s="544"/>
      <c r="X338" s="664"/>
      <c r="Y338" s="640"/>
      <c r="Z338" s="545" t="s">
        <v>334</v>
      </c>
      <c r="AA338" s="545" t="s">
        <v>178</v>
      </c>
      <c r="AB338" s="546" t="s">
        <v>187</v>
      </c>
      <c r="AC338" s="547">
        <v>2014</v>
      </c>
      <c r="AD338" s="95"/>
      <c r="AE338" s="93"/>
    </row>
    <row r="339" spans="1:31" s="94" customFormat="1" ht="50.1" customHeight="1">
      <c r="A339" s="910" t="s">
        <v>372</v>
      </c>
      <c r="B339" s="914" t="str">
        <f>+T339</f>
        <v>EJECUTADO</v>
      </c>
      <c r="C339" s="985" t="s">
        <v>182</v>
      </c>
      <c r="D339" s="1117" t="s">
        <v>373</v>
      </c>
      <c r="E339" s="636" t="str">
        <f t="shared" si="78"/>
        <v>VIA, "Y" del ROSARIO-RIO YAGUACHI, L=15,4 km. (Chaguar.)</v>
      </c>
      <c r="F339" s="831" t="s">
        <v>330</v>
      </c>
      <c r="G339" s="831" t="str">
        <f>VLOOKUP(H339,'Pob. Ext, Parroquial'!$B$9:$C$117,2,0)</f>
        <v>CHAGUARPAMBA</v>
      </c>
      <c r="H339" s="831" t="s">
        <v>342</v>
      </c>
      <c r="I339" s="831" t="s">
        <v>173</v>
      </c>
      <c r="J339" s="831" t="s">
        <v>174</v>
      </c>
      <c r="K339" s="831">
        <v>15.4</v>
      </c>
      <c r="L339" s="537"/>
      <c r="M339" s="538">
        <f>IF(K339&gt;0,VLOOKUP(H339,'[5]Pob. Ext, Parroquial'!$B$8:$F$117,4,FALSE),0)</f>
        <v>200</v>
      </c>
      <c r="N339" s="834" t="s">
        <v>200</v>
      </c>
      <c r="O339" s="836" t="s">
        <v>333</v>
      </c>
      <c r="P339" s="836">
        <v>1.46</v>
      </c>
      <c r="Q339" s="968">
        <v>8875</v>
      </c>
      <c r="R339" s="948">
        <v>41688</v>
      </c>
      <c r="S339" s="948">
        <v>41851</v>
      </c>
      <c r="T339" s="686" t="str">
        <f t="shared" ref="T339:T547" si="110">IF(S339&lt;$G$5,"EJECUTADO","EN EJECUCION")</f>
        <v>EJECUTADO</v>
      </c>
      <c r="U339" s="837">
        <f t="shared" si="93"/>
        <v>12957.5</v>
      </c>
      <c r="V339" s="544"/>
      <c r="W339" s="544"/>
      <c r="X339" s="660">
        <f>SUM(U339:U348)</f>
        <v>68891.39</v>
      </c>
      <c r="Y339" s="640"/>
      <c r="Z339" s="545" t="s">
        <v>334</v>
      </c>
      <c r="AA339" s="545" t="s">
        <v>178</v>
      </c>
      <c r="AB339" s="546" t="s">
        <v>187</v>
      </c>
      <c r="AC339" s="547">
        <v>2014</v>
      </c>
      <c r="AD339" s="95"/>
      <c r="AE339" s="93"/>
    </row>
    <row r="340" spans="1:31" s="94" customFormat="1" ht="50.1" customHeight="1">
      <c r="A340" s="910"/>
      <c r="B340" s="914"/>
      <c r="C340" s="985" t="s">
        <v>182</v>
      </c>
      <c r="D340" s="1118"/>
      <c r="E340" s="655" t="str">
        <f t="shared" si="109"/>
        <v>VIA, "Y" del ROSARIO-RIO YAGUACHI, L=15,4 km. (Chaguar.)</v>
      </c>
      <c r="F340" s="831" t="s">
        <v>330</v>
      </c>
      <c r="G340" s="831" t="str">
        <f>VLOOKUP(H340,'Pob. Ext, Parroquial'!$B$9:$C$117,2,0)</f>
        <v>CHAGUARPAMBA</v>
      </c>
      <c r="H340" s="831" t="s">
        <v>342</v>
      </c>
      <c r="I340" s="831" t="s">
        <v>173</v>
      </c>
      <c r="J340" s="831" t="s">
        <v>174</v>
      </c>
      <c r="K340" s="831"/>
      <c r="L340" s="537"/>
      <c r="M340" s="538"/>
      <c r="N340" s="834" t="s">
        <v>291</v>
      </c>
      <c r="O340" s="836" t="s">
        <v>333</v>
      </c>
      <c r="P340" s="836">
        <v>1.47</v>
      </c>
      <c r="Q340" s="968">
        <v>700</v>
      </c>
      <c r="R340" s="948">
        <v>41821</v>
      </c>
      <c r="S340" s="948">
        <v>41851</v>
      </c>
      <c r="T340" s="686" t="str">
        <f t="shared" si="110"/>
        <v>EJECUTADO</v>
      </c>
      <c r="U340" s="837">
        <f t="shared" si="93"/>
        <v>1029</v>
      </c>
      <c r="V340" s="544"/>
      <c r="W340" s="544"/>
      <c r="X340" s="662"/>
      <c r="Y340" s="640"/>
      <c r="Z340" s="545" t="s">
        <v>334</v>
      </c>
      <c r="AA340" s="545" t="s">
        <v>178</v>
      </c>
      <c r="AB340" s="546" t="s">
        <v>187</v>
      </c>
      <c r="AC340" s="547">
        <v>2014</v>
      </c>
      <c r="AD340" s="95"/>
      <c r="AE340" s="93"/>
    </row>
    <row r="341" spans="1:31" s="94" customFormat="1" ht="50.1" customHeight="1">
      <c r="A341" s="910"/>
      <c r="B341" s="914"/>
      <c r="C341" s="985" t="s">
        <v>182</v>
      </c>
      <c r="D341" s="1118"/>
      <c r="E341" s="655" t="str">
        <f t="shared" si="109"/>
        <v>VIA, "Y" del ROSARIO-RIO YAGUACHI, L=15,4 km. (Chaguar.)</v>
      </c>
      <c r="F341" s="831" t="s">
        <v>330</v>
      </c>
      <c r="G341" s="831" t="str">
        <f>VLOOKUP(H341,'Pob. Ext, Parroquial'!$B$9:$C$117,2,0)</f>
        <v>CHAGUARPAMBA</v>
      </c>
      <c r="H341" s="831" t="s">
        <v>342</v>
      </c>
      <c r="I341" s="831" t="s">
        <v>173</v>
      </c>
      <c r="J341" s="831" t="s">
        <v>174</v>
      </c>
      <c r="K341" s="831"/>
      <c r="L341" s="537"/>
      <c r="M341" s="538"/>
      <c r="N341" s="834" t="s">
        <v>351</v>
      </c>
      <c r="O341" s="836" t="s">
        <v>352</v>
      </c>
      <c r="P341" s="836">
        <v>0.38</v>
      </c>
      <c r="Q341" s="968">
        <v>639.36</v>
      </c>
      <c r="R341" s="948">
        <v>41821</v>
      </c>
      <c r="S341" s="948">
        <v>41851</v>
      </c>
      <c r="T341" s="686" t="str">
        <f t="shared" si="110"/>
        <v>EJECUTADO</v>
      </c>
      <c r="U341" s="837">
        <f t="shared" si="93"/>
        <v>242.96</v>
      </c>
      <c r="V341" s="544"/>
      <c r="W341" s="544"/>
      <c r="X341" s="662"/>
      <c r="Y341" s="640"/>
      <c r="Z341" s="545" t="s">
        <v>334</v>
      </c>
      <c r="AA341" s="545" t="s">
        <v>178</v>
      </c>
      <c r="AB341" s="546" t="s">
        <v>187</v>
      </c>
      <c r="AC341" s="547">
        <v>2014</v>
      </c>
      <c r="AD341" s="95"/>
      <c r="AE341" s="93"/>
    </row>
    <row r="342" spans="1:31" s="94" customFormat="1" ht="50.1" customHeight="1">
      <c r="A342" s="910"/>
      <c r="B342" s="914"/>
      <c r="C342" s="985" t="s">
        <v>182</v>
      </c>
      <c r="D342" s="1118"/>
      <c r="E342" s="655" t="str">
        <f t="shared" si="109"/>
        <v>VIA, "Y" del ROSARIO-RIO YAGUACHI, L=15,4 km. (Chaguar.)</v>
      </c>
      <c r="F342" s="831" t="s">
        <v>330</v>
      </c>
      <c r="G342" s="831" t="str">
        <f>VLOOKUP(H342,'Pob. Ext, Parroquial'!$B$9:$C$117,2,0)</f>
        <v>CHAGUARPAMBA</v>
      </c>
      <c r="H342" s="831" t="s">
        <v>342</v>
      </c>
      <c r="I342" s="831" t="s">
        <v>173</v>
      </c>
      <c r="J342" s="831" t="s">
        <v>174</v>
      </c>
      <c r="K342" s="831"/>
      <c r="L342" s="537"/>
      <c r="M342" s="538"/>
      <c r="N342" s="834" t="s">
        <v>180</v>
      </c>
      <c r="O342" s="836" t="s">
        <v>352</v>
      </c>
      <c r="P342" s="836">
        <v>0.38</v>
      </c>
      <c r="Q342" s="968">
        <v>8378.76</v>
      </c>
      <c r="R342" s="948">
        <v>41821</v>
      </c>
      <c r="S342" s="948">
        <v>41987</v>
      </c>
      <c r="T342" s="686" t="str">
        <f t="shared" si="110"/>
        <v>EN EJECUCION</v>
      </c>
      <c r="U342" s="837">
        <f t="shared" si="93"/>
        <v>3183.93</v>
      </c>
      <c r="V342" s="544"/>
      <c r="W342" s="544"/>
      <c r="X342" s="662"/>
      <c r="Y342" s="640"/>
      <c r="Z342" s="545" t="s">
        <v>334</v>
      </c>
      <c r="AA342" s="545" t="s">
        <v>178</v>
      </c>
      <c r="AB342" s="546" t="s">
        <v>187</v>
      </c>
      <c r="AC342" s="547">
        <v>2014</v>
      </c>
      <c r="AD342" s="95"/>
      <c r="AE342" s="93"/>
    </row>
    <row r="343" spans="1:31" s="94" customFormat="1" ht="50.1" customHeight="1">
      <c r="A343" s="963"/>
      <c r="B343" s="965"/>
      <c r="C343" s="985" t="s">
        <v>182</v>
      </c>
      <c r="D343" s="1118"/>
      <c r="E343" s="655" t="str">
        <f t="shared" si="109"/>
        <v>VIA, "Y" del ROSARIO-RIO YAGUACHI, L=15,4 km. (Chaguar.)</v>
      </c>
      <c r="F343" s="831" t="s">
        <v>330</v>
      </c>
      <c r="G343" s="831" t="str">
        <f>VLOOKUP(H343,'Pob. Ext, Parroquial'!$B$9:$C$117,2,0)</f>
        <v>CHAGUARPAMBA</v>
      </c>
      <c r="H343" s="831" t="s">
        <v>342</v>
      </c>
      <c r="I343" s="831" t="s">
        <v>173</v>
      </c>
      <c r="J343" s="831" t="s">
        <v>174</v>
      </c>
      <c r="K343" s="831"/>
      <c r="L343" s="537"/>
      <c r="M343" s="538"/>
      <c r="N343" s="834" t="s">
        <v>1514</v>
      </c>
      <c r="O343" s="836" t="s">
        <v>352</v>
      </c>
      <c r="P343" s="836">
        <v>0.3</v>
      </c>
      <c r="Q343" s="968">
        <v>648</v>
      </c>
      <c r="R343" s="948">
        <v>41821</v>
      </c>
      <c r="S343" s="948">
        <v>41987</v>
      </c>
      <c r="T343" s="686" t="str">
        <f t="shared" ref="T343:T344" si="111">IF(S343&lt;$G$5,"EJECUTADO","EN EJECUCION")</f>
        <v>EN EJECUCION</v>
      </c>
      <c r="U343" s="837">
        <f t="shared" ref="U343:U344" si="112">ROUND(P343*Q343,2)</f>
        <v>194.4</v>
      </c>
      <c r="V343" s="544"/>
      <c r="W343" s="544"/>
      <c r="X343" s="662"/>
      <c r="Y343" s="640"/>
      <c r="Z343" s="545" t="s">
        <v>334</v>
      </c>
      <c r="AA343" s="545" t="s">
        <v>178</v>
      </c>
      <c r="AB343" s="546" t="s">
        <v>187</v>
      </c>
      <c r="AC343" s="547">
        <v>2014</v>
      </c>
      <c r="AD343" s="95"/>
      <c r="AE343" s="93"/>
    </row>
    <row r="344" spans="1:31" s="94" customFormat="1" ht="50.1" customHeight="1">
      <c r="A344" s="963"/>
      <c r="B344" s="965"/>
      <c r="C344" s="985" t="s">
        <v>182</v>
      </c>
      <c r="D344" s="1118"/>
      <c r="E344" s="655" t="str">
        <f t="shared" si="109"/>
        <v>VIA, "Y" del ROSARIO-RIO YAGUACHI, L=15,4 km. (Chaguar.)</v>
      </c>
      <c r="F344" s="831" t="s">
        <v>330</v>
      </c>
      <c r="G344" s="831" t="str">
        <f>VLOOKUP(H344,'Pob. Ext, Parroquial'!$B$9:$C$117,2,0)</f>
        <v>CHAGUARPAMBA</v>
      </c>
      <c r="H344" s="831" t="s">
        <v>342</v>
      </c>
      <c r="I344" s="831" t="s">
        <v>173</v>
      </c>
      <c r="J344" s="831" t="s">
        <v>174</v>
      </c>
      <c r="K344" s="831"/>
      <c r="L344" s="537"/>
      <c r="M344" s="538"/>
      <c r="N344" s="834" t="s">
        <v>1515</v>
      </c>
      <c r="O344" s="836" t="s">
        <v>333</v>
      </c>
      <c r="P344" s="836">
        <v>9.84</v>
      </c>
      <c r="Q344" s="968">
        <v>100</v>
      </c>
      <c r="R344" s="948">
        <v>41821</v>
      </c>
      <c r="S344" s="948">
        <v>41987</v>
      </c>
      <c r="T344" s="686" t="str">
        <f t="shared" si="111"/>
        <v>EN EJECUCION</v>
      </c>
      <c r="U344" s="837">
        <f t="shared" si="112"/>
        <v>984</v>
      </c>
      <c r="V344" s="544"/>
      <c r="W344" s="544"/>
      <c r="X344" s="662"/>
      <c r="Y344" s="640"/>
      <c r="Z344" s="545" t="s">
        <v>334</v>
      </c>
      <c r="AA344" s="545" t="s">
        <v>178</v>
      </c>
      <c r="AB344" s="546" t="s">
        <v>187</v>
      </c>
      <c r="AC344" s="547">
        <v>2014</v>
      </c>
      <c r="AD344" s="95"/>
      <c r="AE344" s="93"/>
    </row>
    <row r="345" spans="1:31" s="94" customFormat="1" ht="50.1" customHeight="1">
      <c r="A345" s="910"/>
      <c r="B345" s="914"/>
      <c r="C345" s="985" t="s">
        <v>182</v>
      </c>
      <c r="D345" s="1118"/>
      <c r="E345" s="655" t="str">
        <f>+E342</f>
        <v>VIA, "Y" del ROSARIO-RIO YAGUACHI, L=15,4 km. (Chaguar.)</v>
      </c>
      <c r="F345" s="831" t="s">
        <v>330</v>
      </c>
      <c r="G345" s="831" t="str">
        <f>VLOOKUP(H345,'Pob. Ext, Parroquial'!$B$9:$C$117,2,0)</f>
        <v>CHAGUARPAMBA</v>
      </c>
      <c r="H345" s="831" t="s">
        <v>342</v>
      </c>
      <c r="I345" s="831" t="s">
        <v>173</v>
      </c>
      <c r="J345" s="831" t="s">
        <v>174</v>
      </c>
      <c r="K345" s="831"/>
      <c r="L345" s="537">
        <f>ROUNDUP(Q345/5.5/1000,2)</f>
        <v>16.07</v>
      </c>
      <c r="M345" s="538"/>
      <c r="N345" s="834" t="s">
        <v>374</v>
      </c>
      <c r="O345" s="836" t="s">
        <v>314</v>
      </c>
      <c r="P345" s="836">
        <v>0.35</v>
      </c>
      <c r="Q345" s="968">
        <v>88350</v>
      </c>
      <c r="R345" s="948">
        <v>41821</v>
      </c>
      <c r="S345" s="948">
        <v>41851</v>
      </c>
      <c r="T345" s="686" t="str">
        <f t="shared" si="110"/>
        <v>EJECUTADO</v>
      </c>
      <c r="U345" s="837">
        <f t="shared" si="93"/>
        <v>30922.5</v>
      </c>
      <c r="V345" s="544"/>
      <c r="W345" s="544"/>
      <c r="X345" s="662"/>
      <c r="Y345" s="640"/>
      <c r="Z345" s="545" t="s">
        <v>334</v>
      </c>
      <c r="AA345" s="545" t="s">
        <v>178</v>
      </c>
      <c r="AB345" s="546" t="s">
        <v>187</v>
      </c>
      <c r="AC345" s="547">
        <v>2014</v>
      </c>
      <c r="AD345" s="95"/>
      <c r="AE345" s="93"/>
    </row>
    <row r="346" spans="1:31" s="94" customFormat="1" ht="50.1" customHeight="1">
      <c r="A346" s="910"/>
      <c r="B346" s="914"/>
      <c r="C346" s="985" t="s">
        <v>182</v>
      </c>
      <c r="D346" s="1118"/>
      <c r="E346" s="655" t="str">
        <f t="shared" si="109"/>
        <v>VIA, "Y" del ROSARIO-RIO YAGUACHI, L=15,4 km. (Chaguar.)</v>
      </c>
      <c r="F346" s="831" t="s">
        <v>330</v>
      </c>
      <c r="G346" s="831" t="str">
        <f>VLOOKUP(H346,'Pob. Ext, Parroquial'!$B$9:$C$117,2,0)</f>
        <v>CHAGUARPAMBA</v>
      </c>
      <c r="H346" s="831" t="s">
        <v>342</v>
      </c>
      <c r="I346" s="831" t="s">
        <v>173</v>
      </c>
      <c r="J346" s="831" t="s">
        <v>174</v>
      </c>
      <c r="K346" s="831"/>
      <c r="L346" s="537">
        <f>+ROUND(Q346/5500/0.2,2)</f>
        <v>0.65</v>
      </c>
      <c r="M346" s="538"/>
      <c r="N346" s="834" t="s">
        <v>229</v>
      </c>
      <c r="O346" s="836" t="s">
        <v>333</v>
      </c>
      <c r="P346" s="836">
        <v>5.92</v>
      </c>
      <c r="Q346" s="968">
        <v>720</v>
      </c>
      <c r="R346" s="948">
        <v>41821</v>
      </c>
      <c r="S346" s="948">
        <v>41851</v>
      </c>
      <c r="T346" s="686" t="str">
        <f t="shared" si="110"/>
        <v>EJECUTADO</v>
      </c>
      <c r="U346" s="837">
        <f t="shared" si="93"/>
        <v>4262.3999999999996</v>
      </c>
      <c r="V346" s="544"/>
      <c r="W346" s="544"/>
      <c r="X346" s="662"/>
      <c r="Y346" s="640"/>
      <c r="Z346" s="545" t="s">
        <v>334</v>
      </c>
      <c r="AA346" s="545" t="s">
        <v>178</v>
      </c>
      <c r="AB346" s="546" t="s">
        <v>187</v>
      </c>
      <c r="AC346" s="547">
        <v>2014</v>
      </c>
      <c r="AD346" s="95"/>
      <c r="AE346" s="93"/>
    </row>
    <row r="347" spans="1:31" s="94" customFormat="1" ht="50.1" customHeight="1">
      <c r="A347" s="910"/>
      <c r="B347" s="914"/>
      <c r="C347" s="985" t="s">
        <v>182</v>
      </c>
      <c r="D347" s="1118"/>
      <c r="E347" s="655" t="str">
        <f t="shared" si="109"/>
        <v>VIA, "Y" del ROSARIO-RIO YAGUACHI, L=15,4 km. (Chaguar.)</v>
      </c>
      <c r="F347" s="831" t="s">
        <v>330</v>
      </c>
      <c r="G347" s="831" t="str">
        <f>VLOOKUP(H347,'Pob. Ext, Parroquial'!$B$9:$C$117,2,0)</f>
        <v>CHAGUARPAMBA</v>
      </c>
      <c r="H347" s="831" t="s">
        <v>342</v>
      </c>
      <c r="I347" s="831" t="s">
        <v>173</v>
      </c>
      <c r="J347" s="831" t="s">
        <v>174</v>
      </c>
      <c r="K347" s="831"/>
      <c r="L347" s="537"/>
      <c r="M347" s="538"/>
      <c r="N347" s="834" t="s">
        <v>375</v>
      </c>
      <c r="O347" s="836" t="s">
        <v>333</v>
      </c>
      <c r="P347" s="836">
        <v>7.6</v>
      </c>
      <c r="Q347" s="968">
        <v>1600</v>
      </c>
      <c r="R347" s="948">
        <v>41821</v>
      </c>
      <c r="S347" s="948">
        <v>41987</v>
      </c>
      <c r="T347" s="686" t="str">
        <f t="shared" si="110"/>
        <v>EN EJECUCION</v>
      </c>
      <c r="U347" s="837">
        <f t="shared" si="93"/>
        <v>12160</v>
      </c>
      <c r="V347" s="544"/>
      <c r="W347" s="544"/>
      <c r="X347" s="662"/>
      <c r="Y347" s="640"/>
      <c r="Z347" s="545" t="s">
        <v>334</v>
      </c>
      <c r="AA347" s="545" t="s">
        <v>178</v>
      </c>
      <c r="AB347" s="546" t="s">
        <v>187</v>
      </c>
      <c r="AC347" s="547">
        <v>2014</v>
      </c>
      <c r="AD347" s="95"/>
      <c r="AE347" s="93"/>
    </row>
    <row r="348" spans="1:31" s="94" customFormat="1" ht="50.1" customHeight="1">
      <c r="A348" s="910"/>
      <c r="B348" s="914"/>
      <c r="C348" s="985" t="s">
        <v>182</v>
      </c>
      <c r="D348" s="1120"/>
      <c r="E348" s="655" t="str">
        <f t="shared" si="109"/>
        <v>VIA, "Y" del ROSARIO-RIO YAGUACHI, L=15,4 km. (Chaguar.)</v>
      </c>
      <c r="F348" s="831" t="s">
        <v>330</v>
      </c>
      <c r="G348" s="831" t="str">
        <f>VLOOKUP(H348,'Pob. Ext, Parroquial'!$B$9:$C$117,2,0)</f>
        <v>CHAGUARPAMBA</v>
      </c>
      <c r="H348" s="831" t="s">
        <v>342</v>
      </c>
      <c r="I348" s="831" t="s">
        <v>173</v>
      </c>
      <c r="J348" s="831" t="s">
        <v>174</v>
      </c>
      <c r="K348" s="831"/>
      <c r="L348" s="537"/>
      <c r="M348" s="538"/>
      <c r="N348" s="834" t="s">
        <v>336</v>
      </c>
      <c r="O348" s="836" t="s">
        <v>333</v>
      </c>
      <c r="P348" s="836">
        <v>1.47</v>
      </c>
      <c r="Q348" s="968">
        <v>2010</v>
      </c>
      <c r="R348" s="948">
        <v>41821</v>
      </c>
      <c r="S348" s="948">
        <v>41987</v>
      </c>
      <c r="T348" s="686" t="str">
        <f t="shared" si="110"/>
        <v>EN EJECUCION</v>
      </c>
      <c r="U348" s="837">
        <f t="shared" si="93"/>
        <v>2954.7</v>
      </c>
      <c r="V348" s="544"/>
      <c r="W348" s="544"/>
      <c r="X348" s="664"/>
      <c r="Y348" s="640"/>
      <c r="Z348" s="545" t="s">
        <v>334</v>
      </c>
      <c r="AA348" s="545" t="s">
        <v>178</v>
      </c>
      <c r="AB348" s="546" t="s">
        <v>187</v>
      </c>
      <c r="AC348" s="547">
        <v>2014</v>
      </c>
      <c r="AD348" s="95"/>
      <c r="AE348" s="93"/>
    </row>
    <row r="349" spans="1:31" s="94" customFormat="1" ht="50.1" customHeight="1">
      <c r="A349" s="910" t="s">
        <v>376</v>
      </c>
      <c r="B349" s="914" t="str">
        <f>+T349</f>
        <v>EJECUTADO</v>
      </c>
      <c r="C349" s="985" t="s">
        <v>182</v>
      </c>
      <c r="D349" s="927" t="s">
        <v>377</v>
      </c>
      <c r="E349" s="636" t="str">
        <f t="shared" si="78"/>
        <v>VIA, CORDILLERA DE RAMOS-4 LOMAS, L=6,2 km. (Chaguar.)</v>
      </c>
      <c r="F349" s="831" t="s">
        <v>330</v>
      </c>
      <c r="G349" s="831" t="str">
        <f>VLOOKUP(H349,'Pob. Ext, Parroquial'!$B$9:$C$117,2,0)</f>
        <v>CHAGUARPAMBA</v>
      </c>
      <c r="H349" s="831" t="s">
        <v>342</v>
      </c>
      <c r="I349" s="831" t="s">
        <v>173</v>
      </c>
      <c r="J349" s="831" t="s">
        <v>174</v>
      </c>
      <c r="K349" s="831">
        <v>6.2</v>
      </c>
      <c r="L349" s="537">
        <f>ROUNDUP(Q349/5.5/1000,2)</f>
        <v>5.08</v>
      </c>
      <c r="M349" s="538">
        <f>IF(K349&gt;0,VLOOKUP(H349,'[5]Pob. Ext, Parroquial'!$B$8:$F$117,4,FALSE),0)</f>
        <v>200</v>
      </c>
      <c r="N349" s="834" t="s">
        <v>374</v>
      </c>
      <c r="O349" s="836" t="s">
        <v>314</v>
      </c>
      <c r="P349" s="836">
        <v>0.35</v>
      </c>
      <c r="Q349" s="968">
        <v>27900</v>
      </c>
      <c r="R349" s="948">
        <v>41849</v>
      </c>
      <c r="S349" s="948">
        <v>41851</v>
      </c>
      <c r="T349" s="686" t="str">
        <f t="shared" si="110"/>
        <v>EJECUTADO</v>
      </c>
      <c r="U349" s="837">
        <f t="shared" si="93"/>
        <v>9765</v>
      </c>
      <c r="V349" s="544"/>
      <c r="W349" s="544"/>
      <c r="X349" s="912">
        <f>+U349</f>
        <v>9765</v>
      </c>
      <c r="Y349" s="640"/>
      <c r="Z349" s="545" t="s">
        <v>334</v>
      </c>
      <c r="AA349" s="545" t="s">
        <v>178</v>
      </c>
      <c r="AB349" s="546" t="s">
        <v>187</v>
      </c>
      <c r="AC349" s="547">
        <v>2014</v>
      </c>
      <c r="AD349" s="95"/>
      <c r="AE349" s="93"/>
    </row>
    <row r="350" spans="1:31" s="94" customFormat="1" ht="50.1" customHeight="1">
      <c r="A350" s="1068"/>
      <c r="B350" s="1087"/>
      <c r="C350" s="985" t="s">
        <v>182</v>
      </c>
      <c r="D350" s="1117" t="s">
        <v>1135</v>
      </c>
      <c r="E350" s="636" t="str">
        <f t="shared" si="78"/>
        <v>VIA CUATRO CAMINOS - AMARILLOS, L=10.1 KM ( CHAGUARPAMBA) INICIO 2 DE OCT. FIN 14 NOV</v>
      </c>
      <c r="F350" s="831" t="s">
        <v>330</v>
      </c>
      <c r="G350" s="831" t="str">
        <f>VLOOKUP(H350,'Pob. Ext, Parroquial'!$B$9:$C$117,2,0)</f>
        <v>CHAGUARPAMBA</v>
      </c>
      <c r="H350" s="831" t="s">
        <v>381</v>
      </c>
      <c r="I350" s="831" t="s">
        <v>173</v>
      </c>
      <c r="J350" s="831" t="s">
        <v>174</v>
      </c>
      <c r="K350" s="831">
        <v>10.1</v>
      </c>
      <c r="L350" s="537"/>
      <c r="M350" s="538">
        <f>IF(K350&gt;0,VLOOKUP(H350,'[5]Pob. Ext, Parroquial'!$B$8:$F$117,4,FALSE),0)</f>
        <v>350</v>
      </c>
      <c r="N350" s="834" t="s">
        <v>361</v>
      </c>
      <c r="O350" s="836" t="s">
        <v>333</v>
      </c>
      <c r="P350" s="836">
        <v>2.54</v>
      </c>
      <c r="Q350" s="968">
        <v>8900</v>
      </c>
      <c r="R350" s="948">
        <v>41914</v>
      </c>
      <c r="S350" s="948">
        <v>41957</v>
      </c>
      <c r="T350" s="686" t="str">
        <f t="shared" si="110"/>
        <v>EJECUTADO</v>
      </c>
      <c r="U350" s="837">
        <f t="shared" si="93"/>
        <v>22606</v>
      </c>
      <c r="V350" s="544"/>
      <c r="W350" s="544"/>
      <c r="X350" s="660">
        <f>SUM(U350:U355)</f>
        <v>105274.38</v>
      </c>
      <c r="Y350" s="640"/>
      <c r="Z350" s="545" t="s">
        <v>334</v>
      </c>
      <c r="AA350" s="545" t="s">
        <v>178</v>
      </c>
      <c r="AB350" s="546" t="s">
        <v>187</v>
      </c>
      <c r="AC350" s="547">
        <v>2014</v>
      </c>
      <c r="AD350" s="95"/>
      <c r="AE350" s="93"/>
    </row>
    <row r="351" spans="1:31" s="94" customFormat="1" ht="50.1" customHeight="1">
      <c r="A351" s="1068"/>
      <c r="B351" s="1087"/>
      <c r="C351" s="985" t="s">
        <v>182</v>
      </c>
      <c r="D351" s="1118"/>
      <c r="E351" s="655" t="str">
        <f t="shared" ref="E351:E355" si="113">+E350</f>
        <v>VIA CUATRO CAMINOS - AMARILLOS, L=10.1 KM ( CHAGUARPAMBA) INICIO 2 DE OCT. FIN 14 NOV</v>
      </c>
      <c r="F351" s="831" t="s">
        <v>330</v>
      </c>
      <c r="G351" s="831" t="str">
        <f>VLOOKUP(H351,'Pob. Ext, Parroquial'!$B$9:$C$117,2,0)</f>
        <v>CHAGUARPAMBA</v>
      </c>
      <c r="H351" s="831" t="s">
        <v>381</v>
      </c>
      <c r="I351" s="831" t="s">
        <v>173</v>
      </c>
      <c r="J351" s="831" t="s">
        <v>174</v>
      </c>
      <c r="K351" s="831"/>
      <c r="L351" s="537"/>
      <c r="M351" s="538">
        <f>IF(K351&gt;0,VLOOKUP(H351,'[5]Pob. Ext, Parroquial'!$B$8:$F$117,4,FALSE),0)</f>
        <v>0</v>
      </c>
      <c r="N351" s="834" t="s">
        <v>336</v>
      </c>
      <c r="O351" s="836" t="s">
        <v>333</v>
      </c>
      <c r="P351" s="836">
        <v>1.47</v>
      </c>
      <c r="Q351" s="968">
        <v>8400</v>
      </c>
      <c r="R351" s="948">
        <v>41914</v>
      </c>
      <c r="S351" s="948">
        <v>41957</v>
      </c>
      <c r="T351" s="686" t="str">
        <f t="shared" si="110"/>
        <v>EJECUTADO</v>
      </c>
      <c r="U351" s="837">
        <f t="shared" si="93"/>
        <v>12348</v>
      </c>
      <c r="V351" s="544"/>
      <c r="W351" s="544"/>
      <c r="X351" s="662"/>
      <c r="Y351" s="640"/>
      <c r="Z351" s="545" t="s">
        <v>334</v>
      </c>
      <c r="AA351" s="545" t="s">
        <v>178</v>
      </c>
      <c r="AB351" s="546" t="s">
        <v>187</v>
      </c>
      <c r="AC351" s="547">
        <v>2014</v>
      </c>
      <c r="AD351" s="95"/>
      <c r="AE351" s="93"/>
    </row>
    <row r="352" spans="1:31" s="94" customFormat="1" ht="50.1" customHeight="1">
      <c r="A352" s="1068"/>
      <c r="B352" s="1087"/>
      <c r="C352" s="985" t="s">
        <v>182</v>
      </c>
      <c r="D352" s="1118"/>
      <c r="E352" s="655" t="str">
        <f t="shared" si="113"/>
        <v>VIA CUATRO CAMINOS - AMARILLOS, L=10.1 KM ( CHAGUARPAMBA) INICIO 2 DE OCT. FIN 14 NOV</v>
      </c>
      <c r="F352" s="831" t="s">
        <v>330</v>
      </c>
      <c r="G352" s="831" t="str">
        <f>VLOOKUP(H352,'Pob. Ext, Parroquial'!$B$9:$C$117,2,0)</f>
        <v>CHAGUARPAMBA</v>
      </c>
      <c r="H352" s="831" t="s">
        <v>381</v>
      </c>
      <c r="I352" s="831" t="s">
        <v>173</v>
      </c>
      <c r="J352" s="831" t="s">
        <v>174</v>
      </c>
      <c r="K352" s="831"/>
      <c r="L352" s="537"/>
      <c r="M352" s="538">
        <f>IF(K352&gt;0,VLOOKUP(H352,'[5]Pob. Ext, Parroquial'!$B$8:$F$117,4,FALSE),0)</f>
        <v>0</v>
      </c>
      <c r="N352" s="834" t="s">
        <v>200</v>
      </c>
      <c r="O352" s="836" t="s">
        <v>333</v>
      </c>
      <c r="P352" s="836">
        <v>1.46</v>
      </c>
      <c r="Q352" s="968">
        <v>3600</v>
      </c>
      <c r="R352" s="948">
        <v>41914</v>
      </c>
      <c r="S352" s="948">
        <v>41957</v>
      </c>
      <c r="T352" s="686" t="str">
        <f t="shared" si="110"/>
        <v>EJECUTADO</v>
      </c>
      <c r="U352" s="837">
        <f t="shared" si="93"/>
        <v>5256</v>
      </c>
      <c r="V352" s="544"/>
      <c r="W352" s="544"/>
      <c r="X352" s="662"/>
      <c r="Y352" s="640"/>
      <c r="Z352" s="545" t="s">
        <v>334</v>
      </c>
      <c r="AA352" s="545" t="s">
        <v>178</v>
      </c>
      <c r="AB352" s="546" t="s">
        <v>187</v>
      </c>
      <c r="AC352" s="547">
        <v>2014</v>
      </c>
      <c r="AD352" s="95"/>
      <c r="AE352" s="93"/>
    </row>
    <row r="353" spans="1:31" s="94" customFormat="1" ht="50.1" customHeight="1">
      <c r="A353" s="1068"/>
      <c r="B353" s="1087"/>
      <c r="C353" s="985" t="s">
        <v>182</v>
      </c>
      <c r="D353" s="1118"/>
      <c r="E353" s="655" t="str">
        <f t="shared" si="113"/>
        <v>VIA CUATRO CAMINOS - AMARILLOS, L=10.1 KM ( CHAGUARPAMBA) INICIO 2 DE OCT. FIN 14 NOV</v>
      </c>
      <c r="F353" s="831" t="s">
        <v>330</v>
      </c>
      <c r="G353" s="831" t="str">
        <f>VLOOKUP(H353,'Pob. Ext, Parroquial'!$B$9:$C$117,2,0)</f>
        <v>CHAGUARPAMBA</v>
      </c>
      <c r="H353" s="831" t="s">
        <v>381</v>
      </c>
      <c r="I353" s="831" t="s">
        <v>173</v>
      </c>
      <c r="J353" s="831" t="s">
        <v>174</v>
      </c>
      <c r="K353" s="831"/>
      <c r="L353" s="537">
        <f>ROUNDUP(Q353/5.5/1000,2)</f>
        <v>10.57</v>
      </c>
      <c r="M353" s="538">
        <f>IF(K353&gt;0,VLOOKUP(H353,'[5]Pob. Ext, Parroquial'!$B$8:$F$117,4,FALSE),0)</f>
        <v>0</v>
      </c>
      <c r="N353" s="834" t="s">
        <v>185</v>
      </c>
      <c r="O353" s="836" t="s">
        <v>314</v>
      </c>
      <c r="P353" s="836">
        <v>0.08</v>
      </c>
      <c r="Q353" s="968">
        <v>58110</v>
      </c>
      <c r="R353" s="948">
        <v>41914</v>
      </c>
      <c r="S353" s="948">
        <v>41957</v>
      </c>
      <c r="T353" s="686" t="str">
        <f t="shared" si="110"/>
        <v>EJECUTADO</v>
      </c>
      <c r="U353" s="837">
        <f t="shared" si="93"/>
        <v>4648.8</v>
      </c>
      <c r="V353" s="544"/>
      <c r="W353" s="544"/>
      <c r="X353" s="662"/>
      <c r="Y353" s="640"/>
      <c r="Z353" s="545" t="s">
        <v>334</v>
      </c>
      <c r="AA353" s="545" t="s">
        <v>178</v>
      </c>
      <c r="AB353" s="546" t="s">
        <v>187</v>
      </c>
      <c r="AC353" s="547">
        <v>2014</v>
      </c>
      <c r="AD353" s="95"/>
      <c r="AE353" s="93"/>
    </row>
    <row r="354" spans="1:31" s="94" customFormat="1" ht="50.1" customHeight="1">
      <c r="A354" s="1068"/>
      <c r="B354" s="1087"/>
      <c r="C354" s="985" t="s">
        <v>182</v>
      </c>
      <c r="D354" s="1118"/>
      <c r="E354" s="655" t="str">
        <f t="shared" si="113"/>
        <v>VIA CUATRO CAMINOS - AMARILLOS, L=10.1 KM ( CHAGUARPAMBA) INICIO 2 DE OCT. FIN 14 NOV</v>
      </c>
      <c r="F354" s="831" t="s">
        <v>330</v>
      </c>
      <c r="G354" s="831" t="str">
        <f>VLOOKUP(H354,'Pob. Ext, Parroquial'!$B$9:$C$117,2,0)</f>
        <v>CHAGUARPAMBA</v>
      </c>
      <c r="H354" s="831" t="s">
        <v>381</v>
      </c>
      <c r="I354" s="831" t="s">
        <v>173</v>
      </c>
      <c r="J354" s="831" t="s">
        <v>174</v>
      </c>
      <c r="K354" s="831"/>
      <c r="L354" s="537">
        <f>+ROUND(Q354/5500/0.2,2)</f>
        <v>7.92</v>
      </c>
      <c r="M354" s="538">
        <f>IF(K354&gt;0,VLOOKUP(H354,'[5]Pob. Ext, Parroquial'!$B$8:$F$117,4,FALSE),0)</f>
        <v>0</v>
      </c>
      <c r="N354" s="834" t="s">
        <v>229</v>
      </c>
      <c r="O354" s="836" t="s">
        <v>333</v>
      </c>
      <c r="P354" s="836">
        <v>5.92</v>
      </c>
      <c r="Q354" s="968">
        <v>8715</v>
      </c>
      <c r="R354" s="948">
        <v>41914</v>
      </c>
      <c r="S354" s="948">
        <v>41957</v>
      </c>
      <c r="T354" s="686" t="str">
        <f t="shared" si="110"/>
        <v>EJECUTADO</v>
      </c>
      <c r="U354" s="837">
        <f t="shared" si="93"/>
        <v>51592.800000000003</v>
      </c>
      <c r="V354" s="544"/>
      <c r="W354" s="544"/>
      <c r="X354" s="662"/>
      <c r="Y354" s="640"/>
      <c r="Z354" s="545" t="s">
        <v>334</v>
      </c>
      <c r="AA354" s="545" t="s">
        <v>178</v>
      </c>
      <c r="AB354" s="546" t="s">
        <v>187</v>
      </c>
      <c r="AC354" s="547">
        <v>2014</v>
      </c>
      <c r="AD354" s="95"/>
      <c r="AE354" s="93"/>
    </row>
    <row r="355" spans="1:31" s="94" customFormat="1" ht="50.1" customHeight="1">
      <c r="A355" s="1068"/>
      <c r="B355" s="1087"/>
      <c r="C355" s="985" t="s">
        <v>182</v>
      </c>
      <c r="D355" s="1120"/>
      <c r="E355" s="655" t="str">
        <f t="shared" si="113"/>
        <v>VIA CUATRO CAMINOS - AMARILLOS, L=10.1 KM ( CHAGUARPAMBA) INICIO 2 DE OCT. FIN 14 NOV</v>
      </c>
      <c r="F355" s="831" t="s">
        <v>330</v>
      </c>
      <c r="G355" s="831" t="str">
        <f>VLOOKUP(H355,'Pob. Ext, Parroquial'!$B$9:$C$117,2,0)</f>
        <v>CHAGUARPAMBA</v>
      </c>
      <c r="H355" s="831" t="s">
        <v>381</v>
      </c>
      <c r="I355" s="831" t="s">
        <v>173</v>
      </c>
      <c r="J355" s="831" t="s">
        <v>174</v>
      </c>
      <c r="K355" s="831"/>
      <c r="L355" s="537"/>
      <c r="M355" s="538">
        <f>IF(K355&gt;0,VLOOKUP(H355,'[5]Pob. Ext, Parroquial'!$B$8:$F$117,4,FALSE),0)</f>
        <v>0</v>
      </c>
      <c r="N355" s="834" t="s">
        <v>180</v>
      </c>
      <c r="O355" s="836" t="s">
        <v>352</v>
      </c>
      <c r="P355" s="836">
        <v>0.38</v>
      </c>
      <c r="Q355" s="968">
        <v>23217.84</v>
      </c>
      <c r="R355" s="948">
        <v>41914</v>
      </c>
      <c r="S355" s="948">
        <v>41957</v>
      </c>
      <c r="T355" s="686" t="str">
        <f t="shared" si="110"/>
        <v>EJECUTADO</v>
      </c>
      <c r="U355" s="837">
        <f t="shared" si="93"/>
        <v>8822.7800000000007</v>
      </c>
      <c r="V355" s="544"/>
      <c r="W355" s="544"/>
      <c r="X355" s="664"/>
      <c r="Y355" s="640"/>
      <c r="Z355" s="545" t="s">
        <v>334</v>
      </c>
      <c r="AA355" s="545" t="s">
        <v>178</v>
      </c>
      <c r="AB355" s="546" t="s">
        <v>187</v>
      </c>
      <c r="AC355" s="547">
        <v>2014</v>
      </c>
      <c r="AD355" s="95"/>
      <c r="AE355" s="93"/>
    </row>
    <row r="356" spans="1:31" s="94" customFormat="1" ht="50.1" customHeight="1">
      <c r="A356" s="910"/>
      <c r="B356" s="914" t="str">
        <f>+T356</f>
        <v>EJECUTADO</v>
      </c>
      <c r="C356" s="985" t="s">
        <v>182</v>
      </c>
      <c r="D356" s="927" t="s">
        <v>1136</v>
      </c>
      <c r="E356" s="636" t="str">
        <f t="shared" ref="E356:E357" si="114">+D356</f>
        <v>VIA ACCESO AL BARRIO LA ESPERANZA L=1.1 KM INICIO: 5 NOV FIN 5 NOV</v>
      </c>
      <c r="F356" s="831" t="s">
        <v>330</v>
      </c>
      <c r="G356" s="831" t="str">
        <f>VLOOKUP(H356,'Pob. Ext, Parroquial'!$B$9:$C$117,2,0)</f>
        <v>CHAGUARPAMBA</v>
      </c>
      <c r="H356" s="831" t="s">
        <v>381</v>
      </c>
      <c r="I356" s="831" t="s">
        <v>173</v>
      </c>
      <c r="J356" s="831" t="s">
        <v>174</v>
      </c>
      <c r="K356" s="831">
        <v>1.1000000000000001</v>
      </c>
      <c r="L356" s="537">
        <f>ROUNDUP(Q356/5.5/1000,2)</f>
        <v>0.91</v>
      </c>
      <c r="M356" s="538">
        <f>IF(K356&gt;0,VLOOKUP(H356,'[5]Pob. Ext, Parroquial'!$B$8:$F$117,4,FALSE),0)</f>
        <v>350</v>
      </c>
      <c r="N356" s="834" t="s">
        <v>185</v>
      </c>
      <c r="O356" s="836" t="s">
        <v>314</v>
      </c>
      <c r="P356" s="836">
        <v>0.08</v>
      </c>
      <c r="Q356" s="968">
        <v>4960</v>
      </c>
      <c r="R356" s="948">
        <v>41948</v>
      </c>
      <c r="S356" s="948">
        <f>+R356</f>
        <v>41948</v>
      </c>
      <c r="T356" s="686" t="str">
        <f t="shared" si="110"/>
        <v>EJECUTADO</v>
      </c>
      <c r="U356" s="837">
        <f t="shared" si="93"/>
        <v>396.8</v>
      </c>
      <c r="V356" s="544"/>
      <c r="W356" s="544"/>
      <c r="X356" s="912">
        <f>+U356</f>
        <v>396.8</v>
      </c>
      <c r="Y356" s="640"/>
      <c r="Z356" s="545" t="s">
        <v>334</v>
      </c>
      <c r="AA356" s="545" t="s">
        <v>178</v>
      </c>
      <c r="AB356" s="546" t="s">
        <v>187</v>
      </c>
      <c r="AC356" s="547">
        <v>2014</v>
      </c>
      <c r="AD356" s="95"/>
      <c r="AE356" s="93"/>
    </row>
    <row r="357" spans="1:31" s="94" customFormat="1" ht="50.1" customHeight="1">
      <c r="A357" s="1088"/>
      <c r="B357" s="1126"/>
      <c r="C357" s="985" t="s">
        <v>182</v>
      </c>
      <c r="D357" s="1117" t="s">
        <v>1137</v>
      </c>
      <c r="E357" s="636" t="str">
        <f t="shared" si="114"/>
        <v>VIA AMRILLOS BUENAVISTA (limita Parroquial), L=4.9 km. Chaguarpamba</v>
      </c>
      <c r="F357" s="831" t="s">
        <v>330</v>
      </c>
      <c r="G357" s="831" t="str">
        <f>VLOOKUP(H357,'Pob. Ext, Parroquial'!$B$9:$C$117,2,0)</f>
        <v>CHAGUARPAMBA</v>
      </c>
      <c r="H357" s="831" t="s">
        <v>379</v>
      </c>
      <c r="I357" s="831" t="s">
        <v>173</v>
      </c>
      <c r="J357" s="831" t="s">
        <v>174</v>
      </c>
      <c r="K357" s="831">
        <v>4.9000000000000004</v>
      </c>
      <c r="L357" s="537"/>
      <c r="M357" s="538">
        <f>IF(K357&gt;0,VLOOKUP(H357,'[5]Pob. Ext, Parroquial'!$B$8:$F$117,4,FALSE),0)</f>
        <v>483</v>
      </c>
      <c r="N357" s="834" t="s">
        <v>361</v>
      </c>
      <c r="O357" s="836" t="s">
        <v>333</v>
      </c>
      <c r="P357" s="836">
        <v>2.54</v>
      </c>
      <c r="Q357" s="968">
        <v>320</v>
      </c>
      <c r="R357" s="948">
        <v>41927</v>
      </c>
      <c r="S357" s="948">
        <v>41928</v>
      </c>
      <c r="T357" s="686" t="str">
        <f t="shared" si="110"/>
        <v>EJECUTADO</v>
      </c>
      <c r="U357" s="837">
        <f t="shared" ref="U357:U422" si="115">ROUND(P357*Q357,2)</f>
        <v>812.8</v>
      </c>
      <c r="V357" s="544"/>
      <c r="W357" s="544"/>
      <c r="X357" s="660">
        <f>SUM(U357:U360)</f>
        <v>3255</v>
      </c>
      <c r="Y357" s="640"/>
      <c r="Z357" s="545" t="s">
        <v>334</v>
      </c>
      <c r="AA357" s="545" t="s">
        <v>178</v>
      </c>
      <c r="AB357" s="546" t="s">
        <v>187</v>
      </c>
      <c r="AC357" s="547">
        <v>2014</v>
      </c>
      <c r="AD357" s="95"/>
      <c r="AE357" s="93"/>
    </row>
    <row r="358" spans="1:31" s="94" customFormat="1" ht="50.1" customHeight="1">
      <c r="A358" s="1089"/>
      <c r="B358" s="1127"/>
      <c r="C358" s="985" t="s">
        <v>182</v>
      </c>
      <c r="D358" s="1118"/>
      <c r="E358" s="655" t="str">
        <f t="shared" ref="E358:E360" si="116">+E357</f>
        <v>VIA AMRILLOS BUENAVISTA (limita Parroquial), L=4.9 km. Chaguarpamba</v>
      </c>
      <c r="F358" s="831" t="s">
        <v>330</v>
      </c>
      <c r="G358" s="831" t="str">
        <f>VLOOKUP(H358,'Pob. Ext, Parroquial'!$B$9:$C$117,2,0)</f>
        <v>CHAGUARPAMBA</v>
      </c>
      <c r="H358" s="831" t="s">
        <v>379</v>
      </c>
      <c r="I358" s="831" t="s">
        <v>173</v>
      </c>
      <c r="J358" s="831" t="s">
        <v>174</v>
      </c>
      <c r="K358" s="831"/>
      <c r="L358" s="537"/>
      <c r="M358" s="538">
        <f>IF(K358&gt;0,VLOOKUP(H358,'[5]Pob. Ext, Parroquial'!$B$8:$F$117,4,FALSE),0)</f>
        <v>0</v>
      </c>
      <c r="N358" s="834" t="s">
        <v>336</v>
      </c>
      <c r="O358" s="836" t="s">
        <v>333</v>
      </c>
      <c r="P358" s="836">
        <v>1.47</v>
      </c>
      <c r="Q358" s="968">
        <v>300</v>
      </c>
      <c r="R358" s="948">
        <v>41927</v>
      </c>
      <c r="S358" s="948">
        <v>41928</v>
      </c>
      <c r="T358" s="686" t="str">
        <f t="shared" si="110"/>
        <v>EJECUTADO</v>
      </c>
      <c r="U358" s="837">
        <f t="shared" si="115"/>
        <v>441</v>
      </c>
      <c r="V358" s="544"/>
      <c r="W358" s="544"/>
      <c r="X358" s="662"/>
      <c r="Y358" s="640"/>
      <c r="Z358" s="545" t="s">
        <v>334</v>
      </c>
      <c r="AA358" s="545" t="s">
        <v>178</v>
      </c>
      <c r="AB358" s="546" t="s">
        <v>187</v>
      </c>
      <c r="AC358" s="547">
        <v>2014</v>
      </c>
      <c r="AD358" s="95"/>
      <c r="AE358" s="93"/>
    </row>
    <row r="359" spans="1:31" s="94" customFormat="1" ht="50.1" customHeight="1">
      <c r="A359" s="1089"/>
      <c r="B359" s="1127"/>
      <c r="C359" s="985" t="s">
        <v>182</v>
      </c>
      <c r="D359" s="1118"/>
      <c r="E359" s="655" t="str">
        <f>+E358</f>
        <v>VIA AMRILLOS BUENAVISTA (limita Parroquial), L=4.9 km. Chaguarpamba</v>
      </c>
      <c r="F359" s="831" t="s">
        <v>330</v>
      </c>
      <c r="G359" s="831" t="str">
        <f>VLOOKUP(H359,'Pob. Ext, Parroquial'!$B$9:$C$117,2,0)</f>
        <v>CHAGUARPAMBA</v>
      </c>
      <c r="H359" s="831" t="s">
        <v>379</v>
      </c>
      <c r="I359" s="831" t="s">
        <v>173</v>
      </c>
      <c r="J359" s="831" t="s">
        <v>174</v>
      </c>
      <c r="K359" s="831"/>
      <c r="L359" s="537">
        <f>+ROUND(Q359/5500/0.2,2)</f>
        <v>0.22</v>
      </c>
      <c r="M359" s="538">
        <f>IF(K359&gt;0,VLOOKUP(H359,'[5]Pob. Ext, Parroquial'!$B$8:$F$117,4,FALSE),0)</f>
        <v>0</v>
      </c>
      <c r="N359" s="834" t="s">
        <v>229</v>
      </c>
      <c r="O359" s="836" t="s">
        <v>333</v>
      </c>
      <c r="P359" s="836">
        <v>5.92</v>
      </c>
      <c r="Q359" s="968">
        <v>245</v>
      </c>
      <c r="R359" s="948">
        <v>41927</v>
      </c>
      <c r="S359" s="948">
        <v>41928</v>
      </c>
      <c r="T359" s="686" t="str">
        <f t="shared" si="110"/>
        <v>EJECUTADO</v>
      </c>
      <c r="U359" s="837">
        <f t="shared" si="115"/>
        <v>1450.4</v>
      </c>
      <c r="V359" s="544"/>
      <c r="W359" s="544"/>
      <c r="X359" s="662"/>
      <c r="Y359" s="640"/>
      <c r="Z359" s="545" t="s">
        <v>334</v>
      </c>
      <c r="AA359" s="545" t="s">
        <v>178</v>
      </c>
      <c r="AB359" s="546" t="s">
        <v>187</v>
      </c>
      <c r="AC359" s="547">
        <v>2014</v>
      </c>
      <c r="AD359" s="95"/>
      <c r="AE359" s="93"/>
    </row>
    <row r="360" spans="1:31" s="94" customFormat="1" ht="50.1" customHeight="1">
      <c r="A360" s="1090"/>
      <c r="B360" s="1128"/>
      <c r="C360" s="985" t="s">
        <v>182</v>
      </c>
      <c r="D360" s="1120"/>
      <c r="E360" s="655" t="str">
        <f t="shared" si="116"/>
        <v>VIA AMRILLOS BUENAVISTA (limita Parroquial), L=4.9 km. Chaguarpamba</v>
      </c>
      <c r="F360" s="831" t="s">
        <v>330</v>
      </c>
      <c r="G360" s="831" t="str">
        <f>VLOOKUP(H360,'Pob. Ext, Parroquial'!$B$9:$C$117,2,0)</f>
        <v>CHAGUARPAMBA</v>
      </c>
      <c r="H360" s="831" t="s">
        <v>379</v>
      </c>
      <c r="I360" s="831" t="s">
        <v>173</v>
      </c>
      <c r="J360" s="831" t="s">
        <v>174</v>
      </c>
      <c r="K360" s="831"/>
      <c r="L360" s="537"/>
      <c r="M360" s="538">
        <f>IF(K360&gt;0,VLOOKUP(H360,'[5]Pob. Ext, Parroquial'!$B$8:$F$117,4,FALSE),0)</f>
        <v>0</v>
      </c>
      <c r="N360" s="834" t="s">
        <v>180</v>
      </c>
      <c r="O360" s="836" t="s">
        <v>352</v>
      </c>
      <c r="P360" s="836">
        <v>0.3</v>
      </c>
      <c r="Q360" s="968">
        <v>1836</v>
      </c>
      <c r="R360" s="948">
        <v>41927</v>
      </c>
      <c r="S360" s="948">
        <v>41928</v>
      </c>
      <c r="T360" s="686" t="str">
        <f t="shared" si="110"/>
        <v>EJECUTADO</v>
      </c>
      <c r="U360" s="837">
        <f t="shared" si="115"/>
        <v>550.79999999999995</v>
      </c>
      <c r="V360" s="544"/>
      <c r="W360" s="544"/>
      <c r="X360" s="664"/>
      <c r="Y360" s="640"/>
      <c r="Z360" s="545" t="s">
        <v>334</v>
      </c>
      <c r="AA360" s="545" t="s">
        <v>178</v>
      </c>
      <c r="AB360" s="546" t="s">
        <v>187</v>
      </c>
      <c r="AC360" s="547">
        <v>2014</v>
      </c>
      <c r="AD360" s="95"/>
      <c r="AE360" s="93"/>
    </row>
    <row r="361" spans="1:31" s="94" customFormat="1" ht="50.1" customHeight="1">
      <c r="A361" s="1068"/>
      <c r="B361" s="1087"/>
      <c r="C361" s="985" t="s">
        <v>182</v>
      </c>
      <c r="D361" s="1117" t="s">
        <v>1138</v>
      </c>
      <c r="E361" s="636" t="str">
        <f t="shared" si="78"/>
        <v>VIA,SAN JOSE-BUENAVISTA, L=7,3 km. (Chaguarpamba) INICIO 16 FEBRERO. FIN 21 DE FEBRERO</v>
      </c>
      <c r="F361" s="831" t="s">
        <v>330</v>
      </c>
      <c r="G361" s="831" t="str">
        <f>VLOOKUP(H361,'Pob. Ext, Parroquial'!$B$9:$C$117,2,0)</f>
        <v>CHAGUARPAMBA</v>
      </c>
      <c r="H361" s="831" t="s">
        <v>379</v>
      </c>
      <c r="I361" s="831" t="s">
        <v>173</v>
      </c>
      <c r="J361" s="831" t="s">
        <v>174</v>
      </c>
      <c r="K361" s="831">
        <v>7.3</v>
      </c>
      <c r="L361" s="537"/>
      <c r="M361" s="538">
        <f>IF(K361&gt;0,VLOOKUP(H361,'[5]Pob. Ext, Parroquial'!$B$8:$F$117,4,FALSE),0)</f>
        <v>483</v>
      </c>
      <c r="N361" s="834" t="s">
        <v>361</v>
      </c>
      <c r="O361" s="836" t="s">
        <v>333</v>
      </c>
      <c r="P361" s="836">
        <v>2.54</v>
      </c>
      <c r="Q361" s="968">
        <v>4430</v>
      </c>
      <c r="R361" s="948">
        <v>41660</v>
      </c>
      <c r="S361" s="948">
        <v>41685</v>
      </c>
      <c r="T361" s="686" t="str">
        <f t="shared" si="110"/>
        <v>EJECUTADO</v>
      </c>
      <c r="U361" s="837">
        <f t="shared" si="115"/>
        <v>11252.2</v>
      </c>
      <c r="V361" s="544"/>
      <c r="W361" s="544"/>
      <c r="X361" s="660">
        <f>SUM(U361:U367)</f>
        <v>43848.180000000008</v>
      </c>
      <c r="Y361" s="640"/>
      <c r="Z361" s="545" t="s">
        <v>334</v>
      </c>
      <c r="AA361" s="545" t="s">
        <v>178</v>
      </c>
      <c r="AB361" s="546" t="s">
        <v>187</v>
      </c>
      <c r="AC361" s="547">
        <v>2014</v>
      </c>
      <c r="AD361" s="95"/>
      <c r="AE361" s="93"/>
    </row>
    <row r="362" spans="1:31" s="94" customFormat="1" ht="50.1" customHeight="1">
      <c r="A362" s="1068"/>
      <c r="B362" s="1087"/>
      <c r="C362" s="985" t="s">
        <v>182</v>
      </c>
      <c r="D362" s="1118"/>
      <c r="E362" s="655" t="str">
        <f t="shared" ref="E362:E368" si="117">+E361</f>
        <v>VIA,SAN JOSE-BUENAVISTA, L=7,3 km. (Chaguarpamba) INICIO 16 FEBRERO. FIN 21 DE FEBRERO</v>
      </c>
      <c r="F362" s="831" t="s">
        <v>330</v>
      </c>
      <c r="G362" s="831" t="str">
        <f>VLOOKUP(H362,'Pob. Ext, Parroquial'!$B$9:$C$117,2,0)</f>
        <v>CHAGUARPAMBA</v>
      </c>
      <c r="H362" s="831" t="s">
        <v>379</v>
      </c>
      <c r="I362" s="831" t="s">
        <v>173</v>
      </c>
      <c r="J362" s="831" t="s">
        <v>174</v>
      </c>
      <c r="K362" s="831"/>
      <c r="L362" s="537"/>
      <c r="M362" s="538">
        <f>IF(K362&gt;0,VLOOKUP(H362,'[5]Pob. Ext, Parroquial'!$B$8:$F$117,4,FALSE),0)</f>
        <v>0</v>
      </c>
      <c r="N362" s="834" t="s">
        <v>336</v>
      </c>
      <c r="O362" s="836" t="s">
        <v>333</v>
      </c>
      <c r="P362" s="836">
        <v>1.47</v>
      </c>
      <c r="Q362" s="968">
        <v>1350</v>
      </c>
      <c r="R362" s="948">
        <v>41660</v>
      </c>
      <c r="S362" s="948">
        <v>41685</v>
      </c>
      <c r="T362" s="686" t="str">
        <f t="shared" si="110"/>
        <v>EJECUTADO</v>
      </c>
      <c r="U362" s="837">
        <f t="shared" si="115"/>
        <v>1984.5</v>
      </c>
      <c r="V362" s="544"/>
      <c r="W362" s="544"/>
      <c r="X362" s="662"/>
      <c r="Y362" s="640"/>
      <c r="Z362" s="545" t="s">
        <v>334</v>
      </c>
      <c r="AA362" s="545" t="s">
        <v>178</v>
      </c>
      <c r="AB362" s="546" t="s">
        <v>187</v>
      </c>
      <c r="AC362" s="547">
        <v>2014</v>
      </c>
      <c r="AD362" s="95"/>
      <c r="AE362" s="93"/>
    </row>
    <row r="363" spans="1:31" s="94" customFormat="1" ht="50.1" customHeight="1">
      <c r="A363" s="1068"/>
      <c r="B363" s="1087"/>
      <c r="C363" s="985" t="s">
        <v>182</v>
      </c>
      <c r="D363" s="1118"/>
      <c r="E363" s="655" t="str">
        <f t="shared" si="117"/>
        <v>VIA,SAN JOSE-BUENAVISTA, L=7,3 km. (Chaguarpamba) INICIO 16 FEBRERO. FIN 21 DE FEBRERO</v>
      </c>
      <c r="F363" s="831" t="s">
        <v>330</v>
      </c>
      <c r="G363" s="831" t="str">
        <f>VLOOKUP(H363,'Pob. Ext, Parroquial'!$B$9:$C$117,2,0)</f>
        <v>CHAGUARPAMBA</v>
      </c>
      <c r="H363" s="831" t="s">
        <v>379</v>
      </c>
      <c r="I363" s="831" t="s">
        <v>173</v>
      </c>
      <c r="J363" s="831" t="s">
        <v>174</v>
      </c>
      <c r="K363" s="831"/>
      <c r="L363" s="537"/>
      <c r="M363" s="538">
        <f>IF(K363&gt;0,VLOOKUP(H363,'[5]Pob. Ext, Parroquial'!$B$8:$F$117,4,FALSE),0)</f>
        <v>0</v>
      </c>
      <c r="N363" s="834" t="s">
        <v>200</v>
      </c>
      <c r="O363" s="836" t="s">
        <v>333</v>
      </c>
      <c r="P363" s="836">
        <v>1.46</v>
      </c>
      <c r="Q363" s="968">
        <v>1820</v>
      </c>
      <c r="R363" s="948">
        <v>41660</v>
      </c>
      <c r="S363" s="948">
        <v>41685</v>
      </c>
      <c r="T363" s="686" t="str">
        <f t="shared" si="110"/>
        <v>EJECUTADO</v>
      </c>
      <c r="U363" s="837">
        <f t="shared" si="115"/>
        <v>2657.2</v>
      </c>
      <c r="V363" s="544"/>
      <c r="W363" s="544"/>
      <c r="X363" s="662"/>
      <c r="Y363" s="640"/>
      <c r="Z363" s="545" t="s">
        <v>334</v>
      </c>
      <c r="AA363" s="545" t="s">
        <v>178</v>
      </c>
      <c r="AB363" s="546" t="s">
        <v>187</v>
      </c>
      <c r="AC363" s="547">
        <v>2014</v>
      </c>
      <c r="AD363" s="95"/>
      <c r="AE363" s="93"/>
    </row>
    <row r="364" spans="1:31" s="94" customFormat="1" ht="50.1" customHeight="1">
      <c r="A364" s="1068"/>
      <c r="B364" s="1087"/>
      <c r="C364" s="985" t="s">
        <v>182</v>
      </c>
      <c r="D364" s="1118"/>
      <c r="E364" s="655" t="str">
        <f t="shared" si="117"/>
        <v>VIA,SAN JOSE-BUENAVISTA, L=7,3 km. (Chaguarpamba) INICIO 16 FEBRERO. FIN 21 DE FEBRERO</v>
      </c>
      <c r="F364" s="831" t="s">
        <v>330</v>
      </c>
      <c r="G364" s="831" t="str">
        <f>VLOOKUP(H364,'Pob. Ext, Parroquial'!$B$9:$C$117,2,0)</f>
        <v>CHAGUARPAMBA</v>
      </c>
      <c r="H364" s="831" t="s">
        <v>379</v>
      </c>
      <c r="I364" s="831" t="s">
        <v>173</v>
      </c>
      <c r="J364" s="831" t="s">
        <v>174</v>
      </c>
      <c r="K364" s="831"/>
      <c r="L364" s="537"/>
      <c r="M364" s="538">
        <f>IF(K364&gt;0,VLOOKUP(H364,'[5]Pob. Ext, Parroquial'!$B$8:$F$117,4,FALSE),0)</f>
        <v>0</v>
      </c>
      <c r="N364" s="834" t="s">
        <v>1516</v>
      </c>
      <c r="O364" s="836" t="s">
        <v>333</v>
      </c>
      <c r="P364" s="836">
        <v>1.47</v>
      </c>
      <c r="Q364" s="968">
        <v>920</v>
      </c>
      <c r="R364" s="948">
        <v>41974</v>
      </c>
      <c r="S364" s="948">
        <v>41987</v>
      </c>
      <c r="T364" s="686" t="str">
        <f t="shared" ref="T364" si="118">IF(S364&lt;$G$5,"EJECUTADO","EN EJECUCION")</f>
        <v>EN EJECUCION</v>
      </c>
      <c r="U364" s="837">
        <f t="shared" ref="U364" si="119">ROUND(P364*Q364,2)</f>
        <v>1352.4</v>
      </c>
      <c r="V364" s="544"/>
      <c r="W364" s="544"/>
      <c r="X364" s="662"/>
      <c r="Y364" s="640"/>
      <c r="Z364" s="545" t="s">
        <v>334</v>
      </c>
      <c r="AA364" s="545" t="s">
        <v>178</v>
      </c>
      <c r="AB364" s="546" t="s">
        <v>187</v>
      </c>
      <c r="AC364" s="547">
        <v>2014</v>
      </c>
      <c r="AD364" s="95"/>
      <c r="AE364" s="93"/>
    </row>
    <row r="365" spans="1:31" s="94" customFormat="1" ht="50.1" customHeight="1">
      <c r="A365" s="1068"/>
      <c r="B365" s="1087"/>
      <c r="C365" s="985" t="s">
        <v>182</v>
      </c>
      <c r="D365" s="1118"/>
      <c r="E365" s="655" t="str">
        <f>+E363</f>
        <v>VIA,SAN JOSE-BUENAVISTA, L=7,3 km. (Chaguarpamba) INICIO 16 FEBRERO. FIN 21 DE FEBRERO</v>
      </c>
      <c r="F365" s="831" t="s">
        <v>330</v>
      </c>
      <c r="G365" s="831" t="str">
        <f>VLOOKUP(H365,'Pob. Ext, Parroquial'!$B$9:$C$117,2,0)</f>
        <v>CHAGUARPAMBA</v>
      </c>
      <c r="H365" s="831" t="s">
        <v>379</v>
      </c>
      <c r="I365" s="831" t="s">
        <v>173</v>
      </c>
      <c r="J365" s="831" t="s">
        <v>174</v>
      </c>
      <c r="K365" s="831"/>
      <c r="L365" s="537">
        <f>ROUNDUP(Q365/5.5/1000,2)</f>
        <v>14.61</v>
      </c>
      <c r="M365" s="538">
        <f>IF(K365&gt;0,VLOOKUP(H365,'[5]Pob. Ext, Parroquial'!$B$8:$F$117,4,FALSE),0)</f>
        <v>0</v>
      </c>
      <c r="N365" s="834" t="s">
        <v>185</v>
      </c>
      <c r="O365" s="836" t="s">
        <v>314</v>
      </c>
      <c r="P365" s="836">
        <v>0.08</v>
      </c>
      <c r="Q365" s="968">
        <v>80355</v>
      </c>
      <c r="R365" s="948">
        <v>41974</v>
      </c>
      <c r="S365" s="948">
        <v>41987</v>
      </c>
      <c r="T365" s="686" t="str">
        <f t="shared" si="110"/>
        <v>EN EJECUCION</v>
      </c>
      <c r="U365" s="837">
        <f t="shared" si="115"/>
        <v>6428.4</v>
      </c>
      <c r="V365" s="544"/>
      <c r="W365" s="544"/>
      <c r="X365" s="662"/>
      <c r="Y365" s="640"/>
      <c r="Z365" s="545" t="s">
        <v>334</v>
      </c>
      <c r="AA365" s="545" t="s">
        <v>178</v>
      </c>
      <c r="AB365" s="546" t="s">
        <v>187</v>
      </c>
      <c r="AC365" s="547">
        <v>2014</v>
      </c>
      <c r="AD365" s="95"/>
      <c r="AE365" s="93"/>
    </row>
    <row r="366" spans="1:31" s="94" customFormat="1" ht="50.1" customHeight="1">
      <c r="A366" s="1068"/>
      <c r="B366" s="1087"/>
      <c r="C366" s="985" t="s">
        <v>182</v>
      </c>
      <c r="D366" s="1118"/>
      <c r="E366" s="655" t="str">
        <f t="shared" si="117"/>
        <v>VIA,SAN JOSE-BUENAVISTA, L=7,3 km. (Chaguarpamba) INICIO 16 FEBRERO. FIN 21 DE FEBRERO</v>
      </c>
      <c r="F366" s="831" t="s">
        <v>330</v>
      </c>
      <c r="G366" s="831" t="str">
        <f>VLOOKUP(H366,'Pob. Ext, Parroquial'!$B$9:$C$117,2,0)</f>
        <v>CHAGUARPAMBA</v>
      </c>
      <c r="H366" s="831" t="s">
        <v>379</v>
      </c>
      <c r="I366" s="831" t="s">
        <v>173</v>
      </c>
      <c r="J366" s="831" t="s">
        <v>174</v>
      </c>
      <c r="K366" s="831"/>
      <c r="L366" s="537">
        <f>+ROUND(Q366/5500/0.2,2)</f>
        <v>2.77</v>
      </c>
      <c r="M366" s="538">
        <f>IF(K366&gt;0,VLOOKUP(H366,'[5]Pob. Ext, Parroquial'!$B$8:$F$117,4,FALSE),0)</f>
        <v>0</v>
      </c>
      <c r="N366" s="834" t="s">
        <v>229</v>
      </c>
      <c r="O366" s="836" t="s">
        <v>333</v>
      </c>
      <c r="P366" s="836">
        <v>5.92</v>
      </c>
      <c r="Q366" s="968">
        <v>3044</v>
      </c>
      <c r="R366" s="948">
        <v>41660</v>
      </c>
      <c r="S366" s="948">
        <v>41685</v>
      </c>
      <c r="T366" s="686" t="str">
        <f t="shared" si="110"/>
        <v>EJECUTADO</v>
      </c>
      <c r="U366" s="837">
        <f t="shared" si="115"/>
        <v>18020.48</v>
      </c>
      <c r="V366" s="544"/>
      <c r="W366" s="544"/>
      <c r="X366" s="662"/>
      <c r="Y366" s="640"/>
      <c r="Z366" s="545" t="s">
        <v>334</v>
      </c>
      <c r="AA366" s="545" t="s">
        <v>178</v>
      </c>
      <c r="AB366" s="546" t="s">
        <v>187</v>
      </c>
      <c r="AC366" s="547">
        <v>2014</v>
      </c>
      <c r="AD366" s="95"/>
      <c r="AE366" s="93"/>
    </row>
    <row r="367" spans="1:31" s="94" customFormat="1" ht="50.1" customHeight="1">
      <c r="A367" s="1068"/>
      <c r="B367" s="1087"/>
      <c r="C367" s="985" t="s">
        <v>182</v>
      </c>
      <c r="D367" s="1120"/>
      <c r="E367" s="655" t="str">
        <f t="shared" si="117"/>
        <v>VIA,SAN JOSE-BUENAVISTA, L=7,3 km. (Chaguarpamba) INICIO 16 FEBRERO. FIN 21 DE FEBRERO</v>
      </c>
      <c r="F367" s="831" t="s">
        <v>330</v>
      </c>
      <c r="G367" s="831" t="str">
        <f>VLOOKUP(H367,'Pob. Ext, Parroquial'!$B$9:$C$117,2,0)</f>
        <v>CHAGUARPAMBA</v>
      </c>
      <c r="H367" s="831" t="s">
        <v>379</v>
      </c>
      <c r="I367" s="831" t="s">
        <v>173</v>
      </c>
      <c r="J367" s="831" t="s">
        <v>174</v>
      </c>
      <c r="K367" s="831"/>
      <c r="L367" s="537"/>
      <c r="M367" s="538">
        <f>IF(K367&gt;0,VLOOKUP(H367,'[5]Pob. Ext, Parroquial'!$B$8:$F$117,4,FALSE),0)</f>
        <v>0</v>
      </c>
      <c r="N367" s="834" t="s">
        <v>180</v>
      </c>
      <c r="O367" s="836" t="s">
        <v>352</v>
      </c>
      <c r="P367" s="836">
        <v>0.38</v>
      </c>
      <c r="Q367" s="968">
        <v>5665.78</v>
      </c>
      <c r="R367" s="948">
        <v>41660</v>
      </c>
      <c r="S367" s="948">
        <v>41685</v>
      </c>
      <c r="T367" s="686" t="str">
        <f t="shared" si="110"/>
        <v>EJECUTADO</v>
      </c>
      <c r="U367" s="837">
        <f t="shared" si="115"/>
        <v>2153</v>
      </c>
      <c r="V367" s="544"/>
      <c r="W367" s="544"/>
      <c r="X367" s="664"/>
      <c r="Y367" s="640"/>
      <c r="Z367" s="545" t="s">
        <v>334</v>
      </c>
      <c r="AA367" s="545" t="s">
        <v>178</v>
      </c>
      <c r="AB367" s="546" t="s">
        <v>187</v>
      </c>
      <c r="AC367" s="547">
        <v>2014</v>
      </c>
      <c r="AD367" s="95"/>
      <c r="AE367" s="93"/>
    </row>
    <row r="368" spans="1:31" s="94" customFormat="1" ht="50.1" customHeight="1">
      <c r="A368" s="963"/>
      <c r="B368" s="966"/>
      <c r="C368" s="985" t="s">
        <v>182</v>
      </c>
      <c r="D368" s="967"/>
      <c r="E368" s="655" t="str">
        <f t="shared" si="117"/>
        <v>VIA,SAN JOSE-BUENAVISTA, L=7,3 km. (Chaguarpamba) INICIO 16 FEBRERO. FIN 21 DE FEBRERO</v>
      </c>
      <c r="F368" s="831" t="s">
        <v>330</v>
      </c>
      <c r="G368" s="831" t="str">
        <f>VLOOKUP(H368,'Pob. Ext, Parroquial'!$B$9:$C$117,2,0)</f>
        <v>CHAGUARPAMBA</v>
      </c>
      <c r="H368" s="831" t="s">
        <v>379</v>
      </c>
      <c r="I368" s="831" t="s">
        <v>173</v>
      </c>
      <c r="J368" s="831" t="s">
        <v>174</v>
      </c>
      <c r="K368" s="831"/>
      <c r="L368" s="537"/>
      <c r="M368" s="538">
        <f>IF(K368&gt;0,VLOOKUP(H368,'[5]Pob. Ext, Parroquial'!$B$8:$F$117,4,FALSE),0)</f>
        <v>0</v>
      </c>
      <c r="N368" s="834" t="s">
        <v>1517</v>
      </c>
      <c r="O368" s="836" t="s">
        <v>352</v>
      </c>
      <c r="P368" s="836">
        <v>0.38</v>
      </c>
      <c r="Q368" s="968">
        <v>475.2</v>
      </c>
      <c r="R368" s="948">
        <v>41974</v>
      </c>
      <c r="S368" s="948">
        <v>41987</v>
      </c>
      <c r="T368" s="686" t="str">
        <f t="shared" ref="T368" si="120">IF(S368&lt;$G$5,"EJECUTADO","EN EJECUCION")</f>
        <v>EN EJECUCION</v>
      </c>
      <c r="U368" s="837">
        <f t="shared" ref="U368" si="121">ROUND(P368*Q368,2)</f>
        <v>180.58</v>
      </c>
      <c r="V368" s="544"/>
      <c r="W368" s="544"/>
      <c r="X368" s="664"/>
      <c r="Y368" s="640"/>
      <c r="Z368" s="545" t="s">
        <v>334</v>
      </c>
      <c r="AA368" s="545" t="s">
        <v>178</v>
      </c>
      <c r="AB368" s="546" t="s">
        <v>187</v>
      </c>
      <c r="AC368" s="547">
        <v>2014</v>
      </c>
      <c r="AD368" s="95"/>
      <c r="AE368" s="93"/>
    </row>
    <row r="369" spans="1:31" s="94" customFormat="1" ht="50.1" customHeight="1">
      <c r="A369" s="1068"/>
      <c r="B369" s="1076"/>
      <c r="C369" s="985" t="s">
        <v>182</v>
      </c>
      <c r="D369" s="1117" t="s">
        <v>1139</v>
      </c>
      <c r="E369" s="636" t="str">
        <f t="shared" ref="E369:E541" si="122">+D369</f>
        <v>VIA, BUENAVISTA-AMARILLOS, L=9,9 km. (Chaguarpamba) Inicio: 16 de febrero Fin: 21 de febrero</v>
      </c>
      <c r="F369" s="831" t="s">
        <v>330</v>
      </c>
      <c r="G369" s="831" t="str">
        <f>VLOOKUP(H369,'Pob. Ext, Parroquial'!$B$9:$C$117,2,0)</f>
        <v>CHAGUARPAMBA</v>
      </c>
      <c r="H369" s="831" t="s">
        <v>381</v>
      </c>
      <c r="I369" s="831" t="s">
        <v>173</v>
      </c>
      <c r="J369" s="831" t="s">
        <v>174</v>
      </c>
      <c r="K369" s="831">
        <v>9.9</v>
      </c>
      <c r="L369" s="537"/>
      <c r="M369" s="538">
        <f>IF(K369&gt;0,VLOOKUP(H369,'[5]Pob. Ext, Parroquial'!$B$8:$F$117,4,FALSE),0)</f>
        <v>350</v>
      </c>
      <c r="N369" s="834" t="s">
        <v>361</v>
      </c>
      <c r="O369" s="836" t="s">
        <v>333</v>
      </c>
      <c r="P369" s="836">
        <v>2.54</v>
      </c>
      <c r="Q369" s="968">
        <v>1600</v>
      </c>
      <c r="R369" s="948">
        <v>41686</v>
      </c>
      <c r="S369" s="948">
        <v>41691</v>
      </c>
      <c r="T369" s="686" t="str">
        <f t="shared" si="110"/>
        <v>EJECUTADO</v>
      </c>
      <c r="U369" s="837">
        <f t="shared" si="115"/>
        <v>4064</v>
      </c>
      <c r="V369" s="544"/>
      <c r="W369" s="544"/>
      <c r="X369" s="660">
        <f>SUM(U369:U374)</f>
        <v>15911.91</v>
      </c>
      <c r="Y369" s="640"/>
      <c r="Z369" s="545" t="s">
        <v>334</v>
      </c>
      <c r="AA369" s="545" t="s">
        <v>178</v>
      </c>
      <c r="AB369" s="546" t="s">
        <v>187</v>
      </c>
      <c r="AC369" s="547">
        <v>2014</v>
      </c>
      <c r="AD369" s="95"/>
      <c r="AE369" s="93"/>
    </row>
    <row r="370" spans="1:31" s="94" customFormat="1" ht="50.1" customHeight="1">
      <c r="A370" s="1068"/>
      <c r="B370" s="1076"/>
      <c r="C370" s="985" t="s">
        <v>182</v>
      </c>
      <c r="D370" s="1118"/>
      <c r="E370" s="655" t="str">
        <f t="shared" ref="E370:E374" si="123">+E369</f>
        <v>VIA, BUENAVISTA-AMARILLOS, L=9,9 km. (Chaguarpamba) Inicio: 16 de febrero Fin: 21 de febrero</v>
      </c>
      <c r="F370" s="831" t="s">
        <v>330</v>
      </c>
      <c r="G370" s="831" t="str">
        <f>VLOOKUP(H370,'Pob. Ext, Parroquial'!$B$9:$C$117,2,0)</f>
        <v>CHAGUARPAMBA</v>
      </c>
      <c r="H370" s="831" t="s">
        <v>381</v>
      </c>
      <c r="I370" s="831" t="s">
        <v>173</v>
      </c>
      <c r="J370" s="831" t="s">
        <v>174</v>
      </c>
      <c r="K370" s="831"/>
      <c r="L370" s="537"/>
      <c r="M370" s="538">
        <f>IF(K370&gt;0,VLOOKUP(H370,'[5]Pob. Ext, Parroquial'!$B$8:$F$117,4,FALSE),0)</f>
        <v>0</v>
      </c>
      <c r="N370" s="834" t="s">
        <v>336</v>
      </c>
      <c r="O370" s="836" t="s">
        <v>333</v>
      </c>
      <c r="P370" s="836">
        <v>1.47</v>
      </c>
      <c r="Q370" s="968">
        <v>300</v>
      </c>
      <c r="R370" s="948">
        <v>41686</v>
      </c>
      <c r="S370" s="948">
        <v>41691</v>
      </c>
      <c r="T370" s="686" t="str">
        <f t="shared" si="110"/>
        <v>EJECUTADO</v>
      </c>
      <c r="U370" s="837">
        <f t="shared" si="115"/>
        <v>441</v>
      </c>
      <c r="V370" s="544"/>
      <c r="W370" s="544"/>
      <c r="X370" s="662"/>
      <c r="Y370" s="640"/>
      <c r="Z370" s="545" t="s">
        <v>334</v>
      </c>
      <c r="AA370" s="545" t="s">
        <v>178</v>
      </c>
      <c r="AB370" s="546" t="s">
        <v>187</v>
      </c>
      <c r="AC370" s="547">
        <v>2014</v>
      </c>
      <c r="AD370" s="95"/>
      <c r="AE370" s="93"/>
    </row>
    <row r="371" spans="1:31" s="94" customFormat="1" ht="50.1" customHeight="1">
      <c r="A371" s="1068"/>
      <c r="B371" s="1076"/>
      <c r="C371" s="985" t="s">
        <v>182</v>
      </c>
      <c r="D371" s="1118"/>
      <c r="E371" s="655" t="str">
        <f t="shared" si="123"/>
        <v>VIA, BUENAVISTA-AMARILLOS, L=9,9 km. (Chaguarpamba) Inicio: 16 de febrero Fin: 21 de febrero</v>
      </c>
      <c r="F371" s="831" t="s">
        <v>330</v>
      </c>
      <c r="G371" s="831" t="str">
        <f>VLOOKUP(H371,'Pob. Ext, Parroquial'!$B$9:$C$117,2,0)</f>
        <v>CHAGUARPAMBA</v>
      </c>
      <c r="H371" s="831" t="s">
        <v>381</v>
      </c>
      <c r="I371" s="831" t="s">
        <v>173</v>
      </c>
      <c r="J371" s="831" t="s">
        <v>174</v>
      </c>
      <c r="K371" s="831"/>
      <c r="L371" s="537"/>
      <c r="M371" s="538">
        <f>IF(K371&gt;0,VLOOKUP(H371,'[5]Pob. Ext, Parroquial'!$B$8:$F$117,4,FALSE),0)</f>
        <v>0</v>
      </c>
      <c r="N371" s="834" t="s">
        <v>200</v>
      </c>
      <c r="O371" s="836" t="s">
        <v>333</v>
      </c>
      <c r="P371" s="836">
        <v>1.46</v>
      </c>
      <c r="Q371" s="968">
        <v>1650</v>
      </c>
      <c r="R371" s="948">
        <v>41686</v>
      </c>
      <c r="S371" s="948">
        <v>41691</v>
      </c>
      <c r="T371" s="686" t="str">
        <f t="shared" si="110"/>
        <v>EJECUTADO</v>
      </c>
      <c r="U371" s="837">
        <f t="shared" si="115"/>
        <v>2409</v>
      </c>
      <c r="V371" s="544"/>
      <c r="W371" s="544"/>
      <c r="X371" s="662"/>
      <c r="Y371" s="640"/>
      <c r="Z371" s="545" t="s">
        <v>334</v>
      </c>
      <c r="AA371" s="545" t="s">
        <v>178</v>
      </c>
      <c r="AB371" s="546" t="s">
        <v>187</v>
      </c>
      <c r="AC371" s="547">
        <v>2014</v>
      </c>
      <c r="AD371" s="95"/>
      <c r="AE371" s="93"/>
    </row>
    <row r="372" spans="1:31" s="94" customFormat="1" ht="50.1" customHeight="1">
      <c r="A372" s="1068"/>
      <c r="B372" s="1076"/>
      <c r="C372" s="985" t="s">
        <v>182</v>
      </c>
      <c r="D372" s="1118"/>
      <c r="E372" s="655" t="str">
        <f t="shared" si="123"/>
        <v>VIA, BUENAVISTA-AMARILLOS, L=9,9 km. (Chaguarpamba) Inicio: 16 de febrero Fin: 21 de febrero</v>
      </c>
      <c r="F372" s="831" t="s">
        <v>330</v>
      </c>
      <c r="G372" s="831" t="str">
        <f>VLOOKUP(H372,'Pob. Ext, Parroquial'!$B$9:$C$117,2,0)</f>
        <v>CHAGUARPAMBA</v>
      </c>
      <c r="H372" s="831" t="s">
        <v>381</v>
      </c>
      <c r="I372" s="831" t="s">
        <v>173</v>
      </c>
      <c r="J372" s="831" t="s">
        <v>174</v>
      </c>
      <c r="K372" s="831"/>
      <c r="L372" s="537">
        <f>ROUNDUP(Q372/5.5/1000,2)</f>
        <v>2.42</v>
      </c>
      <c r="M372" s="538">
        <f>IF(K372&gt;0,VLOOKUP(H372,'[5]Pob. Ext, Parroquial'!$B$8:$F$117,4,FALSE),0)</f>
        <v>0</v>
      </c>
      <c r="N372" s="834" t="s">
        <v>185</v>
      </c>
      <c r="O372" s="836" t="s">
        <v>314</v>
      </c>
      <c r="P372" s="836">
        <v>0.08</v>
      </c>
      <c r="Q372" s="968">
        <v>13260</v>
      </c>
      <c r="R372" s="948">
        <v>41686</v>
      </c>
      <c r="S372" s="948">
        <v>41691</v>
      </c>
      <c r="T372" s="686" t="str">
        <f t="shared" si="110"/>
        <v>EJECUTADO</v>
      </c>
      <c r="U372" s="837">
        <f t="shared" si="115"/>
        <v>1060.8</v>
      </c>
      <c r="V372" s="544"/>
      <c r="W372" s="544"/>
      <c r="X372" s="662"/>
      <c r="Y372" s="640"/>
      <c r="Z372" s="545" t="s">
        <v>334</v>
      </c>
      <c r="AA372" s="545" t="s">
        <v>178</v>
      </c>
      <c r="AB372" s="546" t="s">
        <v>187</v>
      </c>
      <c r="AC372" s="547">
        <v>2014</v>
      </c>
      <c r="AD372" s="95"/>
      <c r="AE372" s="93"/>
    </row>
    <row r="373" spans="1:31" s="94" customFormat="1" ht="50.1" customHeight="1">
      <c r="A373" s="1068"/>
      <c r="B373" s="1076"/>
      <c r="C373" s="985" t="s">
        <v>182</v>
      </c>
      <c r="D373" s="1118"/>
      <c r="E373" s="655" t="str">
        <f t="shared" si="123"/>
        <v>VIA, BUENAVISTA-AMARILLOS, L=9,9 km. (Chaguarpamba) Inicio: 16 de febrero Fin: 21 de febrero</v>
      </c>
      <c r="F373" s="831" t="s">
        <v>330</v>
      </c>
      <c r="G373" s="831" t="str">
        <f>VLOOKUP(H373,'Pob. Ext, Parroquial'!$B$9:$C$117,2,0)</f>
        <v>CHAGUARPAMBA</v>
      </c>
      <c r="H373" s="831" t="s">
        <v>381</v>
      </c>
      <c r="I373" s="831" t="s">
        <v>173</v>
      </c>
      <c r="J373" s="831" t="s">
        <v>174</v>
      </c>
      <c r="K373" s="831"/>
      <c r="L373" s="537">
        <f>+ROUND(Q373/5500/0.2,2)</f>
        <v>0.98</v>
      </c>
      <c r="M373" s="538">
        <f>IF(K373&gt;0,VLOOKUP(H373,'[5]Pob. Ext, Parroquial'!$B$8:$F$117,4,FALSE),0)</f>
        <v>0</v>
      </c>
      <c r="N373" s="834" t="s">
        <v>229</v>
      </c>
      <c r="O373" s="836" t="s">
        <v>333</v>
      </c>
      <c r="P373" s="836">
        <v>5.92</v>
      </c>
      <c r="Q373" s="968">
        <v>1079</v>
      </c>
      <c r="R373" s="948">
        <v>41686</v>
      </c>
      <c r="S373" s="948">
        <v>41691</v>
      </c>
      <c r="T373" s="686" t="str">
        <f t="shared" si="110"/>
        <v>EJECUTADO</v>
      </c>
      <c r="U373" s="837">
        <f t="shared" si="115"/>
        <v>6387.68</v>
      </c>
      <c r="V373" s="544"/>
      <c r="W373" s="544"/>
      <c r="X373" s="662"/>
      <c r="Y373" s="640"/>
      <c r="Z373" s="545" t="s">
        <v>334</v>
      </c>
      <c r="AA373" s="545" t="s">
        <v>178</v>
      </c>
      <c r="AB373" s="546" t="s">
        <v>187</v>
      </c>
      <c r="AC373" s="547">
        <v>2014</v>
      </c>
      <c r="AD373" s="95"/>
      <c r="AE373" s="93"/>
    </row>
    <row r="374" spans="1:31" s="94" customFormat="1" ht="50.1" customHeight="1">
      <c r="A374" s="1068"/>
      <c r="B374" s="1076"/>
      <c r="C374" s="985" t="s">
        <v>182</v>
      </c>
      <c r="D374" s="1120"/>
      <c r="E374" s="655" t="str">
        <f t="shared" si="123"/>
        <v>VIA, BUENAVISTA-AMARILLOS, L=9,9 km. (Chaguarpamba) Inicio: 16 de febrero Fin: 21 de febrero</v>
      </c>
      <c r="F374" s="831" t="s">
        <v>330</v>
      </c>
      <c r="G374" s="831" t="str">
        <f>VLOOKUP(H374,'Pob. Ext, Parroquial'!$B$9:$C$117,2,0)</f>
        <v>CHAGUARPAMBA</v>
      </c>
      <c r="H374" s="831" t="s">
        <v>381</v>
      </c>
      <c r="I374" s="831" t="s">
        <v>173</v>
      </c>
      <c r="J374" s="831" t="s">
        <v>174</v>
      </c>
      <c r="K374" s="831"/>
      <c r="L374" s="537"/>
      <c r="M374" s="538">
        <f>IF(K374&gt;0,VLOOKUP(H374,'[5]Pob. Ext, Parroquial'!$B$8:$F$117,4,FALSE),0)</f>
        <v>0</v>
      </c>
      <c r="N374" s="834" t="s">
        <v>180</v>
      </c>
      <c r="O374" s="836" t="s">
        <v>352</v>
      </c>
      <c r="P374" s="836">
        <v>0.38</v>
      </c>
      <c r="Q374" s="968">
        <v>4077.45</v>
      </c>
      <c r="R374" s="948">
        <v>41686</v>
      </c>
      <c r="S374" s="948">
        <v>41691</v>
      </c>
      <c r="T374" s="686" t="str">
        <f t="shared" si="110"/>
        <v>EJECUTADO</v>
      </c>
      <c r="U374" s="837">
        <f t="shared" si="115"/>
        <v>1549.43</v>
      </c>
      <c r="V374" s="544"/>
      <c r="W374" s="544"/>
      <c r="X374" s="664"/>
      <c r="Y374" s="640"/>
      <c r="Z374" s="545" t="s">
        <v>334</v>
      </c>
      <c r="AA374" s="545" t="s">
        <v>178</v>
      </c>
      <c r="AB374" s="546" t="s">
        <v>187</v>
      </c>
      <c r="AC374" s="547">
        <v>2014</v>
      </c>
      <c r="AD374" s="95"/>
      <c r="AE374" s="93"/>
    </row>
    <row r="375" spans="1:31" s="94" customFormat="1" ht="50.1" customHeight="1">
      <c r="A375" s="1068"/>
      <c r="B375" s="1076"/>
      <c r="C375" s="985" t="s">
        <v>182</v>
      </c>
      <c r="D375" s="1117" t="s">
        <v>382</v>
      </c>
      <c r="E375" s="636" t="str">
        <f t="shared" si="122"/>
        <v>VIAS DESDE BUENAVISTA A, VALLE HERMOSO, PALMAL Y PAN DE AZUCAR</v>
      </c>
      <c r="F375" s="831" t="s">
        <v>330</v>
      </c>
      <c r="G375" s="831" t="str">
        <f>VLOOKUP(H375,'Pob. Ext, Parroquial'!$B$9:$C$117,2,0)</f>
        <v>CHAGUARPAMBA</v>
      </c>
      <c r="H375" s="831" t="s">
        <v>379</v>
      </c>
      <c r="I375" s="831" t="s">
        <v>173</v>
      </c>
      <c r="J375" s="831" t="s">
        <v>174</v>
      </c>
      <c r="K375" s="831">
        <v>13.6</v>
      </c>
      <c r="L375" s="537">
        <f>ROUNDUP(Q375/5.5/1000,2)</f>
        <v>4.2799999999999994</v>
      </c>
      <c r="M375" s="538">
        <f>IF(K375&gt;0,VLOOKUP(H375,'[5]Pob. Ext, Parroquial'!$B$8:$F$117,4,FALSE),0)</f>
        <v>483</v>
      </c>
      <c r="N375" s="834" t="s">
        <v>185</v>
      </c>
      <c r="O375" s="836" t="s">
        <v>314</v>
      </c>
      <c r="P375" s="836">
        <v>0.08</v>
      </c>
      <c r="Q375" s="968">
        <v>23520</v>
      </c>
      <c r="R375" s="948">
        <v>41695</v>
      </c>
      <c r="S375" s="948">
        <v>41698</v>
      </c>
      <c r="T375" s="686" t="str">
        <f t="shared" si="110"/>
        <v>EJECUTADO</v>
      </c>
      <c r="U375" s="837">
        <f t="shared" si="115"/>
        <v>1881.6</v>
      </c>
      <c r="V375" s="544"/>
      <c r="W375" s="544"/>
      <c r="X375" s="660">
        <f>SUM(U375:U376)</f>
        <v>3619</v>
      </c>
      <c r="Y375" s="640"/>
      <c r="Z375" s="545" t="s">
        <v>334</v>
      </c>
      <c r="AA375" s="545" t="s">
        <v>178</v>
      </c>
      <c r="AB375" s="546" t="s">
        <v>187</v>
      </c>
      <c r="AC375" s="547">
        <v>2014</v>
      </c>
      <c r="AD375" s="93"/>
      <c r="AE375" s="93"/>
    </row>
    <row r="376" spans="1:31" s="94" customFormat="1" ht="50.1" customHeight="1">
      <c r="A376" s="1068"/>
      <c r="B376" s="1076"/>
      <c r="C376" s="985" t="s">
        <v>182</v>
      </c>
      <c r="D376" s="1120"/>
      <c r="E376" s="655" t="str">
        <f t="shared" ref="E376" si="124">+E375</f>
        <v>VIAS DESDE BUENAVISTA A, VALLE HERMOSO, PALMAL Y PAN DE AZUCAR</v>
      </c>
      <c r="F376" s="831" t="s">
        <v>330</v>
      </c>
      <c r="G376" s="831" t="str">
        <f>VLOOKUP(H376,'Pob. Ext, Parroquial'!$B$9:$C$117,2,0)</f>
        <v>CHAGUARPAMBA</v>
      </c>
      <c r="H376" s="831" t="s">
        <v>379</v>
      </c>
      <c r="I376" s="831" t="s">
        <v>173</v>
      </c>
      <c r="J376" s="831" t="s">
        <v>174</v>
      </c>
      <c r="K376" s="831"/>
      <c r="L376" s="537"/>
      <c r="M376" s="538">
        <f>IF(K376&gt;0,VLOOKUP(H376,'[5]Pob. Ext, Parroquial'!$B$8:$F$117,4,FALSE),0)</f>
        <v>0</v>
      </c>
      <c r="N376" s="834" t="s">
        <v>200</v>
      </c>
      <c r="O376" s="836" t="s">
        <v>333</v>
      </c>
      <c r="P376" s="836">
        <v>1.46</v>
      </c>
      <c r="Q376" s="968">
        <v>1190</v>
      </c>
      <c r="R376" s="948">
        <v>41695</v>
      </c>
      <c r="S376" s="948">
        <v>41759</v>
      </c>
      <c r="T376" s="686" t="str">
        <f t="shared" si="110"/>
        <v>EJECUTADO</v>
      </c>
      <c r="U376" s="837">
        <f t="shared" si="115"/>
        <v>1737.4</v>
      </c>
      <c r="V376" s="544"/>
      <c r="W376" s="544"/>
      <c r="X376" s="664"/>
      <c r="Y376" s="640"/>
      <c r="Z376" s="545" t="s">
        <v>334</v>
      </c>
      <c r="AA376" s="545" t="s">
        <v>178</v>
      </c>
      <c r="AB376" s="546" t="s">
        <v>187</v>
      </c>
      <c r="AC376" s="547">
        <v>2014</v>
      </c>
      <c r="AD376" s="93"/>
      <c r="AE376" s="93"/>
    </row>
    <row r="377" spans="1:31" s="94" customFormat="1" ht="50.1" customHeight="1">
      <c r="A377" s="1068"/>
      <c r="B377" s="1076"/>
      <c r="C377" s="985" t="s">
        <v>182</v>
      </c>
      <c r="D377" s="1117" t="s">
        <v>383</v>
      </c>
      <c r="E377" s="636" t="str">
        <f t="shared" si="122"/>
        <v xml:space="preserve">VIA, LAS JUNTAS-"Y" del GUINEO, RIO PINDO L=5.6 km. </v>
      </c>
      <c r="F377" s="831" t="s">
        <v>330</v>
      </c>
      <c r="G377" s="831" t="str">
        <f>VLOOKUP(H377,'Pob. Ext, Parroquial'!$B$9:$C$117,2,0)</f>
        <v>CHAGUARPAMBA</v>
      </c>
      <c r="H377" s="832" t="s">
        <v>384</v>
      </c>
      <c r="I377" s="831" t="s">
        <v>173</v>
      </c>
      <c r="J377" s="831" t="s">
        <v>174</v>
      </c>
      <c r="K377" s="831">
        <v>4.2</v>
      </c>
      <c r="L377" s="537"/>
      <c r="M377" s="538">
        <f>IF(K377&gt;0,VLOOKUP(H377,'[5]Pob. Ext, Parroquial'!$B$8:$F$117,4,FALSE),0)</f>
        <v>698</v>
      </c>
      <c r="N377" s="834" t="s">
        <v>336</v>
      </c>
      <c r="O377" s="836" t="s">
        <v>333</v>
      </c>
      <c r="P377" s="836">
        <v>1.47</v>
      </c>
      <c r="Q377" s="968">
        <v>870</v>
      </c>
      <c r="R377" s="948">
        <v>41646</v>
      </c>
      <c r="S377" s="948">
        <v>41670</v>
      </c>
      <c r="T377" s="686" t="str">
        <f t="shared" si="110"/>
        <v>EJECUTADO</v>
      </c>
      <c r="U377" s="837">
        <f t="shared" si="115"/>
        <v>1278.9000000000001</v>
      </c>
      <c r="V377" s="544"/>
      <c r="W377" s="544"/>
      <c r="X377" s="660">
        <f>SUM(U377:U380)</f>
        <v>4967.33</v>
      </c>
      <c r="Y377" s="640"/>
      <c r="Z377" s="545" t="s">
        <v>334</v>
      </c>
      <c r="AA377" s="545" t="s">
        <v>178</v>
      </c>
      <c r="AB377" s="546" t="s">
        <v>179</v>
      </c>
      <c r="AC377" s="547">
        <v>2014</v>
      </c>
      <c r="AD377" s="93"/>
      <c r="AE377" s="93"/>
    </row>
    <row r="378" spans="1:31" s="94" customFormat="1" ht="50.1" customHeight="1">
      <c r="A378" s="1068"/>
      <c r="B378" s="1076"/>
      <c r="C378" s="985" t="s">
        <v>182</v>
      </c>
      <c r="D378" s="1118"/>
      <c r="E378" s="655" t="str">
        <f t="shared" ref="E378:E380" si="125">+E377</f>
        <v xml:space="preserve">VIA, LAS JUNTAS-"Y" del GUINEO, RIO PINDO L=5.6 km. </v>
      </c>
      <c r="F378" s="831" t="s">
        <v>330</v>
      </c>
      <c r="G378" s="831" t="str">
        <f>VLOOKUP(H378,'Pob. Ext, Parroquial'!$B$9:$C$117,2,0)</f>
        <v>CHAGUARPAMBA</v>
      </c>
      <c r="H378" s="832" t="s">
        <v>384</v>
      </c>
      <c r="I378" s="831" t="s">
        <v>173</v>
      </c>
      <c r="J378" s="831" t="s">
        <v>174</v>
      </c>
      <c r="K378" s="831"/>
      <c r="L378" s="537">
        <f>ROUNDUP(Q378/5.5/1000,2)</f>
        <v>1.1100000000000001</v>
      </c>
      <c r="M378" s="538">
        <f>IF(K378&gt;0,VLOOKUP(H378,'[5]Pob. Ext, Parroquial'!$B$8:$F$117,4,FALSE),0)</f>
        <v>0</v>
      </c>
      <c r="N378" s="834" t="s">
        <v>185</v>
      </c>
      <c r="O378" s="836" t="s">
        <v>314</v>
      </c>
      <c r="P378" s="836">
        <v>0.08</v>
      </c>
      <c r="Q378" s="968">
        <v>6080</v>
      </c>
      <c r="R378" s="948">
        <v>41646</v>
      </c>
      <c r="S378" s="948">
        <v>41670</v>
      </c>
      <c r="T378" s="686" t="str">
        <f t="shared" si="110"/>
        <v>EJECUTADO</v>
      </c>
      <c r="U378" s="837">
        <f t="shared" si="115"/>
        <v>486.4</v>
      </c>
      <c r="V378" s="544"/>
      <c r="W378" s="544"/>
      <c r="X378" s="662"/>
      <c r="Y378" s="640"/>
      <c r="Z378" s="545" t="s">
        <v>334</v>
      </c>
      <c r="AA378" s="545" t="s">
        <v>178</v>
      </c>
      <c r="AB378" s="546" t="s">
        <v>179</v>
      </c>
      <c r="AC378" s="547">
        <v>2014</v>
      </c>
      <c r="AD378" s="93"/>
      <c r="AE378" s="93"/>
    </row>
    <row r="379" spans="1:31" s="94" customFormat="1" ht="50.1" customHeight="1">
      <c r="A379" s="1068"/>
      <c r="B379" s="1076"/>
      <c r="C379" s="985" t="s">
        <v>182</v>
      </c>
      <c r="D379" s="1118"/>
      <c r="E379" s="655" t="str">
        <f t="shared" si="125"/>
        <v xml:space="preserve">VIA, LAS JUNTAS-"Y" del GUINEO, RIO PINDO L=5.6 km. </v>
      </c>
      <c r="F379" s="831" t="s">
        <v>330</v>
      </c>
      <c r="G379" s="831" t="str">
        <f>VLOOKUP(H379,'Pob. Ext, Parroquial'!$B$9:$C$117,2,0)</f>
        <v>CHAGUARPAMBA</v>
      </c>
      <c r="H379" s="832" t="s">
        <v>384</v>
      </c>
      <c r="I379" s="831" t="s">
        <v>173</v>
      </c>
      <c r="J379" s="831" t="s">
        <v>174</v>
      </c>
      <c r="K379" s="831"/>
      <c r="L379" s="537">
        <f>+ROUND(Q379/5500/0.2,2)</f>
        <v>0.41</v>
      </c>
      <c r="M379" s="538">
        <f>IF(K379&gt;0,VLOOKUP(H379,'[5]Pob. Ext, Parroquial'!$B$8:$F$117,4,FALSE),0)</f>
        <v>0</v>
      </c>
      <c r="N379" s="834" t="s">
        <v>229</v>
      </c>
      <c r="O379" s="836" t="s">
        <v>333</v>
      </c>
      <c r="P379" s="836">
        <v>5.92</v>
      </c>
      <c r="Q379" s="968">
        <v>456</v>
      </c>
      <c r="R379" s="948">
        <v>41646</v>
      </c>
      <c r="S379" s="948">
        <v>41670</v>
      </c>
      <c r="T379" s="686" t="str">
        <f t="shared" si="110"/>
        <v>EJECUTADO</v>
      </c>
      <c r="U379" s="837">
        <f t="shared" si="115"/>
        <v>2699.52</v>
      </c>
      <c r="V379" s="544"/>
      <c r="W379" s="544"/>
      <c r="X379" s="662"/>
      <c r="Y379" s="640"/>
      <c r="Z379" s="545" t="s">
        <v>334</v>
      </c>
      <c r="AA379" s="545" t="s">
        <v>178</v>
      </c>
      <c r="AB379" s="546" t="s">
        <v>179</v>
      </c>
      <c r="AC379" s="547">
        <v>2014</v>
      </c>
      <c r="AD379" s="93"/>
      <c r="AE379" s="93"/>
    </row>
    <row r="380" spans="1:31" s="94" customFormat="1" ht="50.1" customHeight="1">
      <c r="A380" s="1068"/>
      <c r="B380" s="1076"/>
      <c r="C380" s="985" t="s">
        <v>182</v>
      </c>
      <c r="D380" s="1120"/>
      <c r="E380" s="655" t="str">
        <f t="shared" si="125"/>
        <v xml:space="preserve">VIA, LAS JUNTAS-"Y" del GUINEO, RIO PINDO L=5.6 km. </v>
      </c>
      <c r="F380" s="831" t="s">
        <v>330</v>
      </c>
      <c r="G380" s="831" t="str">
        <f>VLOOKUP(H380,'Pob. Ext, Parroquial'!$B$9:$C$117,2,0)</f>
        <v>CHAGUARPAMBA</v>
      </c>
      <c r="H380" s="832" t="s">
        <v>384</v>
      </c>
      <c r="I380" s="831" t="s">
        <v>173</v>
      </c>
      <c r="J380" s="831" t="s">
        <v>174</v>
      </c>
      <c r="K380" s="831"/>
      <c r="L380" s="537"/>
      <c r="M380" s="538">
        <f>IF(K380&gt;0,VLOOKUP(H380,'[5]Pob. Ext, Parroquial'!$B$8:$F$117,4,FALSE),0)</f>
        <v>0</v>
      </c>
      <c r="N380" s="834" t="s">
        <v>180</v>
      </c>
      <c r="O380" s="836" t="s">
        <v>352</v>
      </c>
      <c r="P380" s="836">
        <v>0.38</v>
      </c>
      <c r="Q380" s="968">
        <v>1322.4</v>
      </c>
      <c r="R380" s="948">
        <v>41646</v>
      </c>
      <c r="S380" s="948">
        <v>41670</v>
      </c>
      <c r="T380" s="686" t="str">
        <f t="shared" si="110"/>
        <v>EJECUTADO</v>
      </c>
      <c r="U380" s="837">
        <f t="shared" si="115"/>
        <v>502.51</v>
      </c>
      <c r="V380" s="544"/>
      <c r="W380" s="544"/>
      <c r="X380" s="664"/>
      <c r="Y380" s="640"/>
      <c r="Z380" s="545" t="s">
        <v>334</v>
      </c>
      <c r="AA380" s="545" t="s">
        <v>178</v>
      </c>
      <c r="AB380" s="546" t="s">
        <v>179</v>
      </c>
      <c r="AC380" s="547">
        <v>2014</v>
      </c>
      <c r="AD380" s="93"/>
      <c r="AE380" s="93"/>
    </row>
    <row r="381" spans="1:31" s="94" customFormat="1" ht="50.1" customHeight="1">
      <c r="A381" s="910" t="s">
        <v>385</v>
      </c>
      <c r="B381" s="914" t="str">
        <f>+T381</f>
        <v>EJECUTADO</v>
      </c>
      <c r="C381" s="985" t="s">
        <v>182</v>
      </c>
      <c r="D381" s="927" t="s">
        <v>386</v>
      </c>
      <c r="E381" s="636" t="str">
        <f t="shared" si="122"/>
        <v>PLATAFORMA DEL CANAL,"Y" del GUINEO, L=4,2 km. (Chaguarpamba)</v>
      </c>
      <c r="F381" s="831" t="s">
        <v>330</v>
      </c>
      <c r="G381" s="831" t="str">
        <f>VLOOKUP(H381,'Pob. Ext, Parroquial'!$B$9:$C$117,2,0)</f>
        <v>CHAGUARPAMBA</v>
      </c>
      <c r="H381" s="832" t="s">
        <v>384</v>
      </c>
      <c r="I381" s="831" t="s">
        <v>173</v>
      </c>
      <c r="J381" s="831" t="s">
        <v>174</v>
      </c>
      <c r="K381" s="831">
        <v>11</v>
      </c>
      <c r="L381" s="537"/>
      <c r="M381" s="538">
        <f>IF(K381&gt;0,VLOOKUP(H381,'[5]Pob. Ext, Parroquial'!$B$8:$F$117,4,FALSE),0)</f>
        <v>698</v>
      </c>
      <c r="N381" s="834" t="s">
        <v>387</v>
      </c>
      <c r="O381" s="836" t="s">
        <v>333</v>
      </c>
      <c r="P381" s="836">
        <v>1.46</v>
      </c>
      <c r="Q381" s="968">
        <v>1800</v>
      </c>
      <c r="R381" s="948">
        <v>41846</v>
      </c>
      <c r="S381" s="948">
        <v>41851</v>
      </c>
      <c r="T381" s="686" t="str">
        <f t="shared" si="110"/>
        <v>EJECUTADO</v>
      </c>
      <c r="U381" s="837">
        <f t="shared" si="115"/>
        <v>2628</v>
      </c>
      <c r="V381" s="544"/>
      <c r="W381" s="544"/>
      <c r="X381" s="912">
        <f>+U381</f>
        <v>2628</v>
      </c>
      <c r="Y381" s="640"/>
      <c r="Z381" s="545" t="s">
        <v>334</v>
      </c>
      <c r="AA381" s="545" t="s">
        <v>178</v>
      </c>
      <c r="AB381" s="546" t="s">
        <v>187</v>
      </c>
      <c r="AC381" s="547">
        <v>2014</v>
      </c>
      <c r="AD381" s="93"/>
      <c r="AE381" s="93"/>
    </row>
    <row r="382" spans="1:31" s="94" customFormat="1" ht="50.1" customHeight="1">
      <c r="A382" s="910"/>
      <c r="B382" s="914"/>
      <c r="C382" s="985" t="s">
        <v>182</v>
      </c>
      <c r="D382" s="1117" t="s">
        <v>776</v>
      </c>
      <c r="E382" s="636" t="str">
        <f>+D382</f>
        <v>VIA YEE DEL GUINEO SANTA RUFINA 7.5 KM</v>
      </c>
      <c r="F382" s="831" t="s">
        <v>330</v>
      </c>
      <c r="G382" s="831" t="str">
        <f>VLOOKUP(H382,'Pob. Ext, Parroquial'!$B$9:$C$117,2,0)</f>
        <v>CHAGUARPAMBA</v>
      </c>
      <c r="H382" s="832" t="s">
        <v>384</v>
      </c>
      <c r="I382" s="831" t="s">
        <v>173</v>
      </c>
      <c r="J382" s="831" t="s">
        <v>174</v>
      </c>
      <c r="K382" s="831">
        <v>5.7</v>
      </c>
      <c r="L382" s="537">
        <v>5.7</v>
      </c>
      <c r="M382" s="538">
        <v>267</v>
      </c>
      <c r="N382" s="834" t="s">
        <v>332</v>
      </c>
      <c r="O382" s="836" t="s">
        <v>333</v>
      </c>
      <c r="P382" s="836">
        <v>1.62</v>
      </c>
      <c r="Q382" s="836"/>
      <c r="R382" s="948">
        <v>41791</v>
      </c>
      <c r="S382" s="948">
        <v>41820</v>
      </c>
      <c r="T382" s="686" t="s">
        <v>179</v>
      </c>
      <c r="U382" s="837">
        <f t="shared" si="115"/>
        <v>0</v>
      </c>
      <c r="V382" s="1072">
        <v>141961.84</v>
      </c>
      <c r="W382" s="640"/>
      <c r="X382" s="660">
        <f>SUM(U382:U390)</f>
        <v>26873.06</v>
      </c>
      <c r="Y382" s="674" t="s">
        <v>178</v>
      </c>
      <c r="Z382" s="546" t="s">
        <v>187</v>
      </c>
      <c r="AA382" s="547">
        <v>2014</v>
      </c>
      <c r="AB382" s="546"/>
      <c r="AC382" s="547"/>
      <c r="AD382" s="93"/>
      <c r="AE382" s="93"/>
    </row>
    <row r="383" spans="1:31" s="94" customFormat="1" ht="50.1" customHeight="1">
      <c r="A383" s="910"/>
      <c r="B383" s="914"/>
      <c r="C383" s="985" t="s">
        <v>182</v>
      </c>
      <c r="D383" s="1118"/>
      <c r="E383" s="655" t="str">
        <f t="shared" ref="E383:E390" si="126">+E382</f>
        <v>VIA YEE DEL GUINEO SANTA RUFINA 7.5 KM</v>
      </c>
      <c r="F383" s="831" t="s">
        <v>330</v>
      </c>
      <c r="G383" s="831" t="str">
        <f>VLOOKUP(H383,'Pob. Ext, Parroquial'!$B$9:$C$117,2,0)</f>
        <v>CHAGUARPAMBA</v>
      </c>
      <c r="H383" s="832" t="s">
        <v>384</v>
      </c>
      <c r="I383" s="831" t="s">
        <v>173</v>
      </c>
      <c r="J383" s="831" t="s">
        <v>174</v>
      </c>
      <c r="K383" s="831"/>
      <c r="L383" s="537"/>
      <c r="M383" s="538">
        <v>0</v>
      </c>
      <c r="N383" s="834" t="s">
        <v>335</v>
      </c>
      <c r="O383" s="836" t="s">
        <v>333</v>
      </c>
      <c r="P383" s="836">
        <v>2.54</v>
      </c>
      <c r="Q383" s="968">
        <v>1200</v>
      </c>
      <c r="R383" s="948">
        <v>41644</v>
      </c>
      <c r="S383" s="948">
        <v>41790</v>
      </c>
      <c r="T383" s="686" t="s">
        <v>179</v>
      </c>
      <c r="U383" s="837">
        <f t="shared" si="115"/>
        <v>3048</v>
      </c>
      <c r="V383" s="1072"/>
      <c r="W383" s="640"/>
      <c r="X383" s="662"/>
      <c r="Y383" s="674" t="s">
        <v>178</v>
      </c>
      <c r="Z383" s="546" t="s">
        <v>187</v>
      </c>
      <c r="AA383" s="547">
        <v>2014</v>
      </c>
      <c r="AB383" s="546"/>
      <c r="AC383" s="547"/>
      <c r="AD383" s="93"/>
      <c r="AE383" s="93"/>
    </row>
    <row r="384" spans="1:31" s="94" customFormat="1" ht="50.1" customHeight="1">
      <c r="A384" s="910"/>
      <c r="B384" s="914"/>
      <c r="C384" s="985" t="s">
        <v>182</v>
      </c>
      <c r="D384" s="1118"/>
      <c r="E384" s="655" t="str">
        <f t="shared" si="126"/>
        <v>VIA YEE DEL GUINEO SANTA RUFINA 7.5 KM</v>
      </c>
      <c r="F384" s="831" t="s">
        <v>330</v>
      </c>
      <c r="G384" s="831" t="str">
        <f>VLOOKUP(H384,'Pob. Ext, Parroquial'!$B$9:$C$117,2,0)</f>
        <v>CHAGUARPAMBA</v>
      </c>
      <c r="H384" s="832" t="s">
        <v>384</v>
      </c>
      <c r="I384" s="831" t="s">
        <v>173</v>
      </c>
      <c r="J384" s="831" t="s">
        <v>174</v>
      </c>
      <c r="K384" s="831"/>
      <c r="L384" s="537"/>
      <c r="M384" s="538">
        <v>0</v>
      </c>
      <c r="N384" s="834" t="s">
        <v>336</v>
      </c>
      <c r="O384" s="836" t="s">
        <v>333</v>
      </c>
      <c r="P384" s="836">
        <v>1.47</v>
      </c>
      <c r="Q384" s="968">
        <v>1100</v>
      </c>
      <c r="R384" s="948">
        <v>41802</v>
      </c>
      <c r="S384" s="948">
        <v>41820</v>
      </c>
      <c r="T384" s="686" t="s">
        <v>179</v>
      </c>
      <c r="U384" s="837">
        <f t="shared" si="115"/>
        <v>1617</v>
      </c>
      <c r="V384" s="1072"/>
      <c r="W384" s="640"/>
      <c r="X384" s="662"/>
      <c r="Y384" s="674" t="s">
        <v>178</v>
      </c>
      <c r="Z384" s="546" t="s">
        <v>187</v>
      </c>
      <c r="AA384" s="547">
        <v>2014</v>
      </c>
      <c r="AB384" s="546"/>
      <c r="AC384" s="547"/>
      <c r="AD384" s="93"/>
      <c r="AE384" s="93"/>
    </row>
    <row r="385" spans="1:31" s="94" customFormat="1" ht="50.1" customHeight="1">
      <c r="A385" s="910"/>
      <c r="B385" s="914"/>
      <c r="C385" s="985" t="s">
        <v>182</v>
      </c>
      <c r="D385" s="1118"/>
      <c r="E385" s="655" t="str">
        <f t="shared" si="126"/>
        <v>VIA YEE DEL GUINEO SANTA RUFINA 7.5 KM</v>
      </c>
      <c r="F385" s="831" t="s">
        <v>330</v>
      </c>
      <c r="G385" s="831" t="str">
        <f>VLOOKUP(H385,'Pob. Ext, Parroquial'!$B$9:$C$117,2,0)</f>
        <v>CHAGUARPAMBA</v>
      </c>
      <c r="H385" s="832" t="s">
        <v>384</v>
      </c>
      <c r="I385" s="831" t="s">
        <v>173</v>
      </c>
      <c r="J385" s="831" t="s">
        <v>174</v>
      </c>
      <c r="K385" s="831"/>
      <c r="L385" s="537"/>
      <c r="M385" s="538">
        <v>0</v>
      </c>
      <c r="N385" s="834" t="s">
        <v>337</v>
      </c>
      <c r="O385" s="836" t="s">
        <v>333</v>
      </c>
      <c r="P385" s="836">
        <v>1.46</v>
      </c>
      <c r="Q385" s="968">
        <v>1200</v>
      </c>
      <c r="R385" s="948">
        <v>41640</v>
      </c>
      <c r="S385" s="948">
        <v>41820</v>
      </c>
      <c r="T385" s="686" t="s">
        <v>179</v>
      </c>
      <c r="U385" s="837">
        <f t="shared" si="115"/>
        <v>1752</v>
      </c>
      <c r="V385" s="1072"/>
      <c r="W385" s="640"/>
      <c r="X385" s="662"/>
      <c r="Y385" s="674" t="s">
        <v>178</v>
      </c>
      <c r="Z385" s="546" t="s">
        <v>187</v>
      </c>
      <c r="AA385" s="547">
        <v>2014</v>
      </c>
      <c r="AB385" s="546"/>
      <c r="AC385" s="547"/>
      <c r="AD385" s="93"/>
      <c r="AE385" s="93"/>
    </row>
    <row r="386" spans="1:31" s="94" customFormat="1" ht="50.1" customHeight="1">
      <c r="A386" s="910"/>
      <c r="B386" s="914"/>
      <c r="C386" s="985" t="s">
        <v>182</v>
      </c>
      <c r="D386" s="1118"/>
      <c r="E386" s="655" t="str">
        <f t="shared" si="126"/>
        <v>VIA YEE DEL GUINEO SANTA RUFINA 7.5 KM</v>
      </c>
      <c r="F386" s="831" t="s">
        <v>330</v>
      </c>
      <c r="G386" s="831" t="str">
        <f>VLOOKUP(H386,'Pob. Ext, Parroquial'!$B$9:$C$117,2,0)</f>
        <v>CHAGUARPAMBA</v>
      </c>
      <c r="H386" s="832" t="s">
        <v>384</v>
      </c>
      <c r="I386" s="831" t="s">
        <v>173</v>
      </c>
      <c r="J386" s="831" t="s">
        <v>174</v>
      </c>
      <c r="K386" s="831"/>
      <c r="L386" s="537"/>
      <c r="M386" s="538">
        <v>0</v>
      </c>
      <c r="N386" s="834" t="s">
        <v>279</v>
      </c>
      <c r="O386" s="836" t="s">
        <v>333</v>
      </c>
      <c r="P386" s="836">
        <v>1.47</v>
      </c>
      <c r="Q386" s="836"/>
      <c r="R386" s="948">
        <v>41644</v>
      </c>
      <c r="S386" s="948">
        <v>41851</v>
      </c>
      <c r="T386" s="686" t="s">
        <v>187</v>
      </c>
      <c r="U386" s="837">
        <f t="shared" si="115"/>
        <v>0</v>
      </c>
      <c r="V386" s="1072"/>
      <c r="W386" s="640"/>
      <c r="X386" s="662"/>
      <c r="Y386" s="674" t="s">
        <v>178</v>
      </c>
      <c r="Z386" s="546" t="s">
        <v>187</v>
      </c>
      <c r="AA386" s="547">
        <v>2014</v>
      </c>
      <c r="AB386" s="546"/>
      <c r="AC386" s="547"/>
      <c r="AD386" s="93"/>
      <c r="AE386" s="93"/>
    </row>
    <row r="387" spans="1:31" s="94" customFormat="1" ht="50.1" customHeight="1">
      <c r="A387" s="910"/>
      <c r="B387" s="914"/>
      <c r="C387" s="985" t="s">
        <v>182</v>
      </c>
      <c r="D387" s="1118"/>
      <c r="E387" s="655" t="str">
        <f t="shared" si="126"/>
        <v>VIA YEE DEL GUINEO SANTA RUFINA 7.5 KM</v>
      </c>
      <c r="F387" s="831" t="s">
        <v>330</v>
      </c>
      <c r="G387" s="831" t="str">
        <f>VLOOKUP(H387,'Pob. Ext, Parroquial'!$B$9:$C$117,2,0)</f>
        <v>CHAGUARPAMBA</v>
      </c>
      <c r="H387" s="832" t="s">
        <v>384</v>
      </c>
      <c r="I387" s="831" t="s">
        <v>173</v>
      </c>
      <c r="J387" s="831" t="s">
        <v>174</v>
      </c>
      <c r="K387" s="831"/>
      <c r="L387" s="537">
        <f>+ROUND(Q387/5500/0.2,2)</f>
        <v>0.92</v>
      </c>
      <c r="M387" s="538">
        <v>144</v>
      </c>
      <c r="N387" s="834" t="s">
        <v>229</v>
      </c>
      <c r="O387" s="836" t="s">
        <v>333</v>
      </c>
      <c r="P387" s="836">
        <v>5.92</v>
      </c>
      <c r="Q387" s="968">
        <v>1010</v>
      </c>
      <c r="R387" s="948">
        <v>41640</v>
      </c>
      <c r="S387" s="948">
        <v>41759</v>
      </c>
      <c r="T387" s="686" t="s">
        <v>179</v>
      </c>
      <c r="U387" s="837">
        <f t="shared" si="115"/>
        <v>5979.2</v>
      </c>
      <c r="V387" s="1072"/>
      <c r="W387" s="640"/>
      <c r="X387" s="662"/>
      <c r="Y387" s="674" t="s">
        <v>178</v>
      </c>
      <c r="Z387" s="546" t="s">
        <v>187</v>
      </c>
      <c r="AA387" s="547">
        <v>2014</v>
      </c>
      <c r="AB387" s="546"/>
      <c r="AC387" s="547"/>
      <c r="AD387" s="93"/>
      <c r="AE387" s="93"/>
    </row>
    <row r="388" spans="1:31" s="94" customFormat="1" ht="50.1" customHeight="1">
      <c r="A388" s="910"/>
      <c r="B388" s="914"/>
      <c r="C388" s="985" t="s">
        <v>182</v>
      </c>
      <c r="D388" s="1118"/>
      <c r="E388" s="655" t="str">
        <f t="shared" si="126"/>
        <v>VIA YEE DEL GUINEO SANTA RUFINA 7.5 KM</v>
      </c>
      <c r="F388" s="831" t="s">
        <v>330</v>
      </c>
      <c r="G388" s="831" t="str">
        <f>VLOOKUP(H388,'Pob. Ext, Parroquial'!$B$9:$C$117,2,0)</f>
        <v>CHAGUARPAMBA</v>
      </c>
      <c r="H388" s="832" t="s">
        <v>384</v>
      </c>
      <c r="I388" s="831" t="s">
        <v>173</v>
      </c>
      <c r="J388" s="831" t="s">
        <v>174</v>
      </c>
      <c r="K388" s="831"/>
      <c r="L388" s="537">
        <f>ROUNDUP(Q388/5.5/1000,2)</f>
        <v>6.2299999999999995</v>
      </c>
      <c r="M388" s="538">
        <v>0</v>
      </c>
      <c r="N388" s="834" t="s">
        <v>339</v>
      </c>
      <c r="O388" s="836" t="s">
        <v>314</v>
      </c>
      <c r="P388" s="836">
        <v>0.35</v>
      </c>
      <c r="Q388" s="968">
        <v>34230</v>
      </c>
      <c r="R388" s="948">
        <v>41640</v>
      </c>
      <c r="S388" s="948">
        <v>41820</v>
      </c>
      <c r="T388" s="686" t="s">
        <v>179</v>
      </c>
      <c r="U388" s="837">
        <f t="shared" si="115"/>
        <v>11980.5</v>
      </c>
      <c r="V388" s="1072"/>
      <c r="W388" s="640"/>
      <c r="X388" s="662"/>
      <c r="Y388" s="674" t="s">
        <v>178</v>
      </c>
      <c r="Z388" s="546" t="s">
        <v>187</v>
      </c>
      <c r="AA388" s="547">
        <v>2014</v>
      </c>
      <c r="AB388" s="546"/>
      <c r="AC388" s="547"/>
      <c r="AD388" s="93"/>
      <c r="AE388" s="93"/>
    </row>
    <row r="389" spans="1:31" s="94" customFormat="1" ht="50.1" customHeight="1">
      <c r="A389" s="910"/>
      <c r="B389" s="914"/>
      <c r="C389" s="985" t="s">
        <v>182</v>
      </c>
      <c r="D389" s="1118"/>
      <c r="E389" s="655" t="str">
        <f t="shared" si="126"/>
        <v>VIA YEE DEL GUINEO SANTA RUFINA 7.5 KM</v>
      </c>
      <c r="F389" s="831" t="s">
        <v>330</v>
      </c>
      <c r="G389" s="831" t="str">
        <f>VLOOKUP(H389,'Pob. Ext, Parroquial'!$B$9:$C$117,2,0)</f>
        <v>CHAGUARPAMBA</v>
      </c>
      <c r="H389" s="832" t="s">
        <v>384</v>
      </c>
      <c r="I389" s="831" t="s">
        <v>173</v>
      </c>
      <c r="J389" s="831" t="s">
        <v>174</v>
      </c>
      <c r="K389" s="831"/>
      <c r="L389" s="537"/>
      <c r="M389" s="538">
        <v>0</v>
      </c>
      <c r="N389" s="834" t="s">
        <v>340</v>
      </c>
      <c r="O389" s="836" t="s">
        <v>341</v>
      </c>
      <c r="P389" s="836">
        <v>0.3</v>
      </c>
      <c r="Q389" s="968">
        <v>6831</v>
      </c>
      <c r="R389" s="948">
        <v>41644</v>
      </c>
      <c r="S389" s="948">
        <v>41820</v>
      </c>
      <c r="T389" s="686" t="s">
        <v>179</v>
      </c>
      <c r="U389" s="837">
        <f t="shared" si="115"/>
        <v>2049.3000000000002</v>
      </c>
      <c r="V389" s="1072"/>
      <c r="W389" s="640"/>
      <c r="X389" s="662"/>
      <c r="Y389" s="674" t="s">
        <v>178</v>
      </c>
      <c r="Z389" s="546" t="s">
        <v>187</v>
      </c>
      <c r="AA389" s="547">
        <v>2014</v>
      </c>
      <c r="AB389" s="546"/>
      <c r="AC389" s="547"/>
      <c r="AD389" s="93"/>
      <c r="AE389" s="93"/>
    </row>
    <row r="390" spans="1:31" s="94" customFormat="1" ht="50.1" customHeight="1">
      <c r="A390" s="910"/>
      <c r="B390" s="914"/>
      <c r="C390" s="985" t="s">
        <v>182</v>
      </c>
      <c r="D390" s="1120"/>
      <c r="E390" s="655" t="str">
        <f t="shared" si="126"/>
        <v>VIA YEE DEL GUINEO SANTA RUFINA 7.5 KM</v>
      </c>
      <c r="F390" s="831" t="s">
        <v>330</v>
      </c>
      <c r="G390" s="831" t="str">
        <f>VLOOKUP(H390,'Pob. Ext, Parroquial'!$B$9:$C$117,2,0)</f>
        <v>CHAGUARPAMBA</v>
      </c>
      <c r="H390" s="832" t="s">
        <v>384</v>
      </c>
      <c r="I390" s="831" t="s">
        <v>173</v>
      </c>
      <c r="J390" s="831" t="s">
        <v>174</v>
      </c>
      <c r="K390" s="831"/>
      <c r="L390" s="537"/>
      <c r="M390" s="538">
        <v>200</v>
      </c>
      <c r="N390" s="834" t="s">
        <v>351</v>
      </c>
      <c r="O390" s="836" t="s">
        <v>352</v>
      </c>
      <c r="P390" s="836">
        <v>0.38</v>
      </c>
      <c r="Q390" s="968">
        <v>1176.48</v>
      </c>
      <c r="R390" s="948">
        <v>41760</v>
      </c>
      <c r="S390" s="948">
        <v>41790</v>
      </c>
      <c r="T390" s="686" t="s">
        <v>179</v>
      </c>
      <c r="U390" s="837">
        <f t="shared" si="115"/>
        <v>447.06</v>
      </c>
      <c r="V390" s="1072"/>
      <c r="W390" s="640"/>
      <c r="X390" s="664"/>
      <c r="Y390" s="674" t="s">
        <v>178</v>
      </c>
      <c r="Z390" s="546" t="s">
        <v>187</v>
      </c>
      <c r="AA390" s="547">
        <v>2014</v>
      </c>
      <c r="AB390" s="546"/>
      <c r="AC390" s="547"/>
      <c r="AD390" s="93"/>
      <c r="AE390" s="93"/>
    </row>
    <row r="391" spans="1:31" s="94" customFormat="1" ht="50.1" customHeight="1">
      <c r="A391" s="910"/>
      <c r="B391" s="914"/>
      <c r="C391" s="985" t="s">
        <v>182</v>
      </c>
      <c r="D391" s="928" t="s">
        <v>777</v>
      </c>
      <c r="E391" s="655" t="str">
        <f>+D391</f>
        <v>VIA SANTARUFINA PUEBLO NUEVO 2.8 KM</v>
      </c>
      <c r="F391" s="831" t="s">
        <v>330</v>
      </c>
      <c r="G391" s="831" t="str">
        <f>VLOOKUP(H391,'Pob. Ext, Parroquial'!$B$9:$C$117,2,0)</f>
        <v>CHAGUARPAMBA</v>
      </c>
      <c r="H391" s="832" t="s">
        <v>384</v>
      </c>
      <c r="I391" s="831" t="s">
        <v>173</v>
      </c>
      <c r="J391" s="831" t="s">
        <v>174</v>
      </c>
      <c r="K391" s="831">
        <v>2.8</v>
      </c>
      <c r="L391" s="537"/>
      <c r="M391" s="538">
        <v>0</v>
      </c>
      <c r="N391" s="834" t="s">
        <v>279</v>
      </c>
      <c r="O391" s="836" t="s">
        <v>333</v>
      </c>
      <c r="P391" s="836">
        <v>1.47</v>
      </c>
      <c r="Q391" s="968">
        <v>600</v>
      </c>
      <c r="R391" s="948">
        <v>41644</v>
      </c>
      <c r="S391" s="948">
        <v>41851</v>
      </c>
      <c r="T391" s="686" t="s">
        <v>187</v>
      </c>
      <c r="U391" s="837">
        <f t="shared" si="115"/>
        <v>882</v>
      </c>
      <c r="V391" s="672"/>
      <c r="W391" s="640"/>
      <c r="X391" s="912">
        <f>+U391</f>
        <v>882</v>
      </c>
      <c r="Y391" s="674" t="s">
        <v>178</v>
      </c>
      <c r="Z391" s="546" t="s">
        <v>187</v>
      </c>
      <c r="AA391" s="547">
        <v>2014</v>
      </c>
      <c r="AB391" s="546"/>
      <c r="AC391" s="547"/>
      <c r="AD391" s="93"/>
      <c r="AE391" s="93"/>
    </row>
    <row r="392" spans="1:31" s="94" customFormat="1" ht="50.1" customHeight="1">
      <c r="A392" s="910"/>
      <c r="B392" s="914"/>
      <c r="C392" s="985" t="s">
        <v>182</v>
      </c>
      <c r="D392" s="1118" t="s">
        <v>778</v>
      </c>
      <c r="E392" s="655" t="str">
        <f>+D392</f>
        <v>VIA AMANCAY SANTARUFINA PUEBLO NUEVO 1,7 KM</v>
      </c>
      <c r="F392" s="831" t="s">
        <v>330</v>
      </c>
      <c r="G392" s="831" t="str">
        <f>VLOOKUP(H392,'Pob. Ext, Parroquial'!$B$9:$C$117,2,0)</f>
        <v>CHAGUARPAMBA</v>
      </c>
      <c r="H392" s="832" t="s">
        <v>384</v>
      </c>
      <c r="I392" s="831" t="s">
        <v>173</v>
      </c>
      <c r="J392" s="831" t="s">
        <v>174</v>
      </c>
      <c r="K392" s="831">
        <v>1.7</v>
      </c>
      <c r="L392" s="537">
        <f>ROUNDUP(Q392/5.5/1000,2)</f>
        <v>3.06</v>
      </c>
      <c r="M392" s="538">
        <v>0</v>
      </c>
      <c r="N392" s="834" t="s">
        <v>339</v>
      </c>
      <c r="O392" s="836" t="s">
        <v>314</v>
      </c>
      <c r="P392" s="836">
        <v>0.35</v>
      </c>
      <c r="Q392" s="968">
        <v>16830</v>
      </c>
      <c r="R392" s="948">
        <v>41640</v>
      </c>
      <c r="S392" s="948">
        <v>41820</v>
      </c>
      <c r="T392" s="686" t="s">
        <v>179</v>
      </c>
      <c r="U392" s="837">
        <f t="shared" si="115"/>
        <v>5890.5</v>
      </c>
      <c r="V392" s="672"/>
      <c r="W392" s="640"/>
      <c r="X392" s="660">
        <f>SUM(U392:U394)</f>
        <v>5890.5</v>
      </c>
      <c r="Y392" s="674" t="s">
        <v>178</v>
      </c>
      <c r="Z392" s="546" t="s">
        <v>187</v>
      </c>
      <c r="AA392" s="547">
        <v>2014</v>
      </c>
      <c r="AB392" s="546"/>
      <c r="AC392" s="547"/>
      <c r="AD392" s="93"/>
      <c r="AE392" s="93"/>
    </row>
    <row r="393" spans="1:31" s="94" customFormat="1" ht="50.1" customHeight="1">
      <c r="A393" s="910"/>
      <c r="B393" s="914"/>
      <c r="C393" s="985" t="s">
        <v>182</v>
      </c>
      <c r="D393" s="1118"/>
      <c r="E393" s="655" t="str">
        <f>+E392</f>
        <v>VIA AMANCAY SANTARUFINA PUEBLO NUEVO 1,7 KM</v>
      </c>
      <c r="F393" s="831" t="s">
        <v>330</v>
      </c>
      <c r="G393" s="831" t="str">
        <f>VLOOKUP(H393,'Pob. Ext, Parroquial'!$B$9:$C$117,2,0)</f>
        <v>CHAGUARPAMBA</v>
      </c>
      <c r="H393" s="832" t="s">
        <v>384</v>
      </c>
      <c r="I393" s="831" t="s">
        <v>173</v>
      </c>
      <c r="J393" s="831" t="s">
        <v>174</v>
      </c>
      <c r="K393" s="831"/>
      <c r="L393" s="537"/>
      <c r="M393" s="538">
        <v>0</v>
      </c>
      <c r="N393" s="834" t="s">
        <v>279</v>
      </c>
      <c r="O393" s="836" t="s">
        <v>333</v>
      </c>
      <c r="P393" s="836">
        <v>1.47</v>
      </c>
      <c r="Q393" s="836"/>
      <c r="R393" s="948">
        <v>41644</v>
      </c>
      <c r="S393" s="948">
        <v>41851</v>
      </c>
      <c r="T393" s="686" t="s">
        <v>187</v>
      </c>
      <c r="U393" s="837">
        <f t="shared" si="115"/>
        <v>0</v>
      </c>
      <c r="V393" s="673"/>
      <c r="W393" s="674"/>
      <c r="X393" s="662">
        <f>SUM(U393:U399)</f>
        <v>14850.789999999999</v>
      </c>
      <c r="Y393" s="674" t="s">
        <v>178</v>
      </c>
      <c r="Z393" s="546" t="s">
        <v>187</v>
      </c>
      <c r="AA393" s="547">
        <v>2014</v>
      </c>
      <c r="AB393" s="546"/>
      <c r="AC393" s="547"/>
      <c r="AD393" s="93"/>
      <c r="AE393" s="93"/>
    </row>
    <row r="394" spans="1:31" s="94" customFormat="1" ht="50.1" customHeight="1">
      <c r="A394" s="910"/>
      <c r="B394" s="914"/>
      <c r="C394" s="985" t="s">
        <v>182</v>
      </c>
      <c r="D394" s="1118"/>
      <c r="E394" s="655" t="str">
        <f t="shared" ref="E394:E399" si="127">+E393</f>
        <v>VIA AMANCAY SANTARUFINA PUEBLO NUEVO 1,7 KM</v>
      </c>
      <c r="F394" s="831" t="s">
        <v>330</v>
      </c>
      <c r="G394" s="831" t="str">
        <f>VLOOKUP(H394,'Pob. Ext, Parroquial'!$B$9:$C$117,2,0)</f>
        <v>CHAGUARPAMBA</v>
      </c>
      <c r="H394" s="832" t="s">
        <v>384</v>
      </c>
      <c r="I394" s="831" t="s">
        <v>173</v>
      </c>
      <c r="J394" s="831" t="s">
        <v>174</v>
      </c>
      <c r="K394" s="831"/>
      <c r="L394" s="537">
        <f>ROUNDUP(Q394/5.5/1000,2)</f>
        <v>0</v>
      </c>
      <c r="M394" s="538">
        <v>0</v>
      </c>
      <c r="N394" s="834" t="s">
        <v>339</v>
      </c>
      <c r="O394" s="836" t="s">
        <v>314</v>
      </c>
      <c r="P394" s="836">
        <v>0.35</v>
      </c>
      <c r="Q394" s="836"/>
      <c r="R394" s="948">
        <v>41640</v>
      </c>
      <c r="S394" s="948">
        <v>41820</v>
      </c>
      <c r="T394" s="686" t="s">
        <v>179</v>
      </c>
      <c r="U394" s="837">
        <f t="shared" si="115"/>
        <v>0</v>
      </c>
      <c r="V394" s="673"/>
      <c r="W394" s="674"/>
      <c r="X394" s="662"/>
      <c r="Y394" s="674" t="s">
        <v>178</v>
      </c>
      <c r="Z394" s="546" t="s">
        <v>187</v>
      </c>
      <c r="AA394" s="547">
        <v>2014</v>
      </c>
      <c r="AB394" s="546"/>
      <c r="AC394" s="547"/>
      <c r="AD394" s="93"/>
      <c r="AE394" s="93"/>
    </row>
    <row r="395" spans="1:31" s="94" customFormat="1" ht="50.1" customHeight="1">
      <c r="A395" s="910"/>
      <c r="B395" s="914"/>
      <c r="C395" s="985" t="s">
        <v>182</v>
      </c>
      <c r="D395" s="1118"/>
      <c r="E395" s="655" t="str">
        <f t="shared" si="127"/>
        <v>VIA AMANCAY SANTARUFINA PUEBLO NUEVO 1,7 KM</v>
      </c>
      <c r="F395" s="831" t="s">
        <v>330</v>
      </c>
      <c r="G395" s="831" t="str">
        <f>VLOOKUP(H395,'Pob. Ext, Parroquial'!$B$9:$C$117,2,0)</f>
        <v>CHAGUARPAMBA</v>
      </c>
      <c r="H395" s="832" t="s">
        <v>384</v>
      </c>
      <c r="I395" s="831" t="s">
        <v>173</v>
      </c>
      <c r="J395" s="831" t="s">
        <v>174</v>
      </c>
      <c r="K395" s="831"/>
      <c r="L395" s="537"/>
      <c r="M395" s="538"/>
      <c r="N395" s="834" t="s">
        <v>335</v>
      </c>
      <c r="O395" s="836" t="s">
        <v>333</v>
      </c>
      <c r="P395" s="836">
        <v>2.54</v>
      </c>
      <c r="Q395" s="968">
        <v>1100</v>
      </c>
      <c r="R395" s="948">
        <v>41644</v>
      </c>
      <c r="S395" s="948">
        <v>41790</v>
      </c>
      <c r="T395" s="686" t="s">
        <v>179</v>
      </c>
      <c r="U395" s="837">
        <f t="shared" si="115"/>
        <v>2794</v>
      </c>
      <c r="V395" s="673"/>
      <c r="W395" s="674"/>
      <c r="X395" s="662"/>
      <c r="Y395" s="674" t="s">
        <v>178</v>
      </c>
      <c r="Z395" s="546" t="s">
        <v>187</v>
      </c>
      <c r="AA395" s="547">
        <v>2014</v>
      </c>
      <c r="AB395" s="546"/>
      <c r="AC395" s="547"/>
      <c r="AD395" s="93"/>
      <c r="AE395" s="93"/>
    </row>
    <row r="396" spans="1:31" s="94" customFormat="1" ht="50.1" customHeight="1">
      <c r="A396" s="910"/>
      <c r="B396" s="914"/>
      <c r="C396" s="985" t="s">
        <v>182</v>
      </c>
      <c r="D396" s="1118"/>
      <c r="E396" s="655" t="str">
        <f t="shared" si="127"/>
        <v>VIA AMANCAY SANTARUFINA PUEBLO NUEVO 1,7 KM</v>
      </c>
      <c r="F396" s="831" t="s">
        <v>330</v>
      </c>
      <c r="G396" s="831" t="str">
        <f>VLOOKUP(H396,'Pob. Ext, Parroquial'!$B$9:$C$117,2,0)</f>
        <v>CHAGUARPAMBA</v>
      </c>
      <c r="H396" s="832" t="s">
        <v>384</v>
      </c>
      <c r="I396" s="831" t="s">
        <v>173</v>
      </c>
      <c r="J396" s="831" t="s">
        <v>174</v>
      </c>
      <c r="K396" s="831"/>
      <c r="L396" s="537"/>
      <c r="M396" s="538"/>
      <c r="N396" s="834" t="s">
        <v>336</v>
      </c>
      <c r="O396" s="836" t="s">
        <v>333</v>
      </c>
      <c r="P396" s="836">
        <v>1.47</v>
      </c>
      <c r="Q396" s="968">
        <v>1100</v>
      </c>
      <c r="R396" s="948">
        <v>41802</v>
      </c>
      <c r="S396" s="948">
        <v>41820</v>
      </c>
      <c r="T396" s="686" t="s">
        <v>179</v>
      </c>
      <c r="U396" s="837">
        <f t="shared" si="115"/>
        <v>1617</v>
      </c>
      <c r="V396" s="673"/>
      <c r="W396" s="674"/>
      <c r="X396" s="662"/>
      <c r="Y396" s="674" t="s">
        <v>178</v>
      </c>
      <c r="Z396" s="546" t="s">
        <v>187</v>
      </c>
      <c r="AA396" s="547">
        <v>2014</v>
      </c>
      <c r="AB396" s="546"/>
      <c r="AC396" s="547"/>
      <c r="AD396" s="93"/>
      <c r="AE396" s="93"/>
    </row>
    <row r="397" spans="1:31" s="94" customFormat="1" ht="50.1" customHeight="1">
      <c r="A397" s="910"/>
      <c r="B397" s="914"/>
      <c r="C397" s="985" t="s">
        <v>182</v>
      </c>
      <c r="D397" s="1118"/>
      <c r="E397" s="655" t="str">
        <f t="shared" si="127"/>
        <v>VIA AMANCAY SANTARUFINA PUEBLO NUEVO 1,7 KM</v>
      </c>
      <c r="F397" s="831" t="s">
        <v>330</v>
      </c>
      <c r="G397" s="831" t="str">
        <f>VLOOKUP(H397,'Pob. Ext, Parroquial'!$B$9:$C$117,2,0)</f>
        <v>CHAGUARPAMBA</v>
      </c>
      <c r="H397" s="832" t="s">
        <v>384</v>
      </c>
      <c r="I397" s="831" t="s">
        <v>173</v>
      </c>
      <c r="J397" s="831" t="s">
        <v>174</v>
      </c>
      <c r="K397" s="831"/>
      <c r="L397" s="537"/>
      <c r="M397" s="538"/>
      <c r="N397" s="834" t="s">
        <v>337</v>
      </c>
      <c r="O397" s="836" t="s">
        <v>333</v>
      </c>
      <c r="P397" s="836">
        <v>1.46</v>
      </c>
      <c r="Q397" s="968">
        <v>840</v>
      </c>
      <c r="R397" s="948">
        <v>41640</v>
      </c>
      <c r="S397" s="948">
        <v>41820</v>
      </c>
      <c r="T397" s="686" t="s">
        <v>179</v>
      </c>
      <c r="U397" s="837">
        <f t="shared" si="115"/>
        <v>1226.4000000000001</v>
      </c>
      <c r="V397" s="673"/>
      <c r="W397" s="674"/>
      <c r="X397" s="662"/>
      <c r="Y397" s="674" t="s">
        <v>178</v>
      </c>
      <c r="Z397" s="546" t="s">
        <v>187</v>
      </c>
      <c r="AA397" s="547">
        <v>2014</v>
      </c>
      <c r="AB397" s="546"/>
      <c r="AC397" s="547"/>
      <c r="AD397" s="93"/>
      <c r="AE397" s="93"/>
    </row>
    <row r="398" spans="1:31" s="94" customFormat="1" ht="50.1" customHeight="1">
      <c r="A398" s="910"/>
      <c r="B398" s="914"/>
      <c r="C398" s="985" t="s">
        <v>182</v>
      </c>
      <c r="D398" s="1118"/>
      <c r="E398" s="655" t="str">
        <f>+E397</f>
        <v>VIA AMANCAY SANTARUFINA PUEBLO NUEVO 1,7 KM</v>
      </c>
      <c r="F398" s="831" t="s">
        <v>330</v>
      </c>
      <c r="G398" s="831" t="str">
        <f>VLOOKUP(H398,'Pob. Ext, Parroquial'!$B$9:$C$117,2,0)</f>
        <v>CHAGUARPAMBA</v>
      </c>
      <c r="H398" s="832" t="s">
        <v>384</v>
      </c>
      <c r="I398" s="831" t="s">
        <v>173</v>
      </c>
      <c r="J398" s="831" t="s">
        <v>174</v>
      </c>
      <c r="K398" s="831"/>
      <c r="L398" s="537">
        <f>+ROUND(Q398/5500/0.2,2)</f>
        <v>0.97</v>
      </c>
      <c r="M398" s="538"/>
      <c r="N398" s="834" t="s">
        <v>229</v>
      </c>
      <c r="O398" s="836" t="s">
        <v>333</v>
      </c>
      <c r="P398" s="836">
        <v>5.92</v>
      </c>
      <c r="Q398" s="968">
        <v>1070</v>
      </c>
      <c r="R398" s="948">
        <v>41640</v>
      </c>
      <c r="S398" s="948">
        <v>41759</v>
      </c>
      <c r="T398" s="686" t="s">
        <v>179</v>
      </c>
      <c r="U398" s="837">
        <f t="shared" si="115"/>
        <v>6334.4</v>
      </c>
      <c r="V398" s="673"/>
      <c r="W398" s="674"/>
      <c r="X398" s="662"/>
      <c r="Y398" s="674" t="s">
        <v>178</v>
      </c>
      <c r="Z398" s="546" t="s">
        <v>187</v>
      </c>
      <c r="AA398" s="547">
        <v>2014</v>
      </c>
      <c r="AB398" s="546"/>
      <c r="AC398" s="547"/>
      <c r="AD398" s="93"/>
      <c r="AE398" s="93"/>
    </row>
    <row r="399" spans="1:31" s="94" customFormat="1" ht="50.1" customHeight="1">
      <c r="A399" s="910"/>
      <c r="B399" s="914"/>
      <c r="C399" s="985" t="s">
        <v>182</v>
      </c>
      <c r="D399" s="1118"/>
      <c r="E399" s="655" t="str">
        <f t="shared" si="127"/>
        <v>VIA AMANCAY SANTARUFINA PUEBLO NUEVO 1,7 KM</v>
      </c>
      <c r="F399" s="831" t="s">
        <v>330</v>
      </c>
      <c r="G399" s="831" t="str">
        <f>VLOOKUP(H399,'Pob. Ext, Parroquial'!$B$9:$C$117,2,0)</f>
        <v>CHAGUARPAMBA</v>
      </c>
      <c r="H399" s="832" t="s">
        <v>384</v>
      </c>
      <c r="I399" s="831" t="s">
        <v>173</v>
      </c>
      <c r="J399" s="831" t="s">
        <v>174</v>
      </c>
      <c r="K399" s="831"/>
      <c r="L399" s="537"/>
      <c r="M399" s="538"/>
      <c r="N399" s="834" t="s">
        <v>340</v>
      </c>
      <c r="O399" s="836" t="s">
        <v>341</v>
      </c>
      <c r="P399" s="836">
        <v>0.3</v>
      </c>
      <c r="Q399" s="968">
        <v>9596.6200000000008</v>
      </c>
      <c r="R399" s="948">
        <v>41644</v>
      </c>
      <c r="S399" s="948">
        <v>41820</v>
      </c>
      <c r="T399" s="686" t="s">
        <v>179</v>
      </c>
      <c r="U399" s="837">
        <f t="shared" si="115"/>
        <v>2878.99</v>
      </c>
      <c r="V399" s="672"/>
      <c r="W399" s="640"/>
      <c r="X399" s="664"/>
      <c r="Y399" s="674" t="s">
        <v>178</v>
      </c>
      <c r="Z399" s="546" t="s">
        <v>187</v>
      </c>
      <c r="AA399" s="547">
        <v>2014</v>
      </c>
      <c r="AB399" s="546"/>
      <c r="AC399" s="547"/>
      <c r="AD399" s="93"/>
      <c r="AE399" s="93"/>
    </row>
    <row r="400" spans="1:31" s="94" customFormat="1" ht="50.1" customHeight="1">
      <c r="A400" s="910"/>
      <c r="B400" s="914"/>
      <c r="C400" s="985" t="s">
        <v>182</v>
      </c>
      <c r="D400" s="1118" t="s">
        <v>779</v>
      </c>
      <c r="E400" s="655" t="str">
        <f>+D400</f>
        <v>CALLES DE SANTA RUFINA  0,8 KM</v>
      </c>
      <c r="F400" s="831" t="s">
        <v>330</v>
      </c>
      <c r="G400" s="831" t="str">
        <f>VLOOKUP(H400,'Pob. Ext, Parroquial'!$B$9:$C$117,2,0)</f>
        <v>CHAGUARPAMBA</v>
      </c>
      <c r="H400" s="832" t="s">
        <v>384</v>
      </c>
      <c r="I400" s="831" t="s">
        <v>173</v>
      </c>
      <c r="J400" s="831" t="s">
        <v>174</v>
      </c>
      <c r="K400" s="831">
        <v>0.8</v>
      </c>
      <c r="L400" s="537">
        <v>0.8</v>
      </c>
      <c r="M400" s="538"/>
      <c r="N400" s="834" t="s">
        <v>335</v>
      </c>
      <c r="O400" s="836" t="s">
        <v>333</v>
      </c>
      <c r="P400" s="836">
        <v>2.54</v>
      </c>
      <c r="Q400" s="968">
        <v>900</v>
      </c>
      <c r="R400" s="948">
        <v>41644</v>
      </c>
      <c r="S400" s="948">
        <v>41790</v>
      </c>
      <c r="T400" s="686" t="s">
        <v>179</v>
      </c>
      <c r="U400" s="837">
        <f t="shared" si="115"/>
        <v>2286</v>
      </c>
      <c r="V400" s="675"/>
      <c r="W400" s="676"/>
      <c r="X400" s="660">
        <f>SUM(U400:U404)</f>
        <v>8915.1</v>
      </c>
      <c r="Y400" s="674" t="s">
        <v>178</v>
      </c>
      <c r="Z400" s="546" t="s">
        <v>187</v>
      </c>
      <c r="AA400" s="547">
        <v>2014</v>
      </c>
      <c r="AB400" s="546"/>
      <c r="AC400" s="547"/>
      <c r="AD400" s="93"/>
      <c r="AE400" s="93"/>
    </row>
    <row r="401" spans="1:31" s="94" customFormat="1" ht="50.1" customHeight="1">
      <c r="A401" s="910"/>
      <c r="B401" s="914"/>
      <c r="C401" s="985" t="s">
        <v>182</v>
      </c>
      <c r="D401" s="1118"/>
      <c r="E401" s="655" t="str">
        <f>+E400</f>
        <v>CALLES DE SANTA RUFINA  0,8 KM</v>
      </c>
      <c r="F401" s="831" t="s">
        <v>330</v>
      </c>
      <c r="G401" s="831" t="str">
        <f>VLOOKUP(H401,'Pob. Ext, Parroquial'!$B$9:$C$117,2,0)</f>
        <v>CHAGUARPAMBA</v>
      </c>
      <c r="H401" s="832" t="s">
        <v>384</v>
      </c>
      <c r="I401" s="831" t="s">
        <v>173</v>
      </c>
      <c r="J401" s="831" t="s">
        <v>174</v>
      </c>
      <c r="K401" s="831"/>
      <c r="L401" s="537"/>
      <c r="M401" s="538"/>
      <c r="N401" s="834" t="s">
        <v>336</v>
      </c>
      <c r="O401" s="836" t="s">
        <v>333</v>
      </c>
      <c r="P401" s="836">
        <v>1.47</v>
      </c>
      <c r="Q401" s="968">
        <v>750</v>
      </c>
      <c r="R401" s="948">
        <v>41802</v>
      </c>
      <c r="S401" s="948">
        <v>41820</v>
      </c>
      <c r="T401" s="686" t="s">
        <v>179</v>
      </c>
      <c r="U401" s="837">
        <f t="shared" si="115"/>
        <v>1102.5</v>
      </c>
      <c r="V401" s="675"/>
      <c r="W401" s="676"/>
      <c r="X401" s="662"/>
      <c r="Y401" s="674" t="s">
        <v>178</v>
      </c>
      <c r="Z401" s="546" t="s">
        <v>187</v>
      </c>
      <c r="AA401" s="547">
        <v>2014</v>
      </c>
      <c r="AB401" s="546"/>
      <c r="AC401" s="547"/>
      <c r="AD401" s="93"/>
      <c r="AE401" s="93"/>
    </row>
    <row r="402" spans="1:31" s="94" customFormat="1" ht="50.1" customHeight="1">
      <c r="A402" s="910"/>
      <c r="B402" s="914"/>
      <c r="C402" s="985" t="s">
        <v>182</v>
      </c>
      <c r="D402" s="1118"/>
      <c r="E402" s="655" t="str">
        <f t="shared" ref="E402:E404" si="128">+E401</f>
        <v>CALLES DE SANTA RUFINA  0,8 KM</v>
      </c>
      <c r="F402" s="831" t="s">
        <v>330</v>
      </c>
      <c r="G402" s="831" t="str">
        <f>VLOOKUP(H402,'Pob. Ext, Parroquial'!$B$9:$C$117,2,0)</f>
        <v>CHAGUARPAMBA</v>
      </c>
      <c r="H402" s="832" t="s">
        <v>384</v>
      </c>
      <c r="I402" s="831" t="s">
        <v>173</v>
      </c>
      <c r="J402" s="831" t="s">
        <v>174</v>
      </c>
      <c r="K402" s="831"/>
      <c r="L402" s="537"/>
      <c r="M402" s="538"/>
      <c r="N402" s="834" t="s">
        <v>337</v>
      </c>
      <c r="O402" s="836" t="s">
        <v>333</v>
      </c>
      <c r="P402" s="836">
        <v>1.46</v>
      </c>
      <c r="Q402" s="968">
        <v>480</v>
      </c>
      <c r="R402" s="948">
        <v>41640</v>
      </c>
      <c r="S402" s="948">
        <v>41820</v>
      </c>
      <c r="T402" s="686" t="s">
        <v>179</v>
      </c>
      <c r="U402" s="837">
        <f t="shared" si="115"/>
        <v>700.8</v>
      </c>
      <c r="V402" s="675"/>
      <c r="W402" s="676"/>
      <c r="X402" s="662"/>
      <c r="Y402" s="674" t="s">
        <v>178</v>
      </c>
      <c r="Z402" s="546" t="s">
        <v>187</v>
      </c>
      <c r="AA402" s="547">
        <v>2014</v>
      </c>
      <c r="AB402" s="546"/>
      <c r="AC402" s="547"/>
      <c r="AD402" s="93"/>
      <c r="AE402" s="93"/>
    </row>
    <row r="403" spans="1:31" s="94" customFormat="1" ht="50.1" customHeight="1">
      <c r="A403" s="910"/>
      <c r="B403" s="914"/>
      <c r="C403" s="985" t="s">
        <v>182</v>
      </c>
      <c r="D403" s="1118"/>
      <c r="E403" s="655" t="str">
        <f>+E402</f>
        <v>CALLES DE SANTA RUFINA  0,8 KM</v>
      </c>
      <c r="F403" s="831" t="s">
        <v>330</v>
      </c>
      <c r="G403" s="831" t="str">
        <f>VLOOKUP(H403,'Pob. Ext, Parroquial'!$B$9:$C$117,2,0)</f>
        <v>CHAGUARPAMBA</v>
      </c>
      <c r="H403" s="832" t="s">
        <v>384</v>
      </c>
      <c r="I403" s="831" t="s">
        <v>173</v>
      </c>
      <c r="J403" s="831" t="s">
        <v>174</v>
      </c>
      <c r="K403" s="831"/>
      <c r="L403" s="537">
        <f>+ROUND(Q403/5500/0.2,2)</f>
        <v>0.49</v>
      </c>
      <c r="M403" s="538"/>
      <c r="N403" s="834" t="s">
        <v>229</v>
      </c>
      <c r="O403" s="836" t="s">
        <v>333</v>
      </c>
      <c r="P403" s="836">
        <v>5.92</v>
      </c>
      <c r="Q403" s="968">
        <v>540</v>
      </c>
      <c r="R403" s="948">
        <v>41640</v>
      </c>
      <c r="S403" s="948">
        <v>41759</v>
      </c>
      <c r="T403" s="686" t="s">
        <v>179</v>
      </c>
      <c r="U403" s="837">
        <f t="shared" si="115"/>
        <v>3196.8</v>
      </c>
      <c r="V403" s="675"/>
      <c r="W403" s="676"/>
      <c r="X403" s="662"/>
      <c r="Y403" s="674" t="s">
        <v>178</v>
      </c>
      <c r="Z403" s="546" t="s">
        <v>187</v>
      </c>
      <c r="AA403" s="547">
        <v>2014</v>
      </c>
      <c r="AB403" s="546"/>
      <c r="AC403" s="547"/>
      <c r="AD403" s="93"/>
      <c r="AE403" s="93"/>
    </row>
    <row r="404" spans="1:31" s="94" customFormat="1" ht="50.1" customHeight="1">
      <c r="A404" s="910"/>
      <c r="B404" s="914"/>
      <c r="C404" s="985" t="s">
        <v>182</v>
      </c>
      <c r="D404" s="1118"/>
      <c r="E404" s="655" t="str">
        <f t="shared" si="128"/>
        <v>CALLES DE SANTA RUFINA  0,8 KM</v>
      </c>
      <c r="F404" s="831" t="s">
        <v>330</v>
      </c>
      <c r="G404" s="831" t="str">
        <f>VLOOKUP(H404,'Pob. Ext, Parroquial'!$B$9:$C$117,2,0)</f>
        <v>CHAGUARPAMBA</v>
      </c>
      <c r="H404" s="832" t="s">
        <v>384</v>
      </c>
      <c r="I404" s="831" t="s">
        <v>173</v>
      </c>
      <c r="J404" s="831" t="s">
        <v>174</v>
      </c>
      <c r="K404" s="831"/>
      <c r="L404" s="537"/>
      <c r="M404" s="538"/>
      <c r="N404" s="834" t="s">
        <v>340</v>
      </c>
      <c r="O404" s="836" t="s">
        <v>341</v>
      </c>
      <c r="P404" s="836">
        <v>0.3</v>
      </c>
      <c r="Q404" s="968">
        <v>5430</v>
      </c>
      <c r="R404" s="948">
        <v>41644</v>
      </c>
      <c r="S404" s="948">
        <v>41820</v>
      </c>
      <c r="T404" s="686" t="s">
        <v>179</v>
      </c>
      <c r="U404" s="837">
        <f t="shared" si="115"/>
        <v>1629</v>
      </c>
      <c r="V404" s="673"/>
      <c r="W404" s="674"/>
      <c r="X404" s="664"/>
      <c r="Y404" s="674" t="s">
        <v>178</v>
      </c>
      <c r="Z404" s="546" t="s">
        <v>187</v>
      </c>
      <c r="AA404" s="547">
        <v>2014</v>
      </c>
      <c r="AB404" s="546"/>
      <c r="AC404" s="547"/>
      <c r="AD404" s="93"/>
      <c r="AE404" s="93"/>
    </row>
    <row r="405" spans="1:31" s="94" customFormat="1" ht="50.1" customHeight="1">
      <c r="A405" s="910"/>
      <c r="B405" s="914"/>
      <c r="C405" s="985" t="s">
        <v>182</v>
      </c>
      <c r="D405" s="1118" t="s">
        <v>1140</v>
      </c>
      <c r="E405" s="655" t="str">
        <f>+D405</f>
        <v>VIA PANAMERICANA- LOZUMBE - CUCUMATE, L=7.7 KM (Chaguarpamba) Inicio 1 de Octubre . Fin  2 de Octubre</v>
      </c>
      <c r="F405" s="831" t="s">
        <v>330</v>
      </c>
      <c r="G405" s="831" t="str">
        <f>VLOOKUP(H405,'Pob. Ext, Parroquial'!$B$9:$C$117,2,0)</f>
        <v>CHAGUARPAMBA</v>
      </c>
      <c r="H405" s="832" t="s">
        <v>384</v>
      </c>
      <c r="I405" s="831" t="s">
        <v>173</v>
      </c>
      <c r="J405" s="831" t="s">
        <v>174</v>
      </c>
      <c r="K405" s="831">
        <v>7.7</v>
      </c>
      <c r="L405" s="537"/>
      <c r="M405" s="538"/>
      <c r="N405" s="834" t="s">
        <v>337</v>
      </c>
      <c r="O405" s="836" t="s">
        <v>333</v>
      </c>
      <c r="P405" s="836">
        <v>1.46</v>
      </c>
      <c r="Q405" s="968">
        <v>400</v>
      </c>
      <c r="R405" s="948">
        <v>41913</v>
      </c>
      <c r="S405" s="948">
        <v>41914</v>
      </c>
      <c r="T405" s="686" t="s">
        <v>179</v>
      </c>
      <c r="U405" s="837">
        <f t="shared" si="115"/>
        <v>584</v>
      </c>
      <c r="V405" s="675"/>
      <c r="W405" s="676"/>
      <c r="X405" s="660">
        <f>SUM(U405:U407)</f>
        <v>6439.6</v>
      </c>
      <c r="Y405" s="674" t="s">
        <v>178</v>
      </c>
      <c r="Z405" s="546" t="s">
        <v>187</v>
      </c>
      <c r="AA405" s="547">
        <v>2014</v>
      </c>
      <c r="AB405" s="546"/>
      <c r="AC405" s="547"/>
      <c r="AD405" s="93"/>
      <c r="AE405" s="93"/>
    </row>
    <row r="406" spans="1:31" s="94" customFormat="1" ht="50.1" customHeight="1">
      <c r="A406" s="910"/>
      <c r="B406" s="914"/>
      <c r="C406" s="985" t="s">
        <v>182</v>
      </c>
      <c r="D406" s="1118"/>
      <c r="E406" s="655" t="str">
        <f>+E405</f>
        <v>VIA PANAMERICANA- LOZUMBE - CUCUMATE, L=7.7 KM (Chaguarpamba) Inicio 1 de Octubre . Fin  2 de Octubre</v>
      </c>
      <c r="F406" s="831" t="s">
        <v>330</v>
      </c>
      <c r="G406" s="831" t="str">
        <f>VLOOKUP(H406,'Pob. Ext, Parroquial'!$B$9:$C$117,2,0)</f>
        <v>CHAGUARPAMBA</v>
      </c>
      <c r="H406" s="832" t="s">
        <v>384</v>
      </c>
      <c r="I406" s="831" t="s">
        <v>173</v>
      </c>
      <c r="J406" s="831" t="s">
        <v>174</v>
      </c>
      <c r="K406" s="831"/>
      <c r="L406" s="537">
        <f t="shared" ref="L406:L407" si="129">ROUNDUP(Q406/5.5/1000,2)</f>
        <v>3.6399999999999997</v>
      </c>
      <c r="M406" s="538"/>
      <c r="N406" s="834" t="s">
        <v>185</v>
      </c>
      <c r="O406" s="836" t="s">
        <v>314</v>
      </c>
      <c r="P406" s="836">
        <v>0.08</v>
      </c>
      <c r="Q406" s="968">
        <v>19995</v>
      </c>
      <c r="R406" s="948">
        <v>41913</v>
      </c>
      <c r="S406" s="948">
        <v>41914</v>
      </c>
      <c r="T406" s="686" t="s">
        <v>179</v>
      </c>
      <c r="U406" s="837">
        <f t="shared" si="115"/>
        <v>1599.6</v>
      </c>
      <c r="V406" s="546"/>
      <c r="W406" s="674"/>
      <c r="X406" s="662"/>
      <c r="Y406" s="674" t="s">
        <v>178</v>
      </c>
      <c r="Z406" s="546" t="s">
        <v>187</v>
      </c>
      <c r="AA406" s="547">
        <v>2014</v>
      </c>
      <c r="AB406" s="546"/>
      <c r="AC406" s="547"/>
      <c r="AD406" s="93"/>
      <c r="AE406" s="93"/>
    </row>
    <row r="407" spans="1:31" s="94" customFormat="1" ht="50.1" customHeight="1">
      <c r="A407" s="910"/>
      <c r="B407" s="914"/>
      <c r="C407" s="985" t="s">
        <v>182</v>
      </c>
      <c r="D407" s="1120"/>
      <c r="E407" s="655" t="str">
        <f t="shared" ref="E407" si="130">+E406</f>
        <v>VIA PANAMERICANA- LOZUMBE - CUCUMATE, L=7.7 KM (Chaguarpamba) Inicio 1 de Octubre . Fin  2 de Octubre</v>
      </c>
      <c r="F407" s="831" t="s">
        <v>330</v>
      </c>
      <c r="G407" s="831" t="str">
        <f>VLOOKUP(H407,'Pob. Ext, Parroquial'!$B$9:$C$117,2,0)</f>
        <v>CHAGUARPAMBA</v>
      </c>
      <c r="H407" s="832" t="s">
        <v>384</v>
      </c>
      <c r="I407" s="831" t="s">
        <v>173</v>
      </c>
      <c r="J407" s="831" t="s">
        <v>174</v>
      </c>
      <c r="K407" s="831"/>
      <c r="L407" s="537">
        <f t="shared" si="129"/>
        <v>2.2199999999999998</v>
      </c>
      <c r="M407" s="538"/>
      <c r="N407" s="834" t="s">
        <v>339</v>
      </c>
      <c r="O407" s="836" t="s">
        <v>314</v>
      </c>
      <c r="P407" s="836">
        <v>0.35</v>
      </c>
      <c r="Q407" s="968">
        <v>12160</v>
      </c>
      <c r="R407" s="948">
        <v>41913</v>
      </c>
      <c r="S407" s="948">
        <v>41914</v>
      </c>
      <c r="T407" s="686" t="s">
        <v>179</v>
      </c>
      <c r="U407" s="837">
        <f t="shared" si="115"/>
        <v>4256</v>
      </c>
      <c r="V407" s="675"/>
      <c r="W407" s="676"/>
      <c r="X407" s="664"/>
      <c r="Y407" s="674" t="s">
        <v>178</v>
      </c>
      <c r="Z407" s="546" t="s">
        <v>187</v>
      </c>
      <c r="AA407" s="547">
        <v>2014</v>
      </c>
      <c r="AB407" s="546"/>
      <c r="AC407" s="547"/>
      <c r="AD407" s="93"/>
      <c r="AE407" s="93"/>
    </row>
    <row r="408" spans="1:31" s="94" customFormat="1" ht="50.1" customHeight="1">
      <c r="A408" s="1068"/>
      <c r="B408" s="913"/>
      <c r="C408" s="985" t="s">
        <v>182</v>
      </c>
      <c r="D408" s="1117" t="s">
        <v>388</v>
      </c>
      <c r="E408" s="636" t="str">
        <f>+D408</f>
        <v>VIA, ORIANGA-LA VICTORIA-SHOA, L=11,0 km. (Paltas)</v>
      </c>
      <c r="F408" s="831" t="s">
        <v>330</v>
      </c>
      <c r="G408" s="831" t="str">
        <f>VLOOKUP(H408,'Pob. Ext, Parroquial'!$B$9:$C$117,2,0)</f>
        <v>PALTAS</v>
      </c>
      <c r="H408" s="832" t="s">
        <v>389</v>
      </c>
      <c r="I408" s="831" t="s">
        <v>173</v>
      </c>
      <c r="J408" s="831" t="s">
        <v>174</v>
      </c>
      <c r="K408" s="831">
        <v>11</v>
      </c>
      <c r="L408" s="537"/>
      <c r="M408" s="538">
        <f>IF(K408&gt;0,VLOOKUP(H408,'[5]Pob. Ext, Parroquial'!$B$8:$F$117,4,FALSE),0)</f>
        <v>1083</v>
      </c>
      <c r="N408" s="834" t="s">
        <v>361</v>
      </c>
      <c r="O408" s="836" t="s">
        <v>333</v>
      </c>
      <c r="P408" s="836">
        <v>2.54</v>
      </c>
      <c r="Q408" s="968">
        <v>960</v>
      </c>
      <c r="R408" s="948">
        <v>41641</v>
      </c>
      <c r="S408" s="948">
        <v>41670</v>
      </c>
      <c r="T408" s="686" t="str">
        <f t="shared" ref="T408:T420" si="131">IF(S408&lt;$G$5,"EJECUTADO","EN EJECUCION")</f>
        <v>EJECUTADO</v>
      </c>
      <c r="U408" s="837">
        <f t="shared" si="115"/>
        <v>2438.4</v>
      </c>
      <c r="V408" s="544"/>
      <c r="W408" s="544"/>
      <c r="X408" s="660">
        <f>SUM(U408:U413)</f>
        <v>22139.7</v>
      </c>
      <c r="Y408" s="640"/>
      <c r="Z408" s="545" t="s">
        <v>334</v>
      </c>
      <c r="AA408" s="545" t="s">
        <v>178</v>
      </c>
      <c r="AB408" s="546" t="s">
        <v>179</v>
      </c>
      <c r="AC408" s="547">
        <v>2014</v>
      </c>
      <c r="AD408" s="93"/>
      <c r="AE408" s="93"/>
    </row>
    <row r="409" spans="1:31" s="94" customFormat="1" ht="50.1" customHeight="1">
      <c r="A409" s="1068"/>
      <c r="B409" s="914"/>
      <c r="C409" s="985" t="s">
        <v>182</v>
      </c>
      <c r="D409" s="1118"/>
      <c r="E409" s="655" t="str">
        <f>+E408</f>
        <v>VIA, ORIANGA-LA VICTORIA-SHOA, L=11,0 km. (Paltas)</v>
      </c>
      <c r="F409" s="831" t="s">
        <v>330</v>
      </c>
      <c r="G409" s="831" t="str">
        <f>VLOOKUP(H409,'Pob. Ext, Parroquial'!$B$9:$C$117,2,0)</f>
        <v>PALTAS</v>
      </c>
      <c r="H409" s="832" t="s">
        <v>389</v>
      </c>
      <c r="I409" s="831" t="s">
        <v>173</v>
      </c>
      <c r="J409" s="831" t="s">
        <v>174</v>
      </c>
      <c r="K409" s="831"/>
      <c r="L409" s="537"/>
      <c r="M409" s="538">
        <f>IF(K409&gt;0,VLOOKUP(H409,'[5]Pob. Ext, Parroquial'!$B$8:$F$117,4,FALSE),0)</f>
        <v>0</v>
      </c>
      <c r="N409" s="834" t="s">
        <v>200</v>
      </c>
      <c r="O409" s="836" t="s">
        <v>333</v>
      </c>
      <c r="P409" s="836">
        <v>1.46</v>
      </c>
      <c r="Q409" s="968">
        <v>1320</v>
      </c>
      <c r="R409" s="948">
        <v>41791</v>
      </c>
      <c r="S409" s="948">
        <v>41820</v>
      </c>
      <c r="T409" s="686" t="str">
        <f t="shared" si="131"/>
        <v>EJECUTADO</v>
      </c>
      <c r="U409" s="837">
        <f t="shared" si="115"/>
        <v>1927.2</v>
      </c>
      <c r="V409" s="544"/>
      <c r="W409" s="544"/>
      <c r="X409" s="662"/>
      <c r="Y409" s="640"/>
      <c r="Z409" s="545"/>
      <c r="AA409" s="545"/>
      <c r="AB409" s="546"/>
      <c r="AC409" s="547"/>
      <c r="AD409" s="93"/>
      <c r="AE409" s="93"/>
    </row>
    <row r="410" spans="1:31" s="94" customFormat="1" ht="50.1" customHeight="1">
      <c r="A410" s="1068"/>
      <c r="B410" s="913"/>
      <c r="C410" s="985" t="s">
        <v>182</v>
      </c>
      <c r="D410" s="1118"/>
      <c r="E410" s="655" t="str">
        <f>+E409</f>
        <v>VIA, ORIANGA-LA VICTORIA-SHOA, L=11,0 km. (Paltas)</v>
      </c>
      <c r="F410" s="831" t="s">
        <v>330</v>
      </c>
      <c r="G410" s="831" t="str">
        <f>VLOOKUP(H410,'Pob. Ext, Parroquial'!$B$9:$C$117,2,0)</f>
        <v>PALTAS</v>
      </c>
      <c r="H410" s="832" t="s">
        <v>389</v>
      </c>
      <c r="I410" s="831" t="s">
        <v>173</v>
      </c>
      <c r="J410" s="831" t="s">
        <v>174</v>
      </c>
      <c r="K410" s="831"/>
      <c r="L410" s="537"/>
      <c r="M410" s="538">
        <f>IF(K410&gt;0,VLOOKUP(H410,'[5]Pob. Ext, Parroquial'!$B$8:$F$117,4,FALSE),0)</f>
        <v>0</v>
      </c>
      <c r="N410" s="834" t="s">
        <v>336</v>
      </c>
      <c r="O410" s="836" t="s">
        <v>333</v>
      </c>
      <c r="P410" s="836">
        <v>1.47</v>
      </c>
      <c r="Q410" s="968">
        <v>1700</v>
      </c>
      <c r="R410" s="948">
        <v>41641</v>
      </c>
      <c r="S410" s="948">
        <v>41670</v>
      </c>
      <c r="T410" s="686" t="str">
        <f t="shared" si="131"/>
        <v>EJECUTADO</v>
      </c>
      <c r="U410" s="837">
        <f t="shared" si="115"/>
        <v>2499</v>
      </c>
      <c r="V410" s="544"/>
      <c r="W410" s="544"/>
      <c r="X410" s="662"/>
      <c r="Y410" s="640"/>
      <c r="Z410" s="545" t="s">
        <v>334</v>
      </c>
      <c r="AA410" s="545" t="s">
        <v>178</v>
      </c>
      <c r="AB410" s="546" t="s">
        <v>179</v>
      </c>
      <c r="AC410" s="547">
        <v>2014</v>
      </c>
      <c r="AD410" s="93"/>
      <c r="AE410" s="93"/>
    </row>
    <row r="411" spans="1:31" s="94" customFormat="1" ht="50.1" customHeight="1">
      <c r="A411" s="1068"/>
      <c r="B411" s="913"/>
      <c r="C411" s="985" t="s">
        <v>182</v>
      </c>
      <c r="D411" s="1118"/>
      <c r="E411" s="655" t="str">
        <f>+E410</f>
        <v>VIA, ORIANGA-LA VICTORIA-SHOA, L=11,0 km. (Paltas)</v>
      </c>
      <c r="F411" s="831" t="s">
        <v>330</v>
      </c>
      <c r="G411" s="831" t="str">
        <f>VLOOKUP(H411,'Pob. Ext, Parroquial'!$B$9:$C$117,2,0)</f>
        <v>PALTAS</v>
      </c>
      <c r="H411" s="832" t="s">
        <v>389</v>
      </c>
      <c r="I411" s="831" t="s">
        <v>173</v>
      </c>
      <c r="J411" s="831" t="s">
        <v>174</v>
      </c>
      <c r="K411" s="831"/>
      <c r="L411" s="537">
        <f>ROUNDUP(Q411/5.5/1000,2)</f>
        <v>4.84</v>
      </c>
      <c r="M411" s="538">
        <f>IF(K411&gt;0,VLOOKUP(H411,'[5]Pob. Ext, Parroquial'!$B$8:$F$117,4,FALSE),0)</f>
        <v>0</v>
      </c>
      <c r="N411" s="834" t="s">
        <v>185</v>
      </c>
      <c r="O411" s="836" t="s">
        <v>314</v>
      </c>
      <c r="P411" s="836">
        <v>0.08</v>
      </c>
      <c r="Q411" s="968">
        <v>26600</v>
      </c>
      <c r="R411" s="948">
        <v>41641</v>
      </c>
      <c r="S411" s="948">
        <v>41670</v>
      </c>
      <c r="T411" s="686" t="str">
        <f t="shared" si="131"/>
        <v>EJECUTADO</v>
      </c>
      <c r="U411" s="837">
        <f t="shared" si="115"/>
        <v>2128</v>
      </c>
      <c r="V411" s="544"/>
      <c r="W411" s="544"/>
      <c r="X411" s="662"/>
      <c r="Y411" s="640"/>
      <c r="Z411" s="545" t="s">
        <v>334</v>
      </c>
      <c r="AA411" s="545" t="s">
        <v>178</v>
      </c>
      <c r="AB411" s="546" t="s">
        <v>179</v>
      </c>
      <c r="AC411" s="547">
        <v>2014</v>
      </c>
      <c r="AD411" s="93"/>
      <c r="AE411" s="93"/>
    </row>
    <row r="412" spans="1:31" s="94" customFormat="1" ht="50.1" customHeight="1">
      <c r="A412" s="1068"/>
      <c r="B412" s="913"/>
      <c r="C412" s="985" t="s">
        <v>182</v>
      </c>
      <c r="D412" s="1118"/>
      <c r="E412" s="655" t="str">
        <f>+E411</f>
        <v>VIA, ORIANGA-LA VICTORIA-SHOA, L=11,0 km. (Paltas)</v>
      </c>
      <c r="F412" s="831" t="s">
        <v>330</v>
      </c>
      <c r="G412" s="831" t="str">
        <f>VLOOKUP(H412,'Pob. Ext, Parroquial'!$B$9:$C$117,2,0)</f>
        <v>PALTAS</v>
      </c>
      <c r="H412" s="832" t="s">
        <v>389</v>
      </c>
      <c r="I412" s="831" t="s">
        <v>173</v>
      </c>
      <c r="J412" s="831" t="s">
        <v>174</v>
      </c>
      <c r="K412" s="831"/>
      <c r="L412" s="537">
        <f>+ROUND(Q412/5500/0.2,2)</f>
        <v>1.3</v>
      </c>
      <c r="M412" s="538">
        <f>IF(K412&gt;0,VLOOKUP(H412,'[5]Pob. Ext, Parroquial'!$B$8:$F$117,4,FALSE),0)</f>
        <v>0</v>
      </c>
      <c r="N412" s="834" t="s">
        <v>229</v>
      </c>
      <c r="O412" s="836" t="s">
        <v>333</v>
      </c>
      <c r="P412" s="836">
        <v>5.92</v>
      </c>
      <c r="Q412" s="968">
        <v>1430</v>
      </c>
      <c r="R412" s="948">
        <v>41641</v>
      </c>
      <c r="S412" s="948">
        <v>41670</v>
      </c>
      <c r="T412" s="686" t="str">
        <f t="shared" si="131"/>
        <v>EJECUTADO</v>
      </c>
      <c r="U412" s="837">
        <f t="shared" si="115"/>
        <v>8465.6</v>
      </c>
      <c r="V412" s="544"/>
      <c r="W412" s="544"/>
      <c r="X412" s="662"/>
      <c r="Y412" s="640"/>
      <c r="Z412" s="545" t="s">
        <v>334</v>
      </c>
      <c r="AA412" s="545" t="s">
        <v>178</v>
      </c>
      <c r="AB412" s="546" t="s">
        <v>179</v>
      </c>
      <c r="AC412" s="547">
        <v>2014</v>
      </c>
      <c r="AD412" s="93"/>
      <c r="AE412" s="93"/>
    </row>
    <row r="413" spans="1:31" s="94" customFormat="1" ht="50.1" customHeight="1">
      <c r="A413" s="1068"/>
      <c r="B413" s="667"/>
      <c r="C413" s="985" t="s">
        <v>182</v>
      </c>
      <c r="D413" s="1120"/>
      <c r="E413" s="655" t="str">
        <f>+E412</f>
        <v>VIA, ORIANGA-LA VICTORIA-SHOA, L=11,0 km. (Paltas)</v>
      </c>
      <c r="F413" s="831" t="s">
        <v>330</v>
      </c>
      <c r="G413" s="831" t="str">
        <f>VLOOKUP(H413,'Pob. Ext, Parroquial'!$B$9:$C$117,2,0)</f>
        <v>PALTAS</v>
      </c>
      <c r="H413" s="832" t="s">
        <v>389</v>
      </c>
      <c r="I413" s="831" t="s">
        <v>173</v>
      </c>
      <c r="J413" s="831" t="s">
        <v>174</v>
      </c>
      <c r="K413" s="831"/>
      <c r="L413" s="537"/>
      <c r="M413" s="538">
        <f>IF(K413&gt;0,VLOOKUP(H413,'[5]Pob. Ext, Parroquial'!$B$8:$F$117,4,FALSE),0)</f>
        <v>0</v>
      </c>
      <c r="N413" s="834" t="s">
        <v>180</v>
      </c>
      <c r="O413" s="836" t="s">
        <v>352</v>
      </c>
      <c r="P413" s="836">
        <v>0.3</v>
      </c>
      <c r="Q413" s="968">
        <v>15605</v>
      </c>
      <c r="R413" s="948">
        <v>41641</v>
      </c>
      <c r="S413" s="948">
        <v>41820</v>
      </c>
      <c r="T413" s="686" t="str">
        <f t="shared" si="131"/>
        <v>EJECUTADO</v>
      </c>
      <c r="U413" s="837">
        <f t="shared" si="115"/>
        <v>4681.5</v>
      </c>
      <c r="V413" s="544"/>
      <c r="W413" s="544"/>
      <c r="X413" s="664"/>
      <c r="Y413" s="640"/>
      <c r="Z413" s="545" t="s">
        <v>334</v>
      </c>
      <c r="AA413" s="545" t="s">
        <v>178</v>
      </c>
      <c r="AB413" s="546" t="s">
        <v>179</v>
      </c>
      <c r="AC413" s="547">
        <v>2014</v>
      </c>
      <c r="AD413" s="93"/>
      <c r="AE413" s="93"/>
    </row>
    <row r="414" spans="1:31" s="94" customFormat="1" ht="50.1" customHeight="1">
      <c r="A414" s="1088" t="s">
        <v>390</v>
      </c>
      <c r="B414" s="1069" t="str">
        <f>+T416</f>
        <v>EJECUTADO</v>
      </c>
      <c r="C414" s="985" t="s">
        <v>182</v>
      </c>
      <c r="D414" s="1117" t="s">
        <v>774</v>
      </c>
      <c r="E414" s="636" t="str">
        <f>+D414</f>
        <v>VIA RIO PINDO  LAS JUNTAS ORIANGA L=17,8 KM (PALTAS)</v>
      </c>
      <c r="F414" s="831" t="s">
        <v>330</v>
      </c>
      <c r="G414" s="831" t="str">
        <f>VLOOKUP(H414,'Pob. Ext, Parroquial'!$B$9:$C$117,2,0)</f>
        <v>PALTAS</v>
      </c>
      <c r="H414" s="832" t="s">
        <v>389</v>
      </c>
      <c r="I414" s="831" t="s">
        <v>173</v>
      </c>
      <c r="J414" s="831" t="s">
        <v>174</v>
      </c>
      <c r="K414" s="831">
        <v>17.8</v>
      </c>
      <c r="L414" s="537"/>
      <c r="M414" s="538">
        <f>IF(K414&gt;0,VLOOKUP(H414,'[5]Pob. Ext, Parroquial'!$B$8:$F$117,4,FALSE),0)</f>
        <v>1083</v>
      </c>
      <c r="N414" s="834" t="s">
        <v>200</v>
      </c>
      <c r="O414" s="836" t="s">
        <v>333</v>
      </c>
      <c r="P414" s="836">
        <v>1.46</v>
      </c>
      <c r="Q414" s="968">
        <v>17120</v>
      </c>
      <c r="R414" s="948">
        <v>41658</v>
      </c>
      <c r="S414" s="948">
        <v>41820</v>
      </c>
      <c r="T414" s="686" t="str">
        <f t="shared" si="131"/>
        <v>EJECUTADO</v>
      </c>
      <c r="U414" s="837">
        <f t="shared" si="115"/>
        <v>24995.200000000001</v>
      </c>
      <c r="V414" s="544"/>
      <c r="W414" s="544"/>
      <c r="X414" s="660">
        <f>SUM(U414:U416)</f>
        <v>85847.71</v>
      </c>
      <c r="Y414" s="640"/>
      <c r="Z414" s="545" t="s">
        <v>334</v>
      </c>
      <c r="AA414" s="545" t="s">
        <v>178</v>
      </c>
      <c r="AB414" s="546" t="s">
        <v>187</v>
      </c>
      <c r="AC414" s="547">
        <v>2014</v>
      </c>
      <c r="AD414" s="93"/>
      <c r="AE414" s="93"/>
    </row>
    <row r="415" spans="1:31" s="94" customFormat="1" ht="50.1" customHeight="1">
      <c r="A415" s="1089"/>
      <c r="B415" s="1070"/>
      <c r="C415" s="985" t="s">
        <v>182</v>
      </c>
      <c r="D415" s="1118"/>
      <c r="E415" s="655" t="str">
        <f t="shared" ref="E415:E416" si="132">+E414</f>
        <v>VIA RIO PINDO  LAS JUNTAS ORIANGA L=17,8 KM (PALTAS)</v>
      </c>
      <c r="F415" s="831" t="s">
        <v>330</v>
      </c>
      <c r="G415" s="831" t="str">
        <f>VLOOKUP(H415,'Pob. Ext, Parroquial'!$B$9:$C$117,2,0)</f>
        <v>PALTAS</v>
      </c>
      <c r="H415" s="832" t="s">
        <v>389</v>
      </c>
      <c r="I415" s="831" t="s">
        <v>173</v>
      </c>
      <c r="J415" s="831" t="s">
        <v>174</v>
      </c>
      <c r="K415" s="831"/>
      <c r="L415" s="537"/>
      <c r="M415" s="538">
        <f>IF(K415&gt;0,VLOOKUP(H415,'[5]Pob. Ext, Parroquial'!$B$8:$F$117,4,FALSE),0)</f>
        <v>0</v>
      </c>
      <c r="N415" s="834" t="s">
        <v>392</v>
      </c>
      <c r="O415" s="836" t="s">
        <v>333</v>
      </c>
      <c r="P415" s="836">
        <v>1.62</v>
      </c>
      <c r="Q415" s="968">
        <v>36270</v>
      </c>
      <c r="R415" s="948">
        <v>41839</v>
      </c>
      <c r="S415" s="948">
        <v>41851</v>
      </c>
      <c r="T415" s="686" t="str">
        <f t="shared" si="131"/>
        <v>EJECUTADO</v>
      </c>
      <c r="U415" s="837">
        <f t="shared" si="115"/>
        <v>58757.4</v>
      </c>
      <c r="V415" s="544"/>
      <c r="W415" s="544"/>
      <c r="X415" s="662"/>
      <c r="Y415" s="640"/>
      <c r="Z415" s="545" t="s">
        <v>334</v>
      </c>
      <c r="AA415" s="545" t="s">
        <v>178</v>
      </c>
      <c r="AB415" s="546" t="s">
        <v>187</v>
      </c>
      <c r="AC415" s="547">
        <v>2014</v>
      </c>
      <c r="AD415" s="93"/>
      <c r="AE415" s="93"/>
    </row>
    <row r="416" spans="1:31" s="94" customFormat="1" ht="50.1" customHeight="1">
      <c r="A416" s="1090"/>
      <c r="B416" s="1071"/>
      <c r="C416" s="985" t="s">
        <v>182</v>
      </c>
      <c r="D416" s="1120"/>
      <c r="E416" s="655" t="str">
        <f t="shared" si="132"/>
        <v>VIA RIO PINDO  LAS JUNTAS ORIANGA L=17,8 KM (PALTAS)</v>
      </c>
      <c r="F416" s="831" t="s">
        <v>330</v>
      </c>
      <c r="G416" s="831" t="str">
        <f>VLOOKUP(H416,'Pob. Ext, Parroquial'!$B$9:$C$117,2,0)</f>
        <v>PALTAS</v>
      </c>
      <c r="H416" s="832" t="s">
        <v>389</v>
      </c>
      <c r="I416" s="831" t="s">
        <v>173</v>
      </c>
      <c r="J416" s="831" t="s">
        <v>174</v>
      </c>
      <c r="K416" s="831"/>
      <c r="L416" s="537"/>
      <c r="M416" s="538">
        <f>IF(K416&gt;0,VLOOKUP(H416,'[5]Pob. Ext, Parroquial'!$B$8:$F$117,4,FALSE),0)</f>
        <v>0</v>
      </c>
      <c r="N416" s="834" t="s">
        <v>351</v>
      </c>
      <c r="O416" s="836" t="s">
        <v>352</v>
      </c>
      <c r="P416" s="836">
        <v>0.38</v>
      </c>
      <c r="Q416" s="968">
        <v>5513.44</v>
      </c>
      <c r="R416" s="948">
        <v>41839</v>
      </c>
      <c r="S416" s="948">
        <v>41851</v>
      </c>
      <c r="T416" s="686" t="str">
        <f t="shared" si="131"/>
        <v>EJECUTADO</v>
      </c>
      <c r="U416" s="837">
        <f t="shared" si="115"/>
        <v>2095.11</v>
      </c>
      <c r="V416" s="544"/>
      <c r="W416" s="544"/>
      <c r="X416" s="664"/>
      <c r="Y416" s="640"/>
      <c r="Z416" s="545" t="s">
        <v>334</v>
      </c>
      <c r="AA416" s="545" t="s">
        <v>178</v>
      </c>
      <c r="AB416" s="546" t="s">
        <v>187</v>
      </c>
      <c r="AC416" s="547">
        <v>2014</v>
      </c>
      <c r="AD416" s="93"/>
      <c r="AE416" s="93"/>
    </row>
    <row r="417" spans="1:31" s="94" customFormat="1" ht="50.1" customHeight="1">
      <c r="A417" s="1088" t="s">
        <v>393</v>
      </c>
      <c r="B417" s="1083" t="str">
        <f>+T417</f>
        <v>EJECUTADO</v>
      </c>
      <c r="C417" s="985" t="s">
        <v>182</v>
      </c>
      <c r="D417" s="1117" t="s">
        <v>391</v>
      </c>
      <c r="E417" s="636" t="str">
        <f>+D417</f>
        <v>VIA RIO PINDO  LAS JUNTAS ORIANGA L=23.2 KM (PALTAS)</v>
      </c>
      <c r="F417" s="831" t="s">
        <v>330</v>
      </c>
      <c r="G417" s="831" t="str">
        <f>VLOOKUP(H417,'Pob. Ext, Parroquial'!$B$9:$C$117,2,0)</f>
        <v>PALTAS</v>
      </c>
      <c r="H417" s="832" t="s">
        <v>389</v>
      </c>
      <c r="I417" s="831" t="s">
        <v>173</v>
      </c>
      <c r="J417" s="831" t="s">
        <v>174</v>
      </c>
      <c r="K417" s="831">
        <v>23.2</v>
      </c>
      <c r="L417" s="537"/>
      <c r="M417" s="538">
        <f>IF(K417&gt;0,VLOOKUP(H417,'[5]Pob. Ext, Parroquial'!$B$8:$F$117,4,FALSE),0)</f>
        <v>1083</v>
      </c>
      <c r="N417" s="834" t="s">
        <v>394</v>
      </c>
      <c r="O417" s="836" t="s">
        <v>333</v>
      </c>
      <c r="P417" s="836">
        <v>1.62</v>
      </c>
      <c r="Q417" s="968">
        <v>5580</v>
      </c>
      <c r="R417" s="948">
        <v>41791</v>
      </c>
      <c r="S417" s="948">
        <v>41851</v>
      </c>
      <c r="T417" s="686" t="str">
        <f t="shared" si="131"/>
        <v>EJECUTADO</v>
      </c>
      <c r="U417" s="837">
        <f t="shared" si="115"/>
        <v>9039.6</v>
      </c>
      <c r="V417" s="544"/>
      <c r="W417" s="544"/>
      <c r="X417" s="660">
        <f>SUM(U417:U423)</f>
        <v>116319.3</v>
      </c>
      <c r="Y417" s="640"/>
      <c r="Z417" s="545" t="s">
        <v>334</v>
      </c>
      <c r="AA417" s="545" t="s">
        <v>178</v>
      </c>
      <c r="AB417" s="546" t="s">
        <v>187</v>
      </c>
      <c r="AC417" s="547">
        <v>2014</v>
      </c>
      <c r="AD417" s="93"/>
      <c r="AE417" s="93"/>
    </row>
    <row r="418" spans="1:31" s="94" customFormat="1" ht="50.1" customHeight="1">
      <c r="A418" s="1089"/>
      <c r="B418" s="1084"/>
      <c r="C418" s="985" t="s">
        <v>182</v>
      </c>
      <c r="D418" s="1118"/>
      <c r="E418" s="655" t="str">
        <f t="shared" ref="E418:E423" si="133">+E417</f>
        <v>VIA RIO PINDO  LAS JUNTAS ORIANGA L=23.2 KM (PALTAS)</v>
      </c>
      <c r="F418" s="831" t="s">
        <v>330</v>
      </c>
      <c r="G418" s="831" t="str">
        <f>VLOOKUP(H418,'Pob. Ext, Parroquial'!$B$9:$C$117,2,0)</f>
        <v>PALTAS</v>
      </c>
      <c r="H418" s="832" t="s">
        <v>389</v>
      </c>
      <c r="I418" s="831" t="s">
        <v>173</v>
      </c>
      <c r="J418" s="831" t="s">
        <v>174</v>
      </c>
      <c r="K418" s="831"/>
      <c r="L418" s="537"/>
      <c r="M418" s="538">
        <f>IF(K418&gt;0,VLOOKUP(H418,'[5]Pob. Ext, Parroquial'!$B$8:$F$117,4,FALSE),0)</f>
        <v>0</v>
      </c>
      <c r="N418" s="834" t="s">
        <v>200</v>
      </c>
      <c r="O418" s="836" t="s">
        <v>333</v>
      </c>
      <c r="P418" s="836">
        <v>1.46</v>
      </c>
      <c r="Q418" s="968">
        <v>7045</v>
      </c>
      <c r="R418" s="948">
        <v>41791</v>
      </c>
      <c r="S418" s="948">
        <v>41851</v>
      </c>
      <c r="T418" s="686" t="str">
        <f t="shared" si="131"/>
        <v>EJECUTADO</v>
      </c>
      <c r="U418" s="837">
        <f t="shared" si="115"/>
        <v>10285.700000000001</v>
      </c>
      <c r="V418" s="544"/>
      <c r="W418" s="544"/>
      <c r="X418" s="662"/>
      <c r="Y418" s="640"/>
      <c r="Z418" s="545" t="s">
        <v>334</v>
      </c>
      <c r="AA418" s="545" t="s">
        <v>178</v>
      </c>
      <c r="AB418" s="546" t="s">
        <v>187</v>
      </c>
      <c r="AC418" s="547">
        <v>2014</v>
      </c>
      <c r="AD418" s="93"/>
      <c r="AE418" s="93"/>
    </row>
    <row r="419" spans="1:31" s="94" customFormat="1" ht="50.1" customHeight="1">
      <c r="A419" s="1089"/>
      <c r="B419" s="1084"/>
      <c r="C419" s="985" t="s">
        <v>182</v>
      </c>
      <c r="D419" s="1118"/>
      <c r="E419" s="655" t="str">
        <f t="shared" si="133"/>
        <v>VIA RIO PINDO  LAS JUNTAS ORIANGA L=23.2 KM (PALTAS)</v>
      </c>
      <c r="F419" s="831" t="s">
        <v>330</v>
      </c>
      <c r="G419" s="831" t="str">
        <f>VLOOKUP(H419,'Pob. Ext, Parroquial'!$B$9:$C$117,2,0)</f>
        <v>PALTAS</v>
      </c>
      <c r="H419" s="832" t="s">
        <v>389</v>
      </c>
      <c r="I419" s="831" t="s">
        <v>173</v>
      </c>
      <c r="J419" s="831" t="s">
        <v>174</v>
      </c>
      <c r="K419" s="831"/>
      <c r="L419" s="537">
        <f>ROUNDUP(Q419/5.5/1000,2)</f>
        <v>25.01</v>
      </c>
      <c r="M419" s="538">
        <f>IF(K419&gt;0,VLOOKUP(H419,'[5]Pob. Ext, Parroquial'!$B$8:$F$117,4,FALSE),0)</f>
        <v>0</v>
      </c>
      <c r="N419" s="834" t="s">
        <v>339</v>
      </c>
      <c r="O419" s="836" t="s">
        <v>333</v>
      </c>
      <c r="P419" s="836">
        <v>0.35</v>
      </c>
      <c r="Q419" s="968">
        <v>137520</v>
      </c>
      <c r="R419" s="948">
        <v>41791</v>
      </c>
      <c r="S419" s="948">
        <v>41820</v>
      </c>
      <c r="T419" s="686" t="str">
        <f t="shared" si="131"/>
        <v>EJECUTADO</v>
      </c>
      <c r="U419" s="837">
        <f t="shared" si="115"/>
        <v>48132</v>
      </c>
      <c r="V419" s="544"/>
      <c r="W419" s="544"/>
      <c r="X419" s="662"/>
      <c r="Y419" s="640"/>
      <c r="Z419" s="545" t="s">
        <v>334</v>
      </c>
      <c r="AA419" s="545" t="s">
        <v>178</v>
      </c>
      <c r="AB419" s="546" t="s">
        <v>187</v>
      </c>
      <c r="AC419" s="547">
        <v>2014</v>
      </c>
      <c r="AD419" s="93"/>
      <c r="AE419" s="93"/>
    </row>
    <row r="420" spans="1:31" s="94" customFormat="1" ht="50.1" customHeight="1">
      <c r="A420" s="1089"/>
      <c r="B420" s="1084"/>
      <c r="C420" s="985" t="s">
        <v>182</v>
      </c>
      <c r="D420" s="1118"/>
      <c r="E420" s="655" t="str">
        <f>+E419</f>
        <v>VIA RIO PINDO  LAS JUNTAS ORIANGA L=23.2 KM (PALTAS)</v>
      </c>
      <c r="F420" s="831" t="s">
        <v>330</v>
      </c>
      <c r="G420" s="831" t="str">
        <f>VLOOKUP(H420,'Pob. Ext, Parroquial'!$B$9:$C$117,2,0)</f>
        <v>PALTAS</v>
      </c>
      <c r="H420" s="832" t="s">
        <v>389</v>
      </c>
      <c r="I420" s="831" t="s">
        <v>173</v>
      </c>
      <c r="J420" s="831" t="s">
        <v>174</v>
      </c>
      <c r="K420" s="831"/>
      <c r="L420" s="537">
        <f>+ROUND(Q420/5500/0.2,2)</f>
        <v>1.18</v>
      </c>
      <c r="M420" s="538">
        <f>IF(K420&gt;0,VLOOKUP(H420,'[5]Pob. Ext, Parroquial'!$B$8:$F$117,4,FALSE),0)</f>
        <v>0</v>
      </c>
      <c r="N420" s="834" t="s">
        <v>229</v>
      </c>
      <c r="O420" s="836" t="s">
        <v>333</v>
      </c>
      <c r="P420" s="836">
        <v>5.92</v>
      </c>
      <c r="Q420" s="968">
        <v>1297</v>
      </c>
      <c r="R420" s="948">
        <v>41641</v>
      </c>
      <c r="S420" s="948">
        <v>41670</v>
      </c>
      <c r="T420" s="686" t="str">
        <f t="shared" si="131"/>
        <v>EJECUTADO</v>
      </c>
      <c r="U420" s="837">
        <f t="shared" si="115"/>
        <v>7678.24</v>
      </c>
      <c r="V420" s="544"/>
      <c r="W420" s="544"/>
      <c r="X420" s="662"/>
      <c r="Y420" s="640"/>
      <c r="Z420" s="545"/>
      <c r="AA420" s="545"/>
      <c r="AB420" s="546"/>
      <c r="AC420" s="547"/>
      <c r="AD420" s="93"/>
      <c r="AE420" s="93"/>
    </row>
    <row r="421" spans="1:31" s="94" customFormat="1" ht="50.1" customHeight="1">
      <c r="A421" s="1089"/>
      <c r="B421" s="1084"/>
      <c r="C421" s="985" t="s">
        <v>182</v>
      </c>
      <c r="D421" s="1118"/>
      <c r="E421" s="655" t="str">
        <f>+E419</f>
        <v>VIA RIO PINDO  LAS JUNTAS ORIANGA L=23.2 KM (PALTAS)</v>
      </c>
      <c r="F421" s="831" t="s">
        <v>330</v>
      </c>
      <c r="G421" s="831" t="str">
        <f>VLOOKUP(H421,'Pob. Ext, Parroquial'!$B$9:$C$117,2,0)</f>
        <v>PALTAS</v>
      </c>
      <c r="H421" s="832" t="s">
        <v>389</v>
      </c>
      <c r="I421" s="831" t="s">
        <v>173</v>
      </c>
      <c r="J421" s="831" t="s">
        <v>174</v>
      </c>
      <c r="K421" s="831"/>
      <c r="L421" s="537">
        <f t="shared" ref="L421:L423" si="134">ROUNDUP(Q421/5.5/1000,2)</f>
        <v>0.18000000000000002</v>
      </c>
      <c r="M421" s="538">
        <f>IF(K421&gt;0,VLOOKUP(H421,'[5]Pob. Ext, Parroquial'!$B$8:$F$117,4,FALSE),0)</f>
        <v>0</v>
      </c>
      <c r="N421" s="834" t="s">
        <v>375</v>
      </c>
      <c r="O421" s="836" t="s">
        <v>333</v>
      </c>
      <c r="P421" s="836">
        <v>7.6</v>
      </c>
      <c r="Q421" s="968">
        <v>955</v>
      </c>
      <c r="R421" s="948">
        <v>41821</v>
      </c>
      <c r="S421" s="948">
        <v>41851</v>
      </c>
      <c r="T421" s="686" t="str">
        <f>IF(S421&lt;$G$5,"EJECUTADO","EN EJECUCION")</f>
        <v>EJECUTADO</v>
      </c>
      <c r="U421" s="837">
        <f t="shared" si="115"/>
        <v>7258</v>
      </c>
      <c r="V421" s="544"/>
      <c r="W421" s="544"/>
      <c r="X421" s="662"/>
      <c r="Y421" s="640"/>
      <c r="Z421" s="545" t="s">
        <v>334</v>
      </c>
      <c r="AA421" s="545" t="s">
        <v>178</v>
      </c>
      <c r="AB421" s="546" t="s">
        <v>187</v>
      </c>
      <c r="AC421" s="547">
        <v>2014</v>
      </c>
      <c r="AD421" s="93"/>
      <c r="AE421" s="93"/>
    </row>
    <row r="422" spans="1:31" s="94" customFormat="1" ht="50.1" customHeight="1">
      <c r="A422" s="1089"/>
      <c r="B422" s="1084"/>
      <c r="C422" s="985" t="s">
        <v>182</v>
      </c>
      <c r="D422" s="1118"/>
      <c r="E422" s="655" t="str">
        <f t="shared" si="133"/>
        <v>VIA RIO PINDO  LAS JUNTAS ORIANGA L=23.2 KM (PALTAS)</v>
      </c>
      <c r="F422" s="831" t="s">
        <v>330</v>
      </c>
      <c r="G422" s="831" t="str">
        <f>VLOOKUP(H422,'Pob. Ext, Parroquial'!$B$9:$C$117,2,0)</f>
        <v>PALTAS</v>
      </c>
      <c r="H422" s="832" t="s">
        <v>389</v>
      </c>
      <c r="I422" s="831" t="s">
        <v>173</v>
      </c>
      <c r="J422" s="831" t="s">
        <v>174</v>
      </c>
      <c r="K422" s="831"/>
      <c r="L422" s="537">
        <f t="shared" si="134"/>
        <v>3.8499999999999996</v>
      </c>
      <c r="M422" s="538">
        <f>IF(K422&gt;0,VLOOKUP(H422,'[5]Pob. Ext, Parroquial'!$B$8:$F$117,4,FALSE),0)</f>
        <v>0</v>
      </c>
      <c r="N422" s="834" t="s">
        <v>336</v>
      </c>
      <c r="O422" s="836" t="s">
        <v>333</v>
      </c>
      <c r="P422" s="836">
        <v>1.47</v>
      </c>
      <c r="Q422" s="968">
        <v>21150</v>
      </c>
      <c r="R422" s="948">
        <v>41821</v>
      </c>
      <c r="S422" s="948">
        <v>41851</v>
      </c>
      <c r="T422" s="686" t="str">
        <f>IF(S422&lt;$G$5,"EJECUTADO","EN EJECUCION")</f>
        <v>EJECUTADO</v>
      </c>
      <c r="U422" s="837">
        <f t="shared" si="115"/>
        <v>31090.5</v>
      </c>
      <c r="V422" s="544"/>
      <c r="W422" s="544"/>
      <c r="X422" s="662"/>
      <c r="Y422" s="640"/>
      <c r="Z422" s="545" t="s">
        <v>334</v>
      </c>
      <c r="AA422" s="545" t="s">
        <v>178</v>
      </c>
      <c r="AB422" s="546" t="s">
        <v>187</v>
      </c>
      <c r="AC422" s="547">
        <v>2014</v>
      </c>
      <c r="AD422" s="93"/>
      <c r="AE422" s="93"/>
    </row>
    <row r="423" spans="1:31" s="94" customFormat="1" ht="50.1" customHeight="1">
      <c r="A423" s="1090"/>
      <c r="B423" s="1084"/>
      <c r="C423" s="985" t="s">
        <v>182</v>
      </c>
      <c r="D423" s="1120"/>
      <c r="E423" s="655" t="str">
        <f t="shared" si="133"/>
        <v>VIA RIO PINDO  LAS JUNTAS ORIANGA L=23.2 KM (PALTAS)</v>
      </c>
      <c r="F423" s="831" t="s">
        <v>330</v>
      </c>
      <c r="G423" s="831" t="str">
        <f>VLOOKUP(H423,'Pob. Ext, Parroquial'!$B$9:$C$117,2,0)</f>
        <v>PALTAS</v>
      </c>
      <c r="H423" s="832" t="s">
        <v>389</v>
      </c>
      <c r="I423" s="831" t="s">
        <v>173</v>
      </c>
      <c r="J423" s="831" t="s">
        <v>174</v>
      </c>
      <c r="K423" s="831"/>
      <c r="L423" s="537">
        <f t="shared" si="134"/>
        <v>1.36</v>
      </c>
      <c r="M423" s="538">
        <f>IF(K423&gt;0,VLOOKUP(H423,'[5]Pob. Ext, Parroquial'!$B$8:$F$117,4,FALSE),0)</f>
        <v>0</v>
      </c>
      <c r="N423" s="834" t="s">
        <v>180</v>
      </c>
      <c r="O423" s="836" t="s">
        <v>352</v>
      </c>
      <c r="P423" s="836">
        <v>0.38</v>
      </c>
      <c r="Q423" s="968">
        <v>7461.2</v>
      </c>
      <c r="R423" s="948">
        <v>41821</v>
      </c>
      <c r="S423" s="948">
        <v>41851</v>
      </c>
      <c r="T423" s="686" t="str">
        <f>IF(S423&lt;$G$5,"EJECUTADO","EN EJECUCION")</f>
        <v>EJECUTADO</v>
      </c>
      <c r="U423" s="837">
        <f t="shared" ref="U423:U486" si="135">ROUND(P423*Q423,2)</f>
        <v>2835.26</v>
      </c>
      <c r="V423" s="544"/>
      <c r="W423" s="544"/>
      <c r="X423" s="664"/>
      <c r="Y423" s="640"/>
      <c r="Z423" s="545" t="s">
        <v>334</v>
      </c>
      <c r="AA423" s="545" t="s">
        <v>178</v>
      </c>
      <c r="AB423" s="546" t="s">
        <v>187</v>
      </c>
      <c r="AC423" s="547">
        <v>2014</v>
      </c>
      <c r="AD423" s="93"/>
      <c r="AE423" s="93"/>
    </row>
    <row r="424" spans="1:31" s="94" customFormat="1" ht="50.1" customHeight="1">
      <c r="A424" s="1088" t="s">
        <v>396</v>
      </c>
      <c r="B424" s="1084" t="str">
        <f>+T424</f>
        <v>EJECUTADO</v>
      </c>
      <c r="C424" s="985" t="s">
        <v>182</v>
      </c>
      <c r="D424" s="927" t="s">
        <v>397</v>
      </c>
      <c r="E424" s="636" t="str">
        <f>+D424</f>
        <v>CALLES DE ORIANGA, L=1,0 km.  (Paltas)</v>
      </c>
      <c r="F424" s="831" t="s">
        <v>330</v>
      </c>
      <c r="G424" s="831" t="str">
        <f>VLOOKUP(H424,'Pob. Ext, Parroquial'!$B$9:$C$117,2,0)</f>
        <v>PALTAS</v>
      </c>
      <c r="H424" s="832" t="s">
        <v>389</v>
      </c>
      <c r="I424" s="831" t="s">
        <v>173</v>
      </c>
      <c r="J424" s="831" t="s">
        <v>174</v>
      </c>
      <c r="K424" s="831">
        <v>1</v>
      </c>
      <c r="L424" s="537"/>
      <c r="M424" s="538">
        <f>IF(K424&gt;0,VLOOKUP(H424,'[5]Pob. Ext, Parroquial'!$B$8:$F$117,4,FALSE),0)</f>
        <v>1083</v>
      </c>
      <c r="N424" s="834" t="s">
        <v>336</v>
      </c>
      <c r="O424" s="836" t="s">
        <v>333</v>
      </c>
      <c r="P424" s="836">
        <v>1.47</v>
      </c>
      <c r="Q424" s="968">
        <v>300</v>
      </c>
      <c r="R424" s="948">
        <v>41836</v>
      </c>
      <c r="S424" s="948">
        <v>41851</v>
      </c>
      <c r="T424" s="686" t="str">
        <f>IF(S424&lt;$G$5,"EJECUTADO","EN EJECUCION")</f>
        <v>EJECUTADO</v>
      </c>
      <c r="U424" s="837">
        <f t="shared" si="135"/>
        <v>441</v>
      </c>
      <c r="V424" s="544"/>
      <c r="W424" s="544"/>
      <c r="X424" s="660">
        <f>SUM(U424:U425)</f>
        <v>793.22</v>
      </c>
      <c r="Y424" s="640"/>
      <c r="Z424" s="545" t="s">
        <v>334</v>
      </c>
      <c r="AA424" s="545" t="s">
        <v>178</v>
      </c>
      <c r="AB424" s="546" t="s">
        <v>187</v>
      </c>
      <c r="AC424" s="547">
        <v>2014</v>
      </c>
      <c r="AD424" s="93"/>
      <c r="AE424" s="93"/>
    </row>
    <row r="425" spans="1:31" s="94" customFormat="1" ht="50.1" customHeight="1">
      <c r="A425" s="1090"/>
      <c r="B425" s="1084"/>
      <c r="C425" s="985" t="s">
        <v>182</v>
      </c>
      <c r="D425" s="927" t="s">
        <v>397</v>
      </c>
      <c r="E425" s="636" t="str">
        <f>+D425</f>
        <v>CALLES DE ORIANGA, L=1,0 km.  (Paltas)</v>
      </c>
      <c r="F425" s="831" t="s">
        <v>330</v>
      </c>
      <c r="G425" s="831" t="str">
        <f>VLOOKUP(H425,'Pob. Ext, Parroquial'!$B$9:$C$117,2,0)</f>
        <v>PALTAS</v>
      </c>
      <c r="H425" s="832" t="s">
        <v>389</v>
      </c>
      <c r="I425" s="831" t="s">
        <v>173</v>
      </c>
      <c r="J425" s="831" t="s">
        <v>174</v>
      </c>
      <c r="K425" s="831"/>
      <c r="L425" s="537"/>
      <c r="M425" s="538">
        <f>IF(K425&gt;0,VLOOKUP(H425,'[5]Pob. Ext, Parroquial'!$B$8:$F$117,4,FALSE),0)</f>
        <v>0</v>
      </c>
      <c r="N425" s="834" t="s">
        <v>180</v>
      </c>
      <c r="O425" s="836" t="s">
        <v>352</v>
      </c>
      <c r="P425" s="836">
        <v>0.38</v>
      </c>
      <c r="Q425" s="968">
        <v>926.9</v>
      </c>
      <c r="R425" s="948">
        <v>41836</v>
      </c>
      <c r="S425" s="948">
        <v>41851</v>
      </c>
      <c r="T425" s="686" t="str">
        <f>IF(S425&lt;$G$5,"EJECUTADO","EN EJECUCION")</f>
        <v>EJECUTADO</v>
      </c>
      <c r="U425" s="837">
        <f t="shared" si="135"/>
        <v>352.22</v>
      </c>
      <c r="V425" s="544"/>
      <c r="W425" s="544"/>
      <c r="X425" s="664"/>
      <c r="Y425" s="640"/>
      <c r="Z425" s="545" t="s">
        <v>334</v>
      </c>
      <c r="AA425" s="545" t="s">
        <v>178</v>
      </c>
      <c r="AB425" s="546" t="s">
        <v>187</v>
      </c>
      <c r="AC425" s="547">
        <v>2014</v>
      </c>
      <c r="AD425" s="93"/>
      <c r="AE425" s="93"/>
    </row>
    <row r="426" spans="1:31" s="94" customFormat="1" ht="50.1" customHeight="1">
      <c r="A426" s="910"/>
      <c r="B426" s="651"/>
      <c r="C426" s="985" t="s">
        <v>182</v>
      </c>
      <c r="D426" s="927" t="s">
        <v>1150</v>
      </c>
      <c r="E426" s="636" t="str">
        <f t="shared" ref="E426:E427" si="136">+D426</f>
        <v>VIA, ORIANGA-EL TRIUNFO- NARANJILLO- NARANJITO- TUNIMA, L=38.9 km. (Paltas)</v>
      </c>
      <c r="F426" s="831" t="s">
        <v>330</v>
      </c>
      <c r="G426" s="831" t="str">
        <f>VLOOKUP(H426,'Pob. Ext, Parroquial'!$B$9:$C$117,2,0)</f>
        <v>PALTAS</v>
      </c>
      <c r="H426" s="832" t="s">
        <v>389</v>
      </c>
      <c r="I426" s="831" t="s">
        <v>173</v>
      </c>
      <c r="J426" s="831" t="s">
        <v>174</v>
      </c>
      <c r="K426" s="831">
        <v>38.9</v>
      </c>
      <c r="L426" s="537"/>
      <c r="M426" s="538">
        <f>IF(K426&gt;0,VLOOKUP(H426,'[5]Pob. Ext, Parroquial'!$B$8:$F$117,4,FALSE),0)</f>
        <v>1083</v>
      </c>
      <c r="N426" s="834" t="s">
        <v>200</v>
      </c>
      <c r="O426" s="836" t="s">
        <v>333</v>
      </c>
      <c r="P426" s="836">
        <v>1.46</v>
      </c>
      <c r="Q426" s="968">
        <v>15990</v>
      </c>
      <c r="R426" s="948">
        <v>41888</v>
      </c>
      <c r="S426" s="948">
        <v>41936</v>
      </c>
      <c r="T426" s="686" t="str">
        <f t="shared" ref="T426:T447" si="137">IF(S426&lt;$G$5,"EJECUTADO","EN EJECUCION")</f>
        <v>EJECUTADO</v>
      </c>
      <c r="U426" s="837">
        <f t="shared" si="135"/>
        <v>23345.4</v>
      </c>
      <c r="V426" s="544"/>
      <c r="W426" s="544"/>
      <c r="X426" s="912">
        <f>U426+V426+W426</f>
        <v>23345.4</v>
      </c>
      <c r="Y426" s="640"/>
      <c r="Z426" s="545" t="s">
        <v>334</v>
      </c>
      <c r="AA426" s="545" t="s">
        <v>178</v>
      </c>
      <c r="AB426" s="546" t="s">
        <v>187</v>
      </c>
      <c r="AC426" s="547">
        <v>2014</v>
      </c>
      <c r="AD426" s="93"/>
      <c r="AE426" s="93"/>
    </row>
    <row r="427" spans="1:31" s="94" customFormat="1" ht="50.1" customHeight="1">
      <c r="A427" s="910"/>
      <c r="B427" s="651"/>
      <c r="C427" s="985" t="s">
        <v>182</v>
      </c>
      <c r="D427" s="927" t="s">
        <v>1151</v>
      </c>
      <c r="E427" s="636" t="str">
        <f t="shared" si="136"/>
        <v>VIA, ORIANGA- L. GUERRERO (LIM PARROQUIAL), L=5.8 km. (Paltas) Inicio 23 nov. Fin 29 de nov</v>
      </c>
      <c r="F427" s="831" t="s">
        <v>330</v>
      </c>
      <c r="G427" s="831" t="str">
        <f>VLOOKUP(H427,'Pob. Ext, Parroquial'!$B$9:$C$117,2,0)</f>
        <v>PALTAS</v>
      </c>
      <c r="H427" s="832" t="s">
        <v>389</v>
      </c>
      <c r="I427" s="831" t="s">
        <v>173</v>
      </c>
      <c r="J427" s="831" t="s">
        <v>174</v>
      </c>
      <c r="K427" s="831">
        <v>5.8</v>
      </c>
      <c r="L427" s="537"/>
      <c r="M427" s="538">
        <f>IF(K427&gt;0,VLOOKUP(H427,'[5]Pob. Ext, Parroquial'!$B$8:$F$117,4,FALSE),0)</f>
        <v>1083</v>
      </c>
      <c r="N427" s="834" t="s">
        <v>200</v>
      </c>
      <c r="O427" s="836" t="s">
        <v>333</v>
      </c>
      <c r="P427" s="836">
        <v>1.46</v>
      </c>
      <c r="Q427" s="968">
        <v>3870</v>
      </c>
      <c r="R427" s="948">
        <v>41966</v>
      </c>
      <c r="S427" s="948">
        <v>41972</v>
      </c>
      <c r="T427" s="686" t="str">
        <f t="shared" si="137"/>
        <v>EJECUTADO</v>
      </c>
      <c r="U427" s="837">
        <f t="shared" si="135"/>
        <v>5650.2</v>
      </c>
      <c r="V427" s="544"/>
      <c r="W427" s="544"/>
      <c r="X427" s="912">
        <f>U427+V427+W427</f>
        <v>5650.2</v>
      </c>
      <c r="Y427" s="640"/>
      <c r="Z427" s="545" t="s">
        <v>334</v>
      </c>
      <c r="AA427" s="545" t="s">
        <v>178</v>
      </c>
      <c r="AB427" s="546" t="s">
        <v>187</v>
      </c>
      <c r="AC427" s="547">
        <v>2014</v>
      </c>
      <c r="AD427" s="93"/>
      <c r="AE427" s="93"/>
    </row>
    <row r="428" spans="1:31" s="94" customFormat="1" ht="50.1" customHeight="1">
      <c r="A428" s="910"/>
      <c r="B428" s="651"/>
      <c r="C428" s="985" t="s">
        <v>182</v>
      </c>
      <c r="D428" s="927" t="s">
        <v>399</v>
      </c>
      <c r="E428" s="636" t="str">
        <f>+D428</f>
        <v>VIAS DESDE ORIANGA A, GUAYACAN Y LA VEGA. (Paltas)</v>
      </c>
      <c r="F428" s="831" t="s">
        <v>330</v>
      </c>
      <c r="G428" s="831" t="str">
        <f>VLOOKUP(H428,'Pob. Ext, Parroquial'!$B$9:$C$117,2,0)</f>
        <v>PALTAS</v>
      </c>
      <c r="H428" s="832" t="s">
        <v>389</v>
      </c>
      <c r="I428" s="831" t="s">
        <v>173</v>
      </c>
      <c r="J428" s="831" t="s">
        <v>174</v>
      </c>
      <c r="K428" s="831">
        <v>4.5</v>
      </c>
      <c r="L428" s="537"/>
      <c r="M428" s="538">
        <f>IF(K428&gt;0,VLOOKUP(H428,'[5]Pob. Ext, Parroquial'!$B$8:$F$117,4,FALSE),0)</f>
        <v>1083</v>
      </c>
      <c r="N428" s="834" t="s">
        <v>200</v>
      </c>
      <c r="O428" s="836" t="s">
        <v>333</v>
      </c>
      <c r="P428" s="836">
        <v>1.46</v>
      </c>
      <c r="Q428" s="968">
        <v>2880</v>
      </c>
      <c r="R428" s="948">
        <v>41687</v>
      </c>
      <c r="S428" s="948">
        <v>41759</v>
      </c>
      <c r="T428" s="686" t="str">
        <f t="shared" si="137"/>
        <v>EJECUTADO</v>
      </c>
      <c r="U428" s="837">
        <f t="shared" si="135"/>
        <v>4204.8</v>
      </c>
      <c r="V428" s="544"/>
      <c r="W428" s="544"/>
      <c r="X428" s="912">
        <f>U428+V428+W428</f>
        <v>4204.8</v>
      </c>
      <c r="Y428" s="640"/>
      <c r="Z428" s="545" t="s">
        <v>334</v>
      </c>
      <c r="AA428" s="545" t="s">
        <v>178</v>
      </c>
      <c r="AB428" s="546" t="s">
        <v>187</v>
      </c>
      <c r="AC428" s="547">
        <v>2014</v>
      </c>
      <c r="AD428" s="93"/>
      <c r="AE428" s="93"/>
    </row>
    <row r="429" spans="1:31" s="94" customFormat="1" ht="50.1" customHeight="1">
      <c r="A429" s="1068"/>
      <c r="B429" s="651"/>
      <c r="C429" s="985" t="s">
        <v>182</v>
      </c>
      <c r="D429" s="1117" t="s">
        <v>400</v>
      </c>
      <c r="E429" s="636" t="str">
        <f>+D429</f>
        <v>VIA, LA PALMA-EL PLACER, L=11,1 km. (Paltas)( RETROEXCAVADORA DE LA JUNTA PARROQUIAL)</v>
      </c>
      <c r="F429" s="831" t="s">
        <v>330</v>
      </c>
      <c r="G429" s="831" t="str">
        <f>VLOOKUP(H429,'Pob. Ext, Parroquial'!$B$9:$C$117,2,0)</f>
        <v>PALTAS</v>
      </c>
      <c r="H429" s="832" t="s">
        <v>401</v>
      </c>
      <c r="I429" s="831" t="s">
        <v>173</v>
      </c>
      <c r="J429" s="831" t="s">
        <v>174</v>
      </c>
      <c r="K429" s="831">
        <v>11.1</v>
      </c>
      <c r="L429" s="537"/>
      <c r="M429" s="538">
        <f>IF(K429&gt;0,VLOOKUP(H429,'[5]Pob. Ext, Parroquial'!$B$8:$F$117,4,FALSE),0)</f>
        <v>1092</v>
      </c>
      <c r="N429" s="834" t="s">
        <v>361</v>
      </c>
      <c r="O429" s="836" t="s">
        <v>333</v>
      </c>
      <c r="P429" s="836">
        <v>2.54</v>
      </c>
      <c r="Q429" s="968">
        <v>640</v>
      </c>
      <c r="R429" s="948">
        <v>41673</v>
      </c>
      <c r="S429" s="948">
        <v>41677</v>
      </c>
      <c r="T429" s="686" t="str">
        <f t="shared" si="137"/>
        <v>EJECUTADO</v>
      </c>
      <c r="U429" s="837">
        <f t="shared" si="135"/>
        <v>1625.6</v>
      </c>
      <c r="V429" s="544"/>
      <c r="W429" s="544"/>
      <c r="X429" s="660">
        <f>SUM(U429:U430)</f>
        <v>1821.11</v>
      </c>
      <c r="Y429" s="640"/>
      <c r="Z429" s="545" t="s">
        <v>334</v>
      </c>
      <c r="AA429" s="545" t="s">
        <v>178</v>
      </c>
      <c r="AB429" s="546" t="s">
        <v>187</v>
      </c>
      <c r="AC429" s="547">
        <v>2014</v>
      </c>
      <c r="AD429" s="93"/>
      <c r="AE429" s="93"/>
    </row>
    <row r="430" spans="1:31" s="94" customFormat="1" ht="50.1" customHeight="1">
      <c r="A430" s="1068"/>
      <c r="B430" s="653"/>
      <c r="C430" s="985" t="s">
        <v>182</v>
      </c>
      <c r="D430" s="1120"/>
      <c r="E430" s="655" t="str">
        <f t="shared" ref="E430" si="138">+E429</f>
        <v>VIA, LA PALMA-EL PLACER, L=11,1 km. (Paltas)( RETROEXCAVADORA DE LA JUNTA PARROQUIAL)</v>
      </c>
      <c r="F430" s="831" t="s">
        <v>330</v>
      </c>
      <c r="G430" s="831" t="str">
        <f>VLOOKUP(H430,'Pob. Ext, Parroquial'!$B$9:$C$117,2,0)</f>
        <v>PALTAS</v>
      </c>
      <c r="H430" s="832" t="s">
        <v>401</v>
      </c>
      <c r="I430" s="831" t="s">
        <v>173</v>
      </c>
      <c r="J430" s="831" t="s">
        <v>174</v>
      </c>
      <c r="K430" s="831"/>
      <c r="L430" s="537"/>
      <c r="M430" s="538">
        <f>IF(K430&gt;0,VLOOKUP(H430,'[5]Pob. Ext, Parroquial'!$B$8:$F$117,4,FALSE),0)</f>
        <v>0</v>
      </c>
      <c r="N430" s="834" t="s">
        <v>180</v>
      </c>
      <c r="O430" s="836" t="s">
        <v>352</v>
      </c>
      <c r="P430" s="836">
        <v>0.38</v>
      </c>
      <c r="Q430" s="968">
        <v>514.5</v>
      </c>
      <c r="R430" s="948">
        <v>41673</v>
      </c>
      <c r="S430" s="948">
        <v>41677</v>
      </c>
      <c r="T430" s="686" t="str">
        <f t="shared" si="137"/>
        <v>EJECUTADO</v>
      </c>
      <c r="U430" s="837">
        <f t="shared" si="135"/>
        <v>195.51</v>
      </c>
      <c r="V430" s="544"/>
      <c r="W430" s="544"/>
      <c r="X430" s="664"/>
      <c r="Y430" s="640"/>
      <c r="Z430" s="545" t="s">
        <v>334</v>
      </c>
      <c r="AA430" s="545" t="s">
        <v>178</v>
      </c>
      <c r="AB430" s="546" t="s">
        <v>187</v>
      </c>
      <c r="AC430" s="547">
        <v>2014</v>
      </c>
      <c r="AD430" s="93"/>
      <c r="AE430" s="93"/>
    </row>
    <row r="431" spans="1:31" s="94" customFormat="1" ht="50.1" customHeight="1">
      <c r="A431" s="910"/>
      <c r="B431" s="913"/>
      <c r="C431" s="985" t="s">
        <v>182</v>
      </c>
      <c r="D431" s="927" t="s">
        <v>402</v>
      </c>
      <c r="E431" s="636" t="str">
        <f>+D431</f>
        <v>VIAS DE LA PARROQUIA YAMANA, L=6,90 km. (Paltas)</v>
      </c>
      <c r="F431" s="831" t="s">
        <v>330</v>
      </c>
      <c r="G431" s="831" t="str">
        <f>VLOOKUP(H431,'Pob. Ext, Parroquial'!$B$9:$C$117,2,0)</f>
        <v>PALTAS</v>
      </c>
      <c r="H431" s="832" t="s">
        <v>403</v>
      </c>
      <c r="I431" s="831" t="s">
        <v>173</v>
      </c>
      <c r="J431" s="831" t="s">
        <v>174</v>
      </c>
      <c r="K431" s="831">
        <v>6.9</v>
      </c>
      <c r="L431" s="537">
        <f>ROUNDUP(Q431/5.5/1000,2)</f>
        <v>4.97</v>
      </c>
      <c r="M431" s="538">
        <f>IF(K431&gt;0,VLOOKUP(H431,'[5]Pob. Ext, Parroquial'!$B$8:$F$117,4,FALSE),0)</f>
        <v>797</v>
      </c>
      <c r="N431" s="834" t="s">
        <v>185</v>
      </c>
      <c r="O431" s="836" t="s">
        <v>314</v>
      </c>
      <c r="P431" s="836">
        <v>0.08</v>
      </c>
      <c r="Q431" s="968">
        <v>27300</v>
      </c>
      <c r="R431" s="948">
        <v>41641</v>
      </c>
      <c r="S431" s="948">
        <v>41644</v>
      </c>
      <c r="T431" s="686" t="str">
        <f t="shared" si="137"/>
        <v>EJECUTADO</v>
      </c>
      <c r="U431" s="837">
        <f t="shared" si="135"/>
        <v>2184</v>
      </c>
      <c r="V431" s="544"/>
      <c r="W431" s="544"/>
      <c r="X431" s="912">
        <f>U431+V431+W431</f>
        <v>2184</v>
      </c>
      <c r="Y431" s="640"/>
      <c r="Z431" s="545" t="s">
        <v>334</v>
      </c>
      <c r="AA431" s="545" t="s">
        <v>178</v>
      </c>
      <c r="AB431" s="546" t="s">
        <v>179</v>
      </c>
      <c r="AC431" s="547">
        <v>2014</v>
      </c>
      <c r="AD431" s="93"/>
      <c r="AE431" s="93"/>
    </row>
    <row r="432" spans="1:31" s="94" customFormat="1" ht="50.1" customHeight="1">
      <c r="A432" s="1068"/>
      <c r="B432" s="1076"/>
      <c r="C432" s="985" t="s">
        <v>182</v>
      </c>
      <c r="D432" s="1117" t="s">
        <v>404</v>
      </c>
      <c r="E432" s="636" t="str">
        <f>+D432</f>
        <v>VIA, PLAYAS-YAMANA, L=3,8 km. (Paltas)</v>
      </c>
      <c r="F432" s="831" t="s">
        <v>330</v>
      </c>
      <c r="G432" s="831" t="str">
        <f>VLOOKUP(H432,'Pob. Ext, Parroquial'!$B$9:$C$117,2,0)</f>
        <v>PALTAS</v>
      </c>
      <c r="H432" s="832" t="s">
        <v>403</v>
      </c>
      <c r="I432" s="831" t="s">
        <v>173</v>
      </c>
      <c r="J432" s="831" t="s">
        <v>174</v>
      </c>
      <c r="K432" s="831">
        <v>3.8</v>
      </c>
      <c r="L432" s="537"/>
      <c r="M432" s="538">
        <f>IF(K432&gt;0,VLOOKUP(H432,'[5]Pob. Ext, Parroquial'!$B$8:$F$117,4,FALSE),0)</f>
        <v>797</v>
      </c>
      <c r="N432" s="834" t="s">
        <v>336</v>
      </c>
      <c r="O432" s="836" t="s">
        <v>333</v>
      </c>
      <c r="P432" s="836">
        <v>1.47</v>
      </c>
      <c r="Q432" s="968">
        <v>1325</v>
      </c>
      <c r="R432" s="948">
        <v>41641</v>
      </c>
      <c r="S432" s="948">
        <v>41650</v>
      </c>
      <c r="T432" s="686" t="str">
        <f t="shared" si="137"/>
        <v>EJECUTADO</v>
      </c>
      <c r="U432" s="837">
        <f t="shared" si="135"/>
        <v>1947.75</v>
      </c>
      <c r="V432" s="544"/>
      <c r="W432" s="544"/>
      <c r="X432" s="660">
        <f>SUM(U432:U434)</f>
        <v>9294.8599999999988</v>
      </c>
      <c r="Y432" s="640"/>
      <c r="Z432" s="545" t="s">
        <v>334</v>
      </c>
      <c r="AA432" s="545" t="s">
        <v>178</v>
      </c>
      <c r="AB432" s="546" t="s">
        <v>179</v>
      </c>
      <c r="AC432" s="547">
        <v>2014</v>
      </c>
      <c r="AD432" s="93"/>
      <c r="AE432" s="93"/>
    </row>
    <row r="433" spans="1:31" s="94" customFormat="1" ht="50.1" customHeight="1">
      <c r="A433" s="1068"/>
      <c r="B433" s="1076"/>
      <c r="C433" s="985" t="s">
        <v>182</v>
      </c>
      <c r="D433" s="1118"/>
      <c r="E433" s="655" t="str">
        <f t="shared" ref="E433:E434" si="139">+E432</f>
        <v>VIA, PLAYAS-YAMANA, L=3,8 km. (Paltas)</v>
      </c>
      <c r="F433" s="831" t="s">
        <v>330</v>
      </c>
      <c r="G433" s="831" t="str">
        <f>VLOOKUP(H433,'Pob. Ext, Parroquial'!$B$9:$C$117,2,0)</f>
        <v>PALTAS</v>
      </c>
      <c r="H433" s="832" t="s">
        <v>403</v>
      </c>
      <c r="I433" s="831" t="s">
        <v>173</v>
      </c>
      <c r="J433" s="831" t="s">
        <v>174</v>
      </c>
      <c r="K433" s="831"/>
      <c r="L433" s="537">
        <f>+ROUND(Q433/5500/0.2,2)</f>
        <v>1.08</v>
      </c>
      <c r="M433" s="538">
        <f>IF(K433&gt;0,VLOOKUP(H433,'[5]Pob. Ext, Parroquial'!$B$8:$F$117,4,FALSE),0)</f>
        <v>0</v>
      </c>
      <c r="N433" s="834" t="s">
        <v>229</v>
      </c>
      <c r="O433" s="836" t="s">
        <v>333</v>
      </c>
      <c r="P433" s="836">
        <v>5.92</v>
      </c>
      <c r="Q433" s="968">
        <v>1192</v>
      </c>
      <c r="R433" s="948">
        <v>41641</v>
      </c>
      <c r="S433" s="948">
        <v>41650</v>
      </c>
      <c r="T433" s="686" t="str">
        <f t="shared" si="137"/>
        <v>EJECUTADO</v>
      </c>
      <c r="U433" s="837">
        <f t="shared" si="135"/>
        <v>7056.64</v>
      </c>
      <c r="V433" s="544"/>
      <c r="W433" s="544"/>
      <c r="X433" s="662"/>
      <c r="Y433" s="640"/>
      <c r="Z433" s="545" t="s">
        <v>334</v>
      </c>
      <c r="AA433" s="545" t="s">
        <v>178</v>
      </c>
      <c r="AB433" s="546" t="s">
        <v>179</v>
      </c>
      <c r="AC433" s="547">
        <v>2014</v>
      </c>
      <c r="AD433" s="93"/>
      <c r="AE433" s="93"/>
    </row>
    <row r="434" spans="1:31" s="94" customFormat="1" ht="50.1" customHeight="1">
      <c r="A434" s="1068"/>
      <c r="B434" s="1076"/>
      <c r="C434" s="985" t="s">
        <v>182</v>
      </c>
      <c r="D434" s="1120"/>
      <c r="E434" s="655" t="str">
        <f t="shared" si="139"/>
        <v>VIA, PLAYAS-YAMANA, L=3,8 km. (Paltas)</v>
      </c>
      <c r="F434" s="831" t="s">
        <v>330</v>
      </c>
      <c r="G434" s="831" t="str">
        <f>VLOOKUP(H434,'Pob. Ext, Parroquial'!$B$9:$C$117,2,0)</f>
        <v>PALTAS</v>
      </c>
      <c r="H434" s="832" t="s">
        <v>403</v>
      </c>
      <c r="I434" s="831" t="s">
        <v>173</v>
      </c>
      <c r="J434" s="831" t="s">
        <v>174</v>
      </c>
      <c r="K434" s="831"/>
      <c r="L434" s="537"/>
      <c r="M434" s="538">
        <f>IF(K434&gt;0,VLOOKUP(H434,'[5]Pob. Ext, Parroquial'!$B$8:$F$117,4,FALSE),0)</f>
        <v>0</v>
      </c>
      <c r="N434" s="834" t="s">
        <v>180</v>
      </c>
      <c r="O434" s="836" t="s">
        <v>352</v>
      </c>
      <c r="P434" s="836">
        <v>0.38</v>
      </c>
      <c r="Q434" s="968">
        <v>764.4</v>
      </c>
      <c r="R434" s="948">
        <v>41641</v>
      </c>
      <c r="S434" s="948">
        <v>41650</v>
      </c>
      <c r="T434" s="686" t="str">
        <f t="shared" si="137"/>
        <v>EJECUTADO</v>
      </c>
      <c r="U434" s="837">
        <f t="shared" si="135"/>
        <v>290.47000000000003</v>
      </c>
      <c r="V434" s="544"/>
      <c r="W434" s="544"/>
      <c r="X434" s="664"/>
      <c r="Y434" s="640"/>
      <c r="Z434" s="545" t="s">
        <v>334</v>
      </c>
      <c r="AA434" s="545" t="s">
        <v>178</v>
      </c>
      <c r="AB434" s="546" t="s">
        <v>179</v>
      </c>
      <c r="AC434" s="547">
        <v>2014</v>
      </c>
      <c r="AD434" s="93"/>
      <c r="AE434" s="93"/>
    </row>
    <row r="435" spans="1:31" s="94" customFormat="1" ht="50.1" customHeight="1">
      <c r="A435" s="1068"/>
      <c r="B435" s="1076"/>
      <c r="C435" s="985" t="s">
        <v>182</v>
      </c>
      <c r="D435" s="1117" t="s">
        <v>405</v>
      </c>
      <c r="E435" s="636" t="str">
        <f>+D435</f>
        <v>VIA, SAN ANTONIO-EL SAUCE, L=9,7 km. (Paltas)</v>
      </c>
      <c r="F435" s="831" t="s">
        <v>330</v>
      </c>
      <c r="G435" s="831" t="str">
        <f>VLOOKUP(H435,'Pob. Ext, Parroquial'!$B$9:$C$117,2,0)</f>
        <v>PALTAS</v>
      </c>
      <c r="H435" s="832" t="s">
        <v>406</v>
      </c>
      <c r="I435" s="831" t="s">
        <v>173</v>
      </c>
      <c r="J435" s="831" t="s">
        <v>174</v>
      </c>
      <c r="K435" s="831">
        <v>9.6999999999999993</v>
      </c>
      <c r="L435" s="537"/>
      <c r="M435" s="538">
        <f>IF(K435&gt;0,VLOOKUP(H435,'[5]Pob. Ext, Parroquial'!$B$8:$F$117,4,FALSE),0)</f>
        <v>639</v>
      </c>
      <c r="N435" s="834" t="s">
        <v>361</v>
      </c>
      <c r="O435" s="836" t="s">
        <v>333</v>
      </c>
      <c r="P435" s="836">
        <v>2.54</v>
      </c>
      <c r="Q435" s="968">
        <v>10895</v>
      </c>
      <c r="R435" s="948">
        <v>41655</v>
      </c>
      <c r="S435" s="948">
        <v>41729</v>
      </c>
      <c r="T435" s="686" t="str">
        <f t="shared" si="137"/>
        <v>EJECUTADO</v>
      </c>
      <c r="U435" s="837">
        <f t="shared" si="135"/>
        <v>27673.3</v>
      </c>
      <c r="V435" s="544"/>
      <c r="W435" s="544"/>
      <c r="X435" s="660">
        <f>SUM(U435:U439)</f>
        <v>105800.52</v>
      </c>
      <c r="Y435" s="640"/>
      <c r="Z435" s="545" t="s">
        <v>334</v>
      </c>
      <c r="AA435" s="545" t="s">
        <v>178</v>
      </c>
      <c r="AB435" s="546" t="s">
        <v>187</v>
      </c>
      <c r="AC435" s="547">
        <v>2014</v>
      </c>
      <c r="AD435" s="93"/>
      <c r="AE435" s="93"/>
    </row>
    <row r="436" spans="1:31" s="94" customFormat="1" ht="50.1" customHeight="1">
      <c r="A436" s="1068"/>
      <c r="B436" s="1076"/>
      <c r="C436" s="985" t="s">
        <v>182</v>
      </c>
      <c r="D436" s="1118"/>
      <c r="E436" s="655" t="str">
        <f t="shared" ref="E436:E439" si="140">+E435</f>
        <v>VIA, SAN ANTONIO-EL SAUCE, L=9,7 km. (Paltas)</v>
      </c>
      <c r="F436" s="831" t="s">
        <v>330</v>
      </c>
      <c r="G436" s="831" t="str">
        <f>VLOOKUP(H436,'Pob. Ext, Parroquial'!$B$9:$C$117,2,0)</f>
        <v>PALTAS</v>
      </c>
      <c r="H436" s="832" t="s">
        <v>406</v>
      </c>
      <c r="I436" s="831" t="s">
        <v>173</v>
      </c>
      <c r="J436" s="831" t="s">
        <v>174</v>
      </c>
      <c r="K436" s="831"/>
      <c r="L436" s="537"/>
      <c r="M436" s="538"/>
      <c r="N436" s="834" t="s">
        <v>336</v>
      </c>
      <c r="O436" s="836" t="s">
        <v>333</v>
      </c>
      <c r="P436" s="836">
        <v>1.47</v>
      </c>
      <c r="Q436" s="968">
        <v>8985</v>
      </c>
      <c r="R436" s="948">
        <v>41655</v>
      </c>
      <c r="S436" s="948">
        <v>41729</v>
      </c>
      <c r="T436" s="686" t="str">
        <f t="shared" si="137"/>
        <v>EJECUTADO</v>
      </c>
      <c r="U436" s="837">
        <f t="shared" si="135"/>
        <v>13207.95</v>
      </c>
      <c r="V436" s="544"/>
      <c r="W436" s="544"/>
      <c r="X436" s="662"/>
      <c r="Y436" s="640"/>
      <c r="Z436" s="545" t="s">
        <v>334</v>
      </c>
      <c r="AA436" s="545" t="s">
        <v>178</v>
      </c>
      <c r="AB436" s="546" t="s">
        <v>187</v>
      </c>
      <c r="AC436" s="547">
        <v>2014</v>
      </c>
      <c r="AD436" s="93"/>
      <c r="AE436" s="93"/>
    </row>
    <row r="437" spans="1:31" s="94" customFormat="1" ht="50.1" customHeight="1">
      <c r="A437" s="1068"/>
      <c r="B437" s="1076"/>
      <c r="C437" s="985" t="s">
        <v>182</v>
      </c>
      <c r="D437" s="1118"/>
      <c r="E437" s="655" t="str">
        <f t="shared" si="140"/>
        <v>VIA, SAN ANTONIO-EL SAUCE, L=9,7 km. (Paltas)</v>
      </c>
      <c r="F437" s="831" t="s">
        <v>330</v>
      </c>
      <c r="G437" s="831" t="str">
        <f>VLOOKUP(H437,'Pob. Ext, Parroquial'!$B$9:$C$117,2,0)</f>
        <v>PALTAS</v>
      </c>
      <c r="H437" s="832" t="s">
        <v>406</v>
      </c>
      <c r="I437" s="831" t="s">
        <v>173</v>
      </c>
      <c r="J437" s="831" t="s">
        <v>174</v>
      </c>
      <c r="K437" s="831"/>
      <c r="L437" s="537">
        <f>ROUNDUP(Q437/5.5/1000,2)</f>
        <v>4.0699999999999994</v>
      </c>
      <c r="M437" s="538"/>
      <c r="N437" s="834" t="s">
        <v>185</v>
      </c>
      <c r="O437" s="836" t="s">
        <v>314</v>
      </c>
      <c r="P437" s="836">
        <v>0.08</v>
      </c>
      <c r="Q437" s="968">
        <v>22344</v>
      </c>
      <c r="R437" s="948">
        <v>41655</v>
      </c>
      <c r="S437" s="948">
        <v>41729</v>
      </c>
      <c r="T437" s="686" t="str">
        <f t="shared" si="137"/>
        <v>EJECUTADO</v>
      </c>
      <c r="U437" s="837">
        <f t="shared" si="135"/>
        <v>1787.52</v>
      </c>
      <c r="V437" s="544"/>
      <c r="W437" s="544"/>
      <c r="X437" s="662"/>
      <c r="Y437" s="640"/>
      <c r="Z437" s="545" t="s">
        <v>334</v>
      </c>
      <c r="AA437" s="545" t="s">
        <v>178</v>
      </c>
      <c r="AB437" s="546" t="s">
        <v>187</v>
      </c>
      <c r="AC437" s="547">
        <v>2014</v>
      </c>
      <c r="AD437" s="93"/>
      <c r="AE437" s="93"/>
    </row>
    <row r="438" spans="1:31" s="94" customFormat="1" ht="50.1" customHeight="1">
      <c r="A438" s="1068"/>
      <c r="B438" s="1076"/>
      <c r="C438" s="985" t="s">
        <v>182</v>
      </c>
      <c r="D438" s="1118"/>
      <c r="E438" s="655" t="str">
        <f t="shared" si="140"/>
        <v>VIA, SAN ANTONIO-EL SAUCE, L=9,7 km. (Paltas)</v>
      </c>
      <c r="F438" s="831" t="s">
        <v>330</v>
      </c>
      <c r="G438" s="831" t="str">
        <f>VLOOKUP(H438,'Pob. Ext, Parroquial'!$B$9:$C$117,2,0)</f>
        <v>PALTAS</v>
      </c>
      <c r="H438" s="832" t="s">
        <v>406</v>
      </c>
      <c r="I438" s="831" t="s">
        <v>173</v>
      </c>
      <c r="J438" s="831" t="s">
        <v>174</v>
      </c>
      <c r="K438" s="831"/>
      <c r="L438" s="537">
        <f>+ROUND(Q438/5500/0.2,2)</f>
        <v>8.19</v>
      </c>
      <c r="M438" s="538"/>
      <c r="N438" s="834" t="s">
        <v>229</v>
      </c>
      <c r="O438" s="836" t="s">
        <v>333</v>
      </c>
      <c r="P438" s="836">
        <v>5.92</v>
      </c>
      <c r="Q438" s="968">
        <v>9011</v>
      </c>
      <c r="R438" s="948">
        <v>41655</v>
      </c>
      <c r="S438" s="948">
        <v>41729</v>
      </c>
      <c r="T438" s="686" t="str">
        <f t="shared" si="137"/>
        <v>EJECUTADO</v>
      </c>
      <c r="U438" s="837">
        <f t="shared" si="135"/>
        <v>53345.120000000003</v>
      </c>
      <c r="V438" s="544"/>
      <c r="W438" s="544"/>
      <c r="X438" s="662"/>
      <c r="Y438" s="640"/>
      <c r="Z438" s="545" t="s">
        <v>334</v>
      </c>
      <c r="AA438" s="545" t="s">
        <v>178</v>
      </c>
      <c r="AB438" s="546" t="s">
        <v>187</v>
      </c>
      <c r="AC438" s="547">
        <v>2014</v>
      </c>
      <c r="AD438" s="93"/>
      <c r="AE438" s="93"/>
    </row>
    <row r="439" spans="1:31" s="94" customFormat="1" ht="50.1" customHeight="1">
      <c r="A439" s="1068"/>
      <c r="B439" s="1076"/>
      <c r="C439" s="985" t="s">
        <v>182</v>
      </c>
      <c r="D439" s="1120"/>
      <c r="E439" s="655" t="str">
        <f t="shared" si="140"/>
        <v>VIA, SAN ANTONIO-EL SAUCE, L=9,7 km. (Paltas)</v>
      </c>
      <c r="F439" s="831" t="s">
        <v>330</v>
      </c>
      <c r="G439" s="831" t="str">
        <f>VLOOKUP(H439,'Pob. Ext, Parroquial'!$B$9:$C$117,2,0)</f>
        <v>PALTAS</v>
      </c>
      <c r="H439" s="832" t="s">
        <v>406</v>
      </c>
      <c r="I439" s="831" t="s">
        <v>173</v>
      </c>
      <c r="J439" s="831" t="s">
        <v>174</v>
      </c>
      <c r="K439" s="831"/>
      <c r="L439" s="537"/>
      <c r="M439" s="538"/>
      <c r="N439" s="834" t="s">
        <v>180</v>
      </c>
      <c r="O439" s="836" t="s">
        <v>352</v>
      </c>
      <c r="P439" s="836">
        <v>0.35</v>
      </c>
      <c r="Q439" s="968">
        <v>27961.8</v>
      </c>
      <c r="R439" s="948">
        <v>41655</v>
      </c>
      <c r="S439" s="948">
        <v>41729</v>
      </c>
      <c r="T439" s="686" t="str">
        <f t="shared" si="137"/>
        <v>EJECUTADO</v>
      </c>
      <c r="U439" s="837">
        <f t="shared" si="135"/>
        <v>9786.6299999999992</v>
      </c>
      <c r="V439" s="544"/>
      <c r="W439" s="544"/>
      <c r="X439" s="664"/>
      <c r="Y439" s="640"/>
      <c r="Z439" s="545" t="s">
        <v>334</v>
      </c>
      <c r="AA439" s="545" t="s">
        <v>178</v>
      </c>
      <c r="AB439" s="546" t="s">
        <v>187</v>
      </c>
      <c r="AC439" s="547">
        <v>2014</v>
      </c>
      <c r="AD439" s="93"/>
      <c r="AE439" s="93"/>
    </row>
    <row r="440" spans="1:31" s="94" customFormat="1" ht="50.1" customHeight="1">
      <c r="A440" s="1068"/>
      <c r="B440" s="1076"/>
      <c r="C440" s="985" t="s">
        <v>182</v>
      </c>
      <c r="D440" s="1117" t="s">
        <v>407</v>
      </c>
      <c r="E440" s="636" t="str">
        <f>+D440</f>
        <v>VIA, SAN ANTONIO-YAMANA, L=2.8 km. (Paltas) Inicio: 22 de marzo</v>
      </c>
      <c r="F440" s="831" t="s">
        <v>330</v>
      </c>
      <c r="G440" s="831" t="str">
        <f>VLOOKUP(H440,'Pob. Ext, Parroquial'!$B$9:$C$117,2,0)</f>
        <v>PALTAS</v>
      </c>
      <c r="H440" s="832" t="s">
        <v>406</v>
      </c>
      <c r="I440" s="831" t="s">
        <v>173</v>
      </c>
      <c r="J440" s="831" t="s">
        <v>174</v>
      </c>
      <c r="K440" s="831">
        <v>5.7</v>
      </c>
      <c r="L440" s="537"/>
      <c r="M440" s="538"/>
      <c r="N440" s="834" t="s">
        <v>361</v>
      </c>
      <c r="O440" s="836" t="s">
        <v>333</v>
      </c>
      <c r="P440" s="836">
        <v>2.54</v>
      </c>
      <c r="Q440" s="968">
        <v>880</v>
      </c>
      <c r="R440" s="948">
        <v>41719</v>
      </c>
      <c r="S440" s="948">
        <v>41729</v>
      </c>
      <c r="T440" s="686" t="str">
        <f t="shared" si="137"/>
        <v>EJECUTADO</v>
      </c>
      <c r="U440" s="837">
        <f t="shared" si="135"/>
        <v>2235.1999999999998</v>
      </c>
      <c r="V440" s="544"/>
      <c r="W440" s="544"/>
      <c r="X440" s="660">
        <f>SUM(U440:U445)</f>
        <v>19205.28</v>
      </c>
      <c r="Y440" s="640"/>
      <c r="Z440" s="545" t="s">
        <v>334</v>
      </c>
      <c r="AA440" s="545" t="s">
        <v>178</v>
      </c>
      <c r="AB440" s="546" t="s">
        <v>187</v>
      </c>
      <c r="AC440" s="547">
        <v>2014</v>
      </c>
      <c r="AD440" s="93"/>
      <c r="AE440" s="93"/>
    </row>
    <row r="441" spans="1:31" s="94" customFormat="1" ht="50.1" customHeight="1">
      <c r="A441" s="1068"/>
      <c r="B441" s="1076"/>
      <c r="C441" s="985" t="s">
        <v>182</v>
      </c>
      <c r="D441" s="1118"/>
      <c r="E441" s="655" t="str">
        <f t="shared" ref="E441:E445" si="141">+E440</f>
        <v>VIA, SAN ANTONIO-YAMANA, L=2.8 km. (Paltas) Inicio: 22 de marzo</v>
      </c>
      <c r="F441" s="831" t="s">
        <v>330</v>
      </c>
      <c r="G441" s="831" t="str">
        <f>VLOOKUP(H441,'Pob. Ext, Parroquial'!$B$9:$C$117,2,0)</f>
        <v>PALTAS</v>
      </c>
      <c r="H441" s="832" t="s">
        <v>406</v>
      </c>
      <c r="I441" s="831" t="s">
        <v>173</v>
      </c>
      <c r="J441" s="831" t="s">
        <v>174</v>
      </c>
      <c r="K441" s="831"/>
      <c r="L441" s="537"/>
      <c r="M441" s="538"/>
      <c r="N441" s="834" t="s">
        <v>362</v>
      </c>
      <c r="O441" s="836" t="s">
        <v>333</v>
      </c>
      <c r="P441" s="836">
        <v>1.62</v>
      </c>
      <c r="Q441" s="968">
        <v>4070</v>
      </c>
      <c r="R441" s="948">
        <v>41719</v>
      </c>
      <c r="S441" s="948">
        <v>41729</v>
      </c>
      <c r="T441" s="686" t="str">
        <f t="shared" si="137"/>
        <v>EJECUTADO</v>
      </c>
      <c r="U441" s="837">
        <f t="shared" si="135"/>
        <v>6593.4</v>
      </c>
      <c r="V441" s="544"/>
      <c r="W441" s="544"/>
      <c r="X441" s="662"/>
      <c r="Y441" s="640"/>
      <c r="Z441" s="545" t="s">
        <v>334</v>
      </c>
      <c r="AA441" s="545" t="s">
        <v>178</v>
      </c>
      <c r="AB441" s="546" t="s">
        <v>187</v>
      </c>
      <c r="AC441" s="547">
        <v>2014</v>
      </c>
      <c r="AD441" s="93"/>
      <c r="AE441" s="93"/>
    </row>
    <row r="442" spans="1:31" s="94" customFormat="1" ht="50.1" customHeight="1">
      <c r="A442" s="1068"/>
      <c r="B442" s="1076"/>
      <c r="C442" s="985" t="s">
        <v>182</v>
      </c>
      <c r="D442" s="1118"/>
      <c r="E442" s="655" t="str">
        <f t="shared" si="141"/>
        <v>VIA, SAN ANTONIO-YAMANA, L=2.8 km. (Paltas) Inicio: 22 de marzo</v>
      </c>
      <c r="F442" s="831" t="s">
        <v>330</v>
      </c>
      <c r="G442" s="831" t="str">
        <f>VLOOKUP(H442,'Pob. Ext, Parroquial'!$B$9:$C$117,2,0)</f>
        <v>PALTAS</v>
      </c>
      <c r="H442" s="832" t="s">
        <v>406</v>
      </c>
      <c r="I442" s="831" t="s">
        <v>173</v>
      </c>
      <c r="J442" s="831" t="s">
        <v>174</v>
      </c>
      <c r="K442" s="831"/>
      <c r="L442" s="537"/>
      <c r="M442" s="538"/>
      <c r="N442" s="834" t="s">
        <v>336</v>
      </c>
      <c r="O442" s="836" t="s">
        <v>333</v>
      </c>
      <c r="P442" s="836">
        <v>1.47</v>
      </c>
      <c r="Q442" s="968">
        <v>2400</v>
      </c>
      <c r="R442" s="948">
        <v>41719</v>
      </c>
      <c r="S442" s="948">
        <v>41729</v>
      </c>
      <c r="T442" s="686" t="str">
        <f t="shared" si="137"/>
        <v>EJECUTADO</v>
      </c>
      <c r="U442" s="837">
        <f t="shared" si="135"/>
        <v>3528</v>
      </c>
      <c r="V442" s="544"/>
      <c r="W442" s="544"/>
      <c r="X442" s="662"/>
      <c r="Y442" s="640"/>
      <c r="Z442" s="545" t="s">
        <v>334</v>
      </c>
      <c r="AA442" s="545" t="s">
        <v>178</v>
      </c>
      <c r="AB442" s="546" t="s">
        <v>187</v>
      </c>
      <c r="AC442" s="547">
        <v>2014</v>
      </c>
      <c r="AD442" s="93"/>
      <c r="AE442" s="93"/>
    </row>
    <row r="443" spans="1:31" s="94" customFormat="1" ht="50.1" customHeight="1">
      <c r="A443" s="1068"/>
      <c r="B443" s="1076"/>
      <c r="C443" s="985" t="s">
        <v>182</v>
      </c>
      <c r="D443" s="1118"/>
      <c r="E443" s="655" t="str">
        <f t="shared" si="141"/>
        <v>VIA, SAN ANTONIO-YAMANA, L=2.8 km. (Paltas) Inicio: 22 de marzo</v>
      </c>
      <c r="F443" s="831" t="s">
        <v>330</v>
      </c>
      <c r="G443" s="831" t="str">
        <f>VLOOKUP(H443,'Pob. Ext, Parroquial'!$B$9:$C$117,2,0)</f>
        <v>PALTAS</v>
      </c>
      <c r="H443" s="832" t="s">
        <v>406</v>
      </c>
      <c r="I443" s="831" t="s">
        <v>173</v>
      </c>
      <c r="J443" s="831" t="s">
        <v>174</v>
      </c>
      <c r="K443" s="831"/>
      <c r="L443" s="537">
        <f>ROUNDUP(Q443/5.5/1000,2)</f>
        <v>3.6399999999999997</v>
      </c>
      <c r="M443" s="538"/>
      <c r="N443" s="834" t="s">
        <v>185</v>
      </c>
      <c r="O443" s="836" t="s">
        <v>314</v>
      </c>
      <c r="P443" s="836">
        <v>0.08</v>
      </c>
      <c r="Q443" s="968">
        <v>20000</v>
      </c>
      <c r="R443" s="948">
        <v>41719</v>
      </c>
      <c r="S443" s="948">
        <v>41729</v>
      </c>
      <c r="T443" s="686" t="str">
        <f t="shared" si="137"/>
        <v>EJECUTADO</v>
      </c>
      <c r="U443" s="837">
        <f t="shared" si="135"/>
        <v>1600</v>
      </c>
      <c r="V443" s="544"/>
      <c r="W443" s="544"/>
      <c r="X443" s="662"/>
      <c r="Y443" s="640"/>
      <c r="Z443" s="545" t="s">
        <v>334</v>
      </c>
      <c r="AA443" s="545" t="s">
        <v>178</v>
      </c>
      <c r="AB443" s="546" t="s">
        <v>187</v>
      </c>
      <c r="AC443" s="547">
        <v>2014</v>
      </c>
      <c r="AD443" s="93"/>
      <c r="AE443" s="93"/>
    </row>
    <row r="444" spans="1:31" s="94" customFormat="1" ht="50.1" customHeight="1">
      <c r="A444" s="1068"/>
      <c r="B444" s="1076"/>
      <c r="C444" s="985" t="s">
        <v>182</v>
      </c>
      <c r="D444" s="1118"/>
      <c r="E444" s="655" t="str">
        <f t="shared" si="141"/>
        <v>VIA, SAN ANTONIO-YAMANA, L=2.8 km. (Paltas) Inicio: 22 de marzo</v>
      </c>
      <c r="F444" s="831" t="s">
        <v>330</v>
      </c>
      <c r="G444" s="831" t="str">
        <f>VLOOKUP(H444,'Pob. Ext, Parroquial'!$B$9:$C$117,2,0)</f>
        <v>PALTAS</v>
      </c>
      <c r="H444" s="832" t="s">
        <v>406</v>
      </c>
      <c r="I444" s="831" t="s">
        <v>173</v>
      </c>
      <c r="J444" s="831" t="s">
        <v>174</v>
      </c>
      <c r="K444" s="831"/>
      <c r="L444" s="537">
        <f>+ROUND(Q444/5500/0.2,2)</f>
        <v>0.76</v>
      </c>
      <c r="M444" s="538"/>
      <c r="N444" s="834" t="s">
        <v>229</v>
      </c>
      <c r="O444" s="836" t="s">
        <v>333</v>
      </c>
      <c r="P444" s="836">
        <v>5.92</v>
      </c>
      <c r="Q444" s="968">
        <v>840</v>
      </c>
      <c r="R444" s="948">
        <v>41719</v>
      </c>
      <c r="S444" s="948">
        <v>41729</v>
      </c>
      <c r="T444" s="686" t="str">
        <f t="shared" si="137"/>
        <v>EJECUTADO</v>
      </c>
      <c r="U444" s="837">
        <f t="shared" si="135"/>
        <v>4972.8</v>
      </c>
      <c r="V444" s="544"/>
      <c r="W444" s="544"/>
      <c r="X444" s="662"/>
      <c r="Y444" s="640"/>
      <c r="Z444" s="545" t="s">
        <v>334</v>
      </c>
      <c r="AA444" s="545" t="s">
        <v>178</v>
      </c>
      <c r="AB444" s="546" t="s">
        <v>187</v>
      </c>
      <c r="AC444" s="547">
        <v>2014</v>
      </c>
      <c r="AD444" s="93"/>
      <c r="AE444" s="93"/>
    </row>
    <row r="445" spans="1:31" s="94" customFormat="1" ht="50.1" customHeight="1">
      <c r="A445" s="1068"/>
      <c r="B445" s="1076"/>
      <c r="C445" s="985" t="s">
        <v>182</v>
      </c>
      <c r="D445" s="1120"/>
      <c r="E445" s="655" t="str">
        <f t="shared" si="141"/>
        <v>VIA, SAN ANTONIO-YAMANA, L=2.8 km. (Paltas) Inicio: 22 de marzo</v>
      </c>
      <c r="F445" s="831" t="s">
        <v>330</v>
      </c>
      <c r="G445" s="831" t="str">
        <f>VLOOKUP(H445,'Pob. Ext, Parroquial'!$B$9:$C$117,2,0)</f>
        <v>PALTAS</v>
      </c>
      <c r="H445" s="832" t="s">
        <v>406</v>
      </c>
      <c r="I445" s="831" t="s">
        <v>173</v>
      </c>
      <c r="J445" s="831" t="s">
        <v>174</v>
      </c>
      <c r="K445" s="831"/>
      <c r="L445" s="537"/>
      <c r="M445" s="538"/>
      <c r="N445" s="834" t="s">
        <v>180</v>
      </c>
      <c r="O445" s="836" t="s">
        <v>352</v>
      </c>
      <c r="P445" s="836">
        <v>0.38</v>
      </c>
      <c r="Q445" s="968">
        <v>726</v>
      </c>
      <c r="R445" s="948">
        <v>41719</v>
      </c>
      <c r="S445" s="948">
        <v>41729</v>
      </c>
      <c r="T445" s="686" t="str">
        <f t="shared" si="137"/>
        <v>EJECUTADO</v>
      </c>
      <c r="U445" s="837">
        <f t="shared" si="135"/>
        <v>275.88</v>
      </c>
      <c r="V445" s="544"/>
      <c r="W445" s="544"/>
      <c r="X445" s="664"/>
      <c r="Y445" s="640"/>
      <c r="Z445" s="545" t="s">
        <v>334</v>
      </c>
      <c r="AA445" s="545" t="s">
        <v>178</v>
      </c>
      <c r="AB445" s="546" t="s">
        <v>187</v>
      </c>
      <c r="AC445" s="547">
        <v>2014</v>
      </c>
      <c r="AD445" s="93"/>
      <c r="AE445" s="93"/>
    </row>
    <row r="446" spans="1:31" s="94" customFormat="1" ht="50.1" customHeight="1">
      <c r="A446" s="910"/>
      <c r="B446" s="913"/>
      <c r="C446" s="985" t="s">
        <v>182</v>
      </c>
      <c r="D446" s="927" t="s">
        <v>408</v>
      </c>
      <c r="E446" s="636" t="str">
        <f>+D446</f>
        <v>VIAS DE ACCESO A LOS BARRIOS, STO. DOMINGO, L=3.8 km. CHORRERA L=0.8 km. (Paltas)</v>
      </c>
      <c r="F446" s="831" t="s">
        <v>330</v>
      </c>
      <c r="G446" s="831" t="str">
        <f>VLOOKUP(H446,'Pob. Ext, Parroquial'!$B$9:$C$117,2,0)</f>
        <v>PALTAS</v>
      </c>
      <c r="H446" s="832" t="s">
        <v>406</v>
      </c>
      <c r="I446" s="831" t="s">
        <v>173</v>
      </c>
      <c r="J446" s="831" t="s">
        <v>174</v>
      </c>
      <c r="K446" s="831">
        <v>0.8</v>
      </c>
      <c r="L446" s="537">
        <f t="shared" ref="L446:L447" si="142">ROUNDUP(Q446/5.5/1000,2)</f>
        <v>2.96</v>
      </c>
      <c r="M446" s="538">
        <f>IF(K446&gt;0,VLOOKUP(H446,'[5]Pob. Ext, Parroquial'!$B$8:$F$117,4,FALSE),0)</f>
        <v>639</v>
      </c>
      <c r="N446" s="834" t="s">
        <v>185</v>
      </c>
      <c r="O446" s="836" t="s">
        <v>314</v>
      </c>
      <c r="P446" s="836">
        <v>0.08</v>
      </c>
      <c r="Q446" s="968">
        <v>16280</v>
      </c>
      <c r="R446" s="948">
        <v>41730</v>
      </c>
      <c r="S446" s="948">
        <v>41759</v>
      </c>
      <c r="T446" s="686" t="str">
        <f t="shared" si="137"/>
        <v>EJECUTADO</v>
      </c>
      <c r="U446" s="837">
        <f t="shared" si="135"/>
        <v>1302.4000000000001</v>
      </c>
      <c r="V446" s="544"/>
      <c r="W446" s="544"/>
      <c r="X446" s="912">
        <f>U446+V446+W446</f>
        <v>1302.4000000000001</v>
      </c>
      <c r="Y446" s="640"/>
      <c r="Z446" s="545" t="s">
        <v>334</v>
      </c>
      <c r="AA446" s="545" t="s">
        <v>178</v>
      </c>
      <c r="AB446" s="546" t="s">
        <v>187</v>
      </c>
      <c r="AC446" s="547">
        <v>2014</v>
      </c>
      <c r="AD446" s="93"/>
      <c r="AE446" s="93"/>
    </row>
    <row r="447" spans="1:31" s="94" customFormat="1" ht="50.1" customHeight="1">
      <c r="A447" s="910"/>
      <c r="B447" s="913"/>
      <c r="C447" s="985" t="s">
        <v>182</v>
      </c>
      <c r="D447" s="927" t="s">
        <v>413</v>
      </c>
      <c r="E447" s="636" t="str">
        <f>+D447</f>
        <v>VIAS DE ACCESO A LOS BARRIOS, SACAPIANGA Y SAN ANTONIO BAJO</v>
      </c>
      <c r="F447" s="831" t="s">
        <v>330</v>
      </c>
      <c r="G447" s="831" t="str">
        <f>VLOOKUP(H447,'Pob. Ext, Parroquial'!$B$9:$C$117,2,0)</f>
        <v>PALTAS</v>
      </c>
      <c r="H447" s="832" t="s">
        <v>406</v>
      </c>
      <c r="I447" s="831" t="s">
        <v>173</v>
      </c>
      <c r="J447" s="831" t="s">
        <v>174</v>
      </c>
      <c r="K447" s="831">
        <v>4.2</v>
      </c>
      <c r="L447" s="537">
        <f t="shared" si="142"/>
        <v>3.44</v>
      </c>
      <c r="M447" s="538">
        <f>IF(K447&gt;0,VLOOKUP(H447,'[5]Pob. Ext, Parroquial'!$B$8:$F$117,4,FALSE),0)</f>
        <v>639</v>
      </c>
      <c r="N447" s="834" t="s">
        <v>185</v>
      </c>
      <c r="O447" s="836" t="s">
        <v>314</v>
      </c>
      <c r="P447" s="836">
        <v>0.08</v>
      </c>
      <c r="Q447" s="968">
        <v>18900</v>
      </c>
      <c r="R447" s="948">
        <v>41671</v>
      </c>
      <c r="S447" s="948">
        <v>41673</v>
      </c>
      <c r="T447" s="686" t="str">
        <f t="shared" si="137"/>
        <v>EJECUTADO</v>
      </c>
      <c r="U447" s="837">
        <f t="shared" si="135"/>
        <v>1512</v>
      </c>
      <c r="V447" s="544"/>
      <c r="W447" s="544"/>
      <c r="X447" s="912">
        <f>U447+V447+W447</f>
        <v>1512</v>
      </c>
      <c r="Y447" s="640"/>
      <c r="Z447" s="545" t="s">
        <v>334</v>
      </c>
      <c r="AA447" s="545" t="s">
        <v>178</v>
      </c>
      <c r="AB447" s="546" t="s">
        <v>187</v>
      </c>
      <c r="AC447" s="547">
        <v>2014</v>
      </c>
      <c r="AD447" s="93"/>
      <c r="AE447" s="93"/>
    </row>
    <row r="448" spans="1:31" s="94" customFormat="1" ht="50.1" customHeight="1">
      <c r="A448" s="910"/>
      <c r="B448" s="913"/>
      <c r="C448" s="985" t="s">
        <v>182</v>
      </c>
      <c r="D448" s="927" t="s">
        <v>775</v>
      </c>
      <c r="E448" s="636" t="str">
        <f>+D448</f>
        <v>VIA EL LIMON GUACHANAMA LAURO GUERRERO</v>
      </c>
      <c r="F448" s="831" t="s">
        <v>330</v>
      </c>
      <c r="G448" s="831" t="str">
        <f>VLOOKUP(H448,'Pob. Ext, Parroquial'!$B$9:$C$117,2,0)</f>
        <v>PALTAS</v>
      </c>
      <c r="H448" s="832" t="s">
        <v>406</v>
      </c>
      <c r="I448" s="831" t="s">
        <v>173</v>
      </c>
      <c r="J448" s="831" t="s">
        <v>174</v>
      </c>
      <c r="K448" s="831"/>
      <c r="L448" s="537"/>
      <c r="M448" s="538"/>
      <c r="N448" s="834" t="s">
        <v>200</v>
      </c>
      <c r="O448" s="836" t="s">
        <v>333</v>
      </c>
      <c r="P448" s="836">
        <v>1.46</v>
      </c>
      <c r="Q448" s="968">
        <v>1440</v>
      </c>
      <c r="R448" s="948">
        <v>41719</v>
      </c>
      <c r="S448" s="948">
        <v>41790</v>
      </c>
      <c r="T448" s="686" t="s">
        <v>179</v>
      </c>
      <c r="U448" s="837">
        <f t="shared" si="135"/>
        <v>2102.4</v>
      </c>
      <c r="V448" s="912">
        <v>1226.4000000000001</v>
      </c>
      <c r="W448" s="544"/>
      <c r="X448" s="912">
        <f>SUM(U448)</f>
        <v>2102.4</v>
      </c>
      <c r="Y448" s="640"/>
      <c r="Z448" s="545"/>
      <c r="AA448" s="545"/>
      <c r="AB448" s="546"/>
      <c r="AC448" s="547"/>
      <c r="AD448" s="93"/>
      <c r="AE448" s="93"/>
    </row>
    <row r="449" spans="1:31" s="94" customFormat="1" ht="50.1" customHeight="1">
      <c r="A449" s="910"/>
      <c r="B449" s="914"/>
      <c r="C449" s="985" t="s">
        <v>182</v>
      </c>
      <c r="D449" s="1117" t="s">
        <v>780</v>
      </c>
      <c r="E449" s="655" t="str">
        <f>+D449</f>
        <v>VIA GUACHANAMA CELICA 9,6 KM</v>
      </c>
      <c r="F449" s="831" t="s">
        <v>330</v>
      </c>
      <c r="G449" s="831" t="str">
        <f>VLOOKUP(H449,'Pob. Ext, Parroquial'!$B$9:$C$117,2,0)</f>
        <v>PALTAS</v>
      </c>
      <c r="H449" s="832" t="s">
        <v>622</v>
      </c>
      <c r="I449" s="831" t="s">
        <v>173</v>
      </c>
      <c r="J449" s="831" t="s">
        <v>174</v>
      </c>
      <c r="K449" s="831">
        <v>9.6</v>
      </c>
      <c r="L449" s="537"/>
      <c r="M449" s="538"/>
      <c r="N449" s="834" t="s">
        <v>200</v>
      </c>
      <c r="O449" s="836" t="s">
        <v>333</v>
      </c>
      <c r="P449" s="836">
        <v>1.46</v>
      </c>
      <c r="Q449" s="968">
        <v>2240</v>
      </c>
      <c r="R449" s="948">
        <v>41864</v>
      </c>
      <c r="S449" s="948">
        <v>41878</v>
      </c>
      <c r="T449" s="686" t="s">
        <v>179</v>
      </c>
      <c r="U449" s="837">
        <f t="shared" si="135"/>
        <v>3270.4</v>
      </c>
      <c r="V449" s="546"/>
      <c r="W449" s="547"/>
      <c r="X449" s="660">
        <f>SUM(U449:U453)</f>
        <v>27504.850000000002</v>
      </c>
      <c r="Y449" s="676"/>
      <c r="Z449" s="546"/>
      <c r="AA449" s="547"/>
      <c r="AB449" s="546"/>
      <c r="AC449" s="547"/>
      <c r="AD449" s="93"/>
      <c r="AE449" s="93"/>
    </row>
    <row r="450" spans="1:31" s="94" customFormat="1" ht="50.1" customHeight="1">
      <c r="A450" s="910"/>
      <c r="B450" s="914"/>
      <c r="C450" s="985" t="s">
        <v>182</v>
      </c>
      <c r="D450" s="1118"/>
      <c r="E450" s="655" t="str">
        <f>+E449</f>
        <v>VIA GUACHANAMA CELICA 9,6 KM</v>
      </c>
      <c r="F450" s="831" t="s">
        <v>330</v>
      </c>
      <c r="G450" s="831" t="str">
        <f>VLOOKUP(H450,'Pob. Ext, Parroquial'!$B$9:$C$117,2,0)</f>
        <v>PALTAS</v>
      </c>
      <c r="H450" s="832" t="s">
        <v>622</v>
      </c>
      <c r="I450" s="831" t="s">
        <v>173</v>
      </c>
      <c r="J450" s="831" t="s">
        <v>174</v>
      </c>
      <c r="K450" s="831"/>
      <c r="L450" s="537">
        <f>ROUNDUP(Q450/5.5/1000,2)</f>
        <v>8.73</v>
      </c>
      <c r="M450" s="538"/>
      <c r="N450" s="834" t="s">
        <v>339</v>
      </c>
      <c r="O450" s="836" t="s">
        <v>314</v>
      </c>
      <c r="P450" s="836">
        <v>0.35</v>
      </c>
      <c r="Q450" s="968">
        <v>48000</v>
      </c>
      <c r="R450" s="948">
        <v>41640</v>
      </c>
      <c r="S450" s="948">
        <v>41820</v>
      </c>
      <c r="T450" s="686" t="s">
        <v>179</v>
      </c>
      <c r="U450" s="837">
        <f t="shared" si="135"/>
        <v>16800</v>
      </c>
      <c r="V450" s="546"/>
      <c r="W450" s="674"/>
      <c r="X450" s="662"/>
      <c r="Y450" s="676"/>
      <c r="Z450" s="546"/>
      <c r="AA450" s="547"/>
      <c r="AB450" s="546"/>
      <c r="AC450" s="547"/>
      <c r="AD450" s="93"/>
      <c r="AE450" s="93"/>
    </row>
    <row r="451" spans="1:31" s="94" customFormat="1" ht="50.1" customHeight="1">
      <c r="A451" s="910"/>
      <c r="B451" s="914"/>
      <c r="C451" s="985" t="s">
        <v>182</v>
      </c>
      <c r="D451" s="1118"/>
      <c r="E451" s="655" t="str">
        <f t="shared" ref="E451:E453" si="143">+E450</f>
        <v>VIA GUACHANAMA CELICA 9,6 KM</v>
      </c>
      <c r="F451" s="831" t="s">
        <v>330</v>
      </c>
      <c r="G451" s="831" t="str">
        <f>VLOOKUP(H451,'Pob. Ext, Parroquial'!$B$9:$C$117,2,0)</f>
        <v>PALTAS</v>
      </c>
      <c r="H451" s="832" t="s">
        <v>622</v>
      </c>
      <c r="I451" s="831" t="s">
        <v>173</v>
      </c>
      <c r="J451" s="831" t="s">
        <v>174</v>
      </c>
      <c r="K451" s="831"/>
      <c r="L451" s="537">
        <f>+ROUND(Q451/5500/0.2,2)</f>
        <v>0.64</v>
      </c>
      <c r="M451" s="538"/>
      <c r="N451" s="834" t="s">
        <v>229</v>
      </c>
      <c r="O451" s="836" t="s">
        <v>333</v>
      </c>
      <c r="P451" s="836">
        <v>5.92</v>
      </c>
      <c r="Q451" s="968">
        <v>700</v>
      </c>
      <c r="R451" s="948">
        <v>41640</v>
      </c>
      <c r="S451" s="948">
        <v>41759</v>
      </c>
      <c r="T451" s="686" t="s">
        <v>179</v>
      </c>
      <c r="U451" s="837">
        <f t="shared" si="135"/>
        <v>4144</v>
      </c>
      <c r="V451" s="546"/>
      <c r="W451" s="674"/>
      <c r="X451" s="662"/>
      <c r="Y451" s="676"/>
      <c r="Z451" s="546"/>
      <c r="AA451" s="547"/>
      <c r="AB451" s="546"/>
      <c r="AC451" s="547"/>
      <c r="AD451" s="93"/>
      <c r="AE451" s="93"/>
    </row>
    <row r="452" spans="1:31" s="94" customFormat="1" ht="50.1" customHeight="1">
      <c r="A452" s="910"/>
      <c r="B452" s="914"/>
      <c r="C452" s="985" t="s">
        <v>182</v>
      </c>
      <c r="D452" s="1118"/>
      <c r="E452" s="655" t="str">
        <f t="shared" si="143"/>
        <v>VIA GUACHANAMA CELICA 9,6 KM</v>
      </c>
      <c r="F452" s="831" t="s">
        <v>330</v>
      </c>
      <c r="G452" s="831" t="str">
        <f>VLOOKUP(H452,'Pob. Ext, Parroquial'!$B$9:$C$117,2,0)</f>
        <v>PALTAS</v>
      </c>
      <c r="H452" s="832" t="s">
        <v>622</v>
      </c>
      <c r="I452" s="831" t="s">
        <v>173</v>
      </c>
      <c r="J452" s="831" t="s">
        <v>174</v>
      </c>
      <c r="K452" s="831"/>
      <c r="L452" s="537"/>
      <c r="M452" s="538"/>
      <c r="N452" s="834" t="s">
        <v>340</v>
      </c>
      <c r="O452" s="836" t="s">
        <v>341</v>
      </c>
      <c r="P452" s="836">
        <v>0.3</v>
      </c>
      <c r="Q452" s="968">
        <v>6852.16</v>
      </c>
      <c r="R452" s="948">
        <v>41644</v>
      </c>
      <c r="S452" s="948">
        <v>41820</v>
      </c>
      <c r="T452" s="686" t="s">
        <v>179</v>
      </c>
      <c r="U452" s="837">
        <f t="shared" si="135"/>
        <v>2055.65</v>
      </c>
      <c r="V452" s="546"/>
      <c r="W452" s="674"/>
      <c r="X452" s="662"/>
      <c r="Y452" s="676"/>
      <c r="Z452" s="546"/>
      <c r="AA452" s="547"/>
      <c r="AB452" s="546"/>
      <c r="AC452" s="547"/>
      <c r="AD452" s="93"/>
      <c r="AE452" s="93"/>
    </row>
    <row r="453" spans="1:31" s="94" customFormat="1" ht="50.1" customHeight="1">
      <c r="A453" s="910"/>
      <c r="B453" s="914"/>
      <c r="C453" s="985" t="s">
        <v>182</v>
      </c>
      <c r="D453" s="1118"/>
      <c r="E453" s="655" t="str">
        <f t="shared" si="143"/>
        <v>VIA GUACHANAMA CELICA 9,6 KM</v>
      </c>
      <c r="F453" s="831" t="s">
        <v>330</v>
      </c>
      <c r="G453" s="831" t="str">
        <f>VLOOKUP(H453,'Pob. Ext, Parroquial'!$B$9:$C$117,2,0)</f>
        <v>PALTAS</v>
      </c>
      <c r="H453" s="832" t="s">
        <v>622</v>
      </c>
      <c r="I453" s="831" t="s">
        <v>173</v>
      </c>
      <c r="J453" s="831" t="s">
        <v>174</v>
      </c>
      <c r="K453" s="831"/>
      <c r="L453" s="537"/>
      <c r="M453" s="538"/>
      <c r="N453" s="834" t="s">
        <v>336</v>
      </c>
      <c r="O453" s="836" t="s">
        <v>333</v>
      </c>
      <c r="P453" s="836">
        <v>1.47</v>
      </c>
      <c r="Q453" s="968">
        <v>840</v>
      </c>
      <c r="R453" s="948">
        <v>41802</v>
      </c>
      <c r="S453" s="948">
        <v>41820</v>
      </c>
      <c r="T453" s="686" t="s">
        <v>179</v>
      </c>
      <c r="U453" s="837">
        <f t="shared" si="135"/>
        <v>1234.8</v>
      </c>
      <c r="V453" s="546"/>
      <c r="W453" s="674"/>
      <c r="X453" s="664"/>
      <c r="Y453" s="676"/>
      <c r="Z453" s="546"/>
      <c r="AA453" s="547"/>
      <c r="AB453" s="93"/>
      <c r="AC453" s="547"/>
      <c r="AD453" s="93"/>
      <c r="AE453" s="93"/>
    </row>
    <row r="454" spans="1:31" s="94" customFormat="1" ht="50.1" customHeight="1">
      <c r="A454" s="910"/>
      <c r="B454" s="914"/>
      <c r="C454" s="985" t="s">
        <v>182</v>
      </c>
      <c r="D454" s="1118" t="s">
        <v>781</v>
      </c>
      <c r="E454" s="655" t="str">
        <f>+D454</f>
        <v>VIA GUACHANAMA LA SALERA 17,1 KM</v>
      </c>
      <c r="F454" s="831" t="s">
        <v>330</v>
      </c>
      <c r="G454" s="831" t="str">
        <f>VLOOKUP(H454,'Pob. Ext, Parroquial'!$B$9:$C$117,2,0)</f>
        <v>PALTAS</v>
      </c>
      <c r="H454" s="832" t="s">
        <v>622</v>
      </c>
      <c r="I454" s="831" t="s">
        <v>173</v>
      </c>
      <c r="J454" s="831" t="s">
        <v>174</v>
      </c>
      <c r="K454" s="831">
        <v>17.100000000000001</v>
      </c>
      <c r="L454" s="537"/>
      <c r="M454" s="538"/>
      <c r="N454" s="834" t="s">
        <v>335</v>
      </c>
      <c r="O454" s="836" t="s">
        <v>333</v>
      </c>
      <c r="P454" s="836">
        <v>2.54</v>
      </c>
      <c r="Q454" s="968">
        <v>950</v>
      </c>
      <c r="R454" s="948">
        <v>41640</v>
      </c>
      <c r="S454" s="948">
        <v>41820</v>
      </c>
      <c r="T454" s="686" t="s">
        <v>179</v>
      </c>
      <c r="U454" s="837">
        <f t="shared" si="135"/>
        <v>2413</v>
      </c>
      <c r="V454" s="546"/>
      <c r="W454" s="547"/>
      <c r="X454" s="660">
        <f>SUM(U454:U460)</f>
        <v>57659.130000000005</v>
      </c>
      <c r="Y454" s="676"/>
      <c r="Z454" s="546"/>
      <c r="AA454" s="547"/>
      <c r="AB454" s="546"/>
      <c r="AC454" s="547"/>
      <c r="AD454" s="93"/>
      <c r="AE454" s="93"/>
    </row>
    <row r="455" spans="1:31" s="94" customFormat="1" ht="50.1" customHeight="1">
      <c r="A455" s="910"/>
      <c r="B455" s="914"/>
      <c r="C455" s="985" t="s">
        <v>182</v>
      </c>
      <c r="D455" s="1118"/>
      <c r="E455" s="655" t="str">
        <f>+E454</f>
        <v>VIA GUACHANAMA LA SALERA 17,1 KM</v>
      </c>
      <c r="F455" s="831" t="s">
        <v>330</v>
      </c>
      <c r="G455" s="831" t="str">
        <f>VLOOKUP(H455,'Pob. Ext, Parroquial'!$B$9:$C$117,2,0)</f>
        <v>PALTAS</v>
      </c>
      <c r="H455" s="832" t="s">
        <v>622</v>
      </c>
      <c r="I455" s="831" t="s">
        <v>173</v>
      </c>
      <c r="J455" s="831" t="s">
        <v>174</v>
      </c>
      <c r="K455" s="831"/>
      <c r="L455" s="537"/>
      <c r="M455" s="538"/>
      <c r="N455" s="834" t="s">
        <v>337</v>
      </c>
      <c r="O455" s="836" t="s">
        <v>333</v>
      </c>
      <c r="P455" s="836">
        <v>1.46</v>
      </c>
      <c r="Q455" s="968">
        <v>2265</v>
      </c>
      <c r="R455" s="948">
        <v>41640</v>
      </c>
      <c r="S455" s="948">
        <v>41820</v>
      </c>
      <c r="T455" s="686" t="s">
        <v>179</v>
      </c>
      <c r="U455" s="837">
        <f t="shared" si="135"/>
        <v>3306.9</v>
      </c>
      <c r="V455" s="546"/>
      <c r="W455" s="547"/>
      <c r="X455" s="662"/>
      <c r="Y455" s="676"/>
      <c r="Z455" s="546"/>
      <c r="AA455" s="547"/>
      <c r="AB455" s="546"/>
      <c r="AC455" s="547"/>
      <c r="AD455" s="93"/>
      <c r="AE455" s="93"/>
    </row>
    <row r="456" spans="1:31" s="94" customFormat="1" ht="50.1" customHeight="1">
      <c r="A456" s="910"/>
      <c r="B456" s="914"/>
      <c r="C456" s="985" t="s">
        <v>182</v>
      </c>
      <c r="D456" s="1118"/>
      <c r="E456" s="655" t="str">
        <f>+E455</f>
        <v>VIA GUACHANAMA LA SALERA 17,1 KM</v>
      </c>
      <c r="F456" s="831" t="s">
        <v>330</v>
      </c>
      <c r="G456" s="831" t="str">
        <f>VLOOKUP(H456,'Pob. Ext, Parroquial'!$B$9:$C$117,2,0)</f>
        <v>PALTAS</v>
      </c>
      <c r="H456" s="832" t="s">
        <v>622</v>
      </c>
      <c r="I456" s="831" t="s">
        <v>173</v>
      </c>
      <c r="J456" s="831" t="s">
        <v>174</v>
      </c>
      <c r="K456" s="831"/>
      <c r="L456" s="537">
        <f t="shared" ref="L456:L457" si="144">ROUNDUP(Q456/5.5/1000,2)</f>
        <v>1.64</v>
      </c>
      <c r="M456" s="538"/>
      <c r="N456" s="834" t="s">
        <v>1144</v>
      </c>
      <c r="O456" s="836" t="s">
        <v>314</v>
      </c>
      <c r="P456" s="836">
        <v>0.08</v>
      </c>
      <c r="Q456" s="968">
        <v>9000</v>
      </c>
      <c r="R456" s="948">
        <v>41640</v>
      </c>
      <c r="S456" s="948">
        <v>41820</v>
      </c>
      <c r="T456" s="686" t="s">
        <v>179</v>
      </c>
      <c r="U456" s="837">
        <f t="shared" si="135"/>
        <v>720</v>
      </c>
      <c r="V456" s="546"/>
      <c r="W456" s="547"/>
      <c r="X456" s="662"/>
      <c r="Y456" s="676"/>
      <c r="Z456" s="546"/>
      <c r="AA456" s="547"/>
      <c r="AB456" s="546"/>
      <c r="AC456" s="547"/>
      <c r="AD456" s="93"/>
      <c r="AE456" s="93"/>
    </row>
    <row r="457" spans="1:31" s="94" customFormat="1" ht="50.1" customHeight="1">
      <c r="A457" s="910"/>
      <c r="B457" s="914"/>
      <c r="C457" s="985" t="s">
        <v>182</v>
      </c>
      <c r="D457" s="1118"/>
      <c r="E457" s="655" t="str">
        <f>+E456</f>
        <v>VIA GUACHANAMA LA SALERA 17,1 KM</v>
      </c>
      <c r="F457" s="831" t="s">
        <v>330</v>
      </c>
      <c r="G457" s="831" t="str">
        <f>VLOOKUP(H457,'Pob. Ext, Parroquial'!$B$9:$C$117,2,0)</f>
        <v>PALTAS</v>
      </c>
      <c r="H457" s="832" t="s">
        <v>622</v>
      </c>
      <c r="I457" s="831" t="s">
        <v>173</v>
      </c>
      <c r="J457" s="831" t="s">
        <v>174</v>
      </c>
      <c r="K457" s="831"/>
      <c r="L457" s="537">
        <f t="shared" si="144"/>
        <v>12.549999999999999</v>
      </c>
      <c r="M457" s="538"/>
      <c r="N457" s="834" t="s">
        <v>339</v>
      </c>
      <c r="O457" s="836" t="s">
        <v>314</v>
      </c>
      <c r="P457" s="836">
        <v>0.35</v>
      </c>
      <c r="Q457" s="968">
        <v>68980</v>
      </c>
      <c r="R457" s="948">
        <v>41640</v>
      </c>
      <c r="S457" s="948">
        <v>41820</v>
      </c>
      <c r="T457" s="686" t="s">
        <v>179</v>
      </c>
      <c r="U457" s="837">
        <f t="shared" si="135"/>
        <v>24143</v>
      </c>
      <c r="V457" s="546"/>
      <c r="W457" s="547"/>
      <c r="X457" s="662"/>
      <c r="Y457" s="676"/>
      <c r="Z457" s="546"/>
      <c r="AA457" s="547"/>
      <c r="AB457" s="546"/>
      <c r="AC457" s="547"/>
      <c r="AD457" s="93"/>
      <c r="AE457" s="93"/>
    </row>
    <row r="458" spans="1:31" s="94" customFormat="1" ht="50.1" customHeight="1">
      <c r="A458" s="910"/>
      <c r="B458" s="914"/>
      <c r="C458" s="985" t="s">
        <v>182</v>
      </c>
      <c r="D458" s="1118"/>
      <c r="E458" s="655" t="str">
        <f>+E457</f>
        <v>VIA GUACHANAMA LA SALERA 17,1 KM</v>
      </c>
      <c r="F458" s="831" t="s">
        <v>330</v>
      </c>
      <c r="G458" s="831" t="str">
        <f>VLOOKUP(H458,'Pob. Ext, Parroquial'!$B$9:$C$117,2,0)</f>
        <v>PALTAS</v>
      </c>
      <c r="H458" s="832" t="s">
        <v>622</v>
      </c>
      <c r="I458" s="831" t="s">
        <v>173</v>
      </c>
      <c r="J458" s="831" t="s">
        <v>174</v>
      </c>
      <c r="K458" s="831"/>
      <c r="L458" s="537">
        <f>+ROUND(Q458/5500/0.2,2)</f>
        <v>2.63</v>
      </c>
      <c r="M458" s="538"/>
      <c r="N458" s="834" t="s">
        <v>229</v>
      </c>
      <c r="O458" s="836" t="s">
        <v>333</v>
      </c>
      <c r="P458" s="836">
        <v>5.92</v>
      </c>
      <c r="Q458" s="968">
        <v>2896</v>
      </c>
      <c r="R458" s="948">
        <v>41640</v>
      </c>
      <c r="S458" s="948">
        <v>41759</v>
      </c>
      <c r="T458" s="686" t="s">
        <v>179</v>
      </c>
      <c r="U458" s="837">
        <f t="shared" si="135"/>
        <v>17144.32</v>
      </c>
      <c r="V458" s="546"/>
      <c r="W458" s="547"/>
      <c r="X458" s="662"/>
      <c r="Y458" s="676"/>
      <c r="Z458" s="546"/>
      <c r="AA458" s="547"/>
      <c r="AB458" s="546"/>
      <c r="AC458" s="547"/>
      <c r="AD458" s="93"/>
      <c r="AE458" s="93"/>
    </row>
    <row r="459" spans="1:31" s="94" customFormat="1" ht="50.1" customHeight="1">
      <c r="A459" s="910"/>
      <c r="B459" s="914"/>
      <c r="C459" s="985" t="s">
        <v>182</v>
      </c>
      <c r="D459" s="1118"/>
      <c r="E459" s="655" t="str">
        <f t="shared" ref="E459:E460" si="145">+E458</f>
        <v>VIA GUACHANAMA LA SALERA 17,1 KM</v>
      </c>
      <c r="F459" s="831" t="s">
        <v>330</v>
      </c>
      <c r="G459" s="831" t="str">
        <f>VLOOKUP(H459,'Pob. Ext, Parroquial'!$B$9:$C$117,2,0)</f>
        <v>PALTAS</v>
      </c>
      <c r="H459" s="832" t="s">
        <v>622</v>
      </c>
      <c r="I459" s="831" t="s">
        <v>173</v>
      </c>
      <c r="J459" s="831" t="s">
        <v>174</v>
      </c>
      <c r="K459" s="831"/>
      <c r="L459" s="537"/>
      <c r="M459" s="538"/>
      <c r="N459" s="834" t="s">
        <v>340</v>
      </c>
      <c r="O459" s="836" t="s">
        <v>341</v>
      </c>
      <c r="P459" s="836">
        <v>0.3</v>
      </c>
      <c r="Q459" s="968">
        <v>17573.36</v>
      </c>
      <c r="R459" s="948">
        <v>41644</v>
      </c>
      <c r="S459" s="948">
        <v>41820</v>
      </c>
      <c r="T459" s="686" t="s">
        <v>179</v>
      </c>
      <c r="U459" s="837">
        <f t="shared" si="135"/>
        <v>5272.01</v>
      </c>
      <c r="V459" s="546"/>
      <c r="W459" s="547"/>
      <c r="X459" s="662"/>
      <c r="Y459" s="676"/>
      <c r="Z459" s="546"/>
      <c r="AA459" s="547"/>
      <c r="AB459" s="546"/>
      <c r="AC459" s="547"/>
      <c r="AD459" s="93"/>
      <c r="AE459" s="93"/>
    </row>
    <row r="460" spans="1:31" s="94" customFormat="1" ht="50.1" customHeight="1">
      <c r="A460" s="910"/>
      <c r="B460" s="914"/>
      <c r="C460" s="985" t="s">
        <v>182</v>
      </c>
      <c r="D460" s="1118"/>
      <c r="E460" s="655" t="str">
        <f t="shared" si="145"/>
        <v>VIA GUACHANAMA LA SALERA 17,1 KM</v>
      </c>
      <c r="F460" s="831" t="s">
        <v>330</v>
      </c>
      <c r="G460" s="831" t="str">
        <f>VLOOKUP(H460,'Pob. Ext, Parroquial'!$B$9:$C$117,2,0)</f>
        <v>PALTAS</v>
      </c>
      <c r="H460" s="832" t="s">
        <v>622</v>
      </c>
      <c r="I460" s="831" t="s">
        <v>173</v>
      </c>
      <c r="J460" s="831" t="s">
        <v>174</v>
      </c>
      <c r="K460" s="831"/>
      <c r="L460" s="537"/>
      <c r="M460" s="538"/>
      <c r="N460" s="834" t="s">
        <v>336</v>
      </c>
      <c r="O460" s="836" t="s">
        <v>333</v>
      </c>
      <c r="P460" s="836">
        <v>1.47</v>
      </c>
      <c r="Q460" s="968">
        <v>3170</v>
      </c>
      <c r="R460" s="948">
        <v>41802</v>
      </c>
      <c r="S460" s="948">
        <v>41820</v>
      </c>
      <c r="T460" s="686" t="s">
        <v>179</v>
      </c>
      <c r="U460" s="837">
        <f t="shared" si="135"/>
        <v>4659.8999999999996</v>
      </c>
      <c r="V460" s="546"/>
      <c r="W460" s="547"/>
      <c r="X460" s="664"/>
      <c r="Y460" s="676"/>
      <c r="Z460" s="93"/>
      <c r="AA460" s="547"/>
      <c r="AB460" s="546"/>
      <c r="AC460" s="547"/>
      <c r="AD460" s="93"/>
      <c r="AE460" s="93"/>
    </row>
    <row r="461" spans="1:31" s="94" customFormat="1" ht="50.1" customHeight="1">
      <c r="A461" s="910"/>
      <c r="B461" s="914"/>
      <c r="C461" s="985" t="s">
        <v>182</v>
      </c>
      <c r="D461" s="1118" t="s">
        <v>782</v>
      </c>
      <c r="E461" s="655" t="str">
        <f>+D461</f>
        <v>VIA LAURO GUERRERO SANTA GERTRUDIZ 12.1 KM</v>
      </c>
      <c r="F461" s="831" t="s">
        <v>330</v>
      </c>
      <c r="G461" s="831" t="str">
        <f>VLOOKUP(H461,'Pob. Ext, Parroquial'!$B$9:$C$117,2,0)</f>
        <v>PALTAS</v>
      </c>
      <c r="H461" s="832" t="s">
        <v>401</v>
      </c>
      <c r="I461" s="831" t="s">
        <v>173</v>
      </c>
      <c r="J461" s="831" t="s">
        <v>174</v>
      </c>
      <c r="K461" s="831">
        <v>12.1</v>
      </c>
      <c r="L461" s="537"/>
      <c r="M461" s="538"/>
      <c r="N461" s="834" t="s">
        <v>335</v>
      </c>
      <c r="O461" s="836" t="s">
        <v>333</v>
      </c>
      <c r="P461" s="836">
        <v>2.54</v>
      </c>
      <c r="Q461" s="968">
        <v>2490</v>
      </c>
      <c r="R461" s="948">
        <v>41640</v>
      </c>
      <c r="S461" s="948">
        <v>41820</v>
      </c>
      <c r="T461" s="686" t="s">
        <v>179</v>
      </c>
      <c r="U461" s="837">
        <f t="shared" si="135"/>
        <v>6324.6</v>
      </c>
      <c r="V461" s="546"/>
      <c r="W461" s="547"/>
      <c r="X461" s="660">
        <f>SUM(U461:U467)</f>
        <v>43704.159999999996</v>
      </c>
      <c r="Y461" s="676"/>
      <c r="Z461" s="93"/>
      <c r="AA461" s="547"/>
      <c r="AB461" s="546"/>
      <c r="AC461" s="547"/>
      <c r="AD461" s="93"/>
      <c r="AE461" s="93"/>
    </row>
    <row r="462" spans="1:31" s="94" customFormat="1" ht="50.1" customHeight="1">
      <c r="A462" s="910"/>
      <c r="B462" s="914"/>
      <c r="C462" s="985" t="s">
        <v>182</v>
      </c>
      <c r="D462" s="1118"/>
      <c r="E462" s="655" t="str">
        <f>+E461</f>
        <v>VIA LAURO GUERRERO SANTA GERTRUDIZ 12.1 KM</v>
      </c>
      <c r="F462" s="831" t="s">
        <v>330</v>
      </c>
      <c r="G462" s="831" t="str">
        <f>VLOOKUP(H462,'Pob. Ext, Parroquial'!$B$9:$C$117,2,0)</f>
        <v>PALTAS</v>
      </c>
      <c r="H462" s="832" t="s">
        <v>401</v>
      </c>
      <c r="I462" s="831" t="s">
        <v>173</v>
      </c>
      <c r="J462" s="831" t="s">
        <v>174</v>
      </c>
      <c r="K462" s="831"/>
      <c r="L462" s="537"/>
      <c r="M462" s="538"/>
      <c r="N462" s="834" t="s">
        <v>337</v>
      </c>
      <c r="O462" s="836" t="s">
        <v>333</v>
      </c>
      <c r="P462" s="836">
        <v>1.46</v>
      </c>
      <c r="Q462" s="968">
        <v>1450</v>
      </c>
      <c r="R462" s="948">
        <v>41640</v>
      </c>
      <c r="S462" s="948">
        <v>41820</v>
      </c>
      <c r="T462" s="686" t="s">
        <v>179</v>
      </c>
      <c r="U462" s="837">
        <f t="shared" si="135"/>
        <v>2117</v>
      </c>
      <c r="V462" s="546"/>
      <c r="W462" s="804"/>
      <c r="X462" s="662"/>
      <c r="Y462" s="805"/>
      <c r="Z462" s="93"/>
      <c r="AA462" s="804"/>
      <c r="AB462" s="546"/>
      <c r="AC462" s="547"/>
      <c r="AD462" s="93"/>
      <c r="AE462" s="93"/>
    </row>
    <row r="463" spans="1:31" s="94" customFormat="1" ht="50.1" customHeight="1">
      <c r="A463" s="910"/>
      <c r="B463" s="914"/>
      <c r="C463" s="985" t="s">
        <v>182</v>
      </c>
      <c r="D463" s="1118"/>
      <c r="E463" s="655" t="str">
        <f>+E462</f>
        <v>VIA LAURO GUERRERO SANTA GERTRUDIZ 12.1 KM</v>
      </c>
      <c r="F463" s="831" t="s">
        <v>330</v>
      </c>
      <c r="G463" s="831" t="str">
        <f>VLOOKUP(H463,'Pob. Ext, Parroquial'!$B$9:$C$117,2,0)</f>
        <v>PALTAS</v>
      </c>
      <c r="H463" s="832" t="s">
        <v>401</v>
      </c>
      <c r="I463" s="831" t="s">
        <v>173</v>
      </c>
      <c r="J463" s="831" t="s">
        <v>174</v>
      </c>
      <c r="K463" s="831"/>
      <c r="L463" s="537">
        <f t="shared" ref="L463:L464" si="146">ROUNDUP(Q463/5.5/1000,2)</f>
        <v>5.08</v>
      </c>
      <c r="M463" s="538"/>
      <c r="N463" s="834" t="s">
        <v>1144</v>
      </c>
      <c r="O463" s="836" t="s">
        <v>1143</v>
      </c>
      <c r="P463" s="836">
        <v>0.08</v>
      </c>
      <c r="Q463" s="968">
        <v>27930</v>
      </c>
      <c r="R463" s="948">
        <v>41640</v>
      </c>
      <c r="S463" s="948">
        <v>41820</v>
      </c>
      <c r="T463" s="686" t="s">
        <v>179</v>
      </c>
      <c r="U463" s="837">
        <f t="shared" si="135"/>
        <v>2234.4</v>
      </c>
      <c r="V463" s="546"/>
      <c r="W463" s="547"/>
      <c r="X463" s="662"/>
      <c r="Y463" s="676"/>
      <c r="Z463" s="806"/>
      <c r="AA463" s="547"/>
      <c r="AB463" s="546"/>
      <c r="AC463" s="547"/>
      <c r="AD463" s="93"/>
      <c r="AE463" s="93"/>
    </row>
    <row r="464" spans="1:31" s="94" customFormat="1" ht="50.1" customHeight="1">
      <c r="A464" s="910"/>
      <c r="B464" s="914"/>
      <c r="C464" s="985" t="s">
        <v>182</v>
      </c>
      <c r="D464" s="1118"/>
      <c r="E464" s="655" t="str">
        <f>+E462</f>
        <v>VIA LAURO GUERRERO SANTA GERTRUDIZ 12.1 KM</v>
      </c>
      <c r="F464" s="831" t="s">
        <v>330</v>
      </c>
      <c r="G464" s="831" t="str">
        <f>VLOOKUP(H464,'Pob. Ext, Parroquial'!$B$9:$C$117,2,0)</f>
        <v>PALTAS</v>
      </c>
      <c r="H464" s="832" t="s">
        <v>401</v>
      </c>
      <c r="I464" s="831" t="s">
        <v>173</v>
      </c>
      <c r="J464" s="831" t="s">
        <v>174</v>
      </c>
      <c r="K464" s="831"/>
      <c r="L464" s="537">
        <f t="shared" si="146"/>
        <v>5.9</v>
      </c>
      <c r="M464" s="538"/>
      <c r="N464" s="834" t="s">
        <v>339</v>
      </c>
      <c r="O464" s="836" t="s">
        <v>314</v>
      </c>
      <c r="P464" s="836">
        <v>0.35</v>
      </c>
      <c r="Q464" s="968">
        <v>32450</v>
      </c>
      <c r="R464" s="948">
        <v>41640</v>
      </c>
      <c r="S464" s="948">
        <v>41820</v>
      </c>
      <c r="T464" s="686" t="s">
        <v>179</v>
      </c>
      <c r="U464" s="837">
        <f t="shared" si="135"/>
        <v>11357.5</v>
      </c>
      <c r="V464" s="546"/>
      <c r="W464" s="547"/>
      <c r="X464" s="662"/>
      <c r="Y464" s="676"/>
      <c r="Z464" s="806"/>
      <c r="AA464" s="547"/>
      <c r="AB464" s="546"/>
      <c r="AC464" s="547"/>
      <c r="AD464" s="93"/>
      <c r="AE464" s="93"/>
    </row>
    <row r="465" spans="1:31" s="94" customFormat="1" ht="50.1" customHeight="1">
      <c r="A465" s="910"/>
      <c r="B465" s="914"/>
      <c r="C465" s="985" t="s">
        <v>182</v>
      </c>
      <c r="D465" s="1118"/>
      <c r="E465" s="655" t="str">
        <f t="shared" ref="E465:E467" si="147">+E464</f>
        <v>VIA LAURO GUERRERO SANTA GERTRUDIZ 12.1 KM</v>
      </c>
      <c r="F465" s="831" t="s">
        <v>330</v>
      </c>
      <c r="G465" s="831" t="str">
        <f>VLOOKUP(H465,'Pob. Ext, Parroquial'!$B$9:$C$117,2,0)</f>
        <v>PALTAS</v>
      </c>
      <c r="H465" s="832" t="s">
        <v>401</v>
      </c>
      <c r="I465" s="831" t="s">
        <v>173</v>
      </c>
      <c r="J465" s="831" t="s">
        <v>174</v>
      </c>
      <c r="K465" s="831"/>
      <c r="L465" s="537">
        <f>+ROUND(Q465/5500/0.2,2)</f>
        <v>1.84</v>
      </c>
      <c r="M465" s="538"/>
      <c r="N465" s="834" t="s">
        <v>229</v>
      </c>
      <c r="O465" s="836" t="s">
        <v>333</v>
      </c>
      <c r="P465" s="836">
        <v>5.92</v>
      </c>
      <c r="Q465" s="968">
        <v>2020</v>
      </c>
      <c r="R465" s="948">
        <v>41640</v>
      </c>
      <c r="S465" s="948">
        <v>41759</v>
      </c>
      <c r="T465" s="686" t="s">
        <v>179</v>
      </c>
      <c r="U465" s="837">
        <f t="shared" si="135"/>
        <v>11958.4</v>
      </c>
      <c r="V465" s="546"/>
      <c r="W465" s="547"/>
      <c r="X465" s="662"/>
      <c r="Y465" s="676"/>
      <c r="Z465" s="806"/>
      <c r="AA465" s="547"/>
      <c r="AB465" s="546"/>
      <c r="AC465" s="547"/>
      <c r="AD465" s="93"/>
      <c r="AE465" s="93"/>
    </row>
    <row r="466" spans="1:31" s="94" customFormat="1" ht="50.1" customHeight="1">
      <c r="A466" s="910"/>
      <c r="B466" s="914"/>
      <c r="C466" s="985" t="s">
        <v>182</v>
      </c>
      <c r="D466" s="1118"/>
      <c r="E466" s="655" t="str">
        <f t="shared" si="147"/>
        <v>VIA LAURO GUERRERO SANTA GERTRUDIZ 12.1 KM</v>
      </c>
      <c r="F466" s="831" t="s">
        <v>330</v>
      </c>
      <c r="G466" s="831" t="str">
        <f>VLOOKUP(H466,'Pob. Ext, Parroquial'!$B$9:$C$117,2,0)</f>
        <v>PALTAS</v>
      </c>
      <c r="H466" s="832" t="s">
        <v>401</v>
      </c>
      <c r="I466" s="831" t="s">
        <v>173</v>
      </c>
      <c r="J466" s="831" t="s">
        <v>174</v>
      </c>
      <c r="K466" s="831"/>
      <c r="L466" s="537"/>
      <c r="M466" s="538"/>
      <c r="N466" s="834" t="s">
        <v>340</v>
      </c>
      <c r="O466" s="836" t="s">
        <v>341</v>
      </c>
      <c r="P466" s="836">
        <v>0.3</v>
      </c>
      <c r="Q466" s="968">
        <v>21692.2</v>
      </c>
      <c r="R466" s="948">
        <v>41644</v>
      </c>
      <c r="S466" s="948">
        <v>41820</v>
      </c>
      <c r="T466" s="686" t="s">
        <v>179</v>
      </c>
      <c r="U466" s="837">
        <f t="shared" si="135"/>
        <v>6507.66</v>
      </c>
      <c r="V466" s="546"/>
      <c r="W466" s="547"/>
      <c r="X466" s="662"/>
      <c r="Y466" s="676"/>
      <c r="Z466" s="806"/>
      <c r="AA466" s="547"/>
      <c r="AB466" s="546"/>
      <c r="AC466" s="547"/>
      <c r="AD466" s="93"/>
      <c r="AE466" s="93"/>
    </row>
    <row r="467" spans="1:31" s="94" customFormat="1" ht="50.1" customHeight="1">
      <c r="A467" s="910"/>
      <c r="B467" s="914"/>
      <c r="C467" s="985" t="s">
        <v>182</v>
      </c>
      <c r="D467" s="1118"/>
      <c r="E467" s="655" t="str">
        <f t="shared" si="147"/>
        <v>VIA LAURO GUERRERO SANTA GERTRUDIZ 12.1 KM</v>
      </c>
      <c r="F467" s="831" t="s">
        <v>330</v>
      </c>
      <c r="G467" s="831" t="str">
        <f>VLOOKUP(H467,'Pob. Ext, Parroquial'!$B$9:$C$117,2,0)</f>
        <v>PALTAS</v>
      </c>
      <c r="H467" s="832" t="s">
        <v>401</v>
      </c>
      <c r="I467" s="831" t="s">
        <v>173</v>
      </c>
      <c r="J467" s="831" t="s">
        <v>174</v>
      </c>
      <c r="K467" s="831"/>
      <c r="L467" s="537"/>
      <c r="M467" s="538"/>
      <c r="N467" s="834" t="s">
        <v>361</v>
      </c>
      <c r="O467" s="836" t="s">
        <v>333</v>
      </c>
      <c r="P467" s="836">
        <v>1.47</v>
      </c>
      <c r="Q467" s="968">
        <v>2180</v>
      </c>
      <c r="R467" s="948">
        <v>41641</v>
      </c>
      <c r="S467" s="948">
        <v>41670</v>
      </c>
      <c r="T467" s="686" t="s">
        <v>179</v>
      </c>
      <c r="U467" s="837">
        <f t="shared" si="135"/>
        <v>3204.6</v>
      </c>
      <c r="V467" s="546"/>
      <c r="W467" s="547"/>
      <c r="X467" s="664"/>
      <c r="Y467" s="676"/>
      <c r="Z467" s="806"/>
      <c r="AA467" s="547"/>
      <c r="AB467" s="546"/>
      <c r="AC467" s="547"/>
      <c r="AD467" s="93"/>
      <c r="AE467" s="93"/>
    </row>
    <row r="468" spans="1:31" s="94" customFormat="1" ht="50.1" customHeight="1">
      <c r="A468" s="910"/>
      <c r="B468" s="914"/>
      <c r="C468" s="985" t="s">
        <v>182</v>
      </c>
      <c r="D468" s="928" t="s">
        <v>1145</v>
      </c>
      <c r="E468" s="655" t="str">
        <f>+D468</f>
        <v>VIA STA. GERTRUDIS - ORIANGA (lim Parroquial). L=9.6 km (Paltas) Inicio 9 Nov. Fin 22 de Nov</v>
      </c>
      <c r="F468" s="831" t="s">
        <v>330</v>
      </c>
      <c r="G468" s="831" t="str">
        <f>VLOOKUP(H468,'Pob. Ext, Parroquial'!$B$9:$C$117,2,0)</f>
        <v>PALTAS</v>
      </c>
      <c r="H468" s="832" t="s">
        <v>389</v>
      </c>
      <c r="I468" s="831" t="s">
        <v>173</v>
      </c>
      <c r="J468" s="831" t="s">
        <v>174</v>
      </c>
      <c r="K468" s="831">
        <v>9.6</v>
      </c>
      <c r="L468" s="537"/>
      <c r="M468" s="538"/>
      <c r="N468" s="834" t="s">
        <v>1146</v>
      </c>
      <c r="O468" s="836" t="s">
        <v>333</v>
      </c>
      <c r="P468" s="836">
        <v>1.46</v>
      </c>
      <c r="Q468" s="968">
        <v>4680</v>
      </c>
      <c r="R468" s="948">
        <v>41952</v>
      </c>
      <c r="S468" s="948">
        <v>41965</v>
      </c>
      <c r="T468" s="686" t="s">
        <v>179</v>
      </c>
      <c r="U468" s="837">
        <f t="shared" si="135"/>
        <v>6832.8</v>
      </c>
      <c r="V468" s="546"/>
      <c r="W468" s="547"/>
      <c r="X468" s="912">
        <f>+U468</f>
        <v>6832.8</v>
      </c>
      <c r="Y468" s="842"/>
      <c r="Z468" s="545" t="s">
        <v>334</v>
      </c>
      <c r="AA468" s="545" t="s">
        <v>178</v>
      </c>
      <c r="AB468" s="546" t="s">
        <v>187</v>
      </c>
      <c r="AC468" s="547">
        <v>2014</v>
      </c>
      <c r="AD468" s="93"/>
      <c r="AE468" s="93"/>
    </row>
    <row r="469" spans="1:31" s="94" customFormat="1" ht="50.1" customHeight="1">
      <c r="A469" s="1068"/>
      <c r="B469" s="913"/>
      <c r="C469" s="985" t="s">
        <v>182</v>
      </c>
      <c r="D469" s="1117" t="s">
        <v>1147</v>
      </c>
      <c r="E469" s="636" t="str">
        <f t="shared" ref="E469" si="148">+D469</f>
        <v>VIA LAURO GUERRERO - CANGONAMA (limite parroquial) L= 4.6 Km. Paltas Inicio 7 y 8 de oct. Fin 8 de Nov</v>
      </c>
      <c r="F469" s="831" t="s">
        <v>330</v>
      </c>
      <c r="G469" s="831" t="str">
        <f>VLOOKUP(H469,'Pob. Ext, Parroquial'!$B$9:$C$117,2,0)</f>
        <v>PALTAS</v>
      </c>
      <c r="H469" s="832" t="s">
        <v>1148</v>
      </c>
      <c r="I469" s="831" t="s">
        <v>173</v>
      </c>
      <c r="J469" s="831" t="s">
        <v>174</v>
      </c>
      <c r="K469" s="831">
        <v>4.5999999999999996</v>
      </c>
      <c r="L469" s="537"/>
      <c r="M469" s="538">
        <f>IF(K469&gt;0,VLOOKUP(H469,'[5]Pob. Ext, Parroquial'!$B$8:$F$117,4,FALSE),0)</f>
        <v>775</v>
      </c>
      <c r="N469" s="834" t="s">
        <v>361</v>
      </c>
      <c r="O469" s="836" t="s">
        <v>333</v>
      </c>
      <c r="P469" s="836">
        <v>1.62</v>
      </c>
      <c r="Q469" s="968">
        <v>5310</v>
      </c>
      <c r="R469" s="948">
        <v>41641</v>
      </c>
      <c r="S469" s="948">
        <v>41670</v>
      </c>
      <c r="T469" s="686" t="str">
        <f t="shared" ref="T469:T508" si="149">IF(S469&lt;$G$5,"EJECUTADO","EN EJECUCION")</f>
        <v>EJECUTADO</v>
      </c>
      <c r="U469" s="837">
        <f t="shared" si="135"/>
        <v>8602.2000000000007</v>
      </c>
      <c r="V469" s="544"/>
      <c r="W469" s="544"/>
      <c r="X469" s="660">
        <f>SUM(U469:U476)</f>
        <v>12978.08</v>
      </c>
      <c r="Y469" s="640"/>
      <c r="Z469" s="545" t="s">
        <v>334</v>
      </c>
      <c r="AA469" s="545" t="s">
        <v>178</v>
      </c>
      <c r="AB469" s="546" t="s">
        <v>179</v>
      </c>
      <c r="AC469" s="547">
        <v>2014</v>
      </c>
      <c r="AD469" s="93"/>
      <c r="AE469" s="93"/>
    </row>
    <row r="470" spans="1:31" s="94" customFormat="1" ht="50.1" customHeight="1">
      <c r="A470" s="1068"/>
      <c r="B470" s="914"/>
      <c r="C470" s="985" t="s">
        <v>182</v>
      </c>
      <c r="D470" s="1118"/>
      <c r="E470" s="655" t="str">
        <f t="shared" ref="E470:E475" si="150">+E469</f>
        <v>VIA LAURO GUERRERO - CANGONAMA (limite parroquial) L= 4.6 Km. Paltas Inicio 7 y 8 de oct. Fin 8 de Nov</v>
      </c>
      <c r="F470" s="831" t="s">
        <v>330</v>
      </c>
      <c r="G470" s="831" t="str">
        <f>VLOOKUP(H470,'Pob. Ext, Parroquial'!$B$9:$C$117,2,0)</f>
        <v>PALTAS</v>
      </c>
      <c r="H470" s="832" t="s">
        <v>1148</v>
      </c>
      <c r="I470" s="831" t="s">
        <v>173</v>
      </c>
      <c r="J470" s="831" t="s">
        <v>174</v>
      </c>
      <c r="K470" s="831"/>
      <c r="L470" s="537"/>
      <c r="M470" s="538">
        <f>IF(K470&gt;0,VLOOKUP(H470,'[5]Pob. Ext, Parroquial'!$B$8:$F$117,4,FALSE),0)</f>
        <v>0</v>
      </c>
      <c r="N470" s="834" t="s">
        <v>1178</v>
      </c>
      <c r="O470" s="836" t="s">
        <v>333</v>
      </c>
      <c r="P470" s="836">
        <v>2.54</v>
      </c>
      <c r="Q470" s="968">
        <v>270</v>
      </c>
      <c r="R470" s="948">
        <v>41791</v>
      </c>
      <c r="S470" s="948">
        <v>41820</v>
      </c>
      <c r="T470" s="686" t="str">
        <f t="shared" si="149"/>
        <v>EJECUTADO</v>
      </c>
      <c r="U470" s="837">
        <f t="shared" si="135"/>
        <v>685.8</v>
      </c>
      <c r="V470" s="544"/>
      <c r="W470" s="544"/>
      <c r="X470" s="662"/>
      <c r="Y470" s="640"/>
      <c r="Z470" s="545"/>
      <c r="AA470" s="545"/>
      <c r="AB470" s="546"/>
      <c r="AC470" s="547"/>
      <c r="AD470" s="93"/>
      <c r="AE470" s="93"/>
    </row>
    <row r="471" spans="1:31" s="94" customFormat="1" ht="50.1" customHeight="1">
      <c r="A471" s="1068"/>
      <c r="B471" s="913"/>
      <c r="C471" s="985" t="s">
        <v>182</v>
      </c>
      <c r="D471" s="1118"/>
      <c r="E471" s="655" t="str">
        <f t="shared" si="150"/>
        <v>VIA LAURO GUERRERO - CANGONAMA (limite parroquial) L= 4.6 Km. Paltas Inicio 7 y 8 de oct. Fin 8 de Nov</v>
      </c>
      <c r="F471" s="831" t="s">
        <v>330</v>
      </c>
      <c r="G471" s="831" t="str">
        <f>VLOOKUP(H471,'Pob. Ext, Parroquial'!$B$9:$C$117,2,0)</f>
        <v>PALTAS</v>
      </c>
      <c r="H471" s="832" t="s">
        <v>1148</v>
      </c>
      <c r="I471" s="831" t="s">
        <v>173</v>
      </c>
      <c r="J471" s="831" t="s">
        <v>174</v>
      </c>
      <c r="K471" s="831"/>
      <c r="L471" s="537"/>
      <c r="M471" s="538">
        <f>IF(K471&gt;0,VLOOKUP(H471,'[5]Pob. Ext, Parroquial'!$B$8:$F$117,4,FALSE),0)</f>
        <v>0</v>
      </c>
      <c r="N471" s="857" t="s">
        <v>1149</v>
      </c>
      <c r="O471" s="836" t="s">
        <v>333</v>
      </c>
      <c r="P471" s="836">
        <v>1.46</v>
      </c>
      <c r="Q471" s="968">
        <v>350</v>
      </c>
      <c r="R471" s="948">
        <v>41641</v>
      </c>
      <c r="S471" s="948">
        <v>41670</v>
      </c>
      <c r="T471" s="686" t="str">
        <f t="shared" si="149"/>
        <v>EJECUTADO</v>
      </c>
      <c r="U471" s="837">
        <f t="shared" si="135"/>
        <v>511</v>
      </c>
      <c r="V471" s="544"/>
      <c r="W471" s="544"/>
      <c r="X471" s="662"/>
      <c r="Y471" s="640"/>
      <c r="Z471" s="545" t="s">
        <v>334</v>
      </c>
      <c r="AA471" s="545" t="s">
        <v>178</v>
      </c>
      <c r="AB471" s="546" t="s">
        <v>179</v>
      </c>
      <c r="AC471" s="547">
        <v>2014</v>
      </c>
      <c r="AD471" s="93"/>
      <c r="AE471" s="93"/>
    </row>
    <row r="472" spans="1:31" s="94" customFormat="1" ht="50.1" customHeight="1">
      <c r="A472" s="1068"/>
      <c r="B472" s="913"/>
      <c r="C472" s="985" t="s">
        <v>182</v>
      </c>
      <c r="D472" s="1118"/>
      <c r="E472" s="655" t="str">
        <f t="shared" si="150"/>
        <v>VIA LAURO GUERRERO - CANGONAMA (limite parroquial) L= 4.6 Km. Paltas Inicio 7 y 8 de oct. Fin 8 de Nov</v>
      </c>
      <c r="F472" s="831" t="s">
        <v>330</v>
      </c>
      <c r="G472" s="831" t="str">
        <f>VLOOKUP(H472,'Pob. Ext, Parroquial'!$B$9:$C$117,2,0)</f>
        <v>PALTAS</v>
      </c>
      <c r="H472" s="832" t="s">
        <v>1148</v>
      </c>
      <c r="I472" s="831" t="s">
        <v>173</v>
      </c>
      <c r="J472" s="831" t="s">
        <v>174</v>
      </c>
      <c r="K472" s="831"/>
      <c r="L472" s="537">
        <f>ROUNDUP(Q472/5.5/1000,2)</f>
        <v>0.97</v>
      </c>
      <c r="M472" s="538">
        <f>IF(K472&gt;0,VLOOKUP(H472,'[5]Pob. Ext, Parroquial'!$B$8:$F$117,4,FALSE),0)</f>
        <v>0</v>
      </c>
      <c r="N472" s="834" t="s">
        <v>185</v>
      </c>
      <c r="O472" s="836" t="s">
        <v>314</v>
      </c>
      <c r="P472" s="836">
        <v>0.08</v>
      </c>
      <c r="Q472" s="968">
        <v>5320</v>
      </c>
      <c r="R472" s="948">
        <v>41641</v>
      </c>
      <c r="S472" s="948">
        <v>41670</v>
      </c>
      <c r="T472" s="686" t="str">
        <f t="shared" si="149"/>
        <v>EJECUTADO</v>
      </c>
      <c r="U472" s="837">
        <f t="shared" si="135"/>
        <v>425.6</v>
      </c>
      <c r="V472" s="544"/>
      <c r="W472" s="544"/>
      <c r="X472" s="662"/>
      <c r="Y472" s="640"/>
      <c r="Z472" s="545" t="s">
        <v>334</v>
      </c>
      <c r="AA472" s="545" t="s">
        <v>178</v>
      </c>
      <c r="AB472" s="546" t="s">
        <v>179</v>
      </c>
      <c r="AC472" s="547">
        <v>2014</v>
      </c>
      <c r="AD472" s="93"/>
      <c r="AE472" s="93"/>
    </row>
    <row r="473" spans="1:31" s="94" customFormat="1" ht="50.1" customHeight="1">
      <c r="A473" s="1068"/>
      <c r="B473" s="913"/>
      <c r="C473" s="985" t="s">
        <v>182</v>
      </c>
      <c r="D473" s="1118"/>
      <c r="E473" s="655" t="str">
        <f t="shared" si="150"/>
        <v>VIA LAURO GUERRERO - CANGONAMA (limite parroquial) L= 4.6 Km. Paltas Inicio 7 y 8 de oct. Fin 8 de Nov</v>
      </c>
      <c r="F473" s="831" t="s">
        <v>330</v>
      </c>
      <c r="G473" s="831" t="str">
        <f>VLOOKUP(H473,'Pob. Ext, Parroquial'!$B$9:$C$117,2,0)</f>
        <v>PALTAS</v>
      </c>
      <c r="H473" s="832" t="s">
        <v>1148</v>
      </c>
      <c r="I473" s="831" t="s">
        <v>173</v>
      </c>
      <c r="J473" s="831" t="s">
        <v>174</v>
      </c>
      <c r="K473" s="831"/>
      <c r="L473" s="537">
        <f>+ROUND(Q473/5500/0.2,2)</f>
        <v>0.24</v>
      </c>
      <c r="M473" s="538">
        <f>IF(K473&gt;0,VLOOKUP(H473,'[5]Pob. Ext, Parroquial'!$B$8:$F$117,4,FALSE),0)</f>
        <v>0</v>
      </c>
      <c r="N473" s="834" t="s">
        <v>229</v>
      </c>
      <c r="O473" s="836" t="s">
        <v>333</v>
      </c>
      <c r="P473" s="836">
        <v>5.92</v>
      </c>
      <c r="Q473" s="968">
        <v>268</v>
      </c>
      <c r="R473" s="948">
        <v>41641</v>
      </c>
      <c r="S473" s="948">
        <v>41670</v>
      </c>
      <c r="T473" s="686" t="str">
        <f t="shared" si="149"/>
        <v>EJECUTADO</v>
      </c>
      <c r="U473" s="837">
        <f t="shared" si="135"/>
        <v>1586.56</v>
      </c>
      <c r="V473" s="544"/>
      <c r="W473" s="544"/>
      <c r="X473" s="662"/>
      <c r="Y473" s="640"/>
      <c r="Z473" s="545" t="s">
        <v>334</v>
      </c>
      <c r="AA473" s="545" t="s">
        <v>178</v>
      </c>
      <c r="AB473" s="546" t="s">
        <v>179</v>
      </c>
      <c r="AC473" s="547">
        <v>2014</v>
      </c>
      <c r="AD473" s="93"/>
      <c r="AE473" s="93"/>
    </row>
    <row r="474" spans="1:31" s="94" customFormat="1" ht="50.1" customHeight="1">
      <c r="A474" s="1068"/>
      <c r="B474" s="913"/>
      <c r="C474" s="985" t="s">
        <v>182</v>
      </c>
      <c r="D474" s="1118"/>
      <c r="E474" s="655" t="str">
        <f t="shared" si="150"/>
        <v>VIA LAURO GUERRERO - CANGONAMA (limite parroquial) L= 4.6 Km. Paltas Inicio 7 y 8 de oct. Fin 8 de Nov</v>
      </c>
      <c r="F474" s="831" t="s">
        <v>330</v>
      </c>
      <c r="G474" s="831" t="str">
        <f>VLOOKUP(H474,'Pob. Ext, Parroquial'!$B$9:$C$117,2,0)</f>
        <v>PALTAS</v>
      </c>
      <c r="H474" s="832" t="s">
        <v>1148</v>
      </c>
      <c r="I474" s="831" t="s">
        <v>173</v>
      </c>
      <c r="J474" s="831" t="s">
        <v>174</v>
      </c>
      <c r="K474" s="831"/>
      <c r="L474" s="537"/>
      <c r="M474" s="538">
        <f>IF(K474&gt;0,VLOOKUP(H474,'[5]Pob. Ext, Parroquial'!$B$8:$F$117,4,FALSE),0)</f>
        <v>0</v>
      </c>
      <c r="N474" s="834" t="s">
        <v>1152</v>
      </c>
      <c r="O474" s="836" t="s">
        <v>341</v>
      </c>
      <c r="P474" s="836">
        <v>0.38</v>
      </c>
      <c r="Q474" s="968">
        <v>794</v>
      </c>
      <c r="R474" s="948">
        <v>41919</v>
      </c>
      <c r="S474" s="948">
        <v>41920</v>
      </c>
      <c r="T474" s="686" t="str">
        <f t="shared" si="149"/>
        <v>EJECUTADO</v>
      </c>
      <c r="U474" s="837">
        <f t="shared" si="135"/>
        <v>301.72000000000003</v>
      </c>
      <c r="V474" s="544"/>
      <c r="W474" s="544"/>
      <c r="X474" s="662"/>
      <c r="Y474" s="640"/>
      <c r="Z474" s="545" t="s">
        <v>334</v>
      </c>
      <c r="AA474" s="545" t="s">
        <v>178</v>
      </c>
      <c r="AB474" s="546" t="s">
        <v>179</v>
      </c>
      <c r="AC474" s="547">
        <v>2014</v>
      </c>
      <c r="AD474" s="93"/>
      <c r="AE474" s="93"/>
    </row>
    <row r="475" spans="1:31" s="94" customFormat="1" ht="50.1" customHeight="1">
      <c r="A475" s="1068"/>
      <c r="B475" s="913"/>
      <c r="C475" s="985" t="s">
        <v>182</v>
      </c>
      <c r="D475" s="1118"/>
      <c r="E475" s="655" t="str">
        <f t="shared" si="150"/>
        <v>VIA LAURO GUERRERO - CANGONAMA (limite parroquial) L= 4.6 Km. Paltas Inicio 7 y 8 de oct. Fin 8 de Nov</v>
      </c>
      <c r="F475" s="831" t="s">
        <v>330</v>
      </c>
      <c r="G475" s="831" t="str">
        <f>VLOOKUP(H475,'Pob. Ext, Parroquial'!$B$9:$C$117,2,0)</f>
        <v>PALTAS</v>
      </c>
      <c r="H475" s="832" t="s">
        <v>1148</v>
      </c>
      <c r="I475" s="831" t="s">
        <v>173</v>
      </c>
      <c r="J475" s="831" t="s">
        <v>174</v>
      </c>
      <c r="K475" s="831"/>
      <c r="L475" s="537"/>
      <c r="M475" s="538">
        <f>IF(K475&gt;0,VLOOKUP(H475,'[5]Pob. Ext, Parroquial'!$B$8:$F$117,4,FALSE),0)</f>
        <v>0</v>
      </c>
      <c r="N475" s="834" t="s">
        <v>340</v>
      </c>
      <c r="O475" s="836" t="s">
        <v>341</v>
      </c>
      <c r="P475" s="836">
        <v>0.3</v>
      </c>
      <c r="Q475" s="968">
        <v>1610</v>
      </c>
      <c r="R475" s="948">
        <v>41919</v>
      </c>
      <c r="S475" s="948">
        <v>41920</v>
      </c>
      <c r="T475" s="686" t="str">
        <f t="shared" si="149"/>
        <v>EJECUTADO</v>
      </c>
      <c r="U475" s="837">
        <f t="shared" si="135"/>
        <v>483</v>
      </c>
      <c r="V475" s="544"/>
      <c r="W475" s="544"/>
      <c r="X475" s="662"/>
      <c r="Y475" s="640"/>
      <c r="Z475" s="545" t="s">
        <v>334</v>
      </c>
      <c r="AA475" s="545" t="s">
        <v>178</v>
      </c>
      <c r="AB475" s="546" t="s">
        <v>179</v>
      </c>
      <c r="AC475" s="547">
        <v>2014</v>
      </c>
      <c r="AD475" s="93"/>
      <c r="AE475" s="93"/>
    </row>
    <row r="476" spans="1:31" s="94" customFormat="1" ht="50.1" customHeight="1">
      <c r="A476" s="1068"/>
      <c r="B476" s="667"/>
      <c r="C476" s="985" t="s">
        <v>182</v>
      </c>
      <c r="D476" s="1120"/>
      <c r="E476" s="655" t="str">
        <f>+E473</f>
        <v>VIA LAURO GUERRERO - CANGONAMA (limite parroquial) L= 4.6 Km. Paltas Inicio 7 y 8 de oct. Fin 8 de Nov</v>
      </c>
      <c r="F476" s="831" t="s">
        <v>330</v>
      </c>
      <c r="G476" s="831" t="str">
        <f>VLOOKUP(H476,'Pob. Ext, Parroquial'!$B$9:$C$117,2,0)</f>
        <v>PALTAS</v>
      </c>
      <c r="H476" s="832" t="s">
        <v>1148</v>
      </c>
      <c r="I476" s="831" t="s">
        <v>173</v>
      </c>
      <c r="J476" s="831" t="s">
        <v>174</v>
      </c>
      <c r="K476" s="831"/>
      <c r="L476" s="537"/>
      <c r="M476" s="538">
        <f>IF(K476&gt;0,VLOOKUP(H476,'[5]Pob. Ext, Parroquial'!$B$8:$F$117,4,FALSE),0)</f>
        <v>0</v>
      </c>
      <c r="N476" s="834" t="s">
        <v>336</v>
      </c>
      <c r="O476" s="836" t="s">
        <v>333</v>
      </c>
      <c r="P476" s="836">
        <v>1.47</v>
      </c>
      <c r="Q476" s="968">
        <v>260</v>
      </c>
      <c r="R476" s="948">
        <v>41641</v>
      </c>
      <c r="S476" s="948">
        <v>41820</v>
      </c>
      <c r="T476" s="686" t="str">
        <f t="shared" si="149"/>
        <v>EJECUTADO</v>
      </c>
      <c r="U476" s="837">
        <f t="shared" si="135"/>
        <v>382.2</v>
      </c>
      <c r="V476" s="544"/>
      <c r="W476" s="544"/>
      <c r="X476" s="664"/>
      <c r="Y476" s="640"/>
      <c r="Z476" s="545" t="s">
        <v>334</v>
      </c>
      <c r="AA476" s="545" t="s">
        <v>178</v>
      </c>
      <c r="AB476" s="546" t="s">
        <v>179</v>
      </c>
      <c r="AC476" s="547">
        <v>2014</v>
      </c>
      <c r="AD476" s="93"/>
      <c r="AE476" s="93"/>
    </row>
    <row r="477" spans="1:31" s="94" customFormat="1" ht="50.1" customHeight="1">
      <c r="A477" s="1068"/>
      <c r="B477" s="913"/>
      <c r="C477" s="985" t="s">
        <v>182</v>
      </c>
      <c r="D477" s="1117" t="s">
        <v>1153</v>
      </c>
      <c r="E477" s="636" t="str">
        <f t="shared" ref="E477" si="151">+D477</f>
        <v>VIA LAURO GUERRERO - SAN FRANCISCO (limite parroquial) L=7.6 km. Paltas Inicio 9 de oct Fin 15-18 oct</v>
      </c>
      <c r="F477" s="831" t="s">
        <v>330</v>
      </c>
      <c r="G477" s="831" t="str">
        <f>VLOOKUP(H477,'Pob. Ext, Parroquial'!$B$9:$C$117,2,0)</f>
        <v>PALTAS</v>
      </c>
      <c r="H477" s="832" t="s">
        <v>401</v>
      </c>
      <c r="I477" s="831" t="s">
        <v>173</v>
      </c>
      <c r="J477" s="831" t="s">
        <v>174</v>
      </c>
      <c r="K477" s="831">
        <v>7.6</v>
      </c>
      <c r="L477" s="537"/>
      <c r="M477" s="538">
        <f>IF(K477&gt;0,VLOOKUP(H477,'[5]Pob. Ext, Parroquial'!$B$8:$F$117,4,FALSE),0)</f>
        <v>1092</v>
      </c>
      <c r="N477" s="834" t="s">
        <v>1178</v>
      </c>
      <c r="O477" s="836" t="s">
        <v>333</v>
      </c>
      <c r="P477" s="836">
        <v>2.54</v>
      </c>
      <c r="Q477" s="968">
        <v>810</v>
      </c>
      <c r="R477" s="948">
        <v>41919</v>
      </c>
      <c r="S477" s="948">
        <v>41951</v>
      </c>
      <c r="T477" s="686" t="str">
        <f t="shared" si="149"/>
        <v>EJECUTADO</v>
      </c>
      <c r="U477" s="837">
        <f t="shared" si="135"/>
        <v>2057.4</v>
      </c>
      <c r="V477" s="544"/>
      <c r="W477" s="544"/>
      <c r="X477" s="660">
        <f>SUM(U477:U482)</f>
        <v>11514.480000000001</v>
      </c>
      <c r="Y477" s="640"/>
      <c r="Z477" s="545" t="s">
        <v>334</v>
      </c>
      <c r="AA477" s="545" t="s">
        <v>178</v>
      </c>
      <c r="AB477" s="546" t="s">
        <v>179</v>
      </c>
      <c r="AC477" s="547">
        <v>2014</v>
      </c>
      <c r="AD477" s="93"/>
      <c r="AE477" s="93"/>
    </row>
    <row r="478" spans="1:31" s="94" customFormat="1" ht="50.1" customHeight="1">
      <c r="A478" s="1068"/>
      <c r="B478" s="913"/>
      <c r="C478" s="985" t="s">
        <v>182</v>
      </c>
      <c r="D478" s="1118"/>
      <c r="E478" s="655" t="str">
        <f>+E477</f>
        <v>VIA LAURO GUERRERO - SAN FRANCISCO (limite parroquial) L=7.6 km. Paltas Inicio 9 de oct Fin 15-18 oct</v>
      </c>
      <c r="F478" s="831" t="s">
        <v>330</v>
      </c>
      <c r="G478" s="831" t="str">
        <f>VLOOKUP(H478,'Pob. Ext, Parroquial'!$B$9:$C$117,2,0)</f>
        <v>PALTAS</v>
      </c>
      <c r="H478" s="832" t="s">
        <v>401</v>
      </c>
      <c r="I478" s="831" t="s">
        <v>173</v>
      </c>
      <c r="J478" s="831" t="s">
        <v>174</v>
      </c>
      <c r="K478" s="831"/>
      <c r="L478" s="537"/>
      <c r="M478" s="538">
        <f>IF(K478&gt;0,VLOOKUP(H478,'[5]Pob. Ext, Parroquial'!$B$8:$F$117,4,FALSE),0)</f>
        <v>0</v>
      </c>
      <c r="N478" s="857" t="s">
        <v>1149</v>
      </c>
      <c r="O478" s="836" t="s">
        <v>333</v>
      </c>
      <c r="P478" s="836">
        <v>1.46</v>
      </c>
      <c r="Q478" s="968">
        <v>450</v>
      </c>
      <c r="R478" s="948">
        <v>41919</v>
      </c>
      <c r="S478" s="948">
        <v>41951</v>
      </c>
      <c r="T478" s="686" t="str">
        <f t="shared" si="149"/>
        <v>EJECUTADO</v>
      </c>
      <c r="U478" s="837">
        <f t="shared" si="135"/>
        <v>657</v>
      </c>
      <c r="V478" s="544"/>
      <c r="W478" s="544"/>
      <c r="X478" s="662"/>
      <c r="Y478" s="640"/>
      <c r="Z478" s="545" t="s">
        <v>334</v>
      </c>
      <c r="AA478" s="545" t="s">
        <v>178</v>
      </c>
      <c r="AB478" s="546" t="s">
        <v>179</v>
      </c>
      <c r="AC478" s="547">
        <v>2014</v>
      </c>
      <c r="AD478" s="93"/>
      <c r="AE478" s="93"/>
    </row>
    <row r="479" spans="1:31" s="94" customFormat="1" ht="50.1" customHeight="1">
      <c r="A479" s="1068"/>
      <c r="B479" s="913"/>
      <c r="C479" s="985" t="s">
        <v>182</v>
      </c>
      <c r="D479" s="1118"/>
      <c r="E479" s="655" t="str">
        <f t="shared" ref="E479:E481" si="152">+E478</f>
        <v>VIA LAURO GUERRERO - SAN FRANCISCO (limite parroquial) L=7.6 km. Paltas Inicio 9 de oct Fin 15-18 oct</v>
      </c>
      <c r="F479" s="831" t="s">
        <v>330</v>
      </c>
      <c r="G479" s="831" t="str">
        <f>VLOOKUP(H479,'Pob. Ext, Parroquial'!$B$9:$C$117,2,0)</f>
        <v>PALTAS</v>
      </c>
      <c r="H479" s="832" t="s">
        <v>401</v>
      </c>
      <c r="I479" s="831" t="s">
        <v>173</v>
      </c>
      <c r="J479" s="831" t="s">
        <v>174</v>
      </c>
      <c r="K479" s="831"/>
      <c r="L479" s="537">
        <f>ROUNDUP(Q479/5.5/1000,2)</f>
        <v>5.5699999999999994</v>
      </c>
      <c r="M479" s="538">
        <f>IF(K479&gt;0,VLOOKUP(H479,'[5]Pob. Ext, Parroquial'!$B$8:$F$117,4,FALSE),0)</f>
        <v>0</v>
      </c>
      <c r="N479" s="834" t="s">
        <v>185</v>
      </c>
      <c r="O479" s="836" t="s">
        <v>314</v>
      </c>
      <c r="P479" s="836">
        <v>0.08</v>
      </c>
      <c r="Q479" s="968">
        <v>30590</v>
      </c>
      <c r="R479" s="948">
        <v>41919</v>
      </c>
      <c r="S479" s="948">
        <v>41951</v>
      </c>
      <c r="T479" s="686" t="str">
        <f t="shared" si="149"/>
        <v>EJECUTADO</v>
      </c>
      <c r="U479" s="837">
        <f t="shared" si="135"/>
        <v>2447.1999999999998</v>
      </c>
      <c r="V479" s="544"/>
      <c r="W479" s="544"/>
      <c r="X479" s="662"/>
      <c r="Y479" s="640"/>
      <c r="Z479" s="545" t="s">
        <v>334</v>
      </c>
      <c r="AA479" s="545" t="s">
        <v>178</v>
      </c>
      <c r="AB479" s="546" t="s">
        <v>179</v>
      </c>
      <c r="AC479" s="547">
        <v>2014</v>
      </c>
      <c r="AD479" s="93"/>
      <c r="AE479" s="93"/>
    </row>
    <row r="480" spans="1:31" s="94" customFormat="1" ht="50.1" customHeight="1">
      <c r="A480" s="1068"/>
      <c r="B480" s="913"/>
      <c r="C480" s="985" t="s">
        <v>182</v>
      </c>
      <c r="D480" s="1118"/>
      <c r="E480" s="655" t="str">
        <f t="shared" si="152"/>
        <v>VIA LAURO GUERRERO - SAN FRANCISCO (limite parroquial) L=7.6 km. Paltas Inicio 9 de oct Fin 15-18 oct</v>
      </c>
      <c r="F480" s="831" t="s">
        <v>330</v>
      </c>
      <c r="G480" s="831" t="str">
        <f>VLOOKUP(H480,'Pob. Ext, Parroquial'!$B$9:$C$117,2,0)</f>
        <v>PALTAS</v>
      </c>
      <c r="H480" s="832" t="s">
        <v>401</v>
      </c>
      <c r="I480" s="831" t="s">
        <v>173</v>
      </c>
      <c r="J480" s="831" t="s">
        <v>174</v>
      </c>
      <c r="K480" s="831"/>
      <c r="L480" s="537">
        <f>+ROUND(Q480/5500/0.2,2)</f>
        <v>0.65</v>
      </c>
      <c r="M480" s="538">
        <f>IF(K480&gt;0,VLOOKUP(H480,'[5]Pob. Ext, Parroquial'!$B$8:$F$117,4,FALSE),0)</f>
        <v>0</v>
      </c>
      <c r="N480" s="834" t="s">
        <v>229</v>
      </c>
      <c r="O480" s="836" t="s">
        <v>333</v>
      </c>
      <c r="P480" s="836">
        <v>5.92</v>
      </c>
      <c r="Q480" s="968">
        <v>713</v>
      </c>
      <c r="R480" s="948">
        <v>41919</v>
      </c>
      <c r="S480" s="948">
        <v>41951</v>
      </c>
      <c r="T480" s="686" t="str">
        <f t="shared" si="149"/>
        <v>EJECUTADO</v>
      </c>
      <c r="U480" s="837">
        <f t="shared" si="135"/>
        <v>4220.96</v>
      </c>
      <c r="V480" s="544"/>
      <c r="W480" s="544"/>
      <c r="X480" s="662"/>
      <c r="Y480" s="640"/>
      <c r="Z480" s="545" t="s">
        <v>334</v>
      </c>
      <c r="AA480" s="545" t="s">
        <v>178</v>
      </c>
      <c r="AB480" s="546" t="s">
        <v>179</v>
      </c>
      <c r="AC480" s="547">
        <v>2014</v>
      </c>
      <c r="AD480" s="93"/>
      <c r="AE480" s="93"/>
    </row>
    <row r="481" spans="1:31" s="94" customFormat="1" ht="50.1" customHeight="1">
      <c r="A481" s="1068"/>
      <c r="B481" s="913"/>
      <c r="C481" s="985" t="s">
        <v>182</v>
      </c>
      <c r="D481" s="1118"/>
      <c r="E481" s="655" t="str">
        <f t="shared" si="152"/>
        <v>VIA LAURO GUERRERO - SAN FRANCISCO (limite parroquial) L=7.6 km. Paltas Inicio 9 de oct Fin 15-18 oct</v>
      </c>
      <c r="F481" s="831" t="s">
        <v>330</v>
      </c>
      <c r="G481" s="831" t="str">
        <f>VLOOKUP(H481,'Pob. Ext, Parroquial'!$B$9:$C$117,2,0)</f>
        <v>PALTAS</v>
      </c>
      <c r="H481" s="832" t="s">
        <v>401</v>
      </c>
      <c r="I481" s="831" t="s">
        <v>173</v>
      </c>
      <c r="J481" s="831" t="s">
        <v>174</v>
      </c>
      <c r="K481" s="831"/>
      <c r="L481" s="537"/>
      <c r="M481" s="538">
        <f>IF(K481&gt;0,VLOOKUP(H481,'[5]Pob. Ext, Parroquial'!$B$8:$F$117,4,FALSE),0)</f>
        <v>0</v>
      </c>
      <c r="N481" s="834" t="s">
        <v>1152</v>
      </c>
      <c r="O481" s="836" t="s">
        <v>341</v>
      </c>
      <c r="P481" s="836">
        <v>0.38</v>
      </c>
      <c r="Q481" s="968">
        <v>2709</v>
      </c>
      <c r="R481" s="948">
        <v>41919</v>
      </c>
      <c r="S481" s="948">
        <v>41951</v>
      </c>
      <c r="T481" s="686" t="str">
        <f t="shared" si="149"/>
        <v>EJECUTADO</v>
      </c>
      <c r="U481" s="837">
        <f t="shared" si="135"/>
        <v>1029.42</v>
      </c>
      <c r="V481" s="544"/>
      <c r="W481" s="544"/>
      <c r="X481" s="662"/>
      <c r="Y481" s="640"/>
      <c r="Z481" s="545" t="s">
        <v>334</v>
      </c>
      <c r="AA481" s="545" t="s">
        <v>178</v>
      </c>
      <c r="AB481" s="546" t="s">
        <v>179</v>
      </c>
      <c r="AC481" s="547">
        <v>2014</v>
      </c>
      <c r="AD481" s="93"/>
      <c r="AE481" s="93"/>
    </row>
    <row r="482" spans="1:31" s="94" customFormat="1" ht="39" customHeight="1">
      <c r="A482" s="1068"/>
      <c r="B482" s="667"/>
      <c r="C482" s="985" t="s">
        <v>182</v>
      </c>
      <c r="D482" s="1120"/>
      <c r="E482" s="655" t="str">
        <f>+E480</f>
        <v>VIA LAURO GUERRERO - SAN FRANCISCO (limite parroquial) L=7.6 km. Paltas Inicio 9 de oct Fin 15-18 oct</v>
      </c>
      <c r="F482" s="831" t="s">
        <v>330</v>
      </c>
      <c r="G482" s="831" t="str">
        <f>VLOOKUP(H482,'Pob. Ext, Parroquial'!$B$9:$C$117,2,0)</f>
        <v>PALTAS</v>
      </c>
      <c r="H482" s="832" t="s">
        <v>401</v>
      </c>
      <c r="I482" s="831" t="s">
        <v>173</v>
      </c>
      <c r="J482" s="831" t="s">
        <v>174</v>
      </c>
      <c r="K482" s="831"/>
      <c r="L482" s="537"/>
      <c r="M482" s="538">
        <f>IF(K482&gt;0,VLOOKUP(H482,'[5]Pob. Ext, Parroquial'!$B$8:$F$117,4,FALSE),0)</f>
        <v>0</v>
      </c>
      <c r="N482" s="834" t="s">
        <v>336</v>
      </c>
      <c r="O482" s="836" t="s">
        <v>333</v>
      </c>
      <c r="P482" s="836">
        <v>1.47</v>
      </c>
      <c r="Q482" s="968">
        <v>750</v>
      </c>
      <c r="R482" s="948">
        <v>41919</v>
      </c>
      <c r="S482" s="948">
        <v>41951</v>
      </c>
      <c r="T482" s="686" t="str">
        <f t="shared" si="149"/>
        <v>EJECUTADO</v>
      </c>
      <c r="U482" s="837">
        <f t="shared" si="135"/>
        <v>1102.5</v>
      </c>
      <c r="V482" s="544"/>
      <c r="W482" s="544"/>
      <c r="X482" s="664"/>
      <c r="Y482" s="640"/>
      <c r="Z482" s="545" t="s">
        <v>334</v>
      </c>
      <c r="AA482" s="545" t="s">
        <v>178</v>
      </c>
      <c r="AB482" s="546" t="s">
        <v>179</v>
      </c>
      <c r="AC482" s="547">
        <v>2014</v>
      </c>
      <c r="AD482" s="93"/>
      <c r="AE482" s="93"/>
    </row>
    <row r="483" spans="1:31" s="94" customFormat="1" ht="50.1" customHeight="1">
      <c r="A483" s="1068"/>
      <c r="B483" s="913"/>
      <c r="C483" s="985" t="s">
        <v>182</v>
      </c>
      <c r="D483" s="1117" t="s">
        <v>1154</v>
      </c>
      <c r="E483" s="636" t="str">
        <f t="shared" ref="E483" si="153">+D483</f>
        <v xml:space="preserve">VIA CASANGA SAN FRANCISCO (Limite parroquial) L=4.5 km. Paltas Inicio 29 de Octubre Fin 5 de nov </v>
      </c>
      <c r="F483" s="831" t="s">
        <v>330</v>
      </c>
      <c r="G483" s="831" t="str">
        <f>VLOOKUP(H483,'Pob. Ext, Parroquial'!$B$9:$C$117,2,0)</f>
        <v>PALTAS</v>
      </c>
      <c r="H483" s="832" t="s">
        <v>619</v>
      </c>
      <c r="I483" s="831" t="s">
        <v>173</v>
      </c>
      <c r="J483" s="831" t="s">
        <v>174</v>
      </c>
      <c r="K483" s="831">
        <v>4.5</v>
      </c>
      <c r="L483" s="537"/>
      <c r="M483" s="538">
        <f>IF(K483&gt;0,VLOOKUP(H483,'[5]Pob. Ext, Parroquial'!$B$8:$F$117,4,FALSE),0)</f>
        <v>1168</v>
      </c>
      <c r="N483" s="834" t="s">
        <v>1178</v>
      </c>
      <c r="O483" s="836" t="s">
        <v>333</v>
      </c>
      <c r="P483" s="836">
        <v>2.54</v>
      </c>
      <c r="Q483" s="968">
        <v>533</v>
      </c>
      <c r="R483" s="948">
        <v>41941</v>
      </c>
      <c r="S483" s="948">
        <v>41948</v>
      </c>
      <c r="T483" s="686" t="str">
        <f t="shared" si="149"/>
        <v>EJECUTADO</v>
      </c>
      <c r="U483" s="837">
        <f t="shared" si="135"/>
        <v>1353.82</v>
      </c>
      <c r="V483" s="544"/>
      <c r="W483" s="544"/>
      <c r="X483" s="660">
        <f>SUM(U483:U489)</f>
        <v>15222.72</v>
      </c>
      <c r="Y483" s="640"/>
      <c r="Z483" s="545" t="s">
        <v>334</v>
      </c>
      <c r="AA483" s="545" t="s">
        <v>178</v>
      </c>
      <c r="AB483" s="546" t="s">
        <v>179</v>
      </c>
      <c r="AC483" s="547">
        <v>2014</v>
      </c>
      <c r="AD483" s="93"/>
      <c r="AE483" s="93"/>
    </row>
    <row r="484" spans="1:31" s="94" customFormat="1" ht="50.1" customHeight="1">
      <c r="A484" s="1068"/>
      <c r="B484" s="913"/>
      <c r="C484" s="985" t="s">
        <v>182</v>
      </c>
      <c r="D484" s="1118"/>
      <c r="E484" s="655" t="str">
        <f>+E483</f>
        <v xml:space="preserve">VIA CASANGA SAN FRANCISCO (Limite parroquial) L=4.5 km. Paltas Inicio 29 de Octubre Fin 5 de nov </v>
      </c>
      <c r="F484" s="831" t="s">
        <v>330</v>
      </c>
      <c r="G484" s="831" t="str">
        <f>VLOOKUP(H484,'Pob. Ext, Parroquial'!$B$9:$C$117,2,0)</f>
        <v>PALTAS</v>
      </c>
      <c r="H484" s="832" t="s">
        <v>619</v>
      </c>
      <c r="I484" s="831" t="s">
        <v>173</v>
      </c>
      <c r="J484" s="831" t="s">
        <v>174</v>
      </c>
      <c r="K484" s="831"/>
      <c r="L484" s="537"/>
      <c r="M484" s="538">
        <f>IF(K484&gt;0,VLOOKUP(H484,'[5]Pob. Ext, Parroquial'!$B$8:$F$117,4,FALSE),0)</f>
        <v>0</v>
      </c>
      <c r="N484" s="857" t="s">
        <v>1149</v>
      </c>
      <c r="O484" s="836" t="s">
        <v>333</v>
      </c>
      <c r="P484" s="836">
        <v>1.46</v>
      </c>
      <c r="Q484" s="968">
        <v>600</v>
      </c>
      <c r="R484" s="948">
        <v>41941</v>
      </c>
      <c r="S484" s="948">
        <v>41948</v>
      </c>
      <c r="T484" s="686" t="str">
        <f t="shared" si="149"/>
        <v>EJECUTADO</v>
      </c>
      <c r="U484" s="837">
        <f t="shared" si="135"/>
        <v>876</v>
      </c>
      <c r="V484" s="544"/>
      <c r="W484" s="544"/>
      <c r="X484" s="662"/>
      <c r="Y484" s="640"/>
      <c r="Z484" s="545" t="s">
        <v>334</v>
      </c>
      <c r="AA484" s="545" t="s">
        <v>178</v>
      </c>
      <c r="AB484" s="546" t="s">
        <v>179</v>
      </c>
      <c r="AC484" s="547">
        <v>2014</v>
      </c>
      <c r="AD484" s="93"/>
      <c r="AE484" s="93"/>
    </row>
    <row r="485" spans="1:31" s="94" customFormat="1" ht="50.1" customHeight="1">
      <c r="A485" s="1068"/>
      <c r="B485" s="913"/>
      <c r="C485" s="985" t="s">
        <v>182</v>
      </c>
      <c r="D485" s="1118"/>
      <c r="E485" s="655" t="str">
        <f t="shared" ref="E485:E488" si="154">+E484</f>
        <v xml:space="preserve">VIA CASANGA SAN FRANCISCO (Limite parroquial) L=4.5 km. Paltas Inicio 29 de Octubre Fin 5 de nov </v>
      </c>
      <c r="F485" s="831" t="s">
        <v>330</v>
      </c>
      <c r="G485" s="831" t="str">
        <f>VLOOKUP(H485,'Pob. Ext, Parroquial'!$B$9:$C$117,2,0)</f>
        <v>PALTAS</v>
      </c>
      <c r="H485" s="832" t="s">
        <v>619</v>
      </c>
      <c r="I485" s="831" t="s">
        <v>173</v>
      </c>
      <c r="J485" s="831" t="s">
        <v>174</v>
      </c>
      <c r="K485" s="831"/>
      <c r="L485" s="537">
        <f t="shared" ref="L485:L486" si="155">ROUNDUP(Q485/5.5/1000,2)</f>
        <v>4.08</v>
      </c>
      <c r="M485" s="538">
        <f>IF(K485&gt;0,VLOOKUP(H485,'[5]Pob. Ext, Parroquial'!$B$8:$F$117,4,FALSE),0)</f>
        <v>0</v>
      </c>
      <c r="N485" s="834" t="s">
        <v>185</v>
      </c>
      <c r="O485" s="836" t="s">
        <v>314</v>
      </c>
      <c r="P485" s="836">
        <v>0.08</v>
      </c>
      <c r="Q485" s="968">
        <v>22410</v>
      </c>
      <c r="R485" s="948">
        <v>41941</v>
      </c>
      <c r="S485" s="948">
        <v>41948</v>
      </c>
      <c r="T485" s="686" t="str">
        <f t="shared" si="149"/>
        <v>EJECUTADO</v>
      </c>
      <c r="U485" s="837">
        <f t="shared" si="135"/>
        <v>1792.8</v>
      </c>
      <c r="V485" s="544"/>
      <c r="W485" s="544"/>
      <c r="X485" s="662"/>
      <c r="Y485" s="640"/>
      <c r="Z485" s="545" t="s">
        <v>334</v>
      </c>
      <c r="AA485" s="545" t="s">
        <v>178</v>
      </c>
      <c r="AB485" s="546" t="s">
        <v>179</v>
      </c>
      <c r="AC485" s="547">
        <v>2014</v>
      </c>
      <c r="AD485" s="93"/>
      <c r="AE485" s="93"/>
    </row>
    <row r="486" spans="1:31" s="94" customFormat="1" ht="50.1" customHeight="1">
      <c r="A486" s="1068"/>
      <c r="B486" s="913"/>
      <c r="C486" s="985" t="s">
        <v>182</v>
      </c>
      <c r="D486" s="1118"/>
      <c r="E486" s="655" t="str">
        <f t="shared" si="154"/>
        <v xml:space="preserve">VIA CASANGA SAN FRANCISCO (Limite parroquial) L=4.5 km. Paltas Inicio 29 de Octubre Fin 5 de nov </v>
      </c>
      <c r="F486" s="831" t="s">
        <v>330</v>
      </c>
      <c r="G486" s="831" t="str">
        <f>VLOOKUP(H486,'Pob. Ext, Parroquial'!$B$9:$C$117,2,0)</f>
        <v>PALTAS</v>
      </c>
      <c r="H486" s="832" t="s">
        <v>619</v>
      </c>
      <c r="I486" s="831" t="s">
        <v>173</v>
      </c>
      <c r="J486" s="831" t="s">
        <v>174</v>
      </c>
      <c r="K486" s="831"/>
      <c r="L486" s="537">
        <f t="shared" si="155"/>
        <v>3.55</v>
      </c>
      <c r="M486" s="538">
        <f>IF(K486&gt;0,VLOOKUP(H486,'[5]Pob. Ext, Parroquial'!$B$8:$F$117,4,FALSE),0)</f>
        <v>0</v>
      </c>
      <c r="N486" s="834" t="s">
        <v>1155</v>
      </c>
      <c r="O486" s="836" t="s">
        <v>314</v>
      </c>
      <c r="P486" s="836">
        <v>0.35</v>
      </c>
      <c r="Q486" s="968">
        <v>19500</v>
      </c>
      <c r="R486" s="948">
        <v>41941</v>
      </c>
      <c r="S486" s="948">
        <v>41948</v>
      </c>
      <c r="T486" s="686" t="str">
        <f t="shared" si="149"/>
        <v>EJECUTADO</v>
      </c>
      <c r="U486" s="837">
        <f t="shared" si="135"/>
        <v>6825</v>
      </c>
      <c r="V486" s="544"/>
      <c r="W486" s="544"/>
      <c r="X486" s="662"/>
      <c r="Y486" s="640"/>
      <c r="Z486" s="545" t="s">
        <v>334</v>
      </c>
      <c r="AA486" s="545" t="s">
        <v>178</v>
      </c>
      <c r="AB486" s="546" t="s">
        <v>179</v>
      </c>
      <c r="AC486" s="547">
        <v>2014</v>
      </c>
      <c r="AD486" s="93"/>
      <c r="AE486" s="93"/>
    </row>
    <row r="487" spans="1:31" s="94" customFormat="1" ht="50.1" customHeight="1">
      <c r="A487" s="1068"/>
      <c r="B487" s="913"/>
      <c r="C487" s="985" t="s">
        <v>182</v>
      </c>
      <c r="D487" s="1118"/>
      <c r="E487" s="655" t="str">
        <f>+E485</f>
        <v xml:space="preserve">VIA CASANGA SAN FRANCISCO (Limite parroquial) L=4.5 km. Paltas Inicio 29 de Octubre Fin 5 de nov </v>
      </c>
      <c r="F487" s="831" t="s">
        <v>330</v>
      </c>
      <c r="G487" s="831" t="str">
        <f>VLOOKUP(H487,'Pob. Ext, Parroquial'!$B$9:$C$117,2,0)</f>
        <v>PALTAS</v>
      </c>
      <c r="H487" s="832" t="s">
        <v>619</v>
      </c>
      <c r="I487" s="831" t="s">
        <v>173</v>
      </c>
      <c r="J487" s="831" t="s">
        <v>174</v>
      </c>
      <c r="K487" s="831"/>
      <c r="L487" s="537">
        <f>+ROUND(Q487/5500/0.2,2)</f>
        <v>0.44</v>
      </c>
      <c r="M487" s="538">
        <f>IF(K487&gt;0,VLOOKUP(H487,'[5]Pob. Ext, Parroquial'!$B$8:$F$117,4,FALSE),0)</f>
        <v>0</v>
      </c>
      <c r="N487" s="834" t="s">
        <v>229</v>
      </c>
      <c r="O487" s="836" t="s">
        <v>333</v>
      </c>
      <c r="P487" s="836">
        <v>5.92</v>
      </c>
      <c r="Q487" s="968">
        <v>485</v>
      </c>
      <c r="R487" s="948">
        <v>41941</v>
      </c>
      <c r="S487" s="948">
        <v>41948</v>
      </c>
      <c r="T487" s="686" t="str">
        <f t="shared" si="149"/>
        <v>EJECUTADO</v>
      </c>
      <c r="U487" s="837">
        <f t="shared" ref="U487:U562" si="156">ROUND(P487*Q487,2)</f>
        <v>2871.2</v>
      </c>
      <c r="V487" s="544"/>
      <c r="W487" s="544"/>
      <c r="X487" s="662"/>
      <c r="Y487" s="640"/>
      <c r="Z487" s="545" t="s">
        <v>334</v>
      </c>
      <c r="AA487" s="545" t="s">
        <v>178</v>
      </c>
      <c r="AB487" s="546" t="s">
        <v>179</v>
      </c>
      <c r="AC487" s="547">
        <v>2014</v>
      </c>
      <c r="AD487" s="93"/>
      <c r="AE487" s="93"/>
    </row>
    <row r="488" spans="1:31" s="94" customFormat="1" ht="50.1" customHeight="1">
      <c r="A488" s="1068"/>
      <c r="B488" s="913"/>
      <c r="C488" s="985" t="s">
        <v>182</v>
      </c>
      <c r="D488" s="1118"/>
      <c r="E488" s="655" t="str">
        <f t="shared" si="154"/>
        <v xml:space="preserve">VIA CASANGA SAN FRANCISCO (Limite parroquial) L=4.5 km. Paltas Inicio 29 de Octubre Fin 5 de nov </v>
      </c>
      <c r="F488" s="831" t="s">
        <v>330</v>
      </c>
      <c r="G488" s="831" t="str">
        <f>VLOOKUP(H488,'Pob. Ext, Parroquial'!$B$9:$C$117,2,0)</f>
        <v>PALTAS</v>
      </c>
      <c r="H488" s="832" t="s">
        <v>619</v>
      </c>
      <c r="I488" s="831" t="s">
        <v>173</v>
      </c>
      <c r="J488" s="831" t="s">
        <v>174</v>
      </c>
      <c r="K488" s="831"/>
      <c r="L488" s="537"/>
      <c r="M488" s="538">
        <f>IF(K488&gt;0,VLOOKUP(H488,'[5]Pob. Ext, Parroquial'!$B$8:$F$117,4,FALSE),0)</f>
        <v>0</v>
      </c>
      <c r="N488" s="834" t="s">
        <v>1152</v>
      </c>
      <c r="O488" s="836" t="s">
        <v>341</v>
      </c>
      <c r="P488" s="836">
        <v>0.3</v>
      </c>
      <c r="Q488" s="968">
        <v>2612</v>
      </c>
      <c r="R488" s="948">
        <v>41941</v>
      </c>
      <c r="S488" s="948">
        <v>41948</v>
      </c>
      <c r="T488" s="686" t="str">
        <f t="shared" si="149"/>
        <v>EJECUTADO</v>
      </c>
      <c r="U488" s="837">
        <f t="shared" si="156"/>
        <v>783.6</v>
      </c>
      <c r="V488" s="544"/>
      <c r="W488" s="544"/>
      <c r="X488" s="662"/>
      <c r="Y488" s="640"/>
      <c r="Z488" s="545" t="s">
        <v>334</v>
      </c>
      <c r="AA488" s="545" t="s">
        <v>178</v>
      </c>
      <c r="AB488" s="546" t="s">
        <v>179</v>
      </c>
      <c r="AC488" s="547">
        <v>2014</v>
      </c>
      <c r="AD488" s="93"/>
      <c r="AE488" s="93"/>
    </row>
    <row r="489" spans="1:31" s="94" customFormat="1" ht="50.1" customHeight="1">
      <c r="A489" s="1068"/>
      <c r="B489" s="667"/>
      <c r="C489" s="985" t="s">
        <v>182</v>
      </c>
      <c r="D489" s="1120"/>
      <c r="E489" s="655" t="str">
        <f>+E487</f>
        <v xml:space="preserve">VIA CASANGA SAN FRANCISCO (Limite parroquial) L=4.5 km. Paltas Inicio 29 de Octubre Fin 5 de nov </v>
      </c>
      <c r="F489" s="831" t="s">
        <v>330</v>
      </c>
      <c r="G489" s="831" t="str">
        <f>VLOOKUP(H489,'Pob. Ext, Parroquial'!$B$9:$C$117,2,0)</f>
        <v>PALTAS</v>
      </c>
      <c r="H489" s="832" t="s">
        <v>619</v>
      </c>
      <c r="I489" s="831" t="s">
        <v>173</v>
      </c>
      <c r="J489" s="831" t="s">
        <v>174</v>
      </c>
      <c r="K489" s="831"/>
      <c r="L489" s="537"/>
      <c r="M489" s="538">
        <f>IF(K489&gt;0,VLOOKUP(H489,'[5]Pob. Ext, Parroquial'!$B$8:$F$117,4,FALSE),0)</f>
        <v>0</v>
      </c>
      <c r="N489" s="834" t="s">
        <v>336</v>
      </c>
      <c r="O489" s="836" t="s">
        <v>333</v>
      </c>
      <c r="P489" s="836">
        <v>1.47</v>
      </c>
      <c r="Q489" s="968">
        <v>490</v>
      </c>
      <c r="R489" s="948">
        <v>41941</v>
      </c>
      <c r="S489" s="948">
        <v>41948</v>
      </c>
      <c r="T489" s="686" t="str">
        <f t="shared" si="149"/>
        <v>EJECUTADO</v>
      </c>
      <c r="U489" s="837">
        <f t="shared" si="156"/>
        <v>720.3</v>
      </c>
      <c r="V489" s="544"/>
      <c r="W489" s="544"/>
      <c r="X489" s="664"/>
      <c r="Y489" s="640"/>
      <c r="Z489" s="545" t="s">
        <v>334</v>
      </c>
      <c r="AA489" s="545" t="s">
        <v>178</v>
      </c>
      <c r="AB489" s="546" t="s">
        <v>179</v>
      </c>
      <c r="AC489" s="547">
        <v>2014</v>
      </c>
      <c r="AD489" s="93"/>
      <c r="AE489" s="93"/>
    </row>
    <row r="490" spans="1:31" s="94" customFormat="1" ht="50.1" customHeight="1">
      <c r="A490" s="1068"/>
      <c r="B490" s="913"/>
      <c r="C490" s="985" t="s">
        <v>182</v>
      </c>
      <c r="D490" s="1117" t="s">
        <v>1156</v>
      </c>
      <c r="E490" s="636" t="str">
        <f t="shared" ref="E490" si="157">+D490</f>
        <v>VIA EL DESCANSO - MACANDAMINE- PALO BLANCO L=5.2 KM. Paltas. Inicio 5 de nov Fin 8 de nov</v>
      </c>
      <c r="F490" s="831" t="s">
        <v>330</v>
      </c>
      <c r="G490" s="831" t="str">
        <f>VLOOKUP(H490,'Pob. Ext, Parroquial'!$B$9:$C$117,2,0)</f>
        <v>PALTAS</v>
      </c>
      <c r="H490" s="832" t="s">
        <v>619</v>
      </c>
      <c r="I490" s="831" t="s">
        <v>173</v>
      </c>
      <c r="J490" s="831" t="s">
        <v>174</v>
      </c>
      <c r="K490" s="831">
        <v>5.2</v>
      </c>
      <c r="L490" s="537"/>
      <c r="M490" s="538">
        <f>IF(K490&gt;0,VLOOKUP(H490,'[5]Pob. Ext, Parroquial'!$B$8:$F$117,4,FALSE),0)</f>
        <v>1168</v>
      </c>
      <c r="N490" s="834" t="s">
        <v>1178</v>
      </c>
      <c r="O490" s="836" t="s">
        <v>333</v>
      </c>
      <c r="P490" s="836">
        <v>2.54</v>
      </c>
      <c r="Q490" s="968">
        <v>460</v>
      </c>
      <c r="R490" s="948">
        <v>41948</v>
      </c>
      <c r="S490" s="948">
        <v>41951</v>
      </c>
      <c r="T490" s="686" t="str">
        <f t="shared" si="149"/>
        <v>EJECUTADO</v>
      </c>
      <c r="U490" s="837">
        <f t="shared" si="156"/>
        <v>1168.4000000000001</v>
      </c>
      <c r="V490" s="544"/>
      <c r="W490" s="544"/>
      <c r="X490" s="660">
        <f>SUM(U490:U495)</f>
        <v>14497.4</v>
      </c>
      <c r="Y490" s="640"/>
      <c r="Z490" s="545" t="s">
        <v>334</v>
      </c>
      <c r="AA490" s="545" t="s">
        <v>178</v>
      </c>
      <c r="AB490" s="546" t="s">
        <v>179</v>
      </c>
      <c r="AC490" s="547">
        <v>2014</v>
      </c>
      <c r="AD490" s="93"/>
      <c r="AE490" s="93"/>
    </row>
    <row r="491" spans="1:31" s="94" customFormat="1" ht="50.1" customHeight="1">
      <c r="A491" s="1068"/>
      <c r="B491" s="913"/>
      <c r="C491" s="985" t="s">
        <v>182</v>
      </c>
      <c r="D491" s="1118"/>
      <c r="E491" s="655" t="str">
        <f>+E490</f>
        <v>VIA EL DESCANSO - MACANDAMINE- PALO BLANCO L=5.2 KM. Paltas. Inicio 5 de nov Fin 8 de nov</v>
      </c>
      <c r="F491" s="831" t="s">
        <v>330</v>
      </c>
      <c r="G491" s="831" t="str">
        <f>VLOOKUP(H491,'Pob. Ext, Parroquial'!$B$9:$C$117,2,0)</f>
        <v>PALTAS</v>
      </c>
      <c r="H491" s="832" t="s">
        <v>619</v>
      </c>
      <c r="I491" s="831" t="s">
        <v>173</v>
      </c>
      <c r="J491" s="831" t="s">
        <v>174</v>
      </c>
      <c r="K491" s="831"/>
      <c r="L491" s="537">
        <f t="shared" ref="L491:L492" si="158">ROUNDUP(Q491/5.5/1000,2)</f>
        <v>4.26</v>
      </c>
      <c r="M491" s="538">
        <f>IF(K491&gt;0,VLOOKUP(H491,'[5]Pob. Ext, Parroquial'!$B$8:$F$117,4,FALSE),0)</f>
        <v>0</v>
      </c>
      <c r="N491" s="834" t="s">
        <v>185</v>
      </c>
      <c r="O491" s="836" t="s">
        <v>314</v>
      </c>
      <c r="P491" s="836">
        <v>0.08</v>
      </c>
      <c r="Q491" s="968">
        <v>23400</v>
      </c>
      <c r="R491" s="948">
        <v>41948</v>
      </c>
      <c r="S491" s="948">
        <v>41951</v>
      </c>
      <c r="T491" s="686" t="str">
        <f t="shared" si="149"/>
        <v>EJECUTADO</v>
      </c>
      <c r="U491" s="837">
        <f t="shared" si="156"/>
        <v>1872</v>
      </c>
      <c r="V491" s="544"/>
      <c r="W491" s="544"/>
      <c r="X491" s="662"/>
      <c r="Y491" s="640"/>
      <c r="Z491" s="545" t="s">
        <v>334</v>
      </c>
      <c r="AA491" s="545" t="s">
        <v>178</v>
      </c>
      <c r="AB491" s="546" t="s">
        <v>179</v>
      </c>
      <c r="AC491" s="547">
        <v>2014</v>
      </c>
      <c r="AD491" s="93"/>
      <c r="AE491" s="93"/>
    </row>
    <row r="492" spans="1:31" s="94" customFormat="1" ht="50.1" customHeight="1">
      <c r="A492" s="1068"/>
      <c r="B492" s="913"/>
      <c r="C492" s="985" t="s">
        <v>182</v>
      </c>
      <c r="D492" s="1118"/>
      <c r="E492" s="655" t="str">
        <f t="shared" ref="E492:E494" si="159">+E491</f>
        <v>VIA EL DESCANSO - MACANDAMINE- PALO BLANCO L=5.2 KM. Paltas. Inicio 5 de nov Fin 8 de nov</v>
      </c>
      <c r="F492" s="831" t="s">
        <v>330</v>
      </c>
      <c r="G492" s="831" t="str">
        <f>VLOOKUP(H492,'Pob. Ext, Parroquial'!$B$9:$C$117,2,0)</f>
        <v>PALTAS</v>
      </c>
      <c r="H492" s="832" t="s">
        <v>619</v>
      </c>
      <c r="I492" s="831" t="s">
        <v>173</v>
      </c>
      <c r="J492" s="831" t="s">
        <v>174</v>
      </c>
      <c r="K492" s="831"/>
      <c r="L492" s="537">
        <f t="shared" si="158"/>
        <v>3.9099999999999997</v>
      </c>
      <c r="M492" s="538">
        <f>IF(K492&gt;0,VLOOKUP(H492,'[5]Pob. Ext, Parroquial'!$B$8:$F$117,4,FALSE),0)</f>
        <v>0</v>
      </c>
      <c r="N492" s="834" t="s">
        <v>1155</v>
      </c>
      <c r="O492" s="836" t="s">
        <v>314</v>
      </c>
      <c r="P492" s="836">
        <v>0.35</v>
      </c>
      <c r="Q492" s="968">
        <v>21500</v>
      </c>
      <c r="R492" s="948">
        <v>41948</v>
      </c>
      <c r="S492" s="948">
        <v>41951</v>
      </c>
      <c r="T492" s="686" t="str">
        <f t="shared" si="149"/>
        <v>EJECUTADO</v>
      </c>
      <c r="U492" s="837">
        <f t="shared" si="156"/>
        <v>7525</v>
      </c>
      <c r="V492" s="544"/>
      <c r="W492" s="544"/>
      <c r="X492" s="662"/>
      <c r="Y492" s="640"/>
      <c r="Z492" s="545" t="s">
        <v>334</v>
      </c>
      <c r="AA492" s="545" t="s">
        <v>178</v>
      </c>
      <c r="AB492" s="546" t="s">
        <v>179</v>
      </c>
      <c r="AC492" s="547">
        <v>2014</v>
      </c>
      <c r="AD492" s="93"/>
      <c r="AE492" s="93"/>
    </row>
    <row r="493" spans="1:31" s="94" customFormat="1" ht="39" customHeight="1">
      <c r="A493" s="1068"/>
      <c r="B493" s="913"/>
      <c r="C493" s="985" t="s">
        <v>182</v>
      </c>
      <c r="D493" s="1118"/>
      <c r="E493" s="655" t="str">
        <f>+E491</f>
        <v>VIA EL DESCANSO - MACANDAMINE- PALO BLANCO L=5.2 KM. Paltas. Inicio 5 de nov Fin 8 de nov</v>
      </c>
      <c r="F493" s="831" t="s">
        <v>330</v>
      </c>
      <c r="G493" s="831" t="str">
        <f>VLOOKUP(H493,'Pob. Ext, Parroquial'!$B$9:$C$117,2,0)</f>
        <v>PALTAS</v>
      </c>
      <c r="H493" s="832" t="s">
        <v>619</v>
      </c>
      <c r="I493" s="831" t="s">
        <v>173</v>
      </c>
      <c r="J493" s="831" t="s">
        <v>174</v>
      </c>
      <c r="K493" s="831"/>
      <c r="L493" s="537">
        <f>+ROUND(Q493/5500/0.2,2)</f>
        <v>0.43</v>
      </c>
      <c r="M493" s="538">
        <f>IF(K493&gt;0,VLOOKUP(H493,'[5]Pob. Ext, Parroquial'!$B$8:$F$117,4,FALSE),0)</f>
        <v>0</v>
      </c>
      <c r="N493" s="834" t="s">
        <v>229</v>
      </c>
      <c r="O493" s="836" t="s">
        <v>333</v>
      </c>
      <c r="P493" s="836">
        <v>5.92</v>
      </c>
      <c r="Q493" s="968">
        <v>470</v>
      </c>
      <c r="R493" s="948">
        <v>41948</v>
      </c>
      <c r="S493" s="948">
        <v>41951</v>
      </c>
      <c r="T493" s="686" t="str">
        <f t="shared" si="149"/>
        <v>EJECUTADO</v>
      </c>
      <c r="U493" s="837">
        <f t="shared" si="156"/>
        <v>2782.4</v>
      </c>
      <c r="V493" s="544"/>
      <c r="W493" s="544"/>
      <c r="X493" s="662"/>
      <c r="Y493" s="640"/>
      <c r="Z493" s="545" t="s">
        <v>334</v>
      </c>
      <c r="AA493" s="545" t="s">
        <v>178</v>
      </c>
      <c r="AB493" s="546" t="s">
        <v>179</v>
      </c>
      <c r="AC493" s="547">
        <v>2014</v>
      </c>
      <c r="AD493" s="93"/>
      <c r="AE493" s="93"/>
    </row>
    <row r="494" spans="1:31" s="94" customFormat="1" ht="50.1" customHeight="1">
      <c r="A494" s="1068"/>
      <c r="B494" s="913"/>
      <c r="C494" s="985" t="s">
        <v>182</v>
      </c>
      <c r="D494" s="1118"/>
      <c r="E494" s="655" t="str">
        <f t="shared" si="159"/>
        <v>VIA EL DESCANSO - MACANDAMINE- PALO BLANCO L=5.2 KM. Paltas. Inicio 5 de nov Fin 8 de nov</v>
      </c>
      <c r="F494" s="831" t="s">
        <v>330</v>
      </c>
      <c r="G494" s="831" t="str">
        <f>VLOOKUP(H494,'Pob. Ext, Parroquial'!$B$9:$C$117,2,0)</f>
        <v>PALTAS</v>
      </c>
      <c r="H494" s="832" t="s">
        <v>619</v>
      </c>
      <c r="I494" s="831" t="s">
        <v>173</v>
      </c>
      <c r="J494" s="831" t="s">
        <v>174</v>
      </c>
      <c r="K494" s="831"/>
      <c r="L494" s="537"/>
      <c r="M494" s="538">
        <f>IF(K494&gt;0,VLOOKUP(H494,'[5]Pob. Ext, Parroquial'!$B$8:$F$117,4,FALSE),0)</f>
        <v>0</v>
      </c>
      <c r="N494" s="834" t="s">
        <v>1152</v>
      </c>
      <c r="O494" s="836" t="s">
        <v>341</v>
      </c>
      <c r="P494" s="836">
        <v>0.3</v>
      </c>
      <c r="Q494" s="968">
        <v>1725</v>
      </c>
      <c r="R494" s="948">
        <v>41948</v>
      </c>
      <c r="S494" s="948">
        <v>41951</v>
      </c>
      <c r="T494" s="686" t="str">
        <f t="shared" si="149"/>
        <v>EJECUTADO</v>
      </c>
      <c r="U494" s="837">
        <f t="shared" si="156"/>
        <v>517.5</v>
      </c>
      <c r="V494" s="544"/>
      <c r="W494" s="544"/>
      <c r="X494" s="662"/>
      <c r="Y494" s="640"/>
      <c r="Z494" s="545" t="s">
        <v>334</v>
      </c>
      <c r="AA494" s="545" t="s">
        <v>178</v>
      </c>
      <c r="AB494" s="546" t="s">
        <v>179</v>
      </c>
      <c r="AC494" s="547">
        <v>2014</v>
      </c>
      <c r="AD494" s="93"/>
      <c r="AE494" s="93"/>
    </row>
    <row r="495" spans="1:31" s="94" customFormat="1" ht="50.1" customHeight="1">
      <c r="A495" s="1068"/>
      <c r="B495" s="667"/>
      <c r="C495" s="985" t="s">
        <v>182</v>
      </c>
      <c r="D495" s="1120"/>
      <c r="E495" s="655" t="str">
        <f>+E493</f>
        <v>VIA EL DESCANSO - MACANDAMINE- PALO BLANCO L=5.2 KM. Paltas. Inicio 5 de nov Fin 8 de nov</v>
      </c>
      <c r="F495" s="831" t="s">
        <v>330</v>
      </c>
      <c r="G495" s="831" t="str">
        <f>VLOOKUP(H495,'Pob. Ext, Parroquial'!$B$9:$C$117,2,0)</f>
        <v>PALTAS</v>
      </c>
      <c r="H495" s="832" t="s">
        <v>619</v>
      </c>
      <c r="I495" s="831" t="s">
        <v>173</v>
      </c>
      <c r="J495" s="831" t="s">
        <v>174</v>
      </c>
      <c r="K495" s="831"/>
      <c r="L495" s="537"/>
      <c r="M495" s="538">
        <f>IF(K495&gt;0,VLOOKUP(H495,'[5]Pob. Ext, Parroquial'!$B$8:$F$117,4,FALSE),0)</f>
        <v>0</v>
      </c>
      <c r="N495" s="834" t="s">
        <v>336</v>
      </c>
      <c r="O495" s="836" t="s">
        <v>333</v>
      </c>
      <c r="P495" s="836">
        <v>1.47</v>
      </c>
      <c r="Q495" s="968">
        <v>430</v>
      </c>
      <c r="R495" s="948">
        <v>41948</v>
      </c>
      <c r="S495" s="948">
        <v>41951</v>
      </c>
      <c r="T495" s="686" t="str">
        <f t="shared" si="149"/>
        <v>EJECUTADO</v>
      </c>
      <c r="U495" s="837">
        <f t="shared" si="156"/>
        <v>632.1</v>
      </c>
      <c r="V495" s="544"/>
      <c r="W495" s="544"/>
      <c r="X495" s="664"/>
      <c r="Y495" s="640"/>
      <c r="Z495" s="545" t="s">
        <v>334</v>
      </c>
      <c r="AA495" s="545" t="s">
        <v>178</v>
      </c>
      <c r="AB495" s="546" t="s">
        <v>179</v>
      </c>
      <c r="AC495" s="547">
        <v>2014</v>
      </c>
      <c r="AD495" s="93"/>
      <c r="AE495" s="93"/>
    </row>
    <row r="496" spans="1:31" s="94" customFormat="1" ht="50.1" customHeight="1">
      <c r="A496" s="1068"/>
      <c r="B496" s="913"/>
      <c r="C496" s="985" t="s">
        <v>182</v>
      </c>
      <c r="D496" s="1121" t="s">
        <v>1157</v>
      </c>
      <c r="E496" s="929" t="str">
        <f t="shared" ref="E496" si="160">+D496</f>
        <v>VIA CASANGA - EL NARANJO L=3.9 KM  Paltas Inicio 11 de Nov Fin 13 Nov</v>
      </c>
      <c r="F496" s="831" t="s">
        <v>330</v>
      </c>
      <c r="G496" s="831" t="str">
        <f>VLOOKUP(H496,'Pob. Ext, Parroquial'!$B$9:$C$117,2,0)</f>
        <v>PALTAS</v>
      </c>
      <c r="H496" s="832" t="s">
        <v>619</v>
      </c>
      <c r="I496" s="831" t="s">
        <v>173</v>
      </c>
      <c r="J496" s="831" t="s">
        <v>174</v>
      </c>
      <c r="K496" s="831">
        <v>3.9</v>
      </c>
      <c r="L496" s="537"/>
      <c r="M496" s="538">
        <f>IF(K496&gt;0,VLOOKUP(H496,'[5]Pob. Ext, Parroquial'!$B$8:$F$117,4,FALSE),0)</f>
        <v>1168</v>
      </c>
      <c r="N496" s="834" t="s">
        <v>1178</v>
      </c>
      <c r="O496" s="836" t="s">
        <v>333</v>
      </c>
      <c r="P496" s="836">
        <v>2.54</v>
      </c>
      <c r="Q496" s="968">
        <v>140</v>
      </c>
      <c r="R496" s="948">
        <v>41984</v>
      </c>
      <c r="S496" s="948">
        <v>41956</v>
      </c>
      <c r="T496" s="686" t="str">
        <f t="shared" si="149"/>
        <v>EJECUTADO</v>
      </c>
      <c r="U496" s="837">
        <f t="shared" si="156"/>
        <v>355.6</v>
      </c>
      <c r="V496" s="544"/>
      <c r="W496" s="544"/>
      <c r="X496" s="660">
        <f>SUM(U496:U501)</f>
        <v>7566.0899999999992</v>
      </c>
      <c r="Y496" s="640"/>
      <c r="Z496" s="545" t="s">
        <v>334</v>
      </c>
      <c r="AA496" s="545" t="s">
        <v>178</v>
      </c>
      <c r="AB496" s="546" t="s">
        <v>179</v>
      </c>
      <c r="AC496" s="547">
        <v>2014</v>
      </c>
      <c r="AD496" s="93"/>
      <c r="AE496" s="93"/>
    </row>
    <row r="497" spans="1:31" s="94" customFormat="1" ht="50.1" customHeight="1">
      <c r="A497" s="1068"/>
      <c r="B497" s="667"/>
      <c r="C497" s="985" t="s">
        <v>182</v>
      </c>
      <c r="D497" s="1121"/>
      <c r="E497" s="929" t="str">
        <f>+E500</f>
        <v>VIA CASANGA - EL NARANJO L=3.9 KM  Paltas Inicio 11 de Nov Fin 13 Nov</v>
      </c>
      <c r="F497" s="831" t="s">
        <v>330</v>
      </c>
      <c r="G497" s="831" t="str">
        <f>VLOOKUP(H497,'Pob. Ext, Parroquial'!$B$9:$C$117,2,0)</f>
        <v>PALTAS</v>
      </c>
      <c r="H497" s="832" t="s">
        <v>619</v>
      </c>
      <c r="I497" s="831" t="s">
        <v>173</v>
      </c>
      <c r="J497" s="831" t="s">
        <v>174</v>
      </c>
      <c r="K497" s="831"/>
      <c r="L497" s="537"/>
      <c r="M497" s="538">
        <f>IF(K497&gt;0,VLOOKUP(H497,'[5]Pob. Ext, Parroquial'!$B$8:$F$117,4,FALSE),0)</f>
        <v>0</v>
      </c>
      <c r="N497" s="834" t="s">
        <v>336</v>
      </c>
      <c r="O497" s="836" t="s">
        <v>333</v>
      </c>
      <c r="P497" s="836">
        <v>1.47</v>
      </c>
      <c r="Q497" s="968">
        <v>130</v>
      </c>
      <c r="R497" s="948">
        <v>41984</v>
      </c>
      <c r="S497" s="948">
        <v>41956</v>
      </c>
      <c r="T497" s="686" t="str">
        <f>IF(S497&lt;$G$5,"EJECUTADO","EN EJECUCION")</f>
        <v>EJECUTADO</v>
      </c>
      <c r="U497" s="837">
        <f t="shared" si="156"/>
        <v>191.1</v>
      </c>
      <c r="V497" s="544"/>
      <c r="W497" s="544"/>
      <c r="X497" s="662"/>
      <c r="Y497" s="640"/>
      <c r="Z497" s="545" t="s">
        <v>334</v>
      </c>
      <c r="AA497" s="545" t="s">
        <v>178</v>
      </c>
      <c r="AB497" s="546" t="s">
        <v>179</v>
      </c>
      <c r="AC497" s="547">
        <v>2014</v>
      </c>
      <c r="AD497" s="93"/>
      <c r="AE497" s="93"/>
    </row>
    <row r="498" spans="1:31" s="94" customFormat="1" ht="50.1" customHeight="1">
      <c r="A498" s="1068"/>
      <c r="B498" s="913"/>
      <c r="C498" s="985" t="s">
        <v>182</v>
      </c>
      <c r="D498" s="1121"/>
      <c r="E498" s="929" t="str">
        <f>+E496</f>
        <v>VIA CASANGA - EL NARANJO L=3.9 KM  Paltas Inicio 11 de Nov Fin 13 Nov</v>
      </c>
      <c r="F498" s="831" t="s">
        <v>330</v>
      </c>
      <c r="G498" s="831" t="str">
        <f>VLOOKUP(H498,'Pob. Ext, Parroquial'!$B$9:$C$117,2,0)</f>
        <v>PALTAS</v>
      </c>
      <c r="H498" s="832" t="s">
        <v>619</v>
      </c>
      <c r="I498" s="831" t="s">
        <v>173</v>
      </c>
      <c r="J498" s="831" t="s">
        <v>174</v>
      </c>
      <c r="K498" s="831"/>
      <c r="L498" s="537">
        <f t="shared" ref="L498:L499" si="161">ROUNDUP(Q498/5.5/1000,2)</f>
        <v>3.1999999999999997</v>
      </c>
      <c r="M498" s="538">
        <f>IF(K498&gt;0,VLOOKUP(H498,'[5]Pob. Ext, Parroquial'!$B$8:$F$117,4,FALSE),0)</f>
        <v>0</v>
      </c>
      <c r="N498" s="834" t="s">
        <v>185</v>
      </c>
      <c r="O498" s="836" t="s">
        <v>314</v>
      </c>
      <c r="P498" s="836">
        <v>0.08</v>
      </c>
      <c r="Q498" s="968">
        <v>17550</v>
      </c>
      <c r="R498" s="948">
        <v>41984</v>
      </c>
      <c r="S498" s="948">
        <v>41956</v>
      </c>
      <c r="T498" s="686" t="str">
        <f t="shared" si="149"/>
        <v>EJECUTADO</v>
      </c>
      <c r="U498" s="837">
        <f t="shared" si="156"/>
        <v>1404</v>
      </c>
      <c r="V498" s="544"/>
      <c r="W498" s="544"/>
      <c r="X498" s="662"/>
      <c r="Y498" s="640"/>
      <c r="Z498" s="545" t="s">
        <v>334</v>
      </c>
      <c r="AA498" s="545" t="s">
        <v>178</v>
      </c>
      <c r="AB498" s="546" t="s">
        <v>179</v>
      </c>
      <c r="AC498" s="547">
        <v>2014</v>
      </c>
      <c r="AD498" s="93"/>
      <c r="AE498" s="93"/>
    </row>
    <row r="499" spans="1:31" s="94" customFormat="1" ht="50.1" customHeight="1">
      <c r="A499" s="1068"/>
      <c r="B499" s="913"/>
      <c r="C499" s="985" t="s">
        <v>182</v>
      </c>
      <c r="D499" s="1121"/>
      <c r="E499" s="929" t="str">
        <f t="shared" ref="E499:E507" si="162">+E498</f>
        <v>VIA CASANGA - EL NARANJO L=3.9 KM  Paltas Inicio 11 de Nov Fin 13 Nov</v>
      </c>
      <c r="F499" s="831" t="s">
        <v>330</v>
      </c>
      <c r="G499" s="831" t="str">
        <f>VLOOKUP(H499,'Pob. Ext, Parroquial'!$B$9:$C$117,2,0)</f>
        <v>PALTAS</v>
      </c>
      <c r="H499" s="832" t="s">
        <v>619</v>
      </c>
      <c r="I499" s="831" t="s">
        <v>173</v>
      </c>
      <c r="J499" s="831" t="s">
        <v>174</v>
      </c>
      <c r="K499" s="831"/>
      <c r="L499" s="537">
        <f t="shared" si="161"/>
        <v>2.38</v>
      </c>
      <c r="M499" s="538">
        <f>IF(K499&gt;0,VLOOKUP(H499,'[5]Pob. Ext, Parroquial'!$B$8:$F$117,4,FALSE),0)</f>
        <v>0</v>
      </c>
      <c r="N499" s="834" t="s">
        <v>1155</v>
      </c>
      <c r="O499" s="836" t="s">
        <v>314</v>
      </c>
      <c r="P499" s="836">
        <v>0.35</v>
      </c>
      <c r="Q499" s="968">
        <v>13050</v>
      </c>
      <c r="R499" s="948">
        <v>41984</v>
      </c>
      <c r="S499" s="948">
        <v>41956</v>
      </c>
      <c r="T499" s="686" t="str">
        <f t="shared" si="149"/>
        <v>EJECUTADO</v>
      </c>
      <c r="U499" s="837">
        <f t="shared" si="156"/>
        <v>4567.5</v>
      </c>
      <c r="V499" s="544"/>
      <c r="W499" s="544"/>
      <c r="X499" s="662"/>
      <c r="Y499" s="640"/>
      <c r="Z499" s="545" t="s">
        <v>334</v>
      </c>
      <c r="AA499" s="545" t="s">
        <v>178</v>
      </c>
      <c r="AB499" s="546" t="s">
        <v>179</v>
      </c>
      <c r="AC499" s="547">
        <v>2014</v>
      </c>
      <c r="AD499" s="93"/>
      <c r="AE499" s="93"/>
    </row>
    <row r="500" spans="1:31" s="94" customFormat="1" ht="50.1" customHeight="1">
      <c r="A500" s="1068"/>
      <c r="B500" s="913"/>
      <c r="C500" s="985" t="s">
        <v>182</v>
      </c>
      <c r="D500" s="1121"/>
      <c r="E500" s="929" t="str">
        <f>+E498</f>
        <v>VIA CASANGA - EL NARANJO L=3.9 KM  Paltas Inicio 11 de Nov Fin 13 Nov</v>
      </c>
      <c r="F500" s="831" t="s">
        <v>330</v>
      </c>
      <c r="G500" s="831" t="str">
        <f>VLOOKUP(H500,'Pob. Ext, Parroquial'!$B$9:$C$117,2,0)</f>
        <v>PALTAS</v>
      </c>
      <c r="H500" s="832" t="s">
        <v>619</v>
      </c>
      <c r="I500" s="831" t="s">
        <v>173</v>
      </c>
      <c r="J500" s="831" t="s">
        <v>174</v>
      </c>
      <c r="K500" s="831"/>
      <c r="L500" s="537">
        <f>+ROUND(Q500/5500/0.2,2)</f>
        <v>0.13</v>
      </c>
      <c r="M500" s="538">
        <f>IF(K500&gt;0,VLOOKUP(H500,'[5]Pob. Ext, Parroquial'!$B$8:$F$117,4,FALSE),0)</f>
        <v>0</v>
      </c>
      <c r="N500" s="834" t="s">
        <v>229</v>
      </c>
      <c r="O500" s="836" t="s">
        <v>333</v>
      </c>
      <c r="P500" s="836">
        <v>5.92</v>
      </c>
      <c r="Q500" s="968">
        <v>145</v>
      </c>
      <c r="R500" s="948">
        <v>41984</v>
      </c>
      <c r="S500" s="948">
        <v>41956</v>
      </c>
      <c r="T500" s="686" t="str">
        <f t="shared" si="149"/>
        <v>EJECUTADO</v>
      </c>
      <c r="U500" s="837">
        <f t="shared" si="156"/>
        <v>858.4</v>
      </c>
      <c r="V500" s="544"/>
      <c r="W500" s="544"/>
      <c r="X500" s="662"/>
      <c r="Y500" s="640"/>
      <c r="Z500" s="545" t="s">
        <v>334</v>
      </c>
      <c r="AA500" s="545" t="s">
        <v>178</v>
      </c>
      <c r="AB500" s="546" t="s">
        <v>179</v>
      </c>
      <c r="AC500" s="547">
        <v>2014</v>
      </c>
      <c r="AD500" s="93"/>
      <c r="AE500" s="93"/>
    </row>
    <row r="501" spans="1:31" s="94" customFormat="1" ht="50.1" customHeight="1">
      <c r="A501" s="1068"/>
      <c r="B501" s="913"/>
      <c r="C501" s="985" t="s">
        <v>182</v>
      </c>
      <c r="D501" s="1121"/>
      <c r="E501" s="929" t="str">
        <f t="shared" si="162"/>
        <v>VIA CASANGA - EL NARANJO L=3.9 KM  Paltas Inicio 11 de Nov Fin 13 Nov</v>
      </c>
      <c r="F501" s="831" t="s">
        <v>330</v>
      </c>
      <c r="G501" s="831" t="str">
        <f>VLOOKUP(H501,'Pob. Ext, Parroquial'!$B$9:$C$117,2,0)</f>
        <v>PALTAS</v>
      </c>
      <c r="H501" s="832" t="s">
        <v>619</v>
      </c>
      <c r="I501" s="831" t="s">
        <v>173</v>
      </c>
      <c r="J501" s="831" t="s">
        <v>174</v>
      </c>
      <c r="K501" s="831"/>
      <c r="L501" s="537"/>
      <c r="M501" s="538">
        <f>IF(K501&gt;0,VLOOKUP(H501,'[5]Pob. Ext, Parroquial'!$B$8:$F$117,4,FALSE),0)</f>
        <v>0</v>
      </c>
      <c r="N501" s="834" t="s">
        <v>1152</v>
      </c>
      <c r="O501" s="836" t="s">
        <v>341</v>
      </c>
      <c r="P501" s="836">
        <v>0.3</v>
      </c>
      <c r="Q501" s="968">
        <v>631.62</v>
      </c>
      <c r="R501" s="948">
        <v>41984</v>
      </c>
      <c r="S501" s="948">
        <v>41956</v>
      </c>
      <c r="T501" s="686" t="str">
        <f t="shared" si="149"/>
        <v>EJECUTADO</v>
      </c>
      <c r="U501" s="837">
        <f t="shared" si="156"/>
        <v>189.49</v>
      </c>
      <c r="V501" s="544"/>
      <c r="W501" s="544"/>
      <c r="X501" s="664"/>
      <c r="Y501" s="640"/>
      <c r="Z501" s="545" t="s">
        <v>334</v>
      </c>
      <c r="AA501" s="545" t="s">
        <v>178</v>
      </c>
      <c r="AB501" s="546" t="s">
        <v>179</v>
      </c>
      <c r="AC501" s="547">
        <v>2014</v>
      </c>
      <c r="AD501" s="93"/>
      <c r="AE501" s="93"/>
    </row>
    <row r="502" spans="1:31" s="94" customFormat="1" ht="50.1" customHeight="1">
      <c r="A502" s="963"/>
      <c r="B502" s="964"/>
      <c r="C502" s="985" t="s">
        <v>182</v>
      </c>
      <c r="D502" s="1122" t="str">
        <f>+E502</f>
        <v>VIA, ACCESO AL BARRIO, GUAYPIRA.  L=3,1 km. Paltas.</v>
      </c>
      <c r="E502" s="929" t="s">
        <v>1518</v>
      </c>
      <c r="F502" s="831" t="s">
        <v>330</v>
      </c>
      <c r="G502" s="831" t="str">
        <f>VLOOKUP(H502,'Pob. Ext, Parroquial'!$B$9:$C$117,2,0)</f>
        <v>PALTAS</v>
      </c>
      <c r="H502" s="832" t="s">
        <v>619</v>
      </c>
      <c r="I502" s="831" t="s">
        <v>173</v>
      </c>
      <c r="J502" s="831" t="s">
        <v>174</v>
      </c>
      <c r="K502" s="831">
        <v>3.1</v>
      </c>
      <c r="L502" s="537"/>
      <c r="M502" s="538">
        <f>IF(K502&gt;0,VLOOKUP(H502,'[5]Pob. Ext, Parroquial'!$B$8:$F$117,4,FALSE),0)</f>
        <v>1168</v>
      </c>
      <c r="N502" s="834" t="s">
        <v>1519</v>
      </c>
      <c r="O502" s="836" t="s">
        <v>333</v>
      </c>
      <c r="P502" s="836">
        <v>2.54</v>
      </c>
      <c r="Q502" s="968">
        <v>250</v>
      </c>
      <c r="R502" s="948">
        <v>41956</v>
      </c>
      <c r="S502" s="948">
        <v>41957</v>
      </c>
      <c r="T502" s="686" t="str">
        <f t="shared" ref="T502:T507" si="163">IF(S502&lt;$G$5,"EJECUTADO","EN EJECUCION")</f>
        <v>EJECUTADO</v>
      </c>
      <c r="U502" s="837">
        <f t="shared" ref="U502:U507" si="164">ROUND(P502*Q502,2)</f>
        <v>635</v>
      </c>
      <c r="V502" s="544"/>
      <c r="W502" s="544"/>
      <c r="X502" s="664"/>
      <c r="Y502" s="640"/>
      <c r="Z502" s="545" t="s">
        <v>334</v>
      </c>
      <c r="AA502" s="545" t="s">
        <v>178</v>
      </c>
      <c r="AB502" s="546" t="s">
        <v>179</v>
      </c>
      <c r="AC502" s="547">
        <v>2014</v>
      </c>
      <c r="AD502" s="93"/>
      <c r="AE502" s="93"/>
    </row>
    <row r="503" spans="1:31" s="94" customFormat="1" ht="50.1" customHeight="1">
      <c r="A503" s="963"/>
      <c r="B503" s="964"/>
      <c r="C503" s="985" t="s">
        <v>182</v>
      </c>
      <c r="D503" s="1123"/>
      <c r="E503" s="929" t="str">
        <f t="shared" si="162"/>
        <v>VIA, ACCESO AL BARRIO, GUAYPIRA.  L=3,1 km. Paltas.</v>
      </c>
      <c r="F503" s="831" t="s">
        <v>330</v>
      </c>
      <c r="G503" s="831" t="str">
        <f>VLOOKUP(H503,'Pob. Ext, Parroquial'!$B$9:$C$117,2,0)</f>
        <v>PALTAS</v>
      </c>
      <c r="H503" s="832" t="s">
        <v>619</v>
      </c>
      <c r="I503" s="831" t="s">
        <v>173</v>
      </c>
      <c r="J503" s="831" t="s">
        <v>174</v>
      </c>
      <c r="K503" s="831"/>
      <c r="L503" s="537"/>
      <c r="M503" s="538">
        <f>IF(K503&gt;0,VLOOKUP(H503,'[5]Pob. Ext, Parroquial'!$B$8:$F$117,4,FALSE),0)</f>
        <v>0</v>
      </c>
      <c r="N503" s="834" t="s">
        <v>395</v>
      </c>
      <c r="O503" s="836" t="s">
        <v>333</v>
      </c>
      <c r="P503" s="836">
        <v>1.47</v>
      </c>
      <c r="Q503" s="968">
        <v>230</v>
      </c>
      <c r="R503" s="948">
        <v>41956</v>
      </c>
      <c r="S503" s="948">
        <v>41957</v>
      </c>
      <c r="T503" s="686" t="str">
        <f t="shared" si="163"/>
        <v>EJECUTADO</v>
      </c>
      <c r="U503" s="837">
        <f t="shared" si="164"/>
        <v>338.1</v>
      </c>
      <c r="V503" s="544"/>
      <c r="W503" s="544"/>
      <c r="X503" s="664"/>
      <c r="Y503" s="640"/>
      <c r="Z503" s="545" t="s">
        <v>334</v>
      </c>
      <c r="AA503" s="545" t="s">
        <v>178</v>
      </c>
      <c r="AB503" s="546" t="s">
        <v>179</v>
      </c>
      <c r="AC503" s="547">
        <v>2014</v>
      </c>
      <c r="AD503" s="93"/>
      <c r="AE503" s="93"/>
    </row>
    <row r="504" spans="1:31" s="94" customFormat="1" ht="50.1" customHeight="1">
      <c r="A504" s="963"/>
      <c r="B504" s="964"/>
      <c r="C504" s="985" t="s">
        <v>182</v>
      </c>
      <c r="D504" s="1123"/>
      <c r="E504" s="929" t="str">
        <f t="shared" si="162"/>
        <v>VIA, ACCESO AL BARRIO, GUAYPIRA.  L=3,1 km. Paltas.</v>
      </c>
      <c r="F504" s="831" t="s">
        <v>330</v>
      </c>
      <c r="G504" s="831" t="str">
        <f>VLOOKUP(H504,'Pob. Ext, Parroquial'!$B$9:$C$117,2,0)</f>
        <v>PALTAS</v>
      </c>
      <c r="H504" s="832" t="s">
        <v>619</v>
      </c>
      <c r="I504" s="831" t="s">
        <v>173</v>
      </c>
      <c r="J504" s="831" t="s">
        <v>174</v>
      </c>
      <c r="K504" s="831"/>
      <c r="L504" s="537"/>
      <c r="M504" s="538">
        <f>IF(K504&gt;0,VLOOKUP(H504,'[5]Pob. Ext, Parroquial'!$B$8:$F$117,4,FALSE),0)</f>
        <v>0</v>
      </c>
      <c r="N504" s="834" t="s">
        <v>185</v>
      </c>
      <c r="O504" s="836" t="s">
        <v>314</v>
      </c>
      <c r="P504" s="836">
        <v>0.08</v>
      </c>
      <c r="Q504" s="968">
        <v>17030</v>
      </c>
      <c r="R504" s="948">
        <v>41956</v>
      </c>
      <c r="S504" s="948">
        <v>41957</v>
      </c>
      <c r="T504" s="686" t="str">
        <f t="shared" si="163"/>
        <v>EJECUTADO</v>
      </c>
      <c r="U504" s="837">
        <f t="shared" si="164"/>
        <v>1362.4</v>
      </c>
      <c r="V504" s="544"/>
      <c r="W504" s="544"/>
      <c r="X504" s="664"/>
      <c r="Y504" s="640"/>
      <c r="Z504" s="545" t="s">
        <v>334</v>
      </c>
      <c r="AA504" s="545" t="s">
        <v>178</v>
      </c>
      <c r="AB504" s="546" t="s">
        <v>179</v>
      </c>
      <c r="AC504" s="547">
        <v>2014</v>
      </c>
      <c r="AD504" s="93"/>
      <c r="AE504" s="93"/>
    </row>
    <row r="505" spans="1:31" s="94" customFormat="1" ht="50.1" customHeight="1">
      <c r="A505" s="963"/>
      <c r="B505" s="964"/>
      <c r="C505" s="985" t="s">
        <v>182</v>
      </c>
      <c r="D505" s="1123"/>
      <c r="E505" s="929" t="str">
        <f t="shared" si="162"/>
        <v>VIA, ACCESO AL BARRIO, GUAYPIRA.  L=3,1 km. Paltas.</v>
      </c>
      <c r="F505" s="831" t="s">
        <v>330</v>
      </c>
      <c r="G505" s="831" t="str">
        <f>VLOOKUP(H505,'Pob. Ext, Parroquial'!$B$9:$C$117,2,0)</f>
        <v>PALTAS</v>
      </c>
      <c r="H505" s="832" t="s">
        <v>619</v>
      </c>
      <c r="I505" s="831" t="s">
        <v>173</v>
      </c>
      <c r="J505" s="831" t="s">
        <v>174</v>
      </c>
      <c r="K505" s="831"/>
      <c r="L505" s="537"/>
      <c r="M505" s="538">
        <f>IF(K505&gt;0,VLOOKUP(H505,'[5]Pob. Ext, Parroquial'!$B$8:$F$117,4,FALSE),0)</f>
        <v>0</v>
      </c>
      <c r="N505" s="834" t="s">
        <v>1520</v>
      </c>
      <c r="O505" s="836" t="s">
        <v>314</v>
      </c>
      <c r="P505" s="836">
        <v>0.35</v>
      </c>
      <c r="Q505" s="968">
        <v>15400</v>
      </c>
      <c r="R505" s="948">
        <v>41956</v>
      </c>
      <c r="S505" s="948">
        <v>41957</v>
      </c>
      <c r="T505" s="686" t="str">
        <f t="shared" si="163"/>
        <v>EJECUTADO</v>
      </c>
      <c r="U505" s="837">
        <f t="shared" si="164"/>
        <v>5390</v>
      </c>
      <c r="V505" s="544"/>
      <c r="W505" s="544"/>
      <c r="X505" s="664"/>
      <c r="Y505" s="640"/>
      <c r="Z505" s="545" t="s">
        <v>334</v>
      </c>
      <c r="AA505" s="545" t="s">
        <v>178</v>
      </c>
      <c r="AB505" s="546" t="s">
        <v>179</v>
      </c>
      <c r="AC505" s="547">
        <v>2014</v>
      </c>
      <c r="AD505" s="93"/>
      <c r="AE505" s="93"/>
    </row>
    <row r="506" spans="1:31" s="94" customFormat="1" ht="50.1" customHeight="1">
      <c r="A506" s="963"/>
      <c r="B506" s="964"/>
      <c r="C506" s="985" t="s">
        <v>182</v>
      </c>
      <c r="D506" s="1123"/>
      <c r="E506" s="929" t="str">
        <f t="shared" si="162"/>
        <v>VIA, ACCESO AL BARRIO, GUAYPIRA.  L=3,1 km. Paltas.</v>
      </c>
      <c r="F506" s="831" t="s">
        <v>330</v>
      </c>
      <c r="G506" s="831" t="str">
        <f>VLOOKUP(H506,'Pob. Ext, Parroquial'!$B$9:$C$117,2,0)</f>
        <v>PALTAS</v>
      </c>
      <c r="H506" s="832" t="s">
        <v>619</v>
      </c>
      <c r="I506" s="831" t="s">
        <v>173</v>
      </c>
      <c r="J506" s="831" t="s">
        <v>174</v>
      </c>
      <c r="K506" s="831"/>
      <c r="L506" s="537"/>
      <c r="M506" s="538">
        <f>IF(K506&gt;0,VLOOKUP(H506,'[5]Pob. Ext, Parroquial'!$B$8:$F$117,4,FALSE),0)</f>
        <v>0</v>
      </c>
      <c r="N506" s="834" t="s">
        <v>229</v>
      </c>
      <c r="O506" s="836" t="s">
        <v>333</v>
      </c>
      <c r="P506" s="836">
        <v>5.92</v>
      </c>
      <c r="Q506" s="968">
        <v>245</v>
      </c>
      <c r="R506" s="948">
        <v>41956</v>
      </c>
      <c r="S506" s="948">
        <v>41957</v>
      </c>
      <c r="T506" s="686" t="str">
        <f t="shared" si="163"/>
        <v>EJECUTADO</v>
      </c>
      <c r="U506" s="837">
        <f t="shared" si="164"/>
        <v>1450.4</v>
      </c>
      <c r="V506" s="544"/>
      <c r="W506" s="544"/>
      <c r="X506" s="664"/>
      <c r="Y506" s="640"/>
      <c r="Z506" s="545" t="s">
        <v>334</v>
      </c>
      <c r="AA506" s="545" t="s">
        <v>178</v>
      </c>
      <c r="AB506" s="546" t="s">
        <v>179</v>
      </c>
      <c r="AC506" s="547">
        <v>2014</v>
      </c>
      <c r="AD506" s="93"/>
      <c r="AE506" s="93"/>
    </row>
    <row r="507" spans="1:31" s="94" customFormat="1" ht="50.1" customHeight="1">
      <c r="A507" s="963"/>
      <c r="B507" s="964"/>
      <c r="C507" s="985" t="s">
        <v>182</v>
      </c>
      <c r="D507" s="1124"/>
      <c r="E507" s="929" t="str">
        <f t="shared" si="162"/>
        <v>VIA, ACCESO AL BARRIO, GUAYPIRA.  L=3,1 km. Paltas.</v>
      </c>
      <c r="F507" s="831" t="s">
        <v>330</v>
      </c>
      <c r="G507" s="831" t="str">
        <f>VLOOKUP(H507,'Pob. Ext, Parroquial'!$B$9:$C$117,2,0)</f>
        <v>PALTAS</v>
      </c>
      <c r="H507" s="832" t="s">
        <v>619</v>
      </c>
      <c r="I507" s="831" t="s">
        <v>173</v>
      </c>
      <c r="J507" s="831" t="s">
        <v>174</v>
      </c>
      <c r="K507" s="831"/>
      <c r="L507" s="537"/>
      <c r="M507" s="538">
        <f>IF(K507&gt;0,VLOOKUP(H507,'[5]Pob. Ext, Parroquial'!$B$8:$F$117,4,FALSE),0)</f>
        <v>0</v>
      </c>
      <c r="N507" s="834" t="s">
        <v>1521</v>
      </c>
      <c r="O507" s="836" t="s">
        <v>352</v>
      </c>
      <c r="P507" s="836">
        <v>0.38</v>
      </c>
      <c r="Q507" s="968">
        <v>375.1</v>
      </c>
      <c r="R507" s="948">
        <v>41956</v>
      </c>
      <c r="S507" s="948">
        <v>41957</v>
      </c>
      <c r="T507" s="686" t="str">
        <f t="shared" si="163"/>
        <v>EJECUTADO</v>
      </c>
      <c r="U507" s="837">
        <f t="shared" si="164"/>
        <v>142.54</v>
      </c>
      <c r="V507" s="544"/>
      <c r="W507" s="544"/>
      <c r="X507" s="664"/>
      <c r="Y507" s="640"/>
      <c r="Z507" s="545" t="s">
        <v>334</v>
      </c>
      <c r="AA507" s="545" t="s">
        <v>178</v>
      </c>
      <c r="AB507" s="546" t="s">
        <v>179</v>
      </c>
      <c r="AC507" s="547">
        <v>2014</v>
      </c>
      <c r="AD507" s="93"/>
      <c r="AE507" s="93"/>
    </row>
    <row r="508" spans="1:31" s="94" customFormat="1" ht="50.1" customHeight="1">
      <c r="A508" s="1068"/>
      <c r="B508" s="913"/>
      <c r="C508" s="985" t="s">
        <v>182</v>
      </c>
      <c r="D508" s="1121" t="s">
        <v>1522</v>
      </c>
      <c r="E508" s="929" t="s">
        <v>1522</v>
      </c>
      <c r="F508" s="831" t="s">
        <v>330</v>
      </c>
      <c r="G508" s="831" t="str">
        <f>VLOOKUP(H508,'Pob. Ext, Parroquial'!$B$9:$C$117,2,0)</f>
        <v>PALTAS</v>
      </c>
      <c r="H508" s="832" t="s">
        <v>619</v>
      </c>
      <c r="I508" s="831" t="s">
        <v>173</v>
      </c>
      <c r="J508" s="831" t="s">
        <v>174</v>
      </c>
      <c r="K508" s="831">
        <v>4.4000000000000004</v>
      </c>
      <c r="L508" s="537"/>
      <c r="M508" s="538">
        <f>IF(K508&gt;0,VLOOKUP(H508,'[5]Pob. Ext, Parroquial'!$B$8:$F$117,4,FALSE),0)</f>
        <v>1168</v>
      </c>
      <c r="N508" s="834" t="s">
        <v>1178</v>
      </c>
      <c r="O508" s="836" t="s">
        <v>333</v>
      </c>
      <c r="P508" s="836">
        <v>2.54</v>
      </c>
      <c r="Q508" s="968">
        <v>340</v>
      </c>
      <c r="R508" s="948">
        <v>41958</v>
      </c>
      <c r="S508" s="948">
        <v>41961</v>
      </c>
      <c r="T508" s="686" t="str">
        <f t="shared" si="149"/>
        <v>EJECUTADO</v>
      </c>
      <c r="U508" s="837">
        <f t="shared" si="156"/>
        <v>863.6</v>
      </c>
      <c r="V508" s="544"/>
      <c r="W508" s="544"/>
      <c r="X508" s="660">
        <f>SUM(U508:U513)</f>
        <v>10086.07</v>
      </c>
      <c r="Y508" s="640"/>
      <c r="Z508" s="545" t="s">
        <v>334</v>
      </c>
      <c r="AA508" s="545" t="s">
        <v>178</v>
      </c>
      <c r="AB508" s="546" t="s">
        <v>179</v>
      </c>
      <c r="AC508" s="547">
        <v>2014</v>
      </c>
      <c r="AD508" s="93"/>
      <c r="AE508" s="93"/>
    </row>
    <row r="509" spans="1:31" s="94" customFormat="1" ht="50.1" customHeight="1">
      <c r="A509" s="1068"/>
      <c r="B509" s="667"/>
      <c r="C509" s="985" t="s">
        <v>182</v>
      </c>
      <c r="D509" s="1121"/>
      <c r="E509" s="929" t="str">
        <f>+E512</f>
        <v>VIA, "Y" DE GUAYPIRA-LA SOTA-CASANGA.  L=4,4 km. Paltas.</v>
      </c>
      <c r="F509" s="831" t="s">
        <v>330</v>
      </c>
      <c r="G509" s="831" t="str">
        <f>VLOOKUP(H509,'Pob. Ext, Parroquial'!$B$9:$C$117,2,0)</f>
        <v>PALTAS</v>
      </c>
      <c r="H509" s="832" t="s">
        <v>619</v>
      </c>
      <c r="I509" s="831" t="s">
        <v>173</v>
      </c>
      <c r="J509" s="831" t="s">
        <v>174</v>
      </c>
      <c r="K509" s="831"/>
      <c r="L509" s="537"/>
      <c r="M509" s="538">
        <f>IF(K509&gt;0,VLOOKUP(H509,'[5]Pob. Ext, Parroquial'!$B$8:$F$117,4,FALSE),0)</f>
        <v>0</v>
      </c>
      <c r="N509" s="834" t="s">
        <v>336</v>
      </c>
      <c r="O509" s="836" t="s">
        <v>333</v>
      </c>
      <c r="P509" s="836">
        <v>1.47</v>
      </c>
      <c r="Q509" s="968">
        <v>300</v>
      </c>
      <c r="R509" s="948">
        <v>41958</v>
      </c>
      <c r="S509" s="948">
        <v>41961</v>
      </c>
      <c r="T509" s="686" t="str">
        <f>IF(S509&lt;$G$5,"EJECUTADO","EN EJECUCION")</f>
        <v>EJECUTADO</v>
      </c>
      <c r="U509" s="837">
        <f t="shared" si="156"/>
        <v>441</v>
      </c>
      <c r="V509" s="544"/>
      <c r="W509" s="544"/>
      <c r="X509" s="662"/>
      <c r="Y509" s="640"/>
      <c r="Z509" s="545" t="s">
        <v>334</v>
      </c>
      <c r="AA509" s="545" t="s">
        <v>178</v>
      </c>
      <c r="AB509" s="546" t="s">
        <v>179</v>
      </c>
      <c r="AC509" s="547">
        <v>2014</v>
      </c>
      <c r="AD509" s="93"/>
      <c r="AE509" s="93"/>
    </row>
    <row r="510" spans="1:31" s="94" customFormat="1" ht="50.1" customHeight="1">
      <c r="A510" s="1068"/>
      <c r="B510" s="913"/>
      <c r="C510" s="985" t="s">
        <v>182</v>
      </c>
      <c r="D510" s="1121"/>
      <c r="E510" s="929" t="str">
        <f>+E508</f>
        <v>VIA, "Y" DE GUAYPIRA-LA SOTA-CASANGA.  L=4,4 km. Paltas.</v>
      </c>
      <c r="F510" s="831" t="s">
        <v>330</v>
      </c>
      <c r="G510" s="831" t="str">
        <f>VLOOKUP(H510,'Pob. Ext, Parroquial'!$B$9:$C$117,2,0)</f>
        <v>PALTAS</v>
      </c>
      <c r="H510" s="832" t="s">
        <v>619</v>
      </c>
      <c r="I510" s="831" t="s">
        <v>173</v>
      </c>
      <c r="J510" s="831" t="s">
        <v>174</v>
      </c>
      <c r="K510" s="831"/>
      <c r="L510" s="537">
        <f t="shared" ref="L510:L511" si="165">ROUNDUP(Q510/5.5/1000,2)</f>
        <v>4.0199999999999996</v>
      </c>
      <c r="M510" s="538">
        <f>IF(K510&gt;0,VLOOKUP(H510,'[5]Pob. Ext, Parroquial'!$B$8:$F$117,4,FALSE),0)</f>
        <v>0</v>
      </c>
      <c r="N510" s="834" t="s">
        <v>185</v>
      </c>
      <c r="O510" s="836" t="s">
        <v>314</v>
      </c>
      <c r="P510" s="836">
        <v>0.08</v>
      </c>
      <c r="Q510" s="968">
        <v>22100</v>
      </c>
      <c r="R510" s="948">
        <v>41958</v>
      </c>
      <c r="S510" s="948">
        <v>41961</v>
      </c>
      <c r="T510" s="686" t="str">
        <f t="shared" ref="T510:T519" si="166">IF(S510&lt;$G$5,"EJECUTADO","EN EJECUCION")</f>
        <v>EJECUTADO</v>
      </c>
      <c r="U510" s="837">
        <f t="shared" si="156"/>
        <v>1768</v>
      </c>
      <c r="V510" s="544"/>
      <c r="W510" s="544"/>
      <c r="X510" s="662"/>
      <c r="Y510" s="640"/>
      <c r="Z510" s="545" t="s">
        <v>334</v>
      </c>
      <c r="AA510" s="545" t="s">
        <v>178</v>
      </c>
      <c r="AB510" s="546" t="s">
        <v>179</v>
      </c>
      <c r="AC510" s="547">
        <v>2014</v>
      </c>
      <c r="AD510" s="93"/>
      <c r="AE510" s="93"/>
    </row>
    <row r="511" spans="1:31" s="94" customFormat="1" ht="50.1" customHeight="1">
      <c r="A511" s="1068"/>
      <c r="B511" s="913"/>
      <c r="C511" s="985" t="s">
        <v>182</v>
      </c>
      <c r="D511" s="1121"/>
      <c r="E511" s="929" t="str">
        <f t="shared" ref="E511:E513" si="167">+E510</f>
        <v>VIA, "Y" DE GUAYPIRA-LA SOTA-CASANGA.  L=4,4 km. Paltas.</v>
      </c>
      <c r="F511" s="831" t="s">
        <v>330</v>
      </c>
      <c r="G511" s="831" t="str">
        <f>VLOOKUP(H511,'Pob. Ext, Parroquial'!$B$9:$C$117,2,0)</f>
        <v>PALTAS</v>
      </c>
      <c r="H511" s="832" t="s">
        <v>619</v>
      </c>
      <c r="I511" s="831" t="s">
        <v>173</v>
      </c>
      <c r="J511" s="831" t="s">
        <v>174</v>
      </c>
      <c r="K511" s="831"/>
      <c r="L511" s="537">
        <f t="shared" si="165"/>
        <v>2.6199999999999997</v>
      </c>
      <c r="M511" s="538">
        <f>IF(K511&gt;0,VLOOKUP(H511,'[5]Pob. Ext, Parroquial'!$B$8:$F$117,4,FALSE),0)</f>
        <v>0</v>
      </c>
      <c r="N511" s="834" t="s">
        <v>1155</v>
      </c>
      <c r="O511" s="836" t="s">
        <v>314</v>
      </c>
      <c r="P511" s="836">
        <v>0.35</v>
      </c>
      <c r="Q511" s="968">
        <v>14400</v>
      </c>
      <c r="R511" s="948">
        <v>41958</v>
      </c>
      <c r="S511" s="948">
        <v>41961</v>
      </c>
      <c r="T511" s="686" t="str">
        <f t="shared" si="166"/>
        <v>EJECUTADO</v>
      </c>
      <c r="U511" s="837">
        <f t="shared" si="156"/>
        <v>5040</v>
      </c>
      <c r="V511" s="544"/>
      <c r="W511" s="544"/>
      <c r="X511" s="662"/>
      <c r="Y511" s="640"/>
      <c r="Z511" s="545" t="s">
        <v>334</v>
      </c>
      <c r="AA511" s="545" t="s">
        <v>178</v>
      </c>
      <c r="AB511" s="546" t="s">
        <v>179</v>
      </c>
      <c r="AC511" s="547">
        <v>2014</v>
      </c>
      <c r="AD511" s="93"/>
      <c r="AE511" s="93"/>
    </row>
    <row r="512" spans="1:31" s="94" customFormat="1" ht="50.1" customHeight="1">
      <c r="A512" s="1068"/>
      <c r="B512" s="913"/>
      <c r="C512" s="985" t="s">
        <v>182</v>
      </c>
      <c r="D512" s="1121"/>
      <c r="E512" s="929" t="str">
        <f>+E510</f>
        <v>VIA, "Y" DE GUAYPIRA-LA SOTA-CASANGA.  L=4,4 km. Paltas.</v>
      </c>
      <c r="F512" s="831" t="s">
        <v>330</v>
      </c>
      <c r="G512" s="831" t="str">
        <f>VLOOKUP(H512,'Pob. Ext, Parroquial'!$B$9:$C$117,2,0)</f>
        <v>PALTAS</v>
      </c>
      <c r="H512" s="832" t="s">
        <v>619</v>
      </c>
      <c r="I512" s="831" t="s">
        <v>173</v>
      </c>
      <c r="J512" s="831" t="s">
        <v>174</v>
      </c>
      <c r="K512" s="831"/>
      <c r="L512" s="537">
        <f>+ROUND(Q512/5500/0.2,2)</f>
        <v>0.27</v>
      </c>
      <c r="M512" s="538">
        <f>IF(K512&gt;0,VLOOKUP(H512,'[5]Pob. Ext, Parroquial'!$B$8:$F$117,4,FALSE),0)</f>
        <v>0</v>
      </c>
      <c r="N512" s="834" t="s">
        <v>229</v>
      </c>
      <c r="O512" s="836" t="s">
        <v>333</v>
      </c>
      <c r="P512" s="836">
        <v>5.92</v>
      </c>
      <c r="Q512" s="968">
        <v>300</v>
      </c>
      <c r="R512" s="948">
        <v>41958</v>
      </c>
      <c r="S512" s="948">
        <v>41961</v>
      </c>
      <c r="T512" s="686" t="str">
        <f t="shared" si="166"/>
        <v>EJECUTADO</v>
      </c>
      <c r="U512" s="837">
        <f t="shared" si="156"/>
        <v>1776</v>
      </c>
      <c r="V512" s="544"/>
      <c r="W512" s="544"/>
      <c r="X512" s="662"/>
      <c r="Y512" s="640"/>
      <c r="Z512" s="545" t="s">
        <v>334</v>
      </c>
      <c r="AA512" s="545" t="s">
        <v>178</v>
      </c>
      <c r="AB512" s="546" t="s">
        <v>179</v>
      </c>
      <c r="AC512" s="547">
        <v>2014</v>
      </c>
      <c r="AD512" s="93"/>
      <c r="AE512" s="93"/>
    </row>
    <row r="513" spans="1:31" s="94" customFormat="1" ht="50.1" customHeight="1">
      <c r="A513" s="1068"/>
      <c r="B513" s="913"/>
      <c r="C513" s="985" t="s">
        <v>182</v>
      </c>
      <c r="D513" s="1121"/>
      <c r="E513" s="929" t="str">
        <f t="shared" si="167"/>
        <v>VIA, "Y" DE GUAYPIRA-LA SOTA-CASANGA.  L=4,4 km. Paltas.</v>
      </c>
      <c r="F513" s="831" t="s">
        <v>330</v>
      </c>
      <c r="G513" s="831" t="str">
        <f>VLOOKUP(H513,'Pob. Ext, Parroquial'!$B$9:$C$117,2,0)</f>
        <v>PALTAS</v>
      </c>
      <c r="H513" s="832" t="s">
        <v>619</v>
      </c>
      <c r="I513" s="831" t="s">
        <v>173</v>
      </c>
      <c r="J513" s="831" t="s">
        <v>174</v>
      </c>
      <c r="K513" s="831"/>
      <c r="L513" s="537"/>
      <c r="M513" s="538">
        <f>IF(K513&gt;0,VLOOKUP(H513,'[5]Pob. Ext, Parroquial'!$B$8:$F$117,4,FALSE),0)</f>
        <v>0</v>
      </c>
      <c r="N513" s="834" t="s">
        <v>1152</v>
      </c>
      <c r="O513" s="836" t="s">
        <v>341</v>
      </c>
      <c r="P513" s="836">
        <v>0.3</v>
      </c>
      <c r="Q513" s="968">
        <v>658.24</v>
      </c>
      <c r="R513" s="948">
        <v>41958</v>
      </c>
      <c r="S513" s="948">
        <v>41961</v>
      </c>
      <c r="T513" s="686" t="str">
        <f t="shared" si="166"/>
        <v>EJECUTADO</v>
      </c>
      <c r="U513" s="837">
        <f t="shared" si="156"/>
        <v>197.47</v>
      </c>
      <c r="V513" s="544"/>
      <c r="W513" s="544"/>
      <c r="X513" s="664"/>
      <c r="Y513" s="640"/>
      <c r="Z513" s="545" t="s">
        <v>334</v>
      </c>
      <c r="AA513" s="545" t="s">
        <v>178</v>
      </c>
      <c r="AB513" s="546" t="s">
        <v>179</v>
      </c>
      <c r="AC513" s="547">
        <v>2014</v>
      </c>
      <c r="AD513" s="93"/>
      <c r="AE513" s="93"/>
    </row>
    <row r="514" spans="1:31" s="94" customFormat="1" ht="50.1" customHeight="1">
      <c r="A514" s="858"/>
      <c r="B514" s="913"/>
      <c r="C514" s="985" t="s">
        <v>182</v>
      </c>
      <c r="D514" s="859" t="s">
        <v>1158</v>
      </c>
      <c r="E514" s="929" t="str">
        <f>+D514</f>
        <v>ACCESO AL BARRIO CASANGA L=1.0 KM. Paltas Inicio 20 nov. Fin 20 nov</v>
      </c>
      <c r="F514" s="831" t="s">
        <v>330</v>
      </c>
      <c r="G514" s="831" t="str">
        <f>VLOOKUP(H514,'Pob. Ext, Parroquial'!$B$9:$C$117,2,0)</f>
        <v>PALTAS</v>
      </c>
      <c r="H514" s="832" t="s">
        <v>619</v>
      </c>
      <c r="I514" s="831" t="s">
        <v>173</v>
      </c>
      <c r="J514" s="831" t="s">
        <v>174</v>
      </c>
      <c r="K514" s="831">
        <v>1</v>
      </c>
      <c r="L514" s="537">
        <f>ROUNDUP(Q514/5.5/1000,2)</f>
        <v>0.91</v>
      </c>
      <c r="M514" s="538">
        <f>IF(K514&gt;0,VLOOKUP(H514,'[5]Pob. Ext, Parroquial'!$B$8:$F$117,4,FALSE),0)</f>
        <v>1168</v>
      </c>
      <c r="N514" s="834" t="s">
        <v>185</v>
      </c>
      <c r="O514" s="836" t="s">
        <v>314</v>
      </c>
      <c r="P514" s="836">
        <v>0.08</v>
      </c>
      <c r="Q514" s="968">
        <v>5005</v>
      </c>
      <c r="R514" s="948">
        <v>41963</v>
      </c>
      <c r="S514" s="948">
        <v>41963</v>
      </c>
      <c r="T514" s="686" t="str">
        <f t="shared" si="166"/>
        <v>EJECUTADO</v>
      </c>
      <c r="U514" s="837">
        <f t="shared" si="156"/>
        <v>400.4</v>
      </c>
      <c r="V514" s="544"/>
      <c r="W514" s="544"/>
      <c r="X514" s="860">
        <f>+U514</f>
        <v>400.4</v>
      </c>
      <c r="Y514" s="640"/>
      <c r="Z514" s="545" t="s">
        <v>334</v>
      </c>
      <c r="AA514" s="545" t="s">
        <v>178</v>
      </c>
      <c r="AB514" s="546" t="s">
        <v>179</v>
      </c>
      <c r="AC514" s="547">
        <v>2014</v>
      </c>
      <c r="AD514" s="93"/>
      <c r="AE514" s="93"/>
    </row>
    <row r="515" spans="1:31" s="94" customFormat="1" ht="50.1" customHeight="1">
      <c r="A515" s="858"/>
      <c r="B515" s="913"/>
      <c r="C515" s="985" t="s">
        <v>182</v>
      </c>
      <c r="D515" s="1125" t="s">
        <v>1159</v>
      </c>
      <c r="E515" s="929" t="str">
        <f t="shared" ref="E515" si="168">+D515</f>
        <v>PLATAFORMA DEL CANAL DE RIEGO LAS COCHAS SAN VICENTE L=7.8 KM. Paltas Inicio 29 oct Fin 27 Nov</v>
      </c>
      <c r="F515" s="831" t="s">
        <v>330</v>
      </c>
      <c r="G515" s="831" t="s">
        <v>614</v>
      </c>
      <c r="H515" s="832" t="s">
        <v>621</v>
      </c>
      <c r="I515" s="831" t="s">
        <v>173</v>
      </c>
      <c r="J515" s="831" t="s">
        <v>174</v>
      </c>
      <c r="K515" s="831">
        <v>7.8</v>
      </c>
      <c r="L515" s="537"/>
      <c r="M515" s="538"/>
      <c r="N515" s="834" t="s">
        <v>387</v>
      </c>
      <c r="O515" s="836" t="s">
        <v>1160</v>
      </c>
      <c r="P515" s="836">
        <v>1.46</v>
      </c>
      <c r="Q515" s="968">
        <v>6800</v>
      </c>
      <c r="R515" s="948">
        <v>41941</v>
      </c>
      <c r="S515" s="948">
        <v>41970</v>
      </c>
      <c r="T515" s="686" t="str">
        <f t="shared" si="166"/>
        <v>EJECUTADO</v>
      </c>
      <c r="U515" s="837">
        <f t="shared" si="156"/>
        <v>9928</v>
      </c>
      <c r="V515" s="544"/>
      <c r="W515" s="544"/>
      <c r="X515" s="861">
        <f>SUM(U515:U516)</f>
        <v>12091.84</v>
      </c>
      <c r="Y515" s="640"/>
      <c r="Z515" s="545" t="s">
        <v>334</v>
      </c>
      <c r="AA515" s="545" t="s">
        <v>178</v>
      </c>
      <c r="AB515" s="546" t="s">
        <v>179</v>
      </c>
      <c r="AC515" s="547">
        <v>2014</v>
      </c>
      <c r="AD515" s="93"/>
      <c r="AE515" s="93"/>
    </row>
    <row r="516" spans="1:31" s="94" customFormat="1" ht="50.1" customHeight="1">
      <c r="A516" s="858"/>
      <c r="B516" s="913"/>
      <c r="C516" s="985" t="s">
        <v>182</v>
      </c>
      <c r="D516" s="1125"/>
      <c r="E516" s="929" t="str">
        <f>+E515</f>
        <v>PLATAFORMA DEL CANAL DE RIEGO LAS COCHAS SAN VICENTE L=7.8 KM. Paltas Inicio 29 oct Fin 27 Nov</v>
      </c>
      <c r="F516" s="831" t="s">
        <v>330</v>
      </c>
      <c r="G516" s="831" t="s">
        <v>614</v>
      </c>
      <c r="H516" s="832" t="s">
        <v>621</v>
      </c>
      <c r="I516" s="831" t="s">
        <v>173</v>
      </c>
      <c r="J516" s="831" t="s">
        <v>174</v>
      </c>
      <c r="K516" s="831"/>
      <c r="L516" s="537"/>
      <c r="M516" s="538"/>
      <c r="N516" s="834" t="s">
        <v>1152</v>
      </c>
      <c r="O516" s="836" t="s">
        <v>341</v>
      </c>
      <c r="P516" s="836">
        <v>0.38</v>
      </c>
      <c r="Q516" s="968">
        <v>5694.32</v>
      </c>
      <c r="R516" s="948">
        <v>41941</v>
      </c>
      <c r="S516" s="948">
        <v>41970</v>
      </c>
      <c r="T516" s="686" t="str">
        <f t="shared" si="166"/>
        <v>EJECUTADO</v>
      </c>
      <c r="U516" s="837">
        <f t="shared" si="156"/>
        <v>2163.84</v>
      </c>
      <c r="V516" s="544"/>
      <c r="W516" s="544"/>
      <c r="X516" s="862"/>
      <c r="Y516" s="640"/>
      <c r="Z516" s="545" t="s">
        <v>334</v>
      </c>
      <c r="AA516" s="545" t="s">
        <v>178</v>
      </c>
      <c r="AB516" s="546" t="s">
        <v>179</v>
      </c>
      <c r="AC516" s="547">
        <v>2014</v>
      </c>
      <c r="AD516" s="93"/>
      <c r="AE516" s="93"/>
    </row>
    <row r="517" spans="1:31" s="94" customFormat="1" ht="50.1" customHeight="1">
      <c r="A517" s="858"/>
      <c r="B517" s="971"/>
      <c r="C517" s="985" t="s">
        <v>182</v>
      </c>
      <c r="D517" s="1125"/>
      <c r="E517" s="929" t="str">
        <f>+E516</f>
        <v>PLATAFORMA DEL CANAL DE RIEGO LAS COCHAS SAN VICENTE L=7.8 KM. Paltas Inicio 29 oct Fin 27 Nov</v>
      </c>
      <c r="F517" s="831" t="s">
        <v>330</v>
      </c>
      <c r="G517" s="831" t="s">
        <v>614</v>
      </c>
      <c r="H517" s="832" t="s">
        <v>621</v>
      </c>
      <c r="I517" s="831" t="s">
        <v>173</v>
      </c>
      <c r="J517" s="831" t="s">
        <v>174</v>
      </c>
      <c r="K517" s="831"/>
      <c r="L517" s="537"/>
      <c r="M517" s="538"/>
      <c r="N517" s="834" t="s">
        <v>1520</v>
      </c>
      <c r="O517" s="836" t="s">
        <v>314</v>
      </c>
      <c r="P517" s="836">
        <v>0.35</v>
      </c>
      <c r="Q517" s="968">
        <v>60480</v>
      </c>
      <c r="R517" s="948">
        <v>41941</v>
      </c>
      <c r="S517" s="948">
        <v>41970</v>
      </c>
      <c r="T517" s="686" t="str">
        <f t="shared" ref="T517" si="169">IF(S517&lt;$G$5,"EJECUTADO","EN EJECUCION")</f>
        <v>EJECUTADO</v>
      </c>
      <c r="U517" s="837">
        <f t="shared" ref="U517" si="170">ROUND(P517*Q517,2)</f>
        <v>21168</v>
      </c>
      <c r="V517" s="544"/>
      <c r="W517" s="544"/>
      <c r="X517" s="862"/>
      <c r="Y517" s="640"/>
      <c r="Z517" s="545" t="s">
        <v>334</v>
      </c>
      <c r="AA517" s="545" t="s">
        <v>178</v>
      </c>
      <c r="AB517" s="546" t="s">
        <v>179</v>
      </c>
      <c r="AC517" s="547">
        <v>2014</v>
      </c>
      <c r="AD517" s="93"/>
      <c r="AE517" s="93"/>
    </row>
    <row r="518" spans="1:31" s="94" customFormat="1" ht="50.1" customHeight="1">
      <c r="A518" s="858"/>
      <c r="B518" s="971"/>
      <c r="C518" s="985" t="s">
        <v>182</v>
      </c>
      <c r="D518" s="972" t="s">
        <v>1523</v>
      </c>
      <c r="E518" s="929" t="s">
        <v>1523</v>
      </c>
      <c r="F518" s="831" t="s">
        <v>330</v>
      </c>
      <c r="G518" s="831" t="str">
        <f>VLOOKUP(H518,'Pob. Ext, Parroquial'!$B$9:$C$117,2,0)</f>
        <v>OLMEDO</v>
      </c>
      <c r="H518" s="832" t="s">
        <v>612</v>
      </c>
      <c r="I518" s="831" t="s">
        <v>173</v>
      </c>
      <c r="J518" s="831" t="s">
        <v>174</v>
      </c>
      <c r="K518" s="831"/>
      <c r="L518" s="537"/>
      <c r="M518" s="538"/>
      <c r="N518" s="834" t="s">
        <v>185</v>
      </c>
      <c r="O518" s="836" t="s">
        <v>314</v>
      </c>
      <c r="P518" s="836">
        <v>0.08</v>
      </c>
      <c r="Q518" s="968">
        <v>25440</v>
      </c>
      <c r="R518" s="948">
        <v>41980</v>
      </c>
      <c r="S518" s="948">
        <v>41983</v>
      </c>
      <c r="T518" s="686" t="str">
        <f t="shared" ref="T518" si="171">IF(S518&lt;$G$5,"EJECUTADO","EN EJECUCION")</f>
        <v>EN EJECUCION</v>
      </c>
      <c r="U518" s="837">
        <f t="shared" ref="U518" si="172">ROUND(P518*Q518,2)</f>
        <v>2035.2</v>
      </c>
      <c r="V518" s="544"/>
      <c r="W518" s="544"/>
      <c r="X518" s="862"/>
      <c r="Y518" s="640"/>
      <c r="Z518" s="545" t="s">
        <v>334</v>
      </c>
      <c r="AA518" s="545" t="s">
        <v>178</v>
      </c>
      <c r="AB518" s="546" t="s">
        <v>179</v>
      </c>
      <c r="AC518" s="547">
        <v>2014</v>
      </c>
      <c r="AD518" s="93"/>
      <c r="AE518" s="93"/>
    </row>
    <row r="519" spans="1:31" s="94" customFormat="1" ht="50.1" customHeight="1">
      <c r="A519" s="1068"/>
      <c r="B519" s="913"/>
      <c r="C519" s="985" t="s">
        <v>182</v>
      </c>
      <c r="D519" s="1121" t="s">
        <v>1161</v>
      </c>
      <c r="E519" s="929" t="str">
        <f t="shared" ref="E519" si="173">+D519</f>
        <v>VIA CHIVATOS - LA TINGUE L=4.7 KM. Olmedo Inicio 10 nov Fin Continua</v>
      </c>
      <c r="F519" s="831" t="s">
        <v>330</v>
      </c>
      <c r="G519" s="831" t="str">
        <f>VLOOKUP(H519,'Pob. Ext, Parroquial'!$B$9:$C$117,2,0)</f>
        <v>OLMEDO</v>
      </c>
      <c r="H519" s="832" t="s">
        <v>411</v>
      </c>
      <c r="I519" s="831" t="s">
        <v>173</v>
      </c>
      <c r="J519" s="831" t="s">
        <v>174</v>
      </c>
      <c r="K519" s="831">
        <v>4.7</v>
      </c>
      <c r="L519" s="537"/>
      <c r="M519" s="538">
        <f>IF(K519&gt;0,VLOOKUP(H519,'[5]Pob. Ext, Parroquial'!$B$8:$F$117,4,FALSE),0)</f>
        <v>512</v>
      </c>
      <c r="N519" s="834" t="s">
        <v>1178</v>
      </c>
      <c r="O519" s="836" t="s">
        <v>333</v>
      </c>
      <c r="P519" s="836">
        <v>2.54</v>
      </c>
      <c r="Q519" s="968">
        <v>490</v>
      </c>
      <c r="R519" s="948">
        <v>41953</v>
      </c>
      <c r="S519" s="948">
        <v>41980</v>
      </c>
      <c r="T519" s="686" t="str">
        <f t="shared" si="166"/>
        <v>EN EJECUCION</v>
      </c>
      <c r="U519" s="837">
        <f t="shared" si="156"/>
        <v>1244.5999999999999</v>
      </c>
      <c r="V519" s="544"/>
      <c r="W519" s="544"/>
      <c r="X519" s="660">
        <f>SUM(U519:U526)</f>
        <v>27998.15</v>
      </c>
      <c r="Y519" s="640"/>
      <c r="Z519" s="545" t="s">
        <v>334</v>
      </c>
      <c r="AA519" s="545" t="s">
        <v>178</v>
      </c>
      <c r="AB519" s="546" t="s">
        <v>179</v>
      </c>
      <c r="AC519" s="547">
        <v>2014</v>
      </c>
      <c r="AD519" s="93"/>
      <c r="AE519" s="93"/>
    </row>
    <row r="520" spans="1:31" s="94" customFormat="1" ht="50.1" customHeight="1">
      <c r="A520" s="1068"/>
      <c r="B520" s="667"/>
      <c r="C520" s="985" t="s">
        <v>182</v>
      </c>
      <c r="D520" s="1121"/>
      <c r="E520" s="929" t="str">
        <f>+E524</f>
        <v>VIA CHIVATOS - LA TINGUE L=4.7 KM. Olmedo Inicio 10 nov Fin Continua</v>
      </c>
      <c r="F520" s="831" t="s">
        <v>330</v>
      </c>
      <c r="G520" s="831" t="str">
        <f>VLOOKUP(H520,'Pob. Ext, Parroquial'!$B$9:$C$117,2,0)</f>
        <v>OLMEDO</v>
      </c>
      <c r="H520" s="832" t="s">
        <v>411</v>
      </c>
      <c r="I520" s="831" t="s">
        <v>173</v>
      </c>
      <c r="J520" s="831" t="s">
        <v>174</v>
      </c>
      <c r="K520" s="831"/>
      <c r="L520" s="537"/>
      <c r="M520" s="538">
        <f>IF(K520&gt;0,VLOOKUP(H520,'[5]Pob. Ext, Parroquial'!$B$8:$F$117,4,FALSE),0)</f>
        <v>0</v>
      </c>
      <c r="N520" s="834" t="s">
        <v>336</v>
      </c>
      <c r="O520" s="836" t="s">
        <v>333</v>
      </c>
      <c r="P520" s="836">
        <v>1.47</v>
      </c>
      <c r="Q520" s="836">
        <v>1290</v>
      </c>
      <c r="R520" s="948">
        <v>41953</v>
      </c>
      <c r="S520" s="948">
        <v>41980</v>
      </c>
      <c r="T520" s="686" t="str">
        <f>IF(S520&lt;$G$5,"EJECUTADO","EN EJECUCION")</f>
        <v>EN EJECUCION</v>
      </c>
      <c r="U520" s="837">
        <f t="shared" si="156"/>
        <v>1896.3</v>
      </c>
      <c r="V520" s="544"/>
      <c r="W520" s="544"/>
      <c r="X520" s="662"/>
      <c r="Y520" s="640"/>
      <c r="Z520" s="545" t="s">
        <v>334</v>
      </c>
      <c r="AA520" s="545" t="s">
        <v>178</v>
      </c>
      <c r="AB520" s="546" t="s">
        <v>179</v>
      </c>
      <c r="AC520" s="547">
        <v>2014</v>
      </c>
      <c r="AD520" s="93"/>
      <c r="AE520" s="93"/>
    </row>
    <row r="521" spans="1:31" s="94" customFormat="1" ht="50.1" customHeight="1">
      <c r="A521" s="1068"/>
      <c r="B521" s="913"/>
      <c r="C521" s="985" t="s">
        <v>182</v>
      </c>
      <c r="D521" s="1121"/>
      <c r="E521" s="929" t="str">
        <f>+E516</f>
        <v>PLATAFORMA DEL CANAL DE RIEGO LAS COCHAS SAN VICENTE L=7.8 KM. Paltas Inicio 29 oct Fin 27 Nov</v>
      </c>
      <c r="F521" s="831" t="s">
        <v>330</v>
      </c>
      <c r="G521" s="831" t="str">
        <f>VLOOKUP(H521,'Pob. Ext, Parroquial'!$B$9:$C$117,2,0)</f>
        <v>OLMEDO</v>
      </c>
      <c r="H521" s="832" t="s">
        <v>411</v>
      </c>
      <c r="I521" s="831" t="s">
        <v>173</v>
      </c>
      <c r="J521" s="831" t="s">
        <v>174</v>
      </c>
      <c r="K521" s="831"/>
      <c r="L521" s="537"/>
      <c r="M521" s="538">
        <f>IF(K521&gt;0,VLOOKUP(H521,'[5]Pob. Ext, Parroquial'!$B$8:$F$117,4,FALSE),0)</f>
        <v>0</v>
      </c>
      <c r="N521" s="834" t="s">
        <v>387</v>
      </c>
      <c r="O521" s="836" t="s">
        <v>1160</v>
      </c>
      <c r="P521" s="836">
        <v>1.46</v>
      </c>
      <c r="Q521" s="836">
        <v>810</v>
      </c>
      <c r="R521" s="948">
        <v>41953</v>
      </c>
      <c r="S521" s="948">
        <v>41980</v>
      </c>
      <c r="T521" s="686" t="str">
        <f t="shared" ref="T521:T527" si="174">IF(S521&lt;$G$5,"EJECUTADO","EN EJECUCION")</f>
        <v>EN EJECUCION</v>
      </c>
      <c r="U521" s="837">
        <f t="shared" si="156"/>
        <v>1182.5999999999999</v>
      </c>
      <c r="V521" s="544"/>
      <c r="W521" s="544"/>
      <c r="X521" s="662"/>
      <c r="Y521" s="640"/>
      <c r="Z521" s="545" t="s">
        <v>334</v>
      </c>
      <c r="AA521" s="545" t="s">
        <v>178</v>
      </c>
      <c r="AB521" s="546" t="s">
        <v>179</v>
      </c>
      <c r="AC521" s="547">
        <v>2014</v>
      </c>
      <c r="AD521" s="93"/>
      <c r="AE521" s="93"/>
    </row>
    <row r="522" spans="1:31" s="94" customFormat="1" ht="50.1" customHeight="1">
      <c r="A522" s="1068"/>
      <c r="B522" s="913"/>
      <c r="C522" s="985" t="s">
        <v>182</v>
      </c>
      <c r="D522" s="1121"/>
      <c r="E522" s="929" t="str">
        <f>+E519</f>
        <v>VIA CHIVATOS - LA TINGUE L=4.7 KM. Olmedo Inicio 10 nov Fin Continua</v>
      </c>
      <c r="F522" s="831" t="s">
        <v>330</v>
      </c>
      <c r="G522" s="831" t="str">
        <f>VLOOKUP(H522,'Pob. Ext, Parroquial'!$B$9:$C$117,2,0)</f>
        <v>OLMEDO</v>
      </c>
      <c r="H522" s="832" t="s">
        <v>411</v>
      </c>
      <c r="I522" s="831" t="s">
        <v>173</v>
      </c>
      <c r="J522" s="831" t="s">
        <v>174</v>
      </c>
      <c r="K522" s="831"/>
      <c r="L522" s="537">
        <f t="shared" ref="L522:L523" si="175">ROUNDUP(Q522/5.5/1000,2)</f>
        <v>4.72</v>
      </c>
      <c r="M522" s="538">
        <f>IF(K522&gt;0,VLOOKUP(H522,'[5]Pob. Ext, Parroquial'!$B$8:$F$117,4,FALSE),0)</f>
        <v>0</v>
      </c>
      <c r="N522" s="834" t="s">
        <v>185</v>
      </c>
      <c r="O522" s="836" t="s">
        <v>314</v>
      </c>
      <c r="P522" s="836">
        <v>0.08</v>
      </c>
      <c r="Q522" s="836">
        <v>25920</v>
      </c>
      <c r="R522" s="948">
        <v>41953</v>
      </c>
      <c r="S522" s="948">
        <v>41980</v>
      </c>
      <c r="T522" s="686" t="str">
        <f t="shared" si="174"/>
        <v>EN EJECUCION</v>
      </c>
      <c r="U522" s="837">
        <f t="shared" si="156"/>
        <v>2073.6</v>
      </c>
      <c r="V522" s="544"/>
      <c r="W522" s="544"/>
      <c r="X522" s="662"/>
      <c r="Y522" s="640"/>
      <c r="Z522" s="545" t="s">
        <v>334</v>
      </c>
      <c r="AA522" s="545" t="s">
        <v>178</v>
      </c>
      <c r="AB522" s="546" t="s">
        <v>179</v>
      </c>
      <c r="AC522" s="547">
        <v>2014</v>
      </c>
      <c r="AD522" s="93"/>
      <c r="AE522" s="93"/>
    </row>
    <row r="523" spans="1:31" s="94" customFormat="1" ht="50.1" customHeight="1">
      <c r="A523" s="1068"/>
      <c r="B523" s="913"/>
      <c r="C523" s="985" t="s">
        <v>182</v>
      </c>
      <c r="D523" s="1121"/>
      <c r="E523" s="929" t="str">
        <f t="shared" ref="E523" si="176">+E522</f>
        <v>VIA CHIVATOS - LA TINGUE L=4.7 KM. Olmedo Inicio 10 nov Fin Continua</v>
      </c>
      <c r="F523" s="831" t="s">
        <v>330</v>
      </c>
      <c r="G523" s="831" t="str">
        <f>VLOOKUP(H523,'Pob. Ext, Parroquial'!$B$9:$C$117,2,0)</f>
        <v>OLMEDO</v>
      </c>
      <c r="H523" s="832" t="s">
        <v>411</v>
      </c>
      <c r="I523" s="831" t="s">
        <v>173</v>
      </c>
      <c r="J523" s="831" t="s">
        <v>174</v>
      </c>
      <c r="K523" s="831"/>
      <c r="L523" s="537">
        <f t="shared" si="175"/>
        <v>6.34</v>
      </c>
      <c r="M523" s="538">
        <f>IF(K523&gt;0,VLOOKUP(H523,'[5]Pob. Ext, Parroquial'!$B$8:$F$117,4,FALSE),0)</f>
        <v>0</v>
      </c>
      <c r="N523" s="834" t="s">
        <v>1155</v>
      </c>
      <c r="O523" s="836" t="s">
        <v>314</v>
      </c>
      <c r="P523" s="836">
        <v>0.35</v>
      </c>
      <c r="Q523" s="836">
        <v>34820</v>
      </c>
      <c r="R523" s="948">
        <v>41953</v>
      </c>
      <c r="S523" s="948">
        <v>41980</v>
      </c>
      <c r="T523" s="686" t="str">
        <f t="shared" si="174"/>
        <v>EN EJECUCION</v>
      </c>
      <c r="U523" s="837">
        <f t="shared" si="156"/>
        <v>12187</v>
      </c>
      <c r="V523" s="544"/>
      <c r="W523" s="544"/>
      <c r="X523" s="662"/>
      <c r="Y523" s="640"/>
      <c r="Z523" s="545" t="s">
        <v>334</v>
      </c>
      <c r="AA523" s="545" t="s">
        <v>178</v>
      </c>
      <c r="AB523" s="546" t="s">
        <v>179</v>
      </c>
      <c r="AC523" s="547">
        <v>2014</v>
      </c>
      <c r="AD523" s="93"/>
      <c r="AE523" s="93"/>
    </row>
    <row r="524" spans="1:31" s="94" customFormat="1" ht="50.1" customHeight="1">
      <c r="A524" s="1068"/>
      <c r="B524" s="913"/>
      <c r="C524" s="985" t="s">
        <v>182</v>
      </c>
      <c r="D524" s="1121"/>
      <c r="E524" s="929" t="str">
        <f>+E522</f>
        <v>VIA CHIVATOS - LA TINGUE L=4.7 KM. Olmedo Inicio 10 nov Fin Continua</v>
      </c>
      <c r="F524" s="831" t="s">
        <v>330</v>
      </c>
      <c r="G524" s="831" t="str">
        <f>VLOOKUP(H524,'Pob. Ext, Parroquial'!$B$9:$C$117,2,0)</f>
        <v>OLMEDO</v>
      </c>
      <c r="H524" s="832" t="s">
        <v>411</v>
      </c>
      <c r="I524" s="831" t="s">
        <v>173</v>
      </c>
      <c r="J524" s="831" t="s">
        <v>174</v>
      </c>
      <c r="K524" s="831"/>
      <c r="L524" s="537">
        <f>+ROUND(Q524/5500/0.2,2)</f>
        <v>1.24</v>
      </c>
      <c r="M524" s="538">
        <f>IF(K524&gt;0,VLOOKUP(H524,'[5]Pob. Ext, Parroquial'!$B$8:$F$117,4,FALSE),0)</f>
        <v>0</v>
      </c>
      <c r="N524" s="834" t="s">
        <v>229</v>
      </c>
      <c r="O524" s="836" t="s">
        <v>333</v>
      </c>
      <c r="P524" s="836">
        <v>5.92</v>
      </c>
      <c r="Q524" s="836">
        <v>1360</v>
      </c>
      <c r="R524" s="948">
        <v>41953</v>
      </c>
      <c r="S524" s="948">
        <v>41980</v>
      </c>
      <c r="T524" s="686" t="str">
        <f t="shared" si="174"/>
        <v>EN EJECUCION</v>
      </c>
      <c r="U524" s="837">
        <f t="shared" si="156"/>
        <v>8051.2</v>
      </c>
      <c r="V524" s="544"/>
      <c r="W524" s="544"/>
      <c r="X524" s="662"/>
      <c r="Y524" s="640"/>
      <c r="Z524" s="545" t="s">
        <v>334</v>
      </c>
      <c r="AA524" s="545" t="s">
        <v>178</v>
      </c>
      <c r="AB524" s="546" t="s">
        <v>179</v>
      </c>
      <c r="AC524" s="547">
        <v>2014</v>
      </c>
      <c r="AD524" s="93"/>
      <c r="AE524" s="93"/>
    </row>
    <row r="525" spans="1:31" s="94" customFormat="1" ht="50.1" customHeight="1">
      <c r="A525" s="1068"/>
      <c r="B525" s="913"/>
      <c r="C525" s="985" t="s">
        <v>182</v>
      </c>
      <c r="D525" s="1121"/>
      <c r="E525" s="929" t="str">
        <f>+E523</f>
        <v>VIA CHIVATOS - LA TINGUE L=4.7 KM. Olmedo Inicio 10 nov Fin Continua</v>
      </c>
      <c r="F525" s="831" t="s">
        <v>330</v>
      </c>
      <c r="G525" s="831" t="str">
        <f>VLOOKUP(H525,'Pob. Ext, Parroquial'!$B$9:$C$117,2,0)</f>
        <v>OLMEDO</v>
      </c>
      <c r="H525" s="832" t="s">
        <v>411</v>
      </c>
      <c r="I525" s="831" t="s">
        <v>173</v>
      </c>
      <c r="J525" s="831" t="s">
        <v>174</v>
      </c>
      <c r="K525" s="831"/>
      <c r="L525" s="537"/>
      <c r="M525" s="538">
        <f>IF(K525&gt;0,VLOOKUP(H525,'[5]Pob. Ext, Parroquial'!$B$8:$F$117,4,FALSE),0)</f>
        <v>0</v>
      </c>
      <c r="N525" s="834" t="s">
        <v>1152</v>
      </c>
      <c r="O525" s="836" t="s">
        <v>341</v>
      </c>
      <c r="P525" s="836">
        <v>0.38</v>
      </c>
      <c r="Q525" s="836">
        <v>145.19999999999999</v>
      </c>
      <c r="R525" s="948">
        <v>41953</v>
      </c>
      <c r="S525" s="948">
        <v>41980</v>
      </c>
      <c r="T525" s="686" t="str">
        <f t="shared" si="174"/>
        <v>EN EJECUCION</v>
      </c>
      <c r="U525" s="837">
        <f t="shared" si="156"/>
        <v>55.18</v>
      </c>
      <c r="V525" s="544"/>
      <c r="W525" s="544"/>
      <c r="X525" s="662"/>
      <c r="Y525" s="640"/>
      <c r="Z525" s="545" t="s">
        <v>334</v>
      </c>
      <c r="AA525" s="545" t="s">
        <v>178</v>
      </c>
      <c r="AB525" s="546" t="s">
        <v>179</v>
      </c>
      <c r="AC525" s="547">
        <v>2014</v>
      </c>
      <c r="AD525" s="93"/>
      <c r="AE525" s="93"/>
    </row>
    <row r="526" spans="1:31" s="94" customFormat="1" ht="50.1" customHeight="1">
      <c r="A526" s="1068"/>
      <c r="B526" s="913"/>
      <c r="C526" s="985" t="s">
        <v>182</v>
      </c>
      <c r="D526" s="1121"/>
      <c r="E526" s="929" t="str">
        <f>+E524</f>
        <v>VIA CHIVATOS - LA TINGUE L=4.7 KM. Olmedo Inicio 10 nov Fin Continua</v>
      </c>
      <c r="F526" s="831" t="s">
        <v>330</v>
      </c>
      <c r="G526" s="831" t="str">
        <f>VLOOKUP(H526,'Pob. Ext, Parroquial'!$B$9:$C$117,2,0)</f>
        <v>OLMEDO</v>
      </c>
      <c r="H526" s="832" t="s">
        <v>411</v>
      </c>
      <c r="I526" s="831" t="s">
        <v>173</v>
      </c>
      <c r="J526" s="831" t="s">
        <v>174</v>
      </c>
      <c r="K526" s="831"/>
      <c r="L526" s="537"/>
      <c r="M526" s="538">
        <f>IF(K526&gt;0,VLOOKUP(H526,'[5]Pob. Ext, Parroquial'!$B$8:$F$117,4,FALSE),0)</f>
        <v>0</v>
      </c>
      <c r="N526" s="834" t="s">
        <v>1162</v>
      </c>
      <c r="O526" s="836" t="s">
        <v>341</v>
      </c>
      <c r="P526" s="836">
        <v>0.38</v>
      </c>
      <c r="Q526" s="836">
        <v>3441.24</v>
      </c>
      <c r="R526" s="948">
        <v>41953</v>
      </c>
      <c r="S526" s="948">
        <v>41980</v>
      </c>
      <c r="T526" s="686" t="str">
        <f t="shared" si="174"/>
        <v>EN EJECUCION</v>
      </c>
      <c r="U526" s="837">
        <f t="shared" si="156"/>
        <v>1307.67</v>
      </c>
      <c r="V526" s="544"/>
      <c r="W526" s="544"/>
      <c r="X526" s="664"/>
      <c r="Y526" s="640"/>
      <c r="Z526" s="545" t="s">
        <v>334</v>
      </c>
      <c r="AA526" s="545" t="s">
        <v>178</v>
      </c>
      <c r="AB526" s="546" t="s">
        <v>179</v>
      </c>
      <c r="AC526" s="547">
        <v>2014</v>
      </c>
      <c r="AD526" s="93"/>
      <c r="AE526" s="93"/>
    </row>
    <row r="527" spans="1:31" s="94" customFormat="1" ht="50.1" customHeight="1">
      <c r="A527" s="910"/>
      <c r="B527" s="913"/>
      <c r="C527" s="985" t="s">
        <v>182</v>
      </c>
      <c r="D527" s="927" t="s">
        <v>1163</v>
      </c>
      <c r="E527" s="636" t="str">
        <f t="shared" ref="E527" si="177">+D527</f>
        <v>VIA ACCESO AL BARRIO LOBONGO L=2.9 km. Olmedo Inicia 18 de nov Fin 19 Nov</v>
      </c>
      <c r="F527" s="831" t="s">
        <v>330</v>
      </c>
      <c r="G527" s="831" t="str">
        <f>VLOOKUP(H527,'Pob. Ext, Parroquial'!$B$9:$C$117,2,0)</f>
        <v>OLMEDO</v>
      </c>
      <c r="H527" s="832" t="s">
        <v>611</v>
      </c>
      <c r="I527" s="831" t="s">
        <v>173</v>
      </c>
      <c r="J527" s="831" t="s">
        <v>174</v>
      </c>
      <c r="K527" s="831">
        <v>2.9</v>
      </c>
      <c r="L527" s="537">
        <f>ROUNDUP(Q527/5.5/1000,2)</f>
        <v>2.65</v>
      </c>
      <c r="M527" s="538">
        <f>IF(K527&gt;0,VLOOKUP(H527,'[5]Pob. Ext, Parroquial'!$B$8:$F$117,4,FALSE),0)</f>
        <v>2775</v>
      </c>
      <c r="N527" s="834" t="s">
        <v>185</v>
      </c>
      <c r="O527" s="836" t="s">
        <v>314</v>
      </c>
      <c r="P527" s="836">
        <v>0.08</v>
      </c>
      <c r="Q527" s="968">
        <v>14535</v>
      </c>
      <c r="R527" s="948">
        <v>41961</v>
      </c>
      <c r="S527" s="948">
        <v>41962</v>
      </c>
      <c r="T527" s="686" t="str">
        <f t="shared" si="174"/>
        <v>EJECUTADO</v>
      </c>
      <c r="U527" s="837">
        <f t="shared" si="156"/>
        <v>1162.8</v>
      </c>
      <c r="V527" s="544"/>
      <c r="W527" s="544"/>
      <c r="X527" s="912">
        <f>U527+V527+W527</f>
        <v>1162.8</v>
      </c>
      <c r="Y527" s="640"/>
      <c r="Z527" s="545" t="s">
        <v>334</v>
      </c>
      <c r="AA527" s="545" t="s">
        <v>178</v>
      </c>
      <c r="AB527" s="546" t="s">
        <v>187</v>
      </c>
      <c r="AC527" s="547">
        <v>2014</v>
      </c>
      <c r="AD527" s="93"/>
      <c r="AE527" s="93"/>
    </row>
    <row r="528" spans="1:31" s="94" customFormat="1" ht="50.1" customHeight="1">
      <c r="A528" s="970"/>
      <c r="B528" s="971"/>
      <c r="C528" s="985" t="s">
        <v>182</v>
      </c>
      <c r="D528" s="973" t="s">
        <v>1163</v>
      </c>
      <c r="E528" s="636" t="str">
        <f t="shared" ref="E528:E529" si="178">+D528</f>
        <v>VIA ACCESO AL BARRIO LOBONGO L=2.9 km. Olmedo Inicia 18 de nov Fin 19 Nov</v>
      </c>
      <c r="F528" s="831" t="s">
        <v>330</v>
      </c>
      <c r="G528" s="831" t="str">
        <f>VLOOKUP(H528,'Pob. Ext, Parroquial'!$B$9:$C$117,2,0)</f>
        <v>OLMEDO</v>
      </c>
      <c r="H528" s="832" t="s">
        <v>611</v>
      </c>
      <c r="I528" s="831" t="s">
        <v>173</v>
      </c>
      <c r="J528" s="831" t="s">
        <v>174</v>
      </c>
      <c r="K528" s="831"/>
      <c r="L528" s="537">
        <f t="shared" ref="L528:L529" si="179">ROUNDUP(Q528/5.5/1000,2)</f>
        <v>0.04</v>
      </c>
      <c r="M528" s="538">
        <f>IF(K528&gt;0,VLOOKUP(H528,'[5]Pob. Ext, Parroquial'!$B$8:$F$117,4,FALSE),0)</f>
        <v>0</v>
      </c>
      <c r="N528" s="834" t="s">
        <v>291</v>
      </c>
      <c r="O528" s="836" t="s">
        <v>333</v>
      </c>
      <c r="P528" s="836">
        <v>1.47</v>
      </c>
      <c r="Q528" s="968">
        <v>200</v>
      </c>
      <c r="R528" s="948">
        <v>41990</v>
      </c>
      <c r="S528" s="948">
        <v>41992</v>
      </c>
      <c r="T528" s="686" t="str">
        <f t="shared" ref="T528:T529" si="180">IF(S528&lt;$G$5,"EJECUTADO","EN EJECUCION")</f>
        <v>EN EJECUCION</v>
      </c>
      <c r="U528" s="837">
        <f t="shared" ref="U528:U529" si="181">ROUND(P528*Q528,2)</f>
        <v>294</v>
      </c>
      <c r="V528" s="544"/>
      <c r="W528" s="544"/>
      <c r="X528" s="969">
        <f t="shared" ref="X528:X529" si="182">U528+V528+W528</f>
        <v>294</v>
      </c>
      <c r="Y528" s="640"/>
      <c r="Z528" s="545" t="s">
        <v>334</v>
      </c>
      <c r="AA528" s="545" t="s">
        <v>178</v>
      </c>
      <c r="AB528" s="546" t="s">
        <v>187</v>
      </c>
      <c r="AC528" s="547">
        <v>2014</v>
      </c>
      <c r="AD528" s="93"/>
      <c r="AE528" s="93"/>
    </row>
    <row r="529" spans="1:31" s="94" customFormat="1" ht="80.45" customHeight="1">
      <c r="A529" s="910"/>
      <c r="B529" s="913"/>
      <c r="C529" s="985" t="s">
        <v>182</v>
      </c>
      <c r="D529" s="973" t="s">
        <v>1163</v>
      </c>
      <c r="E529" s="636" t="str">
        <f t="shared" si="178"/>
        <v>VIA ACCESO AL BARRIO LOBONGO L=2.9 km. Olmedo Inicia 18 de nov Fin 19 Nov</v>
      </c>
      <c r="F529" s="831" t="s">
        <v>330</v>
      </c>
      <c r="G529" s="831" t="str">
        <f>VLOOKUP(H529,'Pob. Ext, Parroquial'!$B$9:$C$117,2,0)</f>
        <v>OLMEDO</v>
      </c>
      <c r="H529" s="832" t="s">
        <v>611</v>
      </c>
      <c r="I529" s="831" t="s">
        <v>173</v>
      </c>
      <c r="J529" s="831" t="s">
        <v>174</v>
      </c>
      <c r="K529" s="831"/>
      <c r="L529" s="537">
        <f t="shared" si="179"/>
        <v>0.02</v>
      </c>
      <c r="M529" s="538">
        <f>IF(K529&gt;0,VLOOKUP(H529,'[5]Pob. Ext, Parroquial'!$B$8:$F$117,4,FALSE),0)</f>
        <v>0</v>
      </c>
      <c r="N529" s="834" t="s">
        <v>1524</v>
      </c>
      <c r="O529" s="836" t="s">
        <v>352</v>
      </c>
      <c r="P529" s="836">
        <v>0.38</v>
      </c>
      <c r="Q529" s="968">
        <v>96</v>
      </c>
      <c r="R529" s="948">
        <v>41990</v>
      </c>
      <c r="S529" s="948">
        <v>41992</v>
      </c>
      <c r="T529" s="686" t="str">
        <f t="shared" si="180"/>
        <v>EN EJECUCION</v>
      </c>
      <c r="U529" s="837">
        <f t="shared" si="181"/>
        <v>36.479999999999997</v>
      </c>
      <c r="V529" s="544"/>
      <c r="W529" s="544"/>
      <c r="X529" s="969">
        <f t="shared" si="182"/>
        <v>36.479999999999997</v>
      </c>
      <c r="Y529" s="640"/>
      <c r="Z529" s="545" t="s">
        <v>334</v>
      </c>
      <c r="AA529" s="545" t="s">
        <v>178</v>
      </c>
      <c r="AB529" s="546" t="s">
        <v>187</v>
      </c>
      <c r="AC529" s="547">
        <v>2014</v>
      </c>
      <c r="AD529" s="95"/>
      <c r="AE529" s="93"/>
    </row>
    <row r="530" spans="1:31" s="94" customFormat="1" ht="50.1" customHeight="1">
      <c r="A530" s="910"/>
      <c r="B530" s="913"/>
      <c r="C530" s="985" t="s">
        <v>182</v>
      </c>
      <c r="D530" s="927" t="s">
        <v>412</v>
      </c>
      <c r="E530" s="636" t="str">
        <f t="shared" si="122"/>
        <v>VIA, LA TINGUE-ZAPALLAL.  L=4,8 km.</v>
      </c>
      <c r="F530" s="831" t="s">
        <v>330</v>
      </c>
      <c r="G530" s="831" t="str">
        <f>VLOOKUP(H530,'Pob. Ext, Parroquial'!$B$9:$C$117,2,0)</f>
        <v>OLMEDO</v>
      </c>
      <c r="H530" s="832" t="s">
        <v>411</v>
      </c>
      <c r="I530" s="831" t="s">
        <v>173</v>
      </c>
      <c r="J530" s="831" t="s">
        <v>174</v>
      </c>
      <c r="K530" s="831">
        <v>4.8</v>
      </c>
      <c r="L530" s="537"/>
      <c r="M530" s="538">
        <f>IF(K530&gt;0,VLOOKUP(H530,'[5]Pob. Ext, Parroquial'!$B$8:$F$117,4,FALSE),0)</f>
        <v>512</v>
      </c>
      <c r="N530" s="834" t="s">
        <v>200</v>
      </c>
      <c r="O530" s="836" t="s">
        <v>333</v>
      </c>
      <c r="P530" s="836">
        <v>1.46</v>
      </c>
      <c r="Q530" s="968">
        <v>840</v>
      </c>
      <c r="R530" s="948">
        <v>41719</v>
      </c>
      <c r="S530" s="948">
        <v>41790</v>
      </c>
      <c r="T530" s="686" t="str">
        <f t="shared" si="110"/>
        <v>EJECUTADO</v>
      </c>
      <c r="U530" s="837">
        <f t="shared" si="156"/>
        <v>1226.4000000000001</v>
      </c>
      <c r="V530" s="544"/>
      <c r="W530" s="544"/>
      <c r="X530" s="660">
        <f>SUM(U530:U531)</f>
        <v>2952.8</v>
      </c>
      <c r="Y530" s="640"/>
      <c r="Z530" s="545" t="s">
        <v>334</v>
      </c>
      <c r="AA530" s="545" t="s">
        <v>178</v>
      </c>
      <c r="AB530" s="546" t="s">
        <v>187</v>
      </c>
      <c r="AC530" s="547">
        <v>2014</v>
      </c>
      <c r="AD530" s="95"/>
      <c r="AE530" s="93"/>
    </row>
    <row r="531" spans="1:31" s="94" customFormat="1" ht="50.1" customHeight="1">
      <c r="A531" s="910"/>
      <c r="B531" s="913"/>
      <c r="C531" s="985" t="s">
        <v>182</v>
      </c>
      <c r="D531" s="927" t="s">
        <v>412</v>
      </c>
      <c r="E531" s="929" t="str">
        <f t="shared" si="122"/>
        <v>VIA, LA TINGUE-ZAPALLAL.  L=4,8 km.</v>
      </c>
      <c r="F531" s="831" t="s">
        <v>330</v>
      </c>
      <c r="G531" s="831" t="str">
        <f>VLOOKUP(H531,'Pob. Ext, Parroquial'!$B$9:$C$117,2,0)</f>
        <v>OLMEDO</v>
      </c>
      <c r="H531" s="832" t="s">
        <v>411</v>
      </c>
      <c r="I531" s="831" t="s">
        <v>173</v>
      </c>
      <c r="J531" s="831" t="s">
        <v>174</v>
      </c>
      <c r="K531" s="831"/>
      <c r="L531" s="537">
        <f t="shared" ref="L531:L535" si="183">ROUNDUP(Q531/5.5/1000,2)</f>
        <v>3.9299999999999997</v>
      </c>
      <c r="M531" s="538">
        <f>IF(K531&gt;0,VLOOKUP(H531,'[5]Pob. Ext, Parroquial'!$B$8:$F$117,4,FALSE),0)</f>
        <v>0</v>
      </c>
      <c r="N531" s="834" t="s">
        <v>185</v>
      </c>
      <c r="O531" s="836" t="s">
        <v>314</v>
      </c>
      <c r="P531" s="836">
        <v>0.08</v>
      </c>
      <c r="Q531" s="968">
        <v>21580</v>
      </c>
      <c r="R531" s="948">
        <v>41962</v>
      </c>
      <c r="S531" s="948">
        <v>41963</v>
      </c>
      <c r="T531" s="686" t="str">
        <f t="shared" si="110"/>
        <v>EJECUTADO</v>
      </c>
      <c r="U531" s="837">
        <f t="shared" si="156"/>
        <v>1726.4</v>
      </c>
      <c r="V531" s="544"/>
      <c r="W531" s="544"/>
      <c r="X531" s="664"/>
      <c r="Y531" s="640"/>
      <c r="Z531" s="545" t="s">
        <v>334</v>
      </c>
      <c r="AA531" s="545" t="s">
        <v>178</v>
      </c>
      <c r="AB531" s="546" t="s">
        <v>187</v>
      </c>
      <c r="AC531" s="547">
        <v>2014</v>
      </c>
      <c r="AD531" s="95"/>
      <c r="AE531" s="93"/>
    </row>
    <row r="532" spans="1:31" s="94" customFormat="1" ht="50.1" customHeight="1">
      <c r="A532" s="910"/>
      <c r="B532" s="913"/>
      <c r="C532" s="985" t="s">
        <v>182</v>
      </c>
      <c r="D532" s="927" t="s">
        <v>1164</v>
      </c>
      <c r="E532" s="929" t="str">
        <f t="shared" si="122"/>
        <v>VIA ACCESO AL BARRIO SURAPO L= 3.0 KM Olmedo Inicio 20 nov Fin 21 Nov</v>
      </c>
      <c r="F532" s="831" t="s">
        <v>330</v>
      </c>
      <c r="G532" s="831" t="str">
        <f>VLOOKUP(H532,'Pob. Ext, Parroquial'!$B$9:$C$117,2,0)</f>
        <v>OLMEDO</v>
      </c>
      <c r="H532" s="832" t="s">
        <v>411</v>
      </c>
      <c r="I532" s="831" t="s">
        <v>173</v>
      </c>
      <c r="J532" s="831" t="s">
        <v>174</v>
      </c>
      <c r="K532" s="831">
        <v>3</v>
      </c>
      <c r="L532" s="537">
        <f t="shared" si="183"/>
        <v>2.7199999999999998</v>
      </c>
      <c r="M532" s="538"/>
      <c r="N532" s="834" t="s">
        <v>185</v>
      </c>
      <c r="O532" s="836" t="s">
        <v>314</v>
      </c>
      <c r="P532" s="836">
        <v>0.08</v>
      </c>
      <c r="Q532" s="968">
        <v>14940</v>
      </c>
      <c r="R532" s="948">
        <v>41963</v>
      </c>
      <c r="S532" s="948">
        <v>41964</v>
      </c>
      <c r="T532" s="686" t="str">
        <f t="shared" si="110"/>
        <v>EJECUTADO</v>
      </c>
      <c r="U532" s="837">
        <f t="shared" si="156"/>
        <v>1195.2</v>
      </c>
      <c r="V532" s="544"/>
      <c r="W532" s="544"/>
      <c r="X532" s="912">
        <f t="shared" ref="X532:X534" si="184">U532+V532+W532</f>
        <v>1195.2</v>
      </c>
      <c r="Y532" s="640"/>
      <c r="Z532" s="545" t="s">
        <v>334</v>
      </c>
      <c r="AA532" s="545" t="s">
        <v>178</v>
      </c>
      <c r="AB532" s="546" t="s">
        <v>187</v>
      </c>
      <c r="AC532" s="547">
        <v>2014</v>
      </c>
      <c r="AD532" s="95"/>
      <c r="AE532" s="93"/>
    </row>
    <row r="533" spans="1:31" s="94" customFormat="1" ht="50.1" customHeight="1">
      <c r="A533" s="910"/>
      <c r="B533" s="913"/>
      <c r="C533" s="985" t="s">
        <v>182</v>
      </c>
      <c r="D533" s="947" t="s">
        <v>1482</v>
      </c>
      <c r="E533" s="636" t="str">
        <f t="shared" si="122"/>
        <v>MANTENIMIENTO RUTINARIO DE LA VIA EL TAMBO INDIUCHO</v>
      </c>
      <c r="F533" s="831" t="s">
        <v>330</v>
      </c>
      <c r="G533" s="831" t="str">
        <f>VLOOKUP(H533,'Pob. Ext, Parroquial'!$B$9:$C$117,2,0)</f>
        <v>CATAMAYO</v>
      </c>
      <c r="H533" s="832" t="s">
        <v>355</v>
      </c>
      <c r="I533" s="831" t="s">
        <v>270</v>
      </c>
      <c r="J533" s="831" t="s">
        <v>174</v>
      </c>
      <c r="K533" s="831">
        <v>12.1</v>
      </c>
      <c r="L533" s="537"/>
      <c r="M533" s="538"/>
      <c r="N533" s="834" t="s">
        <v>1483</v>
      </c>
      <c r="O533" s="836" t="s">
        <v>532</v>
      </c>
      <c r="P533" s="836">
        <v>1</v>
      </c>
      <c r="Q533" s="836">
        <v>20810.7</v>
      </c>
      <c r="R533" s="948">
        <v>41640</v>
      </c>
      <c r="S533" s="948">
        <v>41760</v>
      </c>
      <c r="T533" s="686" t="str">
        <f t="shared" si="110"/>
        <v>EJECUTADO</v>
      </c>
      <c r="U533" s="837">
        <f t="shared" si="156"/>
        <v>20810.7</v>
      </c>
      <c r="V533" s="544"/>
      <c r="W533" s="544"/>
      <c r="X533" s="912">
        <f t="shared" si="184"/>
        <v>20810.7</v>
      </c>
      <c r="Y533" s="640"/>
      <c r="Z533" s="545" t="s">
        <v>334</v>
      </c>
      <c r="AA533" s="545" t="s">
        <v>178</v>
      </c>
      <c r="AB533" s="546" t="s">
        <v>187</v>
      </c>
      <c r="AC533" s="547">
        <v>2014</v>
      </c>
      <c r="AD533" s="95"/>
      <c r="AE533" s="93"/>
    </row>
    <row r="534" spans="1:31" s="94" customFormat="1" ht="50.1" customHeight="1">
      <c r="A534" s="910"/>
      <c r="B534" s="913"/>
      <c r="C534" s="927" t="s">
        <v>1183</v>
      </c>
      <c r="D534" s="927" t="s">
        <v>1360</v>
      </c>
      <c r="E534" s="929" t="str">
        <f t="shared" si="122"/>
        <v>Fiscalización Vía Carmelo - Cangonamá - Yee De Chalanga</v>
      </c>
      <c r="F534" s="831" t="s">
        <v>330</v>
      </c>
      <c r="G534" s="831" t="str">
        <f>VLOOKUP(H534,'Pob. Ext, Parroquial'!$B$9:$C$117,2,0)</f>
        <v>PALTAS</v>
      </c>
      <c r="H534" s="832" t="s">
        <v>617</v>
      </c>
      <c r="I534" s="831" t="s">
        <v>173</v>
      </c>
      <c r="J534" s="831" t="s">
        <v>174</v>
      </c>
      <c r="K534" s="831">
        <v>3</v>
      </c>
      <c r="L534" s="537"/>
      <c r="M534" s="538"/>
      <c r="N534" s="834" t="s">
        <v>1479</v>
      </c>
      <c r="O534" s="836" t="s">
        <v>532</v>
      </c>
      <c r="P534" s="836">
        <v>1</v>
      </c>
      <c r="Q534" s="836">
        <v>29829.45</v>
      </c>
      <c r="R534" s="959">
        <v>41640</v>
      </c>
      <c r="S534" s="948">
        <v>41760</v>
      </c>
      <c r="T534" s="686" t="str">
        <f t="shared" si="110"/>
        <v>EJECUTADO</v>
      </c>
      <c r="U534" s="837">
        <f t="shared" si="156"/>
        <v>29829.45</v>
      </c>
      <c r="V534" s="544"/>
      <c r="W534" s="544"/>
      <c r="X534" s="912">
        <f t="shared" si="184"/>
        <v>29829.45</v>
      </c>
      <c r="Y534" s="640"/>
      <c r="Z534" s="545" t="s">
        <v>334</v>
      </c>
      <c r="AA534" s="545" t="s">
        <v>178</v>
      </c>
      <c r="AB534" s="546" t="s">
        <v>187</v>
      </c>
      <c r="AC534" s="547">
        <v>2014</v>
      </c>
      <c r="AD534" s="95"/>
      <c r="AE534" s="93"/>
    </row>
    <row r="535" spans="1:31" s="94" customFormat="1" ht="50.1" customHeight="1">
      <c r="A535" s="910"/>
      <c r="B535" s="913"/>
      <c r="C535" s="985" t="s">
        <v>182</v>
      </c>
      <c r="D535" s="1117" t="s">
        <v>1165</v>
      </c>
      <c r="E535" s="929" t="str">
        <f t="shared" si="122"/>
        <v>VIA ACCESO AL BARIO CARRIZAL L= 3.2 KM Olmedo Inicio 21 nov Fin 22 de Nov</v>
      </c>
      <c r="F535" s="831" t="s">
        <v>330</v>
      </c>
      <c r="G535" s="831" t="str">
        <f>VLOOKUP(H535,'Pob. Ext, Parroquial'!$B$9:$C$117,2,0)</f>
        <v>OLMEDO</v>
      </c>
      <c r="H535" s="832" t="s">
        <v>411</v>
      </c>
      <c r="I535" s="831" t="s">
        <v>173</v>
      </c>
      <c r="J535" s="831" t="s">
        <v>174</v>
      </c>
      <c r="K535" s="831"/>
      <c r="L535" s="537">
        <f t="shared" si="183"/>
        <v>2.62</v>
      </c>
      <c r="M535" s="538">
        <f>IF(K535&gt;0,VLOOKUP(H535,'[5]Pob. Ext, Parroquial'!$B$8:$F$117,4,FALSE),0)</f>
        <v>0</v>
      </c>
      <c r="N535" s="834" t="s">
        <v>185</v>
      </c>
      <c r="O535" s="836" t="s">
        <v>314</v>
      </c>
      <c r="P535" s="836">
        <v>0.08</v>
      </c>
      <c r="Q535" s="968">
        <v>14410</v>
      </c>
      <c r="R535" s="948">
        <v>41964</v>
      </c>
      <c r="S535" s="948">
        <v>41965</v>
      </c>
      <c r="T535" s="686" t="str">
        <f t="shared" si="110"/>
        <v>EJECUTADO</v>
      </c>
      <c r="U535" s="837">
        <f t="shared" si="156"/>
        <v>1152.8</v>
      </c>
      <c r="V535" s="544"/>
      <c r="W535" s="544"/>
      <c r="X535" s="660">
        <f>SUM(U535:U536)</f>
        <v>1853.6</v>
      </c>
      <c r="Y535" s="640"/>
      <c r="Z535" s="545" t="s">
        <v>334</v>
      </c>
      <c r="AA535" s="545" t="s">
        <v>178</v>
      </c>
      <c r="AB535" s="546" t="s">
        <v>187</v>
      </c>
      <c r="AC535" s="547">
        <v>2014</v>
      </c>
      <c r="AD535" s="95"/>
      <c r="AE535" s="93"/>
    </row>
    <row r="536" spans="1:31" s="94" customFormat="1" ht="50.1" customHeight="1">
      <c r="A536" s="910"/>
      <c r="B536" s="913"/>
      <c r="C536" s="985" t="s">
        <v>182</v>
      </c>
      <c r="D536" s="1120"/>
      <c r="E536" s="929">
        <f t="shared" si="122"/>
        <v>0</v>
      </c>
      <c r="F536" s="831" t="s">
        <v>330</v>
      </c>
      <c r="G536" s="831" t="str">
        <f>VLOOKUP(H536,'Pob. Ext, Parroquial'!$B$9:$C$117,2,0)</f>
        <v>OLMEDO</v>
      </c>
      <c r="H536" s="832" t="s">
        <v>411</v>
      </c>
      <c r="I536" s="831" t="s">
        <v>173</v>
      </c>
      <c r="J536" s="831" t="s">
        <v>174</v>
      </c>
      <c r="K536" s="831"/>
      <c r="L536" s="537"/>
      <c r="M536" s="538">
        <f>IF(K536&gt;0,VLOOKUP(H536,'[5]Pob. Ext, Parroquial'!$B$8:$F$117,4,FALSE),0)</f>
        <v>0</v>
      </c>
      <c r="N536" s="834" t="s">
        <v>200</v>
      </c>
      <c r="O536" s="836" t="s">
        <v>333</v>
      </c>
      <c r="P536" s="836">
        <v>1.46</v>
      </c>
      <c r="Q536" s="968">
        <v>480</v>
      </c>
      <c r="R536" s="948">
        <v>41962</v>
      </c>
      <c r="S536" s="948">
        <v>41963</v>
      </c>
      <c r="T536" s="686" t="str">
        <f t="shared" si="110"/>
        <v>EJECUTADO</v>
      </c>
      <c r="U536" s="837">
        <f t="shared" si="156"/>
        <v>700.8</v>
      </c>
      <c r="V536" s="544"/>
      <c r="W536" s="544"/>
      <c r="X536" s="664"/>
      <c r="Y536" s="640"/>
      <c r="Z536" s="545" t="s">
        <v>334</v>
      </c>
      <c r="AA536" s="545" t="s">
        <v>178</v>
      </c>
      <c r="AB536" s="546" t="s">
        <v>187</v>
      </c>
      <c r="AC536" s="547">
        <v>2014</v>
      </c>
      <c r="AD536" s="95"/>
      <c r="AE536" s="93"/>
    </row>
    <row r="537" spans="1:31" s="94" customFormat="1" ht="50.1" customHeight="1">
      <c r="A537" s="1068"/>
      <c r="B537" s="1076"/>
      <c r="C537" s="985" t="s">
        <v>182</v>
      </c>
      <c r="D537" s="1117" t="s">
        <v>414</v>
      </c>
      <c r="E537" s="636" t="str">
        <f t="shared" si="122"/>
        <v>MANTENIMIENTO DE LAS VIAS TABLON-MINA, TABLON-SAN JOSE, YEE DE SAN JOSE-QUISHQUIL, CEMENTERIO-LA LAGUNA-COCHALOMA, PANAMERICANA-POTRERILLOS-TACHIN. LONGITUD 18 KM</v>
      </c>
      <c r="F537" s="831" t="s">
        <v>415</v>
      </c>
      <c r="G537" s="831" t="str">
        <f>VLOOKUP(H537,'Pob. Ext, Parroquial'!$B$9:$C$117,2,0)</f>
        <v>SARAGURO</v>
      </c>
      <c r="H537" s="831" t="s">
        <v>416</v>
      </c>
      <c r="I537" s="831" t="s">
        <v>173</v>
      </c>
      <c r="J537" s="831" t="s">
        <v>174</v>
      </c>
      <c r="K537" s="831">
        <v>18</v>
      </c>
      <c r="L537" s="537">
        <f>ROUNDUP(Q537/5.5/1000,2)</f>
        <v>12.73</v>
      </c>
      <c r="M537" s="538">
        <f>IF(K537&gt;0,VLOOKUP(H537,'[5]Pob. Ext, Parroquial'!$B$8:$F$117,4,FALSE),0)</f>
        <v>716</v>
      </c>
      <c r="N537" s="834" t="s">
        <v>185</v>
      </c>
      <c r="O537" s="836" t="s">
        <v>224</v>
      </c>
      <c r="P537" s="836">
        <v>0.08</v>
      </c>
      <c r="Q537" s="983">
        <v>70000</v>
      </c>
      <c r="R537" s="948">
        <v>41640</v>
      </c>
      <c r="S537" s="948">
        <v>41698</v>
      </c>
      <c r="T537" s="686" t="str">
        <f t="shared" si="110"/>
        <v>EJECUTADO</v>
      </c>
      <c r="U537" s="838">
        <f t="shared" si="156"/>
        <v>5600</v>
      </c>
      <c r="V537" s="544"/>
      <c r="W537" s="544"/>
      <c r="X537" s="660">
        <f>SUM(U537:U540)</f>
        <v>43610</v>
      </c>
      <c r="Y537" s="640">
        <v>0</v>
      </c>
      <c r="Z537" s="545" t="s">
        <v>417</v>
      </c>
      <c r="AA537" s="545" t="s">
        <v>178</v>
      </c>
      <c r="AB537" s="546" t="s">
        <v>187</v>
      </c>
      <c r="AC537" s="547">
        <v>2014</v>
      </c>
      <c r="AD537" s="95"/>
      <c r="AE537" s="93"/>
    </row>
    <row r="538" spans="1:31" s="94" customFormat="1" ht="50.1" customHeight="1">
      <c r="A538" s="1068"/>
      <c r="B538" s="1076"/>
      <c r="C538" s="985" t="s">
        <v>182</v>
      </c>
      <c r="D538" s="1118"/>
      <c r="E538" s="655" t="str">
        <f>+E537</f>
        <v>MANTENIMIENTO DE LAS VIAS TABLON-MINA, TABLON-SAN JOSE, YEE DE SAN JOSE-QUISHQUIL, CEMENTERIO-LA LAGUNA-COCHALOMA, PANAMERICANA-POTRERILLOS-TACHIN. LONGITUD 18 KM</v>
      </c>
      <c r="F538" s="831" t="s">
        <v>415</v>
      </c>
      <c r="G538" s="831" t="str">
        <f>VLOOKUP(H538,'Pob. Ext, Parroquial'!$B$9:$C$117,2,0)</f>
        <v>SARAGURO</v>
      </c>
      <c r="H538" s="831" t="s">
        <v>416</v>
      </c>
      <c r="I538" s="831" t="s">
        <v>173</v>
      </c>
      <c r="J538" s="831" t="s">
        <v>174</v>
      </c>
      <c r="K538" s="831"/>
      <c r="L538" s="537">
        <f>+ROUND(Q538/5500/0.2,2)</f>
        <v>3.18</v>
      </c>
      <c r="M538" s="538">
        <f>IF(K538&gt;0,VLOOKUP(H538,'[5]Pob. Ext, Parroquial'!$B$8:$F$117,4,FALSE),0)</f>
        <v>0</v>
      </c>
      <c r="N538" s="834" t="s">
        <v>229</v>
      </c>
      <c r="O538" s="836" t="s">
        <v>418</v>
      </c>
      <c r="P538" s="836">
        <v>5.92</v>
      </c>
      <c r="Q538" s="983">
        <v>3500</v>
      </c>
      <c r="R538" s="948">
        <v>41640</v>
      </c>
      <c r="S538" s="948">
        <v>41698</v>
      </c>
      <c r="T538" s="686" t="str">
        <f t="shared" si="110"/>
        <v>EJECUTADO</v>
      </c>
      <c r="U538" s="838">
        <f t="shared" si="156"/>
        <v>20720</v>
      </c>
      <c r="V538" s="544"/>
      <c r="W538" s="544"/>
      <c r="X538" s="662"/>
      <c r="Y538" s="640"/>
      <c r="Z538" s="545" t="s">
        <v>417</v>
      </c>
      <c r="AA538" s="545" t="s">
        <v>178</v>
      </c>
      <c r="AB538" s="546" t="s">
        <v>187</v>
      </c>
      <c r="AC538" s="547">
        <v>2014</v>
      </c>
      <c r="AD538" s="95"/>
      <c r="AE538" s="93"/>
    </row>
    <row r="539" spans="1:31" s="94" customFormat="1" ht="50.1" customHeight="1">
      <c r="A539" s="1068"/>
      <c r="B539" s="1076"/>
      <c r="C539" s="985" t="s">
        <v>182</v>
      </c>
      <c r="D539" s="1118"/>
      <c r="E539" s="655" t="str">
        <f t="shared" ref="E539:E540" si="185">+E538</f>
        <v>MANTENIMIENTO DE LAS VIAS TABLON-MINA, TABLON-SAN JOSE, YEE DE SAN JOSE-QUISHQUIL, CEMENTERIO-LA LAGUNA-COCHALOMA, PANAMERICANA-POTRERILLOS-TACHIN. LONGITUD 18 KM</v>
      </c>
      <c r="F539" s="831" t="s">
        <v>415</v>
      </c>
      <c r="G539" s="831" t="str">
        <f>VLOOKUP(H539,'Pob. Ext, Parroquial'!$B$9:$C$117,2,0)</f>
        <v>SARAGURO</v>
      </c>
      <c r="H539" s="831" t="s">
        <v>416</v>
      </c>
      <c r="I539" s="831" t="s">
        <v>173</v>
      </c>
      <c r="J539" s="831" t="s">
        <v>174</v>
      </c>
      <c r="K539" s="831"/>
      <c r="L539" s="537"/>
      <c r="M539" s="538">
        <f>IF(K539&gt;0,VLOOKUP(H539,'[5]Pob. Ext, Parroquial'!$B$8:$F$117,4,FALSE),0)</f>
        <v>0</v>
      </c>
      <c r="N539" s="834" t="s">
        <v>419</v>
      </c>
      <c r="O539" s="836" t="s">
        <v>420</v>
      </c>
      <c r="P539" s="836">
        <v>0.3</v>
      </c>
      <c r="Q539" s="983">
        <v>28000</v>
      </c>
      <c r="R539" s="948">
        <v>41640</v>
      </c>
      <c r="S539" s="948">
        <v>41698</v>
      </c>
      <c r="T539" s="686" t="str">
        <f t="shared" si="110"/>
        <v>EJECUTADO</v>
      </c>
      <c r="U539" s="838">
        <f t="shared" si="156"/>
        <v>8400</v>
      </c>
      <c r="V539" s="544"/>
      <c r="W539" s="544"/>
      <c r="X539" s="662"/>
      <c r="Y539" s="640"/>
      <c r="Z539" s="545" t="s">
        <v>417</v>
      </c>
      <c r="AA539" s="545" t="s">
        <v>178</v>
      </c>
      <c r="AB539" s="546" t="s">
        <v>187</v>
      </c>
      <c r="AC539" s="547">
        <v>2014</v>
      </c>
      <c r="AD539" s="95"/>
      <c r="AE539" s="93"/>
    </row>
    <row r="540" spans="1:31" s="94" customFormat="1" ht="50.1" customHeight="1">
      <c r="A540" s="1068"/>
      <c r="B540" s="1076"/>
      <c r="C540" s="985" t="s">
        <v>182</v>
      </c>
      <c r="D540" s="1120"/>
      <c r="E540" s="655" t="str">
        <f t="shared" si="185"/>
        <v>MANTENIMIENTO DE LAS VIAS TABLON-MINA, TABLON-SAN JOSE, YEE DE SAN JOSE-QUISHQUIL, CEMENTERIO-LA LAGUNA-COCHALOMA, PANAMERICANA-POTRERILLOS-TACHIN. LONGITUD 18 KM</v>
      </c>
      <c r="F540" s="831" t="s">
        <v>415</v>
      </c>
      <c r="G540" s="831" t="str">
        <f>VLOOKUP(H540,'Pob. Ext, Parroquial'!$B$9:$C$117,2,0)</f>
        <v>SARAGURO</v>
      </c>
      <c r="H540" s="831" t="s">
        <v>416</v>
      </c>
      <c r="I540" s="831" t="s">
        <v>173</v>
      </c>
      <c r="J540" s="831" t="s">
        <v>174</v>
      </c>
      <c r="K540" s="831"/>
      <c r="L540" s="537"/>
      <c r="M540" s="538">
        <f>IF(K540&gt;0,VLOOKUP(H540,'[5]Pob. Ext, Parroquial'!$B$8:$F$117,4,FALSE),0)</f>
        <v>0</v>
      </c>
      <c r="N540" s="834" t="s">
        <v>421</v>
      </c>
      <c r="O540" s="836" t="s">
        <v>418</v>
      </c>
      <c r="P540" s="836">
        <v>2.54</v>
      </c>
      <c r="Q540" s="983">
        <v>3500</v>
      </c>
      <c r="R540" s="948">
        <v>41640</v>
      </c>
      <c r="S540" s="948">
        <v>41698</v>
      </c>
      <c r="T540" s="686" t="str">
        <f t="shared" si="110"/>
        <v>EJECUTADO</v>
      </c>
      <c r="U540" s="838">
        <f t="shared" si="156"/>
        <v>8890</v>
      </c>
      <c r="V540" s="544"/>
      <c r="W540" s="544"/>
      <c r="X540" s="664"/>
      <c r="Y540" s="640"/>
      <c r="Z540" s="545" t="s">
        <v>417</v>
      </c>
      <c r="AA540" s="545" t="s">
        <v>178</v>
      </c>
      <c r="AB540" s="546" t="s">
        <v>187</v>
      </c>
      <c r="AC540" s="547">
        <v>2014</v>
      </c>
      <c r="AD540" s="95"/>
      <c r="AE540" s="93"/>
    </row>
    <row r="541" spans="1:31" s="94" customFormat="1" ht="50.1" customHeight="1">
      <c r="A541" s="1068"/>
      <c r="B541" s="1076"/>
      <c r="C541" s="985" t="s">
        <v>182</v>
      </c>
      <c r="D541" s="1117" t="s">
        <v>422</v>
      </c>
      <c r="E541" s="636" t="str">
        <f t="shared" si="122"/>
        <v>MANTENIMIENTO DE LAS VIAS DE LA PARROQUIA CELEN, LONGITUD 12,00 KM</v>
      </c>
      <c r="F541" s="831" t="s">
        <v>415</v>
      </c>
      <c r="G541" s="831" t="str">
        <f>VLOOKUP(H541,'Pob. Ext, Parroquial'!$B$9:$C$117,2,0)</f>
        <v>SARAGURO</v>
      </c>
      <c r="H541" s="831" t="s">
        <v>423</v>
      </c>
      <c r="I541" s="831" t="s">
        <v>173</v>
      </c>
      <c r="J541" s="831" t="s">
        <v>174</v>
      </c>
      <c r="K541" s="831">
        <v>12</v>
      </c>
      <c r="L541" s="537">
        <f>ROUNDUP(Q541/5.5/1000,2)</f>
        <v>13.1</v>
      </c>
      <c r="M541" s="538">
        <f>IF(K541&gt;0,VLOOKUP(H541,'[5]Pob. Ext, Parroquial'!$B$8:$F$117,4,FALSE),0)</f>
        <v>2132</v>
      </c>
      <c r="N541" s="834" t="s">
        <v>185</v>
      </c>
      <c r="O541" s="836" t="s">
        <v>224</v>
      </c>
      <c r="P541" s="836">
        <v>0.08</v>
      </c>
      <c r="Q541" s="983">
        <v>72000</v>
      </c>
      <c r="R541" s="948">
        <v>41640</v>
      </c>
      <c r="S541" s="948">
        <v>41670</v>
      </c>
      <c r="T541" s="686" t="str">
        <f t="shared" si="110"/>
        <v>EJECUTADO</v>
      </c>
      <c r="U541" s="838">
        <f t="shared" si="156"/>
        <v>5760</v>
      </c>
      <c r="V541" s="544"/>
      <c r="W541" s="544"/>
      <c r="X541" s="660">
        <f>SUM(U541:U542)</f>
        <v>5863.68</v>
      </c>
      <c r="Y541" s="640"/>
      <c r="Z541" s="545" t="s">
        <v>417</v>
      </c>
      <c r="AA541" s="545" t="s">
        <v>178</v>
      </c>
      <c r="AB541" s="546" t="s">
        <v>179</v>
      </c>
      <c r="AC541" s="547">
        <v>2014</v>
      </c>
      <c r="AD541" s="95"/>
      <c r="AE541" s="93"/>
    </row>
    <row r="542" spans="1:31" s="94" customFormat="1" ht="50.1" customHeight="1">
      <c r="A542" s="1068"/>
      <c r="B542" s="1076"/>
      <c r="C542" s="985" t="s">
        <v>182</v>
      </c>
      <c r="D542" s="1120"/>
      <c r="E542" s="655" t="str">
        <f t="shared" ref="E542" si="186">+E541</f>
        <v>MANTENIMIENTO DE LAS VIAS DE LA PARROQUIA CELEN, LONGITUD 12,00 KM</v>
      </c>
      <c r="F542" s="831" t="s">
        <v>415</v>
      </c>
      <c r="G542" s="831" t="str">
        <f>VLOOKUP(H542,'Pob. Ext, Parroquial'!$B$9:$C$117,2,0)</f>
        <v>SARAGURO</v>
      </c>
      <c r="H542" s="831" t="s">
        <v>423</v>
      </c>
      <c r="I542" s="831" t="s">
        <v>173</v>
      </c>
      <c r="J542" s="831" t="s">
        <v>174</v>
      </c>
      <c r="K542" s="831"/>
      <c r="L542" s="537"/>
      <c r="M542" s="538">
        <f>IF(K542&gt;0,VLOOKUP(H542,'[5]Pob. Ext, Parroquial'!$B$8:$F$117,4,FALSE),0)</f>
        <v>0</v>
      </c>
      <c r="N542" s="834" t="s">
        <v>226</v>
      </c>
      <c r="O542" s="836" t="s">
        <v>418</v>
      </c>
      <c r="P542" s="836">
        <v>1.62</v>
      </c>
      <c r="Q542" s="983">
        <v>64</v>
      </c>
      <c r="R542" s="948">
        <v>41640</v>
      </c>
      <c r="S542" s="948">
        <v>41670</v>
      </c>
      <c r="T542" s="686" t="str">
        <f t="shared" si="110"/>
        <v>EJECUTADO</v>
      </c>
      <c r="U542" s="838">
        <f t="shared" si="156"/>
        <v>103.68</v>
      </c>
      <c r="V542" s="544"/>
      <c r="W542" s="544"/>
      <c r="X542" s="664"/>
      <c r="Y542" s="640"/>
      <c r="Z542" s="545" t="s">
        <v>417</v>
      </c>
      <c r="AA542" s="545" t="s">
        <v>178</v>
      </c>
      <c r="AB542" s="546" t="s">
        <v>179</v>
      </c>
      <c r="AC542" s="547">
        <v>2014</v>
      </c>
      <c r="AD542" s="95"/>
      <c r="AE542" s="93"/>
    </row>
    <row r="543" spans="1:31" s="94" customFormat="1" ht="50.1" customHeight="1">
      <c r="A543" s="1068"/>
      <c r="B543" s="1076"/>
      <c r="C543" s="985" t="s">
        <v>182</v>
      </c>
      <c r="D543" s="1117" t="s">
        <v>424</v>
      </c>
      <c r="E543" s="636" t="str">
        <f t="shared" ref="E543:E624" si="187">+D543</f>
        <v>MANTENIMIENTO DE LA VIA MALACATOS-SAN JOSE DE LAS PEÑAS, LONGITUD 3,00 KM</v>
      </c>
      <c r="F543" s="831" t="s">
        <v>415</v>
      </c>
      <c r="G543" s="831" t="str">
        <f>VLOOKUP(H543,'Pob. Ext, Parroquial'!$B$9:$C$117,2,0)</f>
        <v>LOJA</v>
      </c>
      <c r="H543" s="831" t="s">
        <v>425</v>
      </c>
      <c r="I543" s="831" t="s">
        <v>173</v>
      </c>
      <c r="J543" s="831" t="s">
        <v>174</v>
      </c>
      <c r="K543" s="831">
        <v>3</v>
      </c>
      <c r="L543" s="537">
        <f>ROUNDUP(Q543/5.5/1000,2)</f>
        <v>1.9</v>
      </c>
      <c r="M543" s="538">
        <f>IF(K543&gt;0,VLOOKUP(H543,'[5]Pob. Ext, Parroquial'!$B$8:$F$117,4,FALSE),0)</f>
        <v>2611</v>
      </c>
      <c r="N543" s="834" t="s">
        <v>282</v>
      </c>
      <c r="O543" s="836" t="s">
        <v>224</v>
      </c>
      <c r="P543" s="836">
        <v>0.35</v>
      </c>
      <c r="Q543" s="983">
        <v>10450</v>
      </c>
      <c r="R543" s="948">
        <v>41640</v>
      </c>
      <c r="S543" s="948">
        <v>41670</v>
      </c>
      <c r="T543" s="686" t="str">
        <f t="shared" si="110"/>
        <v>EJECUTADO</v>
      </c>
      <c r="U543" s="838">
        <f t="shared" si="156"/>
        <v>3657.5</v>
      </c>
      <c r="V543" s="544"/>
      <c r="W543" s="544"/>
      <c r="X543" s="660">
        <f>SUM(U543:U545)</f>
        <v>4780.8599999999997</v>
      </c>
      <c r="Y543" s="640"/>
      <c r="Z543" s="545" t="s">
        <v>417</v>
      </c>
      <c r="AA543" s="545" t="s">
        <v>178</v>
      </c>
      <c r="AB543" s="546" t="s">
        <v>179</v>
      </c>
      <c r="AC543" s="547">
        <v>2014</v>
      </c>
      <c r="AD543" s="95"/>
      <c r="AE543" s="93"/>
    </row>
    <row r="544" spans="1:31" s="94" customFormat="1" ht="50.1" customHeight="1">
      <c r="A544" s="1068"/>
      <c r="B544" s="1076"/>
      <c r="C544" s="985" t="s">
        <v>182</v>
      </c>
      <c r="D544" s="1118"/>
      <c r="E544" s="655" t="str">
        <f t="shared" ref="E544:E545" si="188">+E543</f>
        <v>MANTENIMIENTO DE LA VIA MALACATOS-SAN JOSE DE LAS PEÑAS, LONGITUD 3,00 KM</v>
      </c>
      <c r="F544" s="831" t="s">
        <v>415</v>
      </c>
      <c r="G544" s="831" t="str">
        <f>VLOOKUP(H544,'Pob. Ext, Parroquial'!$B$9:$C$117,2,0)</f>
        <v>LOJA</v>
      </c>
      <c r="H544" s="831" t="s">
        <v>425</v>
      </c>
      <c r="I544" s="831" t="s">
        <v>173</v>
      </c>
      <c r="J544" s="831" t="s">
        <v>174</v>
      </c>
      <c r="K544" s="831"/>
      <c r="L544" s="537">
        <f>+ROUND(Q544/5500/0.2,2)</f>
        <v>0.11</v>
      </c>
      <c r="M544" s="538">
        <f>IF(K544&gt;0,VLOOKUP(H544,'[5]Pob. Ext, Parroquial'!$B$8:$F$117,4,FALSE),0)</f>
        <v>0</v>
      </c>
      <c r="N544" s="834" t="s">
        <v>229</v>
      </c>
      <c r="O544" s="836" t="s">
        <v>418</v>
      </c>
      <c r="P544" s="836">
        <v>5.92</v>
      </c>
      <c r="Q544" s="983">
        <v>118</v>
      </c>
      <c r="R544" s="948">
        <v>41640</v>
      </c>
      <c r="S544" s="948">
        <v>41670</v>
      </c>
      <c r="T544" s="686" t="str">
        <f t="shared" si="110"/>
        <v>EJECUTADO</v>
      </c>
      <c r="U544" s="838">
        <f t="shared" si="156"/>
        <v>698.56</v>
      </c>
      <c r="V544" s="544"/>
      <c r="W544" s="544"/>
      <c r="X544" s="662"/>
      <c r="Y544" s="640"/>
      <c r="Z544" s="545" t="s">
        <v>417</v>
      </c>
      <c r="AA544" s="545" t="s">
        <v>178</v>
      </c>
      <c r="AB544" s="546" t="s">
        <v>179</v>
      </c>
      <c r="AC544" s="547">
        <v>2014</v>
      </c>
      <c r="AD544" s="95"/>
      <c r="AE544" s="93"/>
    </row>
    <row r="545" spans="1:31" s="94" customFormat="1" ht="84.6" customHeight="1">
      <c r="A545" s="1068"/>
      <c r="B545" s="1076"/>
      <c r="C545" s="985" t="s">
        <v>182</v>
      </c>
      <c r="D545" s="1120"/>
      <c r="E545" s="655" t="str">
        <f t="shared" si="188"/>
        <v>MANTENIMIENTO DE LA VIA MALACATOS-SAN JOSE DE LAS PEÑAS, LONGITUD 3,00 KM</v>
      </c>
      <c r="F545" s="831" t="s">
        <v>415</v>
      </c>
      <c r="G545" s="831" t="str">
        <f>VLOOKUP(H545,'Pob. Ext, Parroquial'!$B$9:$C$117,2,0)</f>
        <v>LOJA</v>
      </c>
      <c r="H545" s="831" t="s">
        <v>425</v>
      </c>
      <c r="I545" s="831" t="s">
        <v>173</v>
      </c>
      <c r="J545" s="831" t="s">
        <v>174</v>
      </c>
      <c r="K545" s="831"/>
      <c r="L545" s="537"/>
      <c r="M545" s="538">
        <f>IF(K545&gt;0,VLOOKUP(H545,'[5]Pob. Ext, Parroquial'!$B$8:$F$117,4,FALSE),0)</f>
        <v>0</v>
      </c>
      <c r="N545" s="834" t="s">
        <v>419</v>
      </c>
      <c r="O545" s="836" t="s">
        <v>420</v>
      </c>
      <c r="P545" s="836">
        <v>0.3</v>
      </c>
      <c r="Q545" s="983">
        <v>1416</v>
      </c>
      <c r="R545" s="948">
        <v>41640</v>
      </c>
      <c r="S545" s="948">
        <v>41670</v>
      </c>
      <c r="T545" s="686" t="str">
        <f t="shared" si="110"/>
        <v>EJECUTADO</v>
      </c>
      <c r="U545" s="838">
        <f t="shared" si="156"/>
        <v>424.8</v>
      </c>
      <c r="V545" s="544"/>
      <c r="W545" s="544"/>
      <c r="X545" s="664"/>
      <c r="Y545" s="640"/>
      <c r="Z545" s="545" t="s">
        <v>417</v>
      </c>
      <c r="AA545" s="545" t="s">
        <v>178</v>
      </c>
      <c r="AB545" s="546" t="s">
        <v>179</v>
      </c>
      <c r="AC545" s="547">
        <v>2014</v>
      </c>
      <c r="AD545" s="95"/>
      <c r="AE545" s="93"/>
    </row>
    <row r="546" spans="1:31" s="94" customFormat="1" ht="88.9" customHeight="1">
      <c r="A546" s="1068"/>
      <c r="B546" s="1076"/>
      <c r="C546" s="985" t="s">
        <v>182</v>
      </c>
      <c r="D546" s="1117" t="s">
        <v>426</v>
      </c>
      <c r="E546" s="636" t="str">
        <f t="shared" si="187"/>
        <v>MANTENIMIENTO DE LA VIA TANQUE DE COLA - PUENTE SANTO DOMINGO, LONGITUD 3,00 KM</v>
      </c>
      <c r="F546" s="831" t="s">
        <v>415</v>
      </c>
      <c r="G546" s="831" t="str">
        <f>VLOOKUP(H546,'Pob. Ext, Parroquial'!$B$9:$C$117,2,0)</f>
        <v>LOJA</v>
      </c>
      <c r="H546" s="831" t="s">
        <v>425</v>
      </c>
      <c r="I546" s="831" t="s">
        <v>173</v>
      </c>
      <c r="J546" s="831" t="s">
        <v>174</v>
      </c>
      <c r="K546" s="831">
        <v>3</v>
      </c>
      <c r="L546" s="537">
        <f>ROUNDUP(Q546/5.5/1000,2)</f>
        <v>3.28</v>
      </c>
      <c r="M546" s="538">
        <f>IF(K546&gt;0,VLOOKUP(H546,'[5]Pob. Ext, Parroquial'!$B$8:$F$117,4,FALSE),0)</f>
        <v>2611</v>
      </c>
      <c r="N546" s="834" t="s">
        <v>282</v>
      </c>
      <c r="O546" s="836" t="s">
        <v>224</v>
      </c>
      <c r="P546" s="836">
        <v>0.35</v>
      </c>
      <c r="Q546" s="983">
        <v>18000</v>
      </c>
      <c r="R546" s="948">
        <v>41640</v>
      </c>
      <c r="S546" s="948">
        <v>41670</v>
      </c>
      <c r="T546" s="686" t="str">
        <f t="shared" si="110"/>
        <v>EJECUTADO</v>
      </c>
      <c r="U546" s="838">
        <f t="shared" si="156"/>
        <v>6300</v>
      </c>
      <c r="V546" s="544"/>
      <c r="W546" s="544"/>
      <c r="X546" s="660">
        <f>SUM(U546:U547)</f>
        <v>20880</v>
      </c>
      <c r="Y546" s="640"/>
      <c r="Z546" s="545" t="s">
        <v>417</v>
      </c>
      <c r="AA546" s="545" t="s">
        <v>178</v>
      </c>
      <c r="AB546" s="546" t="s">
        <v>179</v>
      </c>
      <c r="AC546" s="547">
        <v>2014</v>
      </c>
      <c r="AD546" s="95"/>
      <c r="AE546" s="93"/>
    </row>
    <row r="547" spans="1:31" s="94" customFormat="1" ht="50.1" customHeight="1">
      <c r="A547" s="1068"/>
      <c r="B547" s="1076"/>
      <c r="C547" s="985" t="s">
        <v>182</v>
      </c>
      <c r="D547" s="1120"/>
      <c r="E547" s="655" t="str">
        <f t="shared" ref="E547" si="189">+E546</f>
        <v>MANTENIMIENTO DE LA VIA TANQUE DE COLA - PUENTE SANTO DOMINGO, LONGITUD 3,00 KM</v>
      </c>
      <c r="F547" s="831" t="s">
        <v>415</v>
      </c>
      <c r="G547" s="831" t="str">
        <f>VLOOKUP(H547,'Pob. Ext, Parroquial'!$B$9:$C$117,2,0)</f>
        <v>LOJA</v>
      </c>
      <c r="H547" s="831" t="s">
        <v>425</v>
      </c>
      <c r="I547" s="831" t="s">
        <v>173</v>
      </c>
      <c r="J547" s="831" t="s">
        <v>174</v>
      </c>
      <c r="K547" s="831"/>
      <c r="L547" s="537"/>
      <c r="M547" s="538">
        <f>IF(K547&gt;0,VLOOKUP(H547,'[5]Pob. Ext, Parroquial'!$B$8:$F$117,4,FALSE),0)</f>
        <v>0</v>
      </c>
      <c r="N547" s="834" t="s">
        <v>226</v>
      </c>
      <c r="O547" s="836" t="s">
        <v>418</v>
      </c>
      <c r="P547" s="836">
        <v>1.62</v>
      </c>
      <c r="Q547" s="983">
        <v>9000</v>
      </c>
      <c r="R547" s="948">
        <v>41640</v>
      </c>
      <c r="S547" s="948">
        <v>41670</v>
      </c>
      <c r="T547" s="686" t="str">
        <f t="shared" si="110"/>
        <v>EJECUTADO</v>
      </c>
      <c r="U547" s="838">
        <f t="shared" si="156"/>
        <v>14580</v>
      </c>
      <c r="V547" s="544"/>
      <c r="W547" s="544"/>
      <c r="X547" s="664"/>
      <c r="Y547" s="640"/>
      <c r="Z547" s="545" t="s">
        <v>417</v>
      </c>
      <c r="AA547" s="545" t="s">
        <v>178</v>
      </c>
      <c r="AB547" s="546" t="s">
        <v>179</v>
      </c>
      <c r="AC547" s="547">
        <v>2014</v>
      </c>
      <c r="AD547" s="95"/>
      <c r="AE547" s="93"/>
    </row>
    <row r="548" spans="1:31" s="94" customFormat="1" ht="85.15" customHeight="1">
      <c r="A548" s="1068"/>
      <c r="B548" s="1076"/>
      <c r="C548" s="985" t="s">
        <v>182</v>
      </c>
      <c r="D548" s="1117" t="s">
        <v>427</v>
      </c>
      <c r="E548" s="636" t="str">
        <f t="shared" si="187"/>
        <v>MANTENIMIENTO DE LAS VIAS DE LA PARROQUIA YANGANA, TRAMO YANGANA-PUENTE MASANAMACA, LONGITUD 26,00 KM</v>
      </c>
      <c r="F548" s="831" t="s">
        <v>415</v>
      </c>
      <c r="G548" s="831" t="str">
        <f>VLOOKUP(H548,'Pob. Ext, Parroquial'!$B$9:$C$117,2,0)</f>
        <v>LOJA</v>
      </c>
      <c r="H548" s="831" t="s">
        <v>428</v>
      </c>
      <c r="I548" s="831" t="s">
        <v>173</v>
      </c>
      <c r="J548" s="831" t="s">
        <v>174</v>
      </c>
      <c r="K548" s="831">
        <v>26</v>
      </c>
      <c r="L548" s="537">
        <f>ROUNDUP(Q548/5.5/1000,2)</f>
        <v>29.1</v>
      </c>
      <c r="M548" s="538">
        <f>IF(K548&gt;0,VLOOKUP(H548,'[5]Pob. Ext, Parroquial'!$B$8:$F$117,4,FALSE),0)</f>
        <v>449</v>
      </c>
      <c r="N548" s="834" t="s">
        <v>282</v>
      </c>
      <c r="O548" s="836" t="s">
        <v>224</v>
      </c>
      <c r="P548" s="836">
        <v>0.35</v>
      </c>
      <c r="Q548" s="983">
        <v>160002</v>
      </c>
      <c r="R548" s="948">
        <v>41640</v>
      </c>
      <c r="S548" s="948">
        <v>41698</v>
      </c>
      <c r="T548" s="686" t="str">
        <f t="shared" ref="T548:T667" si="190">IF(S548&lt;$G$5,"EJECUTADO","EN EJECUCION")</f>
        <v>EJECUTADO</v>
      </c>
      <c r="U548" s="838">
        <f t="shared" si="156"/>
        <v>56000.7</v>
      </c>
      <c r="V548" s="544"/>
      <c r="W548" s="544"/>
      <c r="X548" s="660">
        <f>SUM(U548:U551)</f>
        <v>104885.34000000001</v>
      </c>
      <c r="Y548" s="640"/>
      <c r="Z548" s="545" t="s">
        <v>417</v>
      </c>
      <c r="AA548" s="545" t="s">
        <v>178</v>
      </c>
      <c r="AB548" s="546" t="s">
        <v>187</v>
      </c>
      <c r="AC548" s="547">
        <v>2014</v>
      </c>
      <c r="AD548" s="95"/>
      <c r="AE548" s="93"/>
    </row>
    <row r="549" spans="1:31" s="94" customFormat="1" ht="109.9" customHeight="1">
      <c r="A549" s="1068"/>
      <c r="B549" s="1076"/>
      <c r="C549" s="985" t="s">
        <v>182</v>
      </c>
      <c r="D549" s="1118"/>
      <c r="E549" s="655" t="str">
        <f t="shared" ref="E549:E551" si="191">+E548</f>
        <v>MANTENIMIENTO DE LAS VIAS DE LA PARROQUIA YANGANA, TRAMO YANGANA-PUENTE MASANAMACA, LONGITUD 26,00 KM</v>
      </c>
      <c r="F549" s="831" t="s">
        <v>415</v>
      </c>
      <c r="G549" s="831" t="str">
        <f>VLOOKUP(H549,'Pob. Ext, Parroquial'!$B$9:$C$117,2,0)</f>
        <v>LOJA</v>
      </c>
      <c r="H549" s="831" t="s">
        <v>428</v>
      </c>
      <c r="I549" s="831" t="s">
        <v>173</v>
      </c>
      <c r="J549" s="831" t="s">
        <v>174</v>
      </c>
      <c r="K549" s="831"/>
      <c r="L549" s="537">
        <f>+ROUND(Q549/5500/0.2,2)</f>
        <v>4.47</v>
      </c>
      <c r="M549" s="538">
        <f>IF(K549&gt;0,VLOOKUP(H549,'[5]Pob. Ext, Parroquial'!$B$8:$F$117,4,FALSE),0)</f>
        <v>0</v>
      </c>
      <c r="N549" s="834" t="s">
        <v>229</v>
      </c>
      <c r="O549" s="836" t="s">
        <v>418</v>
      </c>
      <c r="P549" s="836">
        <v>5.92</v>
      </c>
      <c r="Q549" s="983">
        <f>612+4308</f>
        <v>4920</v>
      </c>
      <c r="R549" s="948">
        <v>41640</v>
      </c>
      <c r="S549" s="948">
        <v>41698</v>
      </c>
      <c r="T549" s="686" t="str">
        <f t="shared" si="190"/>
        <v>EJECUTADO</v>
      </c>
      <c r="U549" s="838">
        <f t="shared" si="156"/>
        <v>29126.400000000001</v>
      </c>
      <c r="V549" s="544"/>
      <c r="W549" s="544"/>
      <c r="X549" s="662"/>
      <c r="Y549" s="640"/>
      <c r="Z549" s="545" t="s">
        <v>417</v>
      </c>
      <c r="AA549" s="545" t="s">
        <v>178</v>
      </c>
      <c r="AB549" s="546" t="s">
        <v>187</v>
      </c>
      <c r="AC549" s="547">
        <v>2014</v>
      </c>
      <c r="AD549" s="95"/>
      <c r="AE549" s="93"/>
    </row>
    <row r="550" spans="1:31" s="94" customFormat="1" ht="101.25" customHeight="1">
      <c r="A550" s="1068"/>
      <c r="B550" s="1076"/>
      <c r="C550" s="985" t="s">
        <v>182</v>
      </c>
      <c r="D550" s="1118"/>
      <c r="E550" s="655" t="str">
        <f t="shared" si="191"/>
        <v>MANTENIMIENTO DE LAS VIAS DE LA PARROQUIA YANGANA, TRAMO YANGANA-PUENTE MASANAMACA, LONGITUD 26,00 KM</v>
      </c>
      <c r="F550" s="831" t="s">
        <v>415</v>
      </c>
      <c r="G550" s="831" t="str">
        <f>VLOOKUP(H550,'Pob. Ext, Parroquial'!$B$9:$C$117,2,0)</f>
        <v>LOJA</v>
      </c>
      <c r="H550" s="831" t="s">
        <v>428</v>
      </c>
      <c r="I550" s="831" t="s">
        <v>173</v>
      </c>
      <c r="J550" s="831" t="s">
        <v>174</v>
      </c>
      <c r="K550" s="831"/>
      <c r="L550" s="537"/>
      <c r="M550" s="538">
        <f>IF(K550&gt;0,VLOOKUP(H550,'[5]Pob. Ext, Parroquial'!$B$8:$F$117,4,FALSE),0)</f>
        <v>0</v>
      </c>
      <c r="N550" s="835" t="s">
        <v>419</v>
      </c>
      <c r="O550" s="836" t="s">
        <v>420</v>
      </c>
      <c r="P550" s="836">
        <v>0.3</v>
      </c>
      <c r="Q550" s="983">
        <f>3060+37140</f>
        <v>40200</v>
      </c>
      <c r="R550" s="948">
        <v>41640</v>
      </c>
      <c r="S550" s="948">
        <v>41698</v>
      </c>
      <c r="T550" s="686" t="str">
        <f t="shared" si="190"/>
        <v>EJECUTADO</v>
      </c>
      <c r="U550" s="838">
        <f t="shared" si="156"/>
        <v>12060</v>
      </c>
      <c r="V550" s="544"/>
      <c r="W550" s="544"/>
      <c r="X550" s="662"/>
      <c r="Y550" s="640"/>
      <c r="Z550" s="545" t="s">
        <v>417</v>
      </c>
      <c r="AA550" s="545" t="s">
        <v>178</v>
      </c>
      <c r="AB550" s="546" t="s">
        <v>187</v>
      </c>
      <c r="AC550" s="547">
        <v>2014</v>
      </c>
      <c r="AD550" s="95"/>
      <c r="AE550" s="93"/>
    </row>
    <row r="551" spans="1:31" s="94" customFormat="1" ht="108" customHeight="1">
      <c r="A551" s="1068"/>
      <c r="B551" s="1076"/>
      <c r="C551" s="985" t="s">
        <v>182</v>
      </c>
      <c r="D551" s="1120"/>
      <c r="E551" s="655" t="str">
        <f t="shared" si="191"/>
        <v>MANTENIMIENTO DE LAS VIAS DE LA PARROQUIA YANGANA, TRAMO YANGANA-PUENTE MASANAMACA, LONGITUD 26,00 KM</v>
      </c>
      <c r="F551" s="831" t="s">
        <v>415</v>
      </c>
      <c r="G551" s="831" t="str">
        <f>VLOOKUP(H551,'Pob. Ext, Parroquial'!$B$9:$C$117,2,0)</f>
        <v>LOJA</v>
      </c>
      <c r="H551" s="831" t="s">
        <v>428</v>
      </c>
      <c r="I551" s="831" t="s">
        <v>173</v>
      </c>
      <c r="J551" s="831" t="s">
        <v>174</v>
      </c>
      <c r="K551" s="831"/>
      <c r="L551" s="537"/>
      <c r="M551" s="538">
        <f>IF(K551&gt;0,VLOOKUP(H551,'[5]Pob. Ext, Parroquial'!$B$8:$F$117,4,FALSE),0)</f>
        <v>0</v>
      </c>
      <c r="N551" s="835" t="s">
        <v>226</v>
      </c>
      <c r="O551" s="836" t="s">
        <v>418</v>
      </c>
      <c r="P551" s="836">
        <v>1.62</v>
      </c>
      <c r="Q551" s="983">
        <v>4752</v>
      </c>
      <c r="R551" s="948">
        <v>41673</v>
      </c>
      <c r="S551" s="948">
        <v>41744</v>
      </c>
      <c r="T551" s="686" t="str">
        <f t="shared" si="190"/>
        <v>EJECUTADO</v>
      </c>
      <c r="U551" s="838">
        <f t="shared" si="156"/>
        <v>7698.24</v>
      </c>
      <c r="V551" s="544"/>
      <c r="W551" s="544"/>
      <c r="X551" s="664"/>
      <c r="Y551" s="640"/>
      <c r="Z551" s="545" t="s">
        <v>417</v>
      </c>
      <c r="AA551" s="545" t="s">
        <v>178</v>
      </c>
      <c r="AB551" s="546" t="s">
        <v>187</v>
      </c>
      <c r="AC551" s="547">
        <v>2014</v>
      </c>
      <c r="AD551" s="95"/>
      <c r="AE551" s="93"/>
    </row>
    <row r="552" spans="1:31" s="94" customFormat="1" ht="108" customHeight="1">
      <c r="A552" s="1068"/>
      <c r="B552" s="1076"/>
      <c r="C552" s="985" t="s">
        <v>182</v>
      </c>
      <c r="D552" s="1117" t="s">
        <v>429</v>
      </c>
      <c r="E552" s="636" t="str">
        <f t="shared" si="187"/>
        <v>MEJORAMIENTO  DE LAS CALLES Y VIAS DE LOS BARRIOS PERIFERICOS DE LA CIUDAD DE LOJA, LONGITUD 180 KM CONVENIO NRO. 131-DPS-2013 APORTES GPL - GADMLOJA - VIALSUR.EP, Contrato original sie nro 582 $ 161 921.96  del 15 de agosto al 18 de enero del 2014, concluido 100 % y pagado.</v>
      </c>
      <c r="F552" s="831" t="s">
        <v>415</v>
      </c>
      <c r="G552" s="831" t="str">
        <f>VLOOKUP(H552,'Pob. Ext, Parroquial'!$B$9:$C$117,2,0)</f>
        <v>LOJA</v>
      </c>
      <c r="H552" s="831" t="s">
        <v>430</v>
      </c>
      <c r="I552" s="831" t="s">
        <v>265</v>
      </c>
      <c r="J552" s="831" t="s">
        <v>174</v>
      </c>
      <c r="K552" s="831">
        <v>180</v>
      </c>
      <c r="L552" s="537"/>
      <c r="M552" s="538">
        <f>IF(K552&gt;0,VLOOKUP(H552,'[5]Pob. Ext, Parroquial'!$B$8:$F$117,4,FALSE),0)</f>
        <v>20662</v>
      </c>
      <c r="N552" s="834" t="s">
        <v>431</v>
      </c>
      <c r="O552" s="836" t="s">
        <v>418</v>
      </c>
      <c r="P552" s="836">
        <v>0.6</v>
      </c>
      <c r="Q552" s="863"/>
      <c r="R552" s="948">
        <v>41640</v>
      </c>
      <c r="S552" s="948">
        <v>41670</v>
      </c>
      <c r="T552" s="686" t="str">
        <f t="shared" si="190"/>
        <v>EJECUTADO</v>
      </c>
      <c r="U552" s="838">
        <f t="shared" si="156"/>
        <v>0</v>
      </c>
      <c r="V552" s="680">
        <v>454123.94</v>
      </c>
      <c r="W552" s="680">
        <v>45935.25</v>
      </c>
      <c r="X552" s="660">
        <f>SUM(U552:U556)</f>
        <v>241.06</v>
      </c>
      <c r="Y552" s="640"/>
      <c r="Z552" s="545" t="s">
        <v>417</v>
      </c>
      <c r="AA552" s="545" t="s">
        <v>178</v>
      </c>
      <c r="AB552" s="546" t="s">
        <v>179</v>
      </c>
      <c r="AC552" s="547">
        <v>2014</v>
      </c>
      <c r="AD552" s="95"/>
      <c r="AE552" s="93"/>
    </row>
    <row r="553" spans="1:31" s="94" customFormat="1" ht="108" customHeight="1">
      <c r="A553" s="1068"/>
      <c r="B553" s="1076"/>
      <c r="C553" s="985" t="s">
        <v>182</v>
      </c>
      <c r="D553" s="1118"/>
      <c r="E553" s="655" t="str">
        <f t="shared" ref="E553:E556" si="192">+E552</f>
        <v>MEJORAMIENTO  DE LAS CALLES Y VIAS DE LOS BARRIOS PERIFERICOS DE LA CIUDAD DE LOJA, LONGITUD 180 KM CONVENIO NRO. 131-DPS-2013 APORTES GPL - GADMLOJA - VIALSUR.EP, Contrato original sie nro 582 $ 161 921.96  del 15 de agosto al 18 de enero del 2014, concluido 100 % y pagado.</v>
      </c>
      <c r="F553" s="831" t="s">
        <v>415</v>
      </c>
      <c r="G553" s="831" t="str">
        <f>VLOOKUP(H553,'Pob. Ext, Parroquial'!$B$9:$C$117,2,0)</f>
        <v>LOJA</v>
      </c>
      <c r="H553" s="831" t="s">
        <v>430</v>
      </c>
      <c r="I553" s="831" t="s">
        <v>265</v>
      </c>
      <c r="J553" s="831" t="s">
        <v>174</v>
      </c>
      <c r="K553" s="831"/>
      <c r="L553" s="537"/>
      <c r="M553" s="538">
        <f>IF(K553&gt;0,VLOOKUP(H553,'[5]Pob. Ext, Parroquial'!$B$8:$F$117,4,FALSE),0)</f>
        <v>0</v>
      </c>
      <c r="N553" s="834" t="s">
        <v>432</v>
      </c>
      <c r="O553" s="836" t="s">
        <v>418</v>
      </c>
      <c r="P553" s="836">
        <v>0.81</v>
      </c>
      <c r="Q553" s="983">
        <v>297.60000000000002</v>
      </c>
      <c r="R553" s="948">
        <v>41640</v>
      </c>
      <c r="S553" s="948">
        <v>41698</v>
      </c>
      <c r="T553" s="686" t="str">
        <f t="shared" si="190"/>
        <v>EJECUTADO</v>
      </c>
      <c r="U553" s="838">
        <f t="shared" si="156"/>
        <v>241.06</v>
      </c>
      <c r="V553" s="680"/>
      <c r="W553" s="680"/>
      <c r="X553" s="662"/>
      <c r="Y553" s="640"/>
      <c r="Z553" s="545" t="s">
        <v>417</v>
      </c>
      <c r="AA553" s="545" t="s">
        <v>178</v>
      </c>
      <c r="AB553" s="546" t="s">
        <v>187</v>
      </c>
      <c r="AC553" s="547">
        <v>2014</v>
      </c>
      <c r="AD553" s="95"/>
      <c r="AE553" s="93"/>
    </row>
    <row r="554" spans="1:31" s="94" customFormat="1" ht="108" customHeight="1">
      <c r="A554" s="1068"/>
      <c r="B554" s="1076"/>
      <c r="C554" s="985" t="s">
        <v>182</v>
      </c>
      <c r="D554" s="1118"/>
      <c r="E554" s="655" t="str">
        <f t="shared" si="192"/>
        <v>MEJORAMIENTO  DE LAS CALLES Y VIAS DE LOS BARRIOS PERIFERICOS DE LA CIUDAD DE LOJA, LONGITUD 180 KM CONVENIO NRO. 131-DPS-2013 APORTES GPL - GADMLOJA - VIALSUR.EP, Contrato original sie nro 582 $ 161 921.96  del 15 de agosto al 18 de enero del 2014, concluido 100 % y pagado.</v>
      </c>
      <c r="F554" s="831" t="s">
        <v>415</v>
      </c>
      <c r="G554" s="831" t="str">
        <f>VLOOKUP(H554,'Pob. Ext, Parroquial'!$B$9:$C$117,2,0)</f>
        <v>LOJA</v>
      </c>
      <c r="H554" s="831" t="s">
        <v>430</v>
      </c>
      <c r="I554" s="831" t="s">
        <v>265</v>
      </c>
      <c r="J554" s="831" t="s">
        <v>174</v>
      </c>
      <c r="K554" s="831"/>
      <c r="L554" s="537"/>
      <c r="M554" s="538">
        <f>IF(K554&gt;0,VLOOKUP(H554,'[5]Pob. Ext, Parroquial'!$B$8:$F$117,4,FALSE),0)</f>
        <v>0</v>
      </c>
      <c r="N554" s="834" t="s">
        <v>433</v>
      </c>
      <c r="O554" s="836" t="s">
        <v>434</v>
      </c>
      <c r="P554" s="836">
        <v>45</v>
      </c>
      <c r="Q554" s="863"/>
      <c r="R554" s="948">
        <v>41640</v>
      </c>
      <c r="S554" s="948">
        <v>41670</v>
      </c>
      <c r="T554" s="686" t="str">
        <f t="shared" si="190"/>
        <v>EJECUTADO</v>
      </c>
      <c r="U554" s="838">
        <f t="shared" si="156"/>
        <v>0</v>
      </c>
      <c r="V554" s="680"/>
      <c r="W554" s="680"/>
      <c r="X554" s="662">
        <f>U554+V554+W554</f>
        <v>0</v>
      </c>
      <c r="Y554" s="640"/>
      <c r="Z554" s="545" t="s">
        <v>417</v>
      </c>
      <c r="AA554" s="545" t="s">
        <v>178</v>
      </c>
      <c r="AB554" s="546" t="s">
        <v>179</v>
      </c>
      <c r="AC554" s="547">
        <v>2014</v>
      </c>
      <c r="AD554" s="95"/>
      <c r="AE554" s="93"/>
    </row>
    <row r="555" spans="1:31" s="94" customFormat="1" ht="108" customHeight="1">
      <c r="A555" s="1068"/>
      <c r="B555" s="1076"/>
      <c r="C555" s="985" t="s">
        <v>182</v>
      </c>
      <c r="D555" s="1118"/>
      <c r="E555" s="655" t="str">
        <f t="shared" si="192"/>
        <v>MEJORAMIENTO  DE LAS CALLES Y VIAS DE LOS BARRIOS PERIFERICOS DE LA CIUDAD DE LOJA, LONGITUD 180 KM CONVENIO NRO. 131-DPS-2013 APORTES GPL - GADMLOJA - VIALSUR.EP, Contrato original sie nro 582 $ 161 921.96  del 15 de agosto al 18 de enero del 2014, concluido 100 % y pagado.</v>
      </c>
      <c r="F555" s="831" t="s">
        <v>415</v>
      </c>
      <c r="G555" s="831" t="str">
        <f>VLOOKUP(H555,'Pob. Ext, Parroquial'!$B$9:$C$117,2,0)</f>
        <v>LOJA</v>
      </c>
      <c r="H555" s="831" t="s">
        <v>430</v>
      </c>
      <c r="I555" s="831" t="s">
        <v>265</v>
      </c>
      <c r="J555" s="831" t="s">
        <v>174</v>
      </c>
      <c r="K555" s="831"/>
      <c r="L555" s="537">
        <f>ROUNDUP(Q555/5.5/1000,2)</f>
        <v>0</v>
      </c>
      <c r="M555" s="538">
        <f>IF(K555&gt;0,VLOOKUP(H555,'[5]Pob. Ext, Parroquial'!$B$8:$F$117,4,FALSE),0)</f>
        <v>0</v>
      </c>
      <c r="N555" s="834" t="s">
        <v>183</v>
      </c>
      <c r="O555" s="836" t="s">
        <v>434</v>
      </c>
      <c r="P555" s="836">
        <v>50.6</v>
      </c>
      <c r="Q555" s="863"/>
      <c r="R555" s="948">
        <v>41640</v>
      </c>
      <c r="S555" s="948">
        <v>41698</v>
      </c>
      <c r="T555" s="686" t="str">
        <f t="shared" si="190"/>
        <v>EJECUTADO</v>
      </c>
      <c r="U555" s="838">
        <f t="shared" si="156"/>
        <v>0</v>
      </c>
      <c r="V555" s="680"/>
      <c r="W555" s="680"/>
      <c r="X555" s="662">
        <f>U555+V555+W555</f>
        <v>0</v>
      </c>
      <c r="Y555" s="640"/>
      <c r="Z555" s="545" t="s">
        <v>417</v>
      </c>
      <c r="AA555" s="545" t="s">
        <v>178</v>
      </c>
      <c r="AB555" s="546" t="s">
        <v>187</v>
      </c>
      <c r="AC555" s="547">
        <v>2014</v>
      </c>
      <c r="AD555" s="95"/>
      <c r="AE555" s="93"/>
    </row>
    <row r="556" spans="1:31" s="94" customFormat="1" ht="108" customHeight="1">
      <c r="A556" s="1068"/>
      <c r="B556" s="1076"/>
      <c r="C556" s="985" t="s">
        <v>182</v>
      </c>
      <c r="D556" s="1120"/>
      <c r="E556" s="655" t="str">
        <f t="shared" si="192"/>
        <v>MEJORAMIENTO  DE LAS CALLES Y VIAS DE LOS BARRIOS PERIFERICOS DE LA CIUDAD DE LOJA, LONGITUD 180 KM CONVENIO NRO. 131-DPS-2013 APORTES GPL - GADMLOJA - VIALSUR.EP, Contrato original sie nro 582 $ 161 921.96  del 15 de agosto al 18 de enero del 2014, concluido 100 % y pagado.</v>
      </c>
      <c r="F556" s="831" t="s">
        <v>415</v>
      </c>
      <c r="G556" s="831" t="str">
        <f>VLOOKUP(H556,'Pob. Ext, Parroquial'!$B$9:$C$117,2,0)</f>
        <v>LOJA</v>
      </c>
      <c r="H556" s="831" t="s">
        <v>430</v>
      </c>
      <c r="I556" s="831" t="s">
        <v>265</v>
      </c>
      <c r="J556" s="831" t="s">
        <v>174</v>
      </c>
      <c r="K556" s="831"/>
      <c r="L556" s="537"/>
      <c r="M556" s="538">
        <f>IF(K556&gt;0,VLOOKUP(H556,'[5]Pob. Ext, Parroquial'!$B$8:$F$117,4,FALSE),0)</f>
        <v>0</v>
      </c>
      <c r="N556" s="834" t="s">
        <v>435</v>
      </c>
      <c r="O556" s="836" t="s">
        <v>436</v>
      </c>
      <c r="P556" s="836">
        <v>704.58</v>
      </c>
      <c r="Q556" s="863"/>
      <c r="R556" s="948">
        <v>41640</v>
      </c>
      <c r="S556" s="948">
        <v>41670</v>
      </c>
      <c r="T556" s="686" t="str">
        <f t="shared" si="190"/>
        <v>EJECUTADO</v>
      </c>
      <c r="U556" s="838">
        <f t="shared" si="156"/>
        <v>0</v>
      </c>
      <c r="V556" s="680"/>
      <c r="W556" s="680"/>
      <c r="X556" s="664">
        <f>U556+V556+W556</f>
        <v>0</v>
      </c>
      <c r="Y556" s="640"/>
      <c r="Z556" s="545" t="s">
        <v>417</v>
      </c>
      <c r="AA556" s="545" t="s">
        <v>178</v>
      </c>
      <c r="AB556" s="546" t="s">
        <v>179</v>
      </c>
      <c r="AC556" s="547">
        <v>2014</v>
      </c>
      <c r="AD556" s="95"/>
      <c r="AE556" s="93"/>
    </row>
    <row r="557" spans="1:31" s="94" customFormat="1" ht="132.75" customHeight="1">
      <c r="A557" s="910"/>
      <c r="B557" s="913"/>
      <c r="C557" s="985" t="s">
        <v>182</v>
      </c>
      <c r="D557" s="927" t="s">
        <v>437</v>
      </c>
      <c r="E557" s="636" t="str">
        <f t="shared" si="187"/>
        <v>MANTENTENIMIENTO DE CALLES Y VIAS DE LOS BARRIOS PERIFERICOS DE LA CIUDAD DE LOJA (CONTRATO CIA. JARAMILLO CONSTRUCTORA)</v>
      </c>
      <c r="F557" s="831" t="s">
        <v>415</v>
      </c>
      <c r="G557" s="831" t="str">
        <f>VLOOKUP(H557,'Pob. Ext, Parroquial'!$B$9:$C$117,2,0)</f>
        <v>LOJA</v>
      </c>
      <c r="H557" s="831" t="s">
        <v>430</v>
      </c>
      <c r="I557" s="831" t="s">
        <v>270</v>
      </c>
      <c r="J557" s="831" t="s">
        <v>438</v>
      </c>
      <c r="K557" s="831"/>
      <c r="L557" s="537"/>
      <c r="M557" s="538">
        <f>IF(K557&gt;0,VLOOKUP(H557,'[5]Pob. Ext, Parroquial'!$B$8:$F$117,4,FALSE),0)</f>
        <v>0</v>
      </c>
      <c r="N557" s="834" t="s">
        <v>439</v>
      </c>
      <c r="O557" s="836" t="s">
        <v>440</v>
      </c>
      <c r="P557" s="836">
        <v>0.24</v>
      </c>
      <c r="Q557" s="983">
        <v>86140.05</v>
      </c>
      <c r="R557" s="948">
        <v>41640</v>
      </c>
      <c r="S557" s="948">
        <v>41790</v>
      </c>
      <c r="T557" s="686" t="str">
        <f t="shared" si="190"/>
        <v>EJECUTADO</v>
      </c>
      <c r="U557" s="838">
        <f t="shared" si="156"/>
        <v>20673.61</v>
      </c>
      <c r="V557" s="544"/>
      <c r="W557" s="544"/>
      <c r="X557" s="912">
        <f>U557+V557+W557</f>
        <v>20673.61</v>
      </c>
      <c r="Y557" s="640"/>
      <c r="Z557" s="545" t="s">
        <v>417</v>
      </c>
      <c r="AA557" s="545" t="s">
        <v>178</v>
      </c>
      <c r="AB557" s="546" t="s">
        <v>179</v>
      </c>
      <c r="AC557" s="547">
        <v>2014</v>
      </c>
      <c r="AD557" s="93"/>
      <c r="AE557" s="93"/>
    </row>
    <row r="558" spans="1:31" s="94" customFormat="1" ht="119.45" customHeight="1">
      <c r="A558" s="683" t="s">
        <v>452</v>
      </c>
      <c r="B558" s="1083" t="str">
        <f>+T560</f>
        <v>EJECUTADO</v>
      </c>
      <c r="C558" s="927" t="s">
        <v>1493</v>
      </c>
      <c r="D558" s="930" t="s">
        <v>441</v>
      </c>
      <c r="E558" s="636" t="str">
        <f t="shared" si="187"/>
        <v>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</v>
      </c>
      <c r="F558" s="831" t="s">
        <v>415</v>
      </c>
      <c r="G558" s="831" t="str">
        <f>VLOOKUP(H558,'Pob. Ext, Parroquial'!$B$9:$C$117,2,0)</f>
        <v>LOJA</v>
      </c>
      <c r="H558" s="831" t="s">
        <v>425</v>
      </c>
      <c r="I558" s="831" t="s">
        <v>270</v>
      </c>
      <c r="J558" s="831" t="s">
        <v>174</v>
      </c>
      <c r="K558" s="831">
        <v>4</v>
      </c>
      <c r="L558" s="537"/>
      <c r="M558" s="538">
        <f>IF(K558&gt;0,VLOOKUP(H558,'[5]Pob. Ext, Parroquial'!$B$8:$F$117,4,FALSE),0)</f>
        <v>2611</v>
      </c>
      <c r="N558" s="835" t="s">
        <v>442</v>
      </c>
      <c r="O558" s="836" t="s">
        <v>443</v>
      </c>
      <c r="P558" s="836">
        <v>0.6</v>
      </c>
      <c r="Q558" s="983">
        <f>44000+10000</f>
        <v>54000</v>
      </c>
      <c r="R558" s="948">
        <v>41640</v>
      </c>
      <c r="S558" s="948">
        <v>41759</v>
      </c>
      <c r="T558" s="686" t="str">
        <f t="shared" si="190"/>
        <v>EJECUTADO</v>
      </c>
      <c r="U558" s="838">
        <f t="shared" si="156"/>
        <v>32400</v>
      </c>
      <c r="V558" s="544"/>
      <c r="W558" s="544"/>
      <c r="X558" s="660">
        <f>SUM(U558:U564)</f>
        <v>505662.16</v>
      </c>
      <c r="Y558" s="640"/>
      <c r="Z558" s="545" t="s">
        <v>417</v>
      </c>
      <c r="AA558" s="545" t="s">
        <v>178</v>
      </c>
      <c r="AB558" s="546" t="s">
        <v>187</v>
      </c>
      <c r="AC558" s="547">
        <v>2014</v>
      </c>
      <c r="AD558" s="93"/>
      <c r="AE558" s="93"/>
    </row>
    <row r="559" spans="1:31" s="94" customFormat="1" ht="119.45" customHeight="1">
      <c r="A559" s="685"/>
      <c r="B559" s="1084"/>
      <c r="C559" s="927" t="s">
        <v>1493</v>
      </c>
      <c r="D559" s="931"/>
      <c r="E559" s="655" t="str">
        <f t="shared" ref="E559:E562" si="193">+E558</f>
        <v>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</v>
      </c>
      <c r="F559" s="831" t="s">
        <v>415</v>
      </c>
      <c r="G559" s="831" t="str">
        <f>VLOOKUP(H559,'Pob. Ext, Parroquial'!$B$9:$C$117,2,0)</f>
        <v>LOJA</v>
      </c>
      <c r="H559" s="831" t="s">
        <v>425</v>
      </c>
      <c r="I559" s="831" t="s">
        <v>270</v>
      </c>
      <c r="J559" s="831" t="s">
        <v>174</v>
      </c>
      <c r="K559" s="831"/>
      <c r="L559" s="537"/>
      <c r="M559" s="538">
        <f>IF(K559&gt;0,VLOOKUP(H559,'[5]Pob. Ext, Parroquial'!$B$8:$F$117,4,FALSE),0)</f>
        <v>0</v>
      </c>
      <c r="N559" s="835" t="s">
        <v>444</v>
      </c>
      <c r="O559" s="836" t="s">
        <v>176</v>
      </c>
      <c r="P559" s="836">
        <v>130.65</v>
      </c>
      <c r="Q559" s="863">
        <v>900.52</v>
      </c>
      <c r="R559" s="948">
        <v>41699</v>
      </c>
      <c r="S559" s="948">
        <v>41759</v>
      </c>
      <c r="T559" s="686" t="str">
        <f t="shared" si="190"/>
        <v>EJECUTADO</v>
      </c>
      <c r="U559" s="838">
        <f t="shared" si="156"/>
        <v>117652.94</v>
      </c>
      <c r="V559" s="544"/>
      <c r="W559" s="544"/>
      <c r="X559" s="662"/>
      <c r="Y559" s="640"/>
      <c r="Z559" s="545" t="s">
        <v>417</v>
      </c>
      <c r="AA559" s="545" t="s">
        <v>178</v>
      </c>
      <c r="AB559" s="546" t="s">
        <v>187</v>
      </c>
      <c r="AC559" s="547">
        <v>2014</v>
      </c>
      <c r="AD559" s="93"/>
      <c r="AE559" s="93"/>
    </row>
    <row r="560" spans="1:31" s="94" customFormat="1" ht="119.45" customHeight="1">
      <c r="A560" s="685"/>
      <c r="B560" s="1084"/>
      <c r="C560" s="927" t="s">
        <v>1493</v>
      </c>
      <c r="D560" s="931"/>
      <c r="E560" s="655" t="str">
        <f t="shared" si="193"/>
        <v>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</v>
      </c>
      <c r="F560" s="831" t="s">
        <v>415</v>
      </c>
      <c r="G560" s="831" t="str">
        <f>VLOOKUP(H560,'Pob. Ext, Parroquial'!$B$9:$C$117,2,0)</f>
        <v>LOJA</v>
      </c>
      <c r="H560" s="831" t="s">
        <v>425</v>
      </c>
      <c r="I560" s="831" t="s">
        <v>270</v>
      </c>
      <c r="J560" s="831" t="s">
        <v>174</v>
      </c>
      <c r="K560" s="831"/>
      <c r="L560" s="537"/>
      <c r="M560" s="538">
        <v>0</v>
      </c>
      <c r="N560" s="835" t="s">
        <v>445</v>
      </c>
      <c r="O560" s="836" t="s">
        <v>446</v>
      </c>
      <c r="P560" s="836">
        <v>0.49</v>
      </c>
      <c r="Q560" s="863">
        <v>11751</v>
      </c>
      <c r="R560" s="948">
        <v>41791</v>
      </c>
      <c r="S560" s="948">
        <v>41851</v>
      </c>
      <c r="T560" s="686" t="str">
        <f t="shared" si="190"/>
        <v>EJECUTADO</v>
      </c>
      <c r="U560" s="838">
        <f t="shared" si="156"/>
        <v>5757.99</v>
      </c>
      <c r="V560" s="544"/>
      <c r="W560" s="544"/>
      <c r="X560" s="662"/>
      <c r="Y560" s="640"/>
      <c r="Z560" s="545" t="s">
        <v>417</v>
      </c>
      <c r="AA560" s="545" t="s">
        <v>178</v>
      </c>
      <c r="AB560" s="546" t="s">
        <v>187</v>
      </c>
      <c r="AC560" s="547">
        <v>2014</v>
      </c>
      <c r="AD560" s="93"/>
      <c r="AE560" s="93"/>
    </row>
    <row r="561" spans="1:31" s="94" customFormat="1" ht="119.45" customHeight="1">
      <c r="A561" s="685"/>
      <c r="B561" s="1084"/>
      <c r="C561" s="927" t="s">
        <v>1493</v>
      </c>
      <c r="D561" s="931"/>
      <c r="E561" s="655" t="str">
        <f t="shared" si="193"/>
        <v>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</v>
      </c>
      <c r="F561" s="831" t="s">
        <v>415</v>
      </c>
      <c r="G561" s="831" t="str">
        <f>VLOOKUP(H561,'Pob. Ext, Parroquial'!$B$9:$C$117,2,0)</f>
        <v>LOJA</v>
      </c>
      <c r="H561" s="831" t="s">
        <v>425</v>
      </c>
      <c r="I561" s="831" t="s">
        <v>270</v>
      </c>
      <c r="J561" s="831" t="s">
        <v>174</v>
      </c>
      <c r="K561" s="831"/>
      <c r="L561" s="537"/>
      <c r="M561" s="538">
        <v>0</v>
      </c>
      <c r="N561" s="835" t="s">
        <v>447</v>
      </c>
      <c r="O561" s="836" t="s">
        <v>436</v>
      </c>
      <c r="P561" s="836">
        <v>8.33</v>
      </c>
      <c r="Q561" s="863">
        <v>450</v>
      </c>
      <c r="R561" s="948">
        <v>41791</v>
      </c>
      <c r="S561" s="948">
        <v>41851</v>
      </c>
      <c r="T561" s="686" t="str">
        <f t="shared" si="190"/>
        <v>EJECUTADO</v>
      </c>
      <c r="U561" s="838">
        <f t="shared" si="156"/>
        <v>3748.5</v>
      </c>
      <c r="V561" s="544"/>
      <c r="W561" s="544"/>
      <c r="X561" s="662"/>
      <c r="Y561" s="640"/>
      <c r="Z561" s="545" t="s">
        <v>417</v>
      </c>
      <c r="AA561" s="545" t="s">
        <v>178</v>
      </c>
      <c r="AB561" s="546" t="s">
        <v>187</v>
      </c>
      <c r="AC561" s="547">
        <v>2014</v>
      </c>
      <c r="AD561" s="93"/>
      <c r="AE561" s="93"/>
    </row>
    <row r="562" spans="1:31" s="94" customFormat="1" ht="119.45" customHeight="1">
      <c r="A562" s="685"/>
      <c r="B562" s="1084"/>
      <c r="C562" s="927" t="s">
        <v>1493</v>
      </c>
      <c r="D562" s="931"/>
      <c r="E562" s="655" t="str">
        <f t="shared" si="193"/>
        <v>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</v>
      </c>
      <c r="F562" s="831" t="s">
        <v>415</v>
      </c>
      <c r="G562" s="831" t="str">
        <f>VLOOKUP(H562,'Pob. Ext, Parroquial'!$B$9:$C$117,2,0)</f>
        <v>LOJA</v>
      </c>
      <c r="H562" s="831" t="s">
        <v>425</v>
      </c>
      <c r="I562" s="831" t="s">
        <v>270</v>
      </c>
      <c r="J562" s="831" t="s">
        <v>174</v>
      </c>
      <c r="K562" s="831"/>
      <c r="L562" s="537"/>
      <c r="M562" s="538">
        <v>0</v>
      </c>
      <c r="N562" s="835" t="s">
        <v>448</v>
      </c>
      <c r="O562" s="836" t="s">
        <v>436</v>
      </c>
      <c r="P562" s="836">
        <v>10</v>
      </c>
      <c r="Q562" s="863">
        <v>471</v>
      </c>
      <c r="R562" s="948">
        <v>41791</v>
      </c>
      <c r="S562" s="948">
        <v>41851</v>
      </c>
      <c r="T562" s="686" t="str">
        <f t="shared" si="190"/>
        <v>EJECUTADO</v>
      </c>
      <c r="U562" s="838">
        <f t="shared" si="156"/>
        <v>4710</v>
      </c>
      <c r="V562" s="544"/>
      <c r="W562" s="544"/>
      <c r="X562" s="662"/>
      <c r="Y562" s="640"/>
      <c r="Z562" s="545" t="s">
        <v>417</v>
      </c>
      <c r="AA562" s="545" t="s">
        <v>178</v>
      </c>
      <c r="AB562" s="546" t="s">
        <v>187</v>
      </c>
      <c r="AC562" s="547">
        <v>2014</v>
      </c>
      <c r="AD562" s="93"/>
      <c r="AE562" s="93"/>
    </row>
    <row r="563" spans="1:31" s="94" customFormat="1" ht="119.45" customHeight="1">
      <c r="A563" s="685"/>
      <c r="B563" s="1084"/>
      <c r="C563" s="927" t="s">
        <v>1493</v>
      </c>
      <c r="D563" s="931"/>
      <c r="E563" s="655" t="str">
        <f>+E561</f>
        <v>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</v>
      </c>
      <c r="F563" s="831" t="s">
        <v>415</v>
      </c>
      <c r="G563" s="831" t="str">
        <f>VLOOKUP(H563,'Pob. Ext, Parroquial'!$B$9:$C$117,2,0)</f>
        <v>LOJA</v>
      </c>
      <c r="H563" s="831" t="s">
        <v>425</v>
      </c>
      <c r="I563" s="831" t="s">
        <v>270</v>
      </c>
      <c r="J563" s="831" t="s">
        <v>174</v>
      </c>
      <c r="K563" s="831"/>
      <c r="L563" s="537"/>
      <c r="M563" s="538"/>
      <c r="N563" s="835" t="s">
        <v>1487</v>
      </c>
      <c r="O563" s="836" t="s">
        <v>532</v>
      </c>
      <c r="P563" s="836">
        <v>1</v>
      </c>
      <c r="Q563" s="838">
        <v>254902.72999999998</v>
      </c>
      <c r="R563" s="948">
        <v>41791</v>
      </c>
      <c r="S563" s="948">
        <v>41851</v>
      </c>
      <c r="T563" s="686" t="str">
        <f t="shared" si="190"/>
        <v>EJECUTADO</v>
      </c>
      <c r="U563" s="838">
        <v>254902.72999999998</v>
      </c>
      <c r="V563" s="544"/>
      <c r="W563" s="544"/>
      <c r="X563" s="662"/>
      <c r="Y563" s="640"/>
      <c r="Z563" s="545" t="s">
        <v>417</v>
      </c>
      <c r="AA563" s="545" t="s">
        <v>178</v>
      </c>
      <c r="AB563" s="546" t="s">
        <v>187</v>
      </c>
      <c r="AC563" s="547">
        <v>2014</v>
      </c>
      <c r="AD563" s="93"/>
      <c r="AE563" s="93"/>
    </row>
    <row r="564" spans="1:31" s="94" customFormat="1" ht="119.45" customHeight="1">
      <c r="A564" s="687"/>
      <c r="B564" s="1085"/>
      <c r="C564" s="927" t="s">
        <v>1493</v>
      </c>
      <c r="D564" s="932"/>
      <c r="E564" s="655" t="str">
        <f>+E562</f>
        <v>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</v>
      </c>
      <c r="F564" s="831" t="s">
        <v>415</v>
      </c>
      <c r="G564" s="831" t="str">
        <f>VLOOKUP(H564,'Pob. Ext, Parroquial'!$B$9:$C$117,2,0)</f>
        <v>LOJA</v>
      </c>
      <c r="H564" s="831" t="s">
        <v>425</v>
      </c>
      <c r="I564" s="831" t="s">
        <v>270</v>
      </c>
      <c r="J564" s="831" t="s">
        <v>174</v>
      </c>
      <c r="K564" s="831"/>
      <c r="L564" s="537">
        <f>ROUND(Q564/7200,2)</f>
        <v>4.3099999999999996</v>
      </c>
      <c r="M564" s="538">
        <f>IF(K564&gt;0,VLOOKUP(H564,'[5]Pob. Ext, Parroquial'!$B$8:$F$117,4,FALSE),0)</f>
        <v>0</v>
      </c>
      <c r="N564" s="835" t="s">
        <v>311</v>
      </c>
      <c r="O564" s="836" t="s">
        <v>224</v>
      </c>
      <c r="P564" s="836">
        <v>2.79</v>
      </c>
      <c r="Q564" s="983">
        <f>15000+10000+6000</f>
        <v>31000</v>
      </c>
      <c r="R564" s="948">
        <v>41640</v>
      </c>
      <c r="S564" s="948">
        <v>41759</v>
      </c>
      <c r="T564" s="686" t="str">
        <f t="shared" si="190"/>
        <v>EJECUTADO</v>
      </c>
      <c r="U564" s="838">
        <f t="shared" ref="U564:U629" si="194">ROUND(P564*Q564,2)</f>
        <v>86490</v>
      </c>
      <c r="V564" s="544"/>
      <c r="W564" s="544"/>
      <c r="X564" s="664"/>
      <c r="Y564" s="640"/>
      <c r="Z564" s="545" t="s">
        <v>417</v>
      </c>
      <c r="AA564" s="545" t="s">
        <v>178</v>
      </c>
      <c r="AB564" s="546" t="s">
        <v>187</v>
      </c>
      <c r="AC564" s="547">
        <v>2014</v>
      </c>
      <c r="AD564" s="93"/>
      <c r="AE564" s="93"/>
    </row>
    <row r="565" spans="1:31" s="94" customFormat="1" ht="119.45" customHeight="1">
      <c r="A565" s="910"/>
      <c r="B565" s="913"/>
      <c r="C565" s="985" t="s">
        <v>182</v>
      </c>
      <c r="D565" s="927" t="s">
        <v>449</v>
      </c>
      <c r="E565" s="636" t="str">
        <f t="shared" si="187"/>
        <v>MANTENIMIEMTO RUTINARIO VAL EN LOS CANTONES LOJA Y SARAGURO (CONTRATO SIE N° 822 SUSCRITO CON EL ING. MANUEL PICOITA), LONGITUD 200 KM; Resanteo de vía con motoniveladora en las vías de las parroquias Celén, Selva Alegre, Lluzhapa, Yuluc y Sumaipamba, cantón Saraguro</v>
      </c>
      <c r="F565" s="831" t="s">
        <v>415</v>
      </c>
      <c r="G565" s="831" t="str">
        <f>VLOOKUP(H565,'Pob. Ext, Parroquial'!$B$9:$C$117,2,0)</f>
        <v>SARAGURO</v>
      </c>
      <c r="H565" s="833" t="s">
        <v>450</v>
      </c>
      <c r="I565" s="831" t="s">
        <v>270</v>
      </c>
      <c r="J565" s="831" t="s">
        <v>451</v>
      </c>
      <c r="K565" s="831">
        <v>100</v>
      </c>
      <c r="L565" s="537">
        <f>ROUNDUP(Q565/5.5/1000,2)</f>
        <v>49.98</v>
      </c>
      <c r="M565" s="538">
        <f>IF(K565&gt;0,VLOOKUP(H565,'[5]Pob. Ext, Parroquial'!$B$8:$F$117,4,FALSE),0)</f>
        <v>1258</v>
      </c>
      <c r="N565" s="834" t="s">
        <v>185</v>
      </c>
      <c r="O565" s="836" t="s">
        <v>224</v>
      </c>
      <c r="P565" s="836">
        <v>6.8093799999999996E-2</v>
      </c>
      <c r="Q565" s="863">
        <v>274850</v>
      </c>
      <c r="R565" s="948">
        <v>41640</v>
      </c>
      <c r="S565" s="948">
        <v>41729</v>
      </c>
      <c r="T565" s="686" t="str">
        <f t="shared" si="190"/>
        <v>EJECUTADO</v>
      </c>
      <c r="U565" s="838">
        <f t="shared" si="194"/>
        <v>18715.580000000002</v>
      </c>
      <c r="V565" s="544"/>
      <c r="W565" s="544"/>
      <c r="X565" s="912">
        <f>U565+V565+W565</f>
        <v>18715.580000000002</v>
      </c>
      <c r="Y565" s="640"/>
      <c r="Z565" s="545" t="s">
        <v>417</v>
      </c>
      <c r="AA565" s="545" t="s">
        <v>178</v>
      </c>
      <c r="AB565" s="546" t="s">
        <v>179</v>
      </c>
      <c r="AC565" s="547">
        <v>2014</v>
      </c>
      <c r="AD565" s="93"/>
      <c r="AE565" s="93"/>
    </row>
    <row r="566" spans="1:31" s="94" customFormat="1" ht="119.45" customHeight="1">
      <c r="A566" s="683" t="s">
        <v>493</v>
      </c>
      <c r="B566" s="645" t="str">
        <f>+T567</f>
        <v>EJECUTADO</v>
      </c>
      <c r="C566" s="927" t="s">
        <v>1494</v>
      </c>
      <c r="D566" s="1117" t="s">
        <v>453</v>
      </c>
      <c r="E566" s="636" t="str">
        <f t="shared" si="187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566" s="831" t="s">
        <v>415</v>
      </c>
      <c r="G566" s="831" t="str">
        <f>VLOOKUP(H566,'Pob. Ext, Parroquial'!$B$9:$C$117,2,0)</f>
        <v>LOJA</v>
      </c>
      <c r="H566" s="864" t="s">
        <v>601</v>
      </c>
      <c r="I566" s="831" t="s">
        <v>270</v>
      </c>
      <c r="J566" s="831" t="s">
        <v>454</v>
      </c>
      <c r="K566" s="831"/>
      <c r="L566" s="537"/>
      <c r="M566" s="538">
        <f>IF(K566&gt;0,VLOOKUP(H566,'[5]Pob. Ext, Parroquial'!$B$8:$F$117,4,FALSE),0)</f>
        <v>0</v>
      </c>
      <c r="N566" s="834" t="s">
        <v>195</v>
      </c>
      <c r="O566" s="836" t="s">
        <v>176</v>
      </c>
      <c r="P566" s="836">
        <v>135.74</v>
      </c>
      <c r="Q566" s="863">
        <v>2094.2800000000002</v>
      </c>
      <c r="R566" s="948">
        <v>41699</v>
      </c>
      <c r="S566" s="948">
        <v>41851</v>
      </c>
      <c r="T566" s="686" t="str">
        <f t="shared" si="190"/>
        <v>EJECUTADO</v>
      </c>
      <c r="U566" s="838">
        <f t="shared" si="194"/>
        <v>284277.57</v>
      </c>
      <c r="V566" s="544"/>
      <c r="W566" s="544"/>
      <c r="X566" s="660">
        <f>SUM(U566:U587)</f>
        <v>809288.37999999989</v>
      </c>
      <c r="Y566" s="640"/>
      <c r="Z566" s="545" t="s">
        <v>455</v>
      </c>
      <c r="AA566" s="545" t="s">
        <v>178</v>
      </c>
      <c r="AB566" s="546" t="s">
        <v>179</v>
      </c>
      <c r="AC566" s="547">
        <v>2014</v>
      </c>
      <c r="AD566" s="93"/>
      <c r="AE566" s="93"/>
    </row>
    <row r="567" spans="1:31" s="94" customFormat="1" ht="119.45" customHeight="1">
      <c r="A567" s="685"/>
      <c r="B567" s="648"/>
      <c r="C567" s="927" t="s">
        <v>1494</v>
      </c>
      <c r="D567" s="1118"/>
      <c r="E567" s="655" t="str">
        <f t="shared" ref="E567:E587" si="195">+E566</f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567" s="831" t="s">
        <v>415</v>
      </c>
      <c r="G567" s="831" t="str">
        <f>VLOOKUP(H567,'Pob. Ext, Parroquial'!$B$9:$C$117,2,0)</f>
        <v>LOJA</v>
      </c>
      <c r="H567" s="864" t="s">
        <v>601</v>
      </c>
      <c r="I567" s="831" t="s">
        <v>270</v>
      </c>
      <c r="J567" s="831" t="s">
        <v>454</v>
      </c>
      <c r="K567" s="831"/>
      <c r="L567" s="537"/>
      <c r="M567" s="538">
        <f>IF(K567&gt;0,VLOOKUP(H567,'[5]Pob. Ext, Parroquial'!$B$8:$F$117,4,FALSE),0)</f>
        <v>0</v>
      </c>
      <c r="N567" s="834" t="s">
        <v>192</v>
      </c>
      <c r="O567" s="836" t="s">
        <v>176</v>
      </c>
      <c r="P567" s="836">
        <v>174.39</v>
      </c>
      <c r="Q567" s="863">
        <v>1916.28</v>
      </c>
      <c r="R567" s="948">
        <v>41699</v>
      </c>
      <c r="S567" s="948">
        <v>41851</v>
      </c>
      <c r="T567" s="686" t="str">
        <f t="shared" si="190"/>
        <v>EJECUTADO</v>
      </c>
      <c r="U567" s="838">
        <f t="shared" si="194"/>
        <v>334180.07</v>
      </c>
      <c r="V567" s="544"/>
      <c r="W567" s="544"/>
      <c r="X567" s="662"/>
      <c r="Y567" s="640"/>
      <c r="Z567" s="545" t="s">
        <v>455</v>
      </c>
      <c r="AA567" s="545" t="s">
        <v>178</v>
      </c>
      <c r="AB567" s="546" t="s">
        <v>179</v>
      </c>
      <c r="AC567" s="547">
        <v>2014</v>
      </c>
      <c r="AD567" s="93"/>
      <c r="AE567" s="93"/>
    </row>
    <row r="568" spans="1:31" s="94" customFormat="1" ht="119.45" customHeight="1">
      <c r="A568" s="685"/>
      <c r="B568" s="648"/>
      <c r="C568" s="927" t="s">
        <v>1494</v>
      </c>
      <c r="D568" s="1118"/>
      <c r="E568" s="655" t="str">
        <f t="shared" si="19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568" s="831" t="s">
        <v>415</v>
      </c>
      <c r="G568" s="831" t="str">
        <f>VLOOKUP(H568,'Pob. Ext, Parroquial'!$B$9:$C$117,2,0)</f>
        <v>LOJA</v>
      </c>
      <c r="H568" s="864" t="s">
        <v>601</v>
      </c>
      <c r="I568" s="831" t="s">
        <v>270</v>
      </c>
      <c r="J568" s="831" t="s">
        <v>454</v>
      </c>
      <c r="K568" s="831"/>
      <c r="L568" s="537"/>
      <c r="M568" s="538">
        <f>IF(K568&gt;0,VLOOKUP(H568,'[5]Pob. Ext, Parroquial'!$B$8:$F$117,4,FALSE),0)</f>
        <v>0</v>
      </c>
      <c r="N568" s="834" t="s">
        <v>523</v>
      </c>
      <c r="O568" s="836" t="s">
        <v>176</v>
      </c>
      <c r="P568" s="836">
        <v>9.5</v>
      </c>
      <c r="Q568" s="863">
        <v>7489.95</v>
      </c>
      <c r="R568" s="948">
        <v>41699</v>
      </c>
      <c r="S568" s="948">
        <v>41851</v>
      </c>
      <c r="T568" s="686" t="str">
        <f t="shared" si="190"/>
        <v>EJECUTADO</v>
      </c>
      <c r="U568" s="838">
        <f t="shared" si="194"/>
        <v>71154.53</v>
      </c>
      <c r="V568" s="544"/>
      <c r="W568" s="544"/>
      <c r="X568" s="662"/>
      <c r="Y568" s="640"/>
      <c r="Z568" s="545" t="s">
        <v>455</v>
      </c>
      <c r="AA568" s="545" t="s">
        <v>178</v>
      </c>
      <c r="AB568" s="546" t="s">
        <v>179</v>
      </c>
      <c r="AC568" s="547">
        <v>2014</v>
      </c>
      <c r="AD568" s="93"/>
      <c r="AE568" s="93"/>
    </row>
    <row r="569" spans="1:31" s="94" customFormat="1" ht="119.45" customHeight="1">
      <c r="A569" s="685"/>
      <c r="B569" s="648"/>
      <c r="C569" s="927" t="s">
        <v>1494</v>
      </c>
      <c r="D569" s="1118"/>
      <c r="E569" s="655" t="str">
        <f t="shared" si="19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569" s="831" t="s">
        <v>415</v>
      </c>
      <c r="G569" s="831" t="str">
        <f>VLOOKUP(H569,'Pob. Ext, Parroquial'!$B$9:$C$117,2,0)</f>
        <v>LOJA</v>
      </c>
      <c r="H569" s="864" t="s">
        <v>601</v>
      </c>
      <c r="I569" s="831" t="s">
        <v>270</v>
      </c>
      <c r="J569" s="831" t="s">
        <v>454</v>
      </c>
      <c r="K569" s="831"/>
      <c r="L569" s="537"/>
      <c r="M569" s="538">
        <f>IF(K569&gt;0,VLOOKUP(H569,'[5]Pob. Ext, Parroquial'!$B$8:$F$117,4,FALSE),0)</f>
        <v>0</v>
      </c>
      <c r="N569" s="933" t="s">
        <v>458</v>
      </c>
      <c r="O569" s="836" t="s">
        <v>176</v>
      </c>
      <c r="P569" s="836">
        <v>9.5</v>
      </c>
      <c r="Q569" s="983">
        <v>220.3</v>
      </c>
      <c r="R569" s="948">
        <v>41699</v>
      </c>
      <c r="S569" s="948">
        <v>41851</v>
      </c>
      <c r="T569" s="686" t="str">
        <f t="shared" si="190"/>
        <v>EJECUTADO</v>
      </c>
      <c r="U569" s="838">
        <f t="shared" si="194"/>
        <v>2092.85</v>
      </c>
      <c r="V569" s="544"/>
      <c r="W569" s="544"/>
      <c r="X569" s="662"/>
      <c r="Y569" s="640"/>
      <c r="Z569" s="545" t="s">
        <v>455</v>
      </c>
      <c r="AA569" s="545" t="s">
        <v>178</v>
      </c>
      <c r="AB569" s="546" t="s">
        <v>179</v>
      </c>
      <c r="AC569" s="547">
        <v>2014</v>
      </c>
      <c r="AD569" s="93"/>
      <c r="AE569" s="93"/>
    </row>
    <row r="570" spans="1:31" s="94" customFormat="1" ht="119.45" customHeight="1">
      <c r="A570" s="685"/>
      <c r="B570" s="648"/>
      <c r="C570" s="927" t="s">
        <v>1494</v>
      </c>
      <c r="D570" s="1118"/>
      <c r="E570" s="655" t="str">
        <f>+E569</f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570" s="831" t="s">
        <v>415</v>
      </c>
      <c r="G570" s="831" t="str">
        <f>VLOOKUP(H570,'Pob. Ext, Parroquial'!$B$9:$C$117,2,0)</f>
        <v>LOJA</v>
      </c>
      <c r="H570" s="864" t="s">
        <v>601</v>
      </c>
      <c r="I570" s="831" t="s">
        <v>270</v>
      </c>
      <c r="J570" s="831" t="s">
        <v>454</v>
      </c>
      <c r="K570" s="831"/>
      <c r="L570" s="537"/>
      <c r="M570" s="538">
        <f>IF(K570&gt;0,VLOOKUP(H570,'[5]Pob. Ext, Parroquial'!$B$8:$F$117,4,FALSE),0)</f>
        <v>0</v>
      </c>
      <c r="N570" s="933" t="s">
        <v>459</v>
      </c>
      <c r="O570" s="836" t="s">
        <v>176</v>
      </c>
      <c r="P570" s="836">
        <v>6.44</v>
      </c>
      <c r="Q570" s="863">
        <v>1549.04</v>
      </c>
      <c r="R570" s="948">
        <v>41730</v>
      </c>
      <c r="S570" s="948">
        <v>41790</v>
      </c>
      <c r="T570" s="686" t="str">
        <f t="shared" si="190"/>
        <v>EJECUTADO</v>
      </c>
      <c r="U570" s="838">
        <f t="shared" si="194"/>
        <v>9975.82</v>
      </c>
      <c r="V570" s="544"/>
      <c r="W570" s="544"/>
      <c r="X570" s="662"/>
      <c r="Y570" s="640"/>
      <c r="Z570" s="545" t="s">
        <v>455</v>
      </c>
      <c r="AA570" s="545" t="s">
        <v>178</v>
      </c>
      <c r="AB570" s="546" t="s">
        <v>179</v>
      </c>
      <c r="AC570" s="547">
        <v>2014</v>
      </c>
      <c r="AD570" s="93"/>
      <c r="AE570" s="93"/>
    </row>
    <row r="571" spans="1:31" s="94" customFormat="1" ht="119.45" customHeight="1">
      <c r="A571" s="685"/>
      <c r="B571" s="648"/>
      <c r="C571" s="927" t="s">
        <v>1494</v>
      </c>
      <c r="D571" s="1118"/>
      <c r="E571" s="655" t="str">
        <f>+E570</f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571" s="831" t="s">
        <v>415</v>
      </c>
      <c r="G571" s="831" t="str">
        <f>VLOOKUP(H571,'Pob. Ext, Parroquial'!$B$9:$C$117,2,0)</f>
        <v>LOJA</v>
      </c>
      <c r="H571" s="864" t="s">
        <v>601</v>
      </c>
      <c r="I571" s="831" t="s">
        <v>270</v>
      </c>
      <c r="J571" s="831" t="s">
        <v>454</v>
      </c>
      <c r="K571" s="831"/>
      <c r="L571" s="537"/>
      <c r="M571" s="538">
        <f>IF(K571&gt;0,VLOOKUP(H571,'[5]Pob. Ext, Parroquial'!$B$8:$F$117,4,FALSE),0)</f>
        <v>0</v>
      </c>
      <c r="N571" s="933" t="s">
        <v>460</v>
      </c>
      <c r="O571" s="836" t="s">
        <v>461</v>
      </c>
      <c r="P571" s="836">
        <v>0.3</v>
      </c>
      <c r="Q571" s="863">
        <v>40912.31</v>
      </c>
      <c r="R571" s="948">
        <v>41821</v>
      </c>
      <c r="S571" s="948">
        <v>41851</v>
      </c>
      <c r="T571" s="686" t="str">
        <f t="shared" si="190"/>
        <v>EJECUTADO</v>
      </c>
      <c r="U571" s="838">
        <f t="shared" si="194"/>
        <v>12273.69</v>
      </c>
      <c r="V571" s="544"/>
      <c r="W571" s="544"/>
      <c r="X571" s="662"/>
      <c r="Y571" s="640"/>
      <c r="Z571" s="545" t="s">
        <v>455</v>
      </c>
      <c r="AA571" s="545" t="s">
        <v>178</v>
      </c>
      <c r="AB571" s="546" t="s">
        <v>179</v>
      </c>
      <c r="AC571" s="547">
        <v>2014</v>
      </c>
      <c r="AD571" s="93"/>
      <c r="AE571" s="93"/>
    </row>
    <row r="572" spans="1:31" s="94" customFormat="1" ht="119.45" customHeight="1">
      <c r="A572" s="685"/>
      <c r="B572" s="648"/>
      <c r="C572" s="927" t="s">
        <v>1494</v>
      </c>
      <c r="D572" s="1118"/>
      <c r="E572" s="655" t="str">
        <f>+E571</f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572" s="831" t="s">
        <v>415</v>
      </c>
      <c r="G572" s="831" t="str">
        <f>VLOOKUP(H572,'Pob. Ext, Parroquial'!$B$9:$C$117,2,0)</f>
        <v>LOJA</v>
      </c>
      <c r="H572" s="864" t="s">
        <v>601</v>
      </c>
      <c r="I572" s="831" t="s">
        <v>270</v>
      </c>
      <c r="J572" s="831" t="s">
        <v>454</v>
      </c>
      <c r="K572" s="831"/>
      <c r="L572" s="537"/>
      <c r="M572" s="538">
        <f>IF(K572&gt;0,VLOOKUP(H572,'[5]Pob. Ext, Parroquial'!$B$8:$F$117,4,FALSE),0)</f>
        <v>0</v>
      </c>
      <c r="N572" s="933" t="s">
        <v>1052</v>
      </c>
      <c r="O572" s="836" t="s">
        <v>466</v>
      </c>
      <c r="P572" s="836">
        <v>913.74</v>
      </c>
      <c r="Q572" s="863">
        <v>2</v>
      </c>
      <c r="R572" s="948">
        <v>41883</v>
      </c>
      <c r="S572" s="948">
        <v>41912</v>
      </c>
      <c r="T572" s="686" t="str">
        <f t="shared" si="190"/>
        <v>EJECUTADO</v>
      </c>
      <c r="U572" s="838">
        <f t="shared" si="194"/>
        <v>1827.48</v>
      </c>
      <c r="V572" s="544"/>
      <c r="W572" s="544"/>
      <c r="X572" s="662"/>
      <c r="Y572" s="640"/>
      <c r="Z572" s="545" t="s">
        <v>455</v>
      </c>
      <c r="AA572" s="545" t="s">
        <v>178</v>
      </c>
      <c r="AB572" s="546" t="s">
        <v>179</v>
      </c>
      <c r="AC572" s="547">
        <v>2014</v>
      </c>
      <c r="AD572" s="93"/>
      <c r="AE572" s="93"/>
    </row>
    <row r="573" spans="1:31" s="94" customFormat="1" ht="119.45" customHeight="1">
      <c r="A573" s="685"/>
      <c r="B573" s="648"/>
      <c r="C573" s="927" t="s">
        <v>1494</v>
      </c>
      <c r="D573" s="1118"/>
      <c r="E573" s="655" t="str">
        <f>+E572</f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573" s="831" t="s">
        <v>415</v>
      </c>
      <c r="G573" s="831" t="str">
        <f>VLOOKUP(H573,'Pob. Ext, Parroquial'!$B$9:$C$117,2,0)</f>
        <v>LOJA</v>
      </c>
      <c r="H573" s="864" t="s">
        <v>601</v>
      </c>
      <c r="I573" s="831" t="s">
        <v>270</v>
      </c>
      <c r="J573" s="831" t="s">
        <v>454</v>
      </c>
      <c r="K573" s="831"/>
      <c r="L573" s="537"/>
      <c r="M573" s="538">
        <f>IF(K573&gt;0,VLOOKUP(H573,'[5]Pob. Ext, Parroquial'!$B$8:$F$117,4,FALSE),0)</f>
        <v>0</v>
      </c>
      <c r="N573" s="933" t="s">
        <v>804</v>
      </c>
      <c r="O573" s="836" t="s">
        <v>184</v>
      </c>
      <c r="P573" s="836">
        <v>0.53</v>
      </c>
      <c r="Q573" s="863">
        <v>37814.230000000003</v>
      </c>
      <c r="R573" s="948">
        <v>41883</v>
      </c>
      <c r="S573" s="948" t="s">
        <v>783</v>
      </c>
      <c r="T573" s="686" t="str">
        <f t="shared" si="190"/>
        <v>EN EJECUCION</v>
      </c>
      <c r="U573" s="838">
        <f t="shared" si="194"/>
        <v>20041.54</v>
      </c>
      <c r="V573" s="544"/>
      <c r="W573" s="544"/>
      <c r="X573" s="662"/>
      <c r="Y573" s="640"/>
      <c r="Z573" s="545" t="s">
        <v>455</v>
      </c>
      <c r="AA573" s="545" t="s">
        <v>178</v>
      </c>
      <c r="AB573" s="546" t="s">
        <v>179</v>
      </c>
      <c r="AC573" s="547"/>
      <c r="AD573" s="93"/>
      <c r="AE573" s="93"/>
    </row>
    <row r="574" spans="1:31" s="94" customFormat="1" ht="119.45" customHeight="1">
      <c r="A574" s="687"/>
      <c r="B574" s="646"/>
      <c r="C574" s="927" t="s">
        <v>1494</v>
      </c>
      <c r="D574" s="1118"/>
      <c r="E574" s="655" t="str">
        <f>+E575</f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574" s="831" t="s">
        <v>415</v>
      </c>
      <c r="G574" s="831" t="str">
        <f>VLOOKUP(H574,'Pob. Ext, Parroquial'!$B$9:$C$117,2,0)</f>
        <v>LOJA</v>
      </c>
      <c r="H574" s="864" t="s">
        <v>601</v>
      </c>
      <c r="I574" s="831" t="s">
        <v>270</v>
      </c>
      <c r="J574" s="831" t="s">
        <v>454</v>
      </c>
      <c r="K574" s="831"/>
      <c r="L574" s="537"/>
      <c r="M574" s="538">
        <f>IF(K574&gt;0,VLOOKUP(H574,'[5]Pob. Ext, Parroquial'!$B$8:$F$117,4,FALSE),0)</f>
        <v>0</v>
      </c>
      <c r="N574" s="933" t="s">
        <v>1083</v>
      </c>
      <c r="O574" s="836" t="s">
        <v>466</v>
      </c>
      <c r="P574" s="836">
        <v>176.44</v>
      </c>
      <c r="Q574" s="863">
        <v>204</v>
      </c>
      <c r="R574" s="948">
        <v>41730</v>
      </c>
      <c r="S574" s="948">
        <v>41759</v>
      </c>
      <c r="T574" s="686" t="str">
        <f>IF(S574&lt;$G$5,"EJECUTADO","EN EJECUCION")</f>
        <v>EJECUTADO</v>
      </c>
      <c r="U574" s="838">
        <f t="shared" si="194"/>
        <v>35993.760000000002</v>
      </c>
      <c r="V574" s="544"/>
      <c r="W574" s="544"/>
      <c r="X574" s="662"/>
      <c r="Y574" s="640"/>
      <c r="Z574" s="545" t="s">
        <v>455</v>
      </c>
      <c r="AA574" s="545" t="s">
        <v>178</v>
      </c>
      <c r="AB574" s="546" t="s">
        <v>179</v>
      </c>
      <c r="AC574" s="547">
        <v>2014</v>
      </c>
      <c r="AD574" s="93"/>
      <c r="AE574" s="93"/>
    </row>
    <row r="575" spans="1:31" s="94" customFormat="1" ht="119.45" customHeight="1">
      <c r="A575" s="685"/>
      <c r="B575" s="648"/>
      <c r="C575" s="927" t="s">
        <v>1494</v>
      </c>
      <c r="D575" s="1118"/>
      <c r="E575" s="655" t="str">
        <f>+E576</f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575" s="831" t="s">
        <v>415</v>
      </c>
      <c r="G575" s="831" t="str">
        <f>VLOOKUP(H575,'Pob. Ext, Parroquial'!$B$9:$C$117,2,0)</f>
        <v>LOJA</v>
      </c>
      <c r="H575" s="864" t="s">
        <v>601</v>
      </c>
      <c r="I575" s="831" t="s">
        <v>270</v>
      </c>
      <c r="J575" s="831" t="s">
        <v>454</v>
      </c>
      <c r="K575" s="831"/>
      <c r="L575" s="537"/>
      <c r="M575" s="538">
        <f>IF(K575&gt;0,VLOOKUP(H575,'[5]Pob. Ext, Parroquial'!$B$8:$F$117,4,FALSE),0)</f>
        <v>0</v>
      </c>
      <c r="N575" s="933" t="s">
        <v>463</v>
      </c>
      <c r="O575" s="836" t="s">
        <v>464</v>
      </c>
      <c r="P575" s="836">
        <v>2.19</v>
      </c>
      <c r="Q575" s="863">
        <v>1002.5</v>
      </c>
      <c r="R575" s="948">
        <v>41821</v>
      </c>
      <c r="S575" s="948">
        <v>41851</v>
      </c>
      <c r="T575" s="686" t="str">
        <f>IF(S575&lt;$G$5,"EJECUTADO","EN EJECUCION")</f>
        <v>EJECUTADO</v>
      </c>
      <c r="U575" s="838">
        <f t="shared" si="194"/>
        <v>2195.48</v>
      </c>
      <c r="V575" s="544"/>
      <c r="W575" s="544"/>
      <c r="X575" s="662"/>
      <c r="Y575" s="640"/>
      <c r="Z575" s="545" t="s">
        <v>455</v>
      </c>
      <c r="AA575" s="545" t="s">
        <v>178</v>
      </c>
      <c r="AB575" s="546" t="s">
        <v>179</v>
      </c>
      <c r="AC575" s="547">
        <v>2014</v>
      </c>
      <c r="AD575" s="93"/>
      <c r="AE575" s="93"/>
    </row>
    <row r="576" spans="1:31" s="94" customFormat="1" ht="119.45" customHeight="1">
      <c r="A576" s="685"/>
      <c r="B576" s="648"/>
      <c r="C576" s="927" t="s">
        <v>1494</v>
      </c>
      <c r="D576" s="1118"/>
      <c r="E576" s="655" t="str">
        <f>+E571</f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576" s="831" t="s">
        <v>415</v>
      </c>
      <c r="G576" s="831" t="str">
        <f>VLOOKUP(H576,'Pob. Ext, Parroquial'!$B$9:$C$117,2,0)</f>
        <v>LOJA</v>
      </c>
      <c r="H576" s="864" t="s">
        <v>601</v>
      </c>
      <c r="I576" s="831" t="s">
        <v>270</v>
      </c>
      <c r="J576" s="831" t="s">
        <v>454</v>
      </c>
      <c r="K576" s="831"/>
      <c r="L576" s="537"/>
      <c r="M576" s="538">
        <f>IF(K576&gt;0,VLOOKUP(H576,'[5]Pob. Ext, Parroquial'!$B$8:$F$117,4,FALSE),0)</f>
        <v>0</v>
      </c>
      <c r="N576" s="933" t="s">
        <v>462</v>
      </c>
      <c r="O576" s="836" t="s">
        <v>176</v>
      </c>
      <c r="P576" s="836">
        <v>194.99</v>
      </c>
      <c r="Q576" s="863">
        <v>24.47</v>
      </c>
      <c r="R576" s="948">
        <v>41821</v>
      </c>
      <c r="S576" s="948">
        <v>41851</v>
      </c>
      <c r="T576" s="686" t="str">
        <f>IF(S576&lt;$G$5,"EJECUTADO","EN EJECUCION")</f>
        <v>EJECUTADO</v>
      </c>
      <c r="U576" s="838">
        <f t="shared" si="194"/>
        <v>4771.41</v>
      </c>
      <c r="V576" s="544"/>
      <c r="W576" s="544"/>
      <c r="X576" s="662"/>
      <c r="Y576" s="640"/>
      <c r="Z576" s="545" t="s">
        <v>455</v>
      </c>
      <c r="AA576" s="545" t="s">
        <v>178</v>
      </c>
      <c r="AB576" s="546" t="s">
        <v>179</v>
      </c>
      <c r="AC576" s="547">
        <v>2014</v>
      </c>
      <c r="AD576" s="93"/>
      <c r="AE576" s="93"/>
    </row>
    <row r="577" spans="1:31" s="94" customFormat="1" ht="119.45" customHeight="1">
      <c r="A577" s="685"/>
      <c r="B577" s="648"/>
      <c r="C577" s="927" t="s">
        <v>1494</v>
      </c>
      <c r="D577" s="1118"/>
      <c r="E577" s="655" t="str">
        <f t="shared" si="19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577" s="831" t="s">
        <v>415</v>
      </c>
      <c r="G577" s="831" t="str">
        <f>VLOOKUP(H577,'Pob. Ext, Parroquial'!$B$9:$C$117,2,0)</f>
        <v>LOJA</v>
      </c>
      <c r="H577" s="864" t="s">
        <v>601</v>
      </c>
      <c r="I577" s="831" t="s">
        <v>270</v>
      </c>
      <c r="J577" s="831" t="s">
        <v>454</v>
      </c>
      <c r="K577" s="831"/>
      <c r="L577" s="537"/>
      <c r="M577" s="538">
        <f>IF(K577&gt;0,VLOOKUP(H577,'[5]Pob. Ext, Parroquial'!$B$8:$F$117,4,FALSE),0)</f>
        <v>0</v>
      </c>
      <c r="N577" s="933" t="s">
        <v>803</v>
      </c>
      <c r="O577" s="836" t="s">
        <v>184</v>
      </c>
      <c r="P577" s="836">
        <v>0.83</v>
      </c>
      <c r="Q577" s="863">
        <v>1122.57</v>
      </c>
      <c r="R577" s="948">
        <v>41821</v>
      </c>
      <c r="S577" s="948">
        <v>41851</v>
      </c>
      <c r="T577" s="686" t="str">
        <f t="shared" ref="T577:T587" si="196">IF(S577&lt;$G$5,"EJECUTADO","EN EJECUCION")</f>
        <v>EJECUTADO</v>
      </c>
      <c r="U577" s="838">
        <f t="shared" si="194"/>
        <v>931.73</v>
      </c>
      <c r="V577" s="544"/>
      <c r="W577" s="544"/>
      <c r="X577" s="662"/>
      <c r="Y577" s="640"/>
      <c r="Z577" s="545" t="s">
        <v>455</v>
      </c>
      <c r="AA577" s="545" t="s">
        <v>178</v>
      </c>
      <c r="AB577" s="546" t="s">
        <v>179</v>
      </c>
      <c r="AC577" s="547"/>
      <c r="AD577" s="93"/>
      <c r="AE577" s="93"/>
    </row>
    <row r="578" spans="1:31" s="94" customFormat="1" ht="119.45" customHeight="1">
      <c r="A578" s="685"/>
      <c r="B578" s="648"/>
      <c r="C578" s="927" t="s">
        <v>1494</v>
      </c>
      <c r="D578" s="1118"/>
      <c r="E578" s="655" t="str">
        <f>+E576</f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578" s="831" t="s">
        <v>415</v>
      </c>
      <c r="G578" s="831" t="str">
        <f>VLOOKUP(H578,'Pob. Ext, Parroquial'!$B$9:$C$117,2,0)</f>
        <v>LOJA</v>
      </c>
      <c r="H578" s="864" t="s">
        <v>601</v>
      </c>
      <c r="I578" s="831" t="s">
        <v>270</v>
      </c>
      <c r="J578" s="831" t="s">
        <v>454</v>
      </c>
      <c r="K578" s="831"/>
      <c r="L578" s="537"/>
      <c r="M578" s="538">
        <f>IF(K578&gt;0,VLOOKUP(H578,'[5]Pob. Ext, Parroquial'!$B$8:$F$117,4,FALSE),0)</f>
        <v>0</v>
      </c>
      <c r="N578" s="933" t="s">
        <v>1084</v>
      </c>
      <c r="O578" s="836" t="s">
        <v>224</v>
      </c>
      <c r="P578" s="836">
        <v>548.87</v>
      </c>
      <c r="Q578" s="863">
        <v>9.64</v>
      </c>
      <c r="R578" s="948">
        <v>41821</v>
      </c>
      <c r="S578" s="948">
        <v>41851</v>
      </c>
      <c r="T578" s="686" t="str">
        <f t="shared" si="196"/>
        <v>EJECUTADO</v>
      </c>
      <c r="U578" s="838">
        <f t="shared" si="194"/>
        <v>5291.11</v>
      </c>
      <c r="V578" s="544"/>
      <c r="W578" s="544"/>
      <c r="X578" s="662"/>
      <c r="Y578" s="640"/>
      <c r="Z578" s="545" t="s">
        <v>455</v>
      </c>
      <c r="AA578" s="545" t="s">
        <v>178</v>
      </c>
      <c r="AB578" s="546" t="s">
        <v>179</v>
      </c>
      <c r="AC578" s="547"/>
      <c r="AD578" s="93"/>
      <c r="AE578" s="93"/>
    </row>
    <row r="579" spans="1:31" s="94" customFormat="1" ht="119.45" customHeight="1">
      <c r="A579" s="685"/>
      <c r="B579" s="648"/>
      <c r="C579" s="927" t="s">
        <v>1494</v>
      </c>
      <c r="D579" s="1118"/>
      <c r="E579" s="655" t="str">
        <f t="shared" si="19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579" s="831" t="s">
        <v>415</v>
      </c>
      <c r="G579" s="831" t="str">
        <f>VLOOKUP(H579,'Pob. Ext, Parroquial'!$B$9:$C$117,2,0)</f>
        <v>LOJA</v>
      </c>
      <c r="H579" s="864" t="s">
        <v>601</v>
      </c>
      <c r="I579" s="831" t="s">
        <v>270</v>
      </c>
      <c r="J579" s="831" t="s">
        <v>454</v>
      </c>
      <c r="K579" s="831"/>
      <c r="L579" s="537"/>
      <c r="M579" s="538">
        <f>IF(K579&gt;0,VLOOKUP(H579,'[5]Pob. Ext, Parroquial'!$B$8:$F$117,4,FALSE),0)</f>
        <v>0</v>
      </c>
      <c r="N579" s="933" t="s">
        <v>806</v>
      </c>
      <c r="O579" s="836" t="s">
        <v>807</v>
      </c>
      <c r="P579" s="836">
        <v>903</v>
      </c>
      <c r="Q579" s="863">
        <v>4.8600000000000003</v>
      </c>
      <c r="R579" s="948">
        <v>41821</v>
      </c>
      <c r="S579" s="948">
        <v>41851</v>
      </c>
      <c r="T579" s="686" t="str">
        <f t="shared" si="196"/>
        <v>EJECUTADO</v>
      </c>
      <c r="U579" s="838">
        <f t="shared" si="194"/>
        <v>4388.58</v>
      </c>
      <c r="V579" s="544"/>
      <c r="W579" s="544"/>
      <c r="X579" s="662"/>
      <c r="Y579" s="640"/>
      <c r="Z579" s="545"/>
      <c r="AA579" s="545"/>
      <c r="AB579" s="546"/>
      <c r="AC579" s="547"/>
      <c r="AD579" s="93"/>
      <c r="AE579" s="93"/>
    </row>
    <row r="580" spans="1:31" s="94" customFormat="1" ht="119.45" customHeight="1">
      <c r="A580" s="685"/>
      <c r="B580" s="648"/>
      <c r="C580" s="927" t="s">
        <v>1494</v>
      </c>
      <c r="D580" s="1118"/>
      <c r="E580" s="655" t="str">
        <f t="shared" si="19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580" s="831" t="s">
        <v>415</v>
      </c>
      <c r="G580" s="831" t="str">
        <f>VLOOKUP(H580,'Pob. Ext, Parroquial'!$B$9:$C$117,2,0)</f>
        <v>LOJA</v>
      </c>
      <c r="H580" s="864" t="s">
        <v>601</v>
      </c>
      <c r="I580" s="831" t="s">
        <v>270</v>
      </c>
      <c r="J580" s="831" t="s">
        <v>454</v>
      </c>
      <c r="K580" s="831"/>
      <c r="L580" s="537"/>
      <c r="M580" s="538">
        <f>IF(K580&gt;0,VLOOKUP(H580,'[5]Pob. Ext, Parroquial'!$B$8:$F$117,4,FALSE),0)</f>
        <v>0</v>
      </c>
      <c r="N580" s="933" t="s">
        <v>463</v>
      </c>
      <c r="O580" s="836" t="s">
        <v>464</v>
      </c>
      <c r="P580" s="836">
        <v>2.23</v>
      </c>
      <c r="Q580" s="863">
        <v>3630.82</v>
      </c>
      <c r="R580" s="948">
        <v>41821</v>
      </c>
      <c r="S580" s="948">
        <v>41851</v>
      </c>
      <c r="T580" s="686" t="str">
        <f t="shared" si="196"/>
        <v>EJECUTADO</v>
      </c>
      <c r="U580" s="838">
        <f t="shared" si="194"/>
        <v>8096.73</v>
      </c>
      <c r="V580" s="544"/>
      <c r="W580" s="544"/>
      <c r="X580" s="662"/>
      <c r="Y580" s="640"/>
      <c r="Z580" s="545"/>
      <c r="AA580" s="545"/>
      <c r="AB580" s="546"/>
      <c r="AC580" s="547"/>
      <c r="AD580" s="93"/>
      <c r="AE580" s="93"/>
    </row>
    <row r="581" spans="1:31" s="94" customFormat="1" ht="50.1" customHeight="1">
      <c r="A581" s="685"/>
      <c r="B581" s="648"/>
      <c r="C581" s="927" t="s">
        <v>1494</v>
      </c>
      <c r="D581" s="1118"/>
      <c r="E581" s="655" t="str">
        <f>+E567</f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581" s="831" t="s">
        <v>415</v>
      </c>
      <c r="G581" s="831" t="str">
        <f>VLOOKUP(H581,'Pob. Ext, Parroquial'!$B$9:$C$117,2,0)</f>
        <v>LOJA</v>
      </c>
      <c r="H581" s="864" t="s">
        <v>601</v>
      </c>
      <c r="I581" s="831" t="s">
        <v>270</v>
      </c>
      <c r="J581" s="831" t="s">
        <v>454</v>
      </c>
      <c r="K581" s="831"/>
      <c r="L581" s="537"/>
      <c r="M581" s="538">
        <f>IF(K581&gt;0,VLOOKUP(H581,'[5]Pob. Ext, Parroquial'!$B$8:$F$117,4,FALSE),0)</f>
        <v>0</v>
      </c>
      <c r="N581" s="834" t="s">
        <v>808</v>
      </c>
      <c r="O581" s="836" t="s">
        <v>176</v>
      </c>
      <c r="P581" s="836">
        <v>1.62</v>
      </c>
      <c r="Q581" s="863">
        <v>133.94999999999999</v>
      </c>
      <c r="R581" s="948">
        <v>41699</v>
      </c>
      <c r="S581" s="948">
        <v>41851</v>
      </c>
      <c r="T581" s="686" t="str">
        <f t="shared" si="196"/>
        <v>EJECUTADO</v>
      </c>
      <c r="U581" s="838">
        <f t="shared" si="194"/>
        <v>217</v>
      </c>
      <c r="V581" s="544"/>
      <c r="W581" s="544"/>
      <c r="X581" s="662"/>
      <c r="Y581" s="640"/>
      <c r="Z581" s="545" t="s">
        <v>455</v>
      </c>
      <c r="AA581" s="545" t="s">
        <v>178</v>
      </c>
      <c r="AB581" s="546" t="s">
        <v>179</v>
      </c>
      <c r="AC581" s="547">
        <v>2014</v>
      </c>
      <c r="AD581" s="93"/>
      <c r="AE581" s="93"/>
    </row>
    <row r="582" spans="1:31" s="94" customFormat="1" ht="50.1" customHeight="1">
      <c r="A582" s="685"/>
      <c r="B582" s="648"/>
      <c r="C582" s="927" t="s">
        <v>1494</v>
      </c>
      <c r="D582" s="1118"/>
      <c r="E582" s="655" t="str">
        <f t="shared" si="19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582" s="831" t="s">
        <v>415</v>
      </c>
      <c r="G582" s="831" t="str">
        <f>VLOOKUP(H582,'Pob. Ext, Parroquial'!$B$9:$C$117,2,0)</f>
        <v>LOJA</v>
      </c>
      <c r="H582" s="864" t="s">
        <v>601</v>
      </c>
      <c r="I582" s="831" t="s">
        <v>270</v>
      </c>
      <c r="J582" s="831" t="s">
        <v>454</v>
      </c>
      <c r="K582" s="831"/>
      <c r="L582" s="537"/>
      <c r="M582" s="538">
        <f>IF(K582&gt;0,VLOOKUP(H582,'[5]Pob. Ext, Parroquial'!$B$8:$F$117,4,FALSE),0)</f>
        <v>0</v>
      </c>
      <c r="N582" s="834" t="s">
        <v>809</v>
      </c>
      <c r="O582" s="836" t="s">
        <v>176</v>
      </c>
      <c r="P582" s="836">
        <v>8.11</v>
      </c>
      <c r="Q582" s="863">
        <v>44</v>
      </c>
      <c r="R582" s="948">
        <v>41699</v>
      </c>
      <c r="S582" s="948">
        <v>41851</v>
      </c>
      <c r="T582" s="686" t="str">
        <f t="shared" si="196"/>
        <v>EJECUTADO</v>
      </c>
      <c r="U582" s="838">
        <f t="shared" si="194"/>
        <v>356.84</v>
      </c>
      <c r="V582" s="544"/>
      <c r="W582" s="544"/>
      <c r="X582" s="662"/>
      <c r="Y582" s="640"/>
      <c r="Z582" s="545" t="s">
        <v>455</v>
      </c>
      <c r="AA582" s="545" t="s">
        <v>178</v>
      </c>
      <c r="AB582" s="546" t="s">
        <v>179</v>
      </c>
      <c r="AC582" s="547"/>
      <c r="AD582" s="93"/>
      <c r="AE582" s="93"/>
    </row>
    <row r="583" spans="1:31" s="94" customFormat="1" ht="50.1" customHeight="1">
      <c r="A583" s="685"/>
      <c r="B583" s="648"/>
      <c r="C583" s="927" t="s">
        <v>1494</v>
      </c>
      <c r="D583" s="1118"/>
      <c r="E583" s="655" t="str">
        <f t="shared" si="19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583" s="831" t="s">
        <v>415</v>
      </c>
      <c r="G583" s="831" t="str">
        <f>VLOOKUP(H583,'Pob. Ext, Parroquial'!$B$9:$C$117,2,0)</f>
        <v>LOJA</v>
      </c>
      <c r="H583" s="864" t="s">
        <v>601</v>
      </c>
      <c r="I583" s="831" t="s">
        <v>270</v>
      </c>
      <c r="J583" s="831" t="s">
        <v>454</v>
      </c>
      <c r="K583" s="831"/>
      <c r="L583" s="537"/>
      <c r="M583" s="538">
        <f>IF(K583&gt;0,VLOOKUP(H583,'[5]Pob. Ext, Parroquial'!$B$8:$F$117,4,FALSE),0)</f>
        <v>0</v>
      </c>
      <c r="N583" s="834" t="s">
        <v>810</v>
      </c>
      <c r="O583" s="836" t="s">
        <v>176</v>
      </c>
      <c r="P583" s="836">
        <v>9.9600000000000009</v>
      </c>
      <c r="Q583" s="863">
        <v>238.61</v>
      </c>
      <c r="R583" s="948">
        <v>41699</v>
      </c>
      <c r="S583" s="948">
        <v>41851</v>
      </c>
      <c r="T583" s="686" t="str">
        <f t="shared" si="196"/>
        <v>EJECUTADO</v>
      </c>
      <c r="U583" s="838">
        <f t="shared" si="194"/>
        <v>2376.56</v>
      </c>
      <c r="V583" s="544"/>
      <c r="W583" s="544"/>
      <c r="X583" s="662"/>
      <c r="Y583" s="640"/>
      <c r="Z583" s="545" t="s">
        <v>455</v>
      </c>
      <c r="AA583" s="545" t="s">
        <v>178</v>
      </c>
      <c r="AB583" s="546" t="s">
        <v>179</v>
      </c>
      <c r="AC583" s="547"/>
      <c r="AD583" s="93"/>
      <c r="AE583" s="93"/>
    </row>
    <row r="584" spans="1:31" s="94" customFormat="1" ht="50.1" customHeight="1">
      <c r="A584" s="685"/>
      <c r="B584" s="648"/>
      <c r="C584" s="927" t="s">
        <v>1494</v>
      </c>
      <c r="D584" s="1118"/>
      <c r="E584" s="655" t="str">
        <f t="shared" si="19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584" s="831" t="s">
        <v>415</v>
      </c>
      <c r="G584" s="831" t="str">
        <f>VLOOKUP(H584,'Pob. Ext, Parroquial'!$B$9:$C$117,2,0)</f>
        <v>LOJA</v>
      </c>
      <c r="H584" s="864" t="s">
        <v>601</v>
      </c>
      <c r="I584" s="831" t="s">
        <v>270</v>
      </c>
      <c r="J584" s="831" t="s">
        <v>454</v>
      </c>
      <c r="K584" s="831"/>
      <c r="L584" s="537"/>
      <c r="M584" s="538">
        <f>IF(K584&gt;0,VLOOKUP(H584,'[5]Pob. Ext, Parroquial'!$B$8:$F$117,4,FALSE),0)</f>
        <v>0</v>
      </c>
      <c r="N584" s="834" t="s">
        <v>811</v>
      </c>
      <c r="O584" s="836" t="s">
        <v>176</v>
      </c>
      <c r="P584" s="836">
        <v>198.68</v>
      </c>
      <c r="Q584" s="863">
        <v>43.41</v>
      </c>
      <c r="R584" s="948">
        <v>41699</v>
      </c>
      <c r="S584" s="948">
        <v>41851</v>
      </c>
      <c r="T584" s="686" t="str">
        <f t="shared" si="196"/>
        <v>EJECUTADO</v>
      </c>
      <c r="U584" s="838">
        <f t="shared" si="194"/>
        <v>8624.7000000000007</v>
      </c>
      <c r="V584" s="544"/>
      <c r="W584" s="544"/>
      <c r="X584" s="662"/>
      <c r="Y584" s="640"/>
      <c r="Z584" s="545"/>
      <c r="AA584" s="545"/>
      <c r="AB584" s="546"/>
      <c r="AC584" s="547"/>
      <c r="AD584" s="93"/>
      <c r="AE584" s="93"/>
    </row>
    <row r="585" spans="1:31" s="94" customFormat="1" ht="50.1" customHeight="1">
      <c r="A585" s="685"/>
      <c r="B585" s="648"/>
      <c r="C585" s="927" t="s">
        <v>1494</v>
      </c>
      <c r="D585" s="1118"/>
      <c r="E585" s="655" t="str">
        <f t="shared" si="19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585" s="831" t="s">
        <v>415</v>
      </c>
      <c r="G585" s="831" t="str">
        <f>VLOOKUP(H585,'Pob. Ext, Parroquial'!$B$9:$C$117,2,0)</f>
        <v>LOJA</v>
      </c>
      <c r="H585" s="864" t="s">
        <v>601</v>
      </c>
      <c r="I585" s="831" t="s">
        <v>270</v>
      </c>
      <c r="J585" s="831" t="s">
        <v>454</v>
      </c>
      <c r="K585" s="831"/>
      <c r="L585" s="537"/>
      <c r="M585" s="538">
        <f>IF(K585&gt;0,VLOOKUP(H585,'[5]Pob. Ext, Parroquial'!$B$8:$F$117,4,FALSE),0)</f>
        <v>0</v>
      </c>
      <c r="N585" s="933" t="s">
        <v>1053</v>
      </c>
      <c r="O585" s="836" t="s">
        <v>446</v>
      </c>
      <c r="P585" s="836">
        <v>6.07</v>
      </c>
      <c r="Q585" s="863">
        <v>6</v>
      </c>
      <c r="R585" s="948">
        <v>41883</v>
      </c>
      <c r="S585" s="948" t="s">
        <v>783</v>
      </c>
      <c r="T585" s="686" t="str">
        <f t="shared" si="196"/>
        <v>EN EJECUCION</v>
      </c>
      <c r="U585" s="838">
        <f t="shared" si="194"/>
        <v>36.42</v>
      </c>
      <c r="V585" s="544"/>
      <c r="W585" s="544"/>
      <c r="X585" s="662"/>
      <c r="Y585" s="640"/>
      <c r="Z585" s="545" t="s">
        <v>455</v>
      </c>
      <c r="AA585" s="545" t="s">
        <v>178</v>
      </c>
      <c r="AB585" s="546" t="s">
        <v>179</v>
      </c>
      <c r="AC585" s="547"/>
      <c r="AD585" s="93"/>
      <c r="AE585" s="93"/>
    </row>
    <row r="586" spans="1:31" s="94" customFormat="1" ht="50.1" customHeight="1">
      <c r="A586" s="685"/>
      <c r="B586" s="648"/>
      <c r="C586" s="927" t="s">
        <v>1494</v>
      </c>
      <c r="D586" s="1118"/>
      <c r="E586" s="655" t="str">
        <f t="shared" si="19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586" s="831" t="s">
        <v>415</v>
      </c>
      <c r="G586" s="831" t="str">
        <f>VLOOKUP(H586,'Pob. Ext, Parroquial'!$B$9:$C$117,2,0)</f>
        <v>LOJA</v>
      </c>
      <c r="H586" s="864" t="s">
        <v>601</v>
      </c>
      <c r="I586" s="831" t="s">
        <v>270</v>
      </c>
      <c r="J586" s="831" t="s">
        <v>454</v>
      </c>
      <c r="K586" s="831"/>
      <c r="L586" s="537"/>
      <c r="M586" s="538">
        <f>IF(K586&gt;0,VLOOKUP(H586,'[5]Pob. Ext, Parroquial'!$B$8:$F$117,4,FALSE),0)</f>
        <v>0</v>
      </c>
      <c r="N586" s="933" t="s">
        <v>1054</v>
      </c>
      <c r="O586" s="836" t="s">
        <v>1055</v>
      </c>
      <c r="P586" s="836">
        <v>0.23</v>
      </c>
      <c r="Q586" s="863">
        <v>656.36</v>
      </c>
      <c r="R586" s="948">
        <v>41883</v>
      </c>
      <c r="S586" s="948" t="s">
        <v>783</v>
      </c>
      <c r="T586" s="686" t="str">
        <f t="shared" si="196"/>
        <v>EN EJECUCION</v>
      </c>
      <c r="U586" s="838">
        <f t="shared" si="194"/>
        <v>150.96</v>
      </c>
      <c r="V586" s="544"/>
      <c r="W586" s="544"/>
      <c r="X586" s="662"/>
      <c r="Y586" s="640"/>
      <c r="Z586" s="545" t="s">
        <v>455</v>
      </c>
      <c r="AA586" s="545" t="s">
        <v>178</v>
      </c>
      <c r="AB586" s="546" t="s">
        <v>179</v>
      </c>
      <c r="AC586" s="547"/>
      <c r="AD586" s="93"/>
      <c r="AE586" s="93"/>
    </row>
    <row r="587" spans="1:31" s="94" customFormat="1" ht="50.1" customHeight="1">
      <c r="A587" s="685"/>
      <c r="B587" s="648"/>
      <c r="C587" s="927" t="s">
        <v>1494</v>
      </c>
      <c r="D587" s="1120"/>
      <c r="E587" s="655" t="str">
        <f t="shared" si="19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587" s="831" t="s">
        <v>415</v>
      </c>
      <c r="G587" s="831" t="str">
        <f>VLOOKUP(H587,'Pob. Ext, Parroquial'!$B$9:$C$117,2,0)</f>
        <v>LOJA</v>
      </c>
      <c r="H587" s="864" t="s">
        <v>601</v>
      </c>
      <c r="I587" s="831" t="s">
        <v>270</v>
      </c>
      <c r="J587" s="831" t="s">
        <v>454</v>
      </c>
      <c r="K587" s="831"/>
      <c r="L587" s="537"/>
      <c r="M587" s="538">
        <f>IF(K587&gt;0,VLOOKUP(H587,'[5]Pob. Ext, Parroquial'!$B$8:$F$117,4,FALSE),0)</f>
        <v>0</v>
      </c>
      <c r="N587" s="933" t="s">
        <v>1056</v>
      </c>
      <c r="O587" s="836" t="s">
        <v>1055</v>
      </c>
      <c r="P587" s="836">
        <v>0.22</v>
      </c>
      <c r="Q587" s="863">
        <v>152.49</v>
      </c>
      <c r="R587" s="948">
        <v>41883</v>
      </c>
      <c r="S587" s="948" t="s">
        <v>783</v>
      </c>
      <c r="T587" s="686" t="str">
        <f t="shared" si="196"/>
        <v>EN EJECUCION</v>
      </c>
      <c r="U587" s="838">
        <f t="shared" si="194"/>
        <v>33.549999999999997</v>
      </c>
      <c r="V587" s="544"/>
      <c r="W587" s="544"/>
      <c r="X587" s="664"/>
      <c r="Y587" s="640"/>
      <c r="Z587" s="545" t="s">
        <v>455</v>
      </c>
      <c r="AA587" s="545" t="s">
        <v>178</v>
      </c>
      <c r="AB587" s="546" t="s">
        <v>179</v>
      </c>
      <c r="AC587" s="547"/>
      <c r="AD587" s="93"/>
      <c r="AE587" s="93"/>
    </row>
    <row r="588" spans="1:31" s="94" customFormat="1" ht="50.1" customHeight="1">
      <c r="A588" s="1068"/>
      <c r="B588" s="1076"/>
      <c r="C588" s="985" t="s">
        <v>182</v>
      </c>
      <c r="D588" s="1117" t="s">
        <v>467</v>
      </c>
      <c r="E588" s="636" t="str">
        <f t="shared" si="187"/>
        <v>MANTENIMIENTO DE LA VIA SELVA ALEGRE-LLUZHAPA-SUMAIPAMBA L= 40 km.</v>
      </c>
      <c r="F588" s="831" t="s">
        <v>415</v>
      </c>
      <c r="G588" s="831" t="str">
        <f>VLOOKUP(H588,'Pob. Ext, Parroquial'!$B$9:$C$117,2,0)</f>
        <v>SARAGURO</v>
      </c>
      <c r="H588" s="831" t="s">
        <v>468</v>
      </c>
      <c r="I588" s="831" t="s">
        <v>173</v>
      </c>
      <c r="J588" s="831" t="s">
        <v>174</v>
      </c>
      <c r="K588" s="831"/>
      <c r="L588" s="537"/>
      <c r="M588" s="538">
        <f>IF(K588&gt;0,VLOOKUP(H588,'[5]Pob. Ext, Parroquial'!$B$8:$F$117,4,FALSE),0)</f>
        <v>0</v>
      </c>
      <c r="N588" s="834" t="s">
        <v>469</v>
      </c>
      <c r="O588" s="836" t="s">
        <v>418</v>
      </c>
      <c r="P588" s="836">
        <v>1.46</v>
      </c>
      <c r="Q588" s="983">
        <v>9960</v>
      </c>
      <c r="R588" s="948">
        <v>41699</v>
      </c>
      <c r="S588" s="948">
        <v>41759</v>
      </c>
      <c r="T588" s="686" t="str">
        <f t="shared" si="190"/>
        <v>EJECUTADO</v>
      </c>
      <c r="U588" s="838">
        <f t="shared" si="194"/>
        <v>14541.6</v>
      </c>
      <c r="V588" s="544"/>
      <c r="W588" s="544"/>
      <c r="X588" s="660">
        <f>SUM(U588:U589)</f>
        <v>22509.599999999999</v>
      </c>
      <c r="Y588" s="640"/>
      <c r="Z588" s="545" t="s">
        <v>417</v>
      </c>
      <c r="AA588" s="545" t="s">
        <v>178</v>
      </c>
      <c r="AB588" s="546" t="s">
        <v>179</v>
      </c>
      <c r="AC588" s="547">
        <v>2014</v>
      </c>
      <c r="AD588" s="93"/>
      <c r="AE588" s="93"/>
    </row>
    <row r="589" spans="1:31" s="94" customFormat="1" ht="50.1" customHeight="1">
      <c r="A589" s="1068"/>
      <c r="B589" s="1076"/>
      <c r="C589" s="985" t="s">
        <v>182</v>
      </c>
      <c r="D589" s="1120"/>
      <c r="E589" s="655" t="str">
        <f t="shared" ref="E589" si="197">+E588</f>
        <v>MANTENIMIENTO DE LA VIA SELVA ALEGRE-LLUZHAPA-SUMAIPAMBA L= 40 km.</v>
      </c>
      <c r="F589" s="831" t="s">
        <v>415</v>
      </c>
      <c r="G589" s="831" t="str">
        <f>VLOOKUP(H589,'Pob. Ext, Parroquial'!$B$9:$C$117,2,0)</f>
        <v>SARAGURO</v>
      </c>
      <c r="H589" s="831" t="s">
        <v>468</v>
      </c>
      <c r="I589" s="831" t="s">
        <v>173</v>
      </c>
      <c r="J589" s="831" t="s">
        <v>174</v>
      </c>
      <c r="K589" s="831"/>
      <c r="L589" s="537"/>
      <c r="M589" s="538">
        <f>IF(K589&gt;0,VLOOKUP(H589,'[5]Pob. Ext, Parroquial'!$B$8:$F$117,4,FALSE),0)</f>
        <v>0</v>
      </c>
      <c r="N589" s="834" t="s">
        <v>470</v>
      </c>
      <c r="O589" s="836" t="s">
        <v>418</v>
      </c>
      <c r="P589" s="836">
        <v>9.9600000000000009</v>
      </c>
      <c r="Q589" s="983">
        <v>800</v>
      </c>
      <c r="R589" s="948">
        <v>41699</v>
      </c>
      <c r="S589" s="948">
        <v>41759</v>
      </c>
      <c r="T589" s="686" t="str">
        <f t="shared" si="190"/>
        <v>EJECUTADO</v>
      </c>
      <c r="U589" s="838">
        <f t="shared" si="194"/>
        <v>7968</v>
      </c>
      <c r="V589" s="544"/>
      <c r="W589" s="544"/>
      <c r="X589" s="664"/>
      <c r="Y589" s="640"/>
      <c r="Z589" s="545" t="s">
        <v>417</v>
      </c>
      <c r="AA589" s="545" t="s">
        <v>178</v>
      </c>
      <c r="AB589" s="546" t="s">
        <v>179</v>
      </c>
      <c r="AC589" s="547">
        <v>2014</v>
      </c>
      <c r="AD589" s="93"/>
      <c r="AE589" s="93"/>
    </row>
    <row r="590" spans="1:31" s="94" customFormat="1" ht="50.1" customHeight="1">
      <c r="A590" s="910"/>
      <c r="B590" s="913"/>
      <c r="C590" s="985" t="s">
        <v>182</v>
      </c>
      <c r="D590" s="927" t="s">
        <v>471</v>
      </c>
      <c r="E590" s="636" t="str">
        <f t="shared" si="187"/>
        <v>MANTENIMIENTO DE LA VIA EL CISNE - GUALEL - CHUQUIRIBAMBA  L=22 km.</v>
      </c>
      <c r="F590" s="831" t="s">
        <v>415</v>
      </c>
      <c r="G590" s="831" t="str">
        <f>VLOOKUP(H590,'Pob. Ext, Parroquial'!$B$9:$C$117,2,0)</f>
        <v>LOJA</v>
      </c>
      <c r="H590" s="831" t="s">
        <v>430</v>
      </c>
      <c r="I590" s="831" t="s">
        <v>173</v>
      </c>
      <c r="J590" s="831" t="s">
        <v>174</v>
      </c>
      <c r="K590" s="831"/>
      <c r="L590" s="537"/>
      <c r="M590" s="538">
        <f>IF(K590&gt;0,VLOOKUP(H590,'[5]Pob. Ext, Parroquial'!$B$8:$F$117,4,FALSE),0)</f>
        <v>0</v>
      </c>
      <c r="N590" s="834" t="s">
        <v>469</v>
      </c>
      <c r="O590" s="836" t="s">
        <v>418</v>
      </c>
      <c r="P590" s="836">
        <v>1.46</v>
      </c>
      <c r="Q590" s="983">
        <v>14400</v>
      </c>
      <c r="R590" s="948">
        <v>41699</v>
      </c>
      <c r="S590" s="948">
        <v>41729</v>
      </c>
      <c r="T590" s="686" t="str">
        <f t="shared" si="190"/>
        <v>EJECUTADO</v>
      </c>
      <c r="U590" s="838">
        <f t="shared" si="194"/>
        <v>21024</v>
      </c>
      <c r="V590" s="544"/>
      <c r="W590" s="544"/>
      <c r="X590" s="912">
        <f>U590+V590+W590</f>
        <v>21024</v>
      </c>
      <c r="Y590" s="640"/>
      <c r="Z590" s="545" t="s">
        <v>417</v>
      </c>
      <c r="AA590" s="545" t="s">
        <v>178</v>
      </c>
      <c r="AB590" s="546" t="s">
        <v>179</v>
      </c>
      <c r="AC590" s="547">
        <v>2014</v>
      </c>
      <c r="AD590" s="93"/>
      <c r="AE590" s="93"/>
    </row>
    <row r="591" spans="1:31" s="94" customFormat="1" ht="50.1" customHeight="1">
      <c r="A591" s="979"/>
      <c r="B591" s="980"/>
      <c r="C591" s="985" t="s">
        <v>182</v>
      </c>
      <c r="D591" s="982" t="s">
        <v>471</v>
      </c>
      <c r="E591" s="636" t="str">
        <f t="shared" ref="E591" si="198">+D591</f>
        <v>MANTENIMIENTO DE LA VIA EL CISNE - GUALEL - CHUQUIRIBAMBA  L=22 km.</v>
      </c>
      <c r="F591" s="831" t="s">
        <v>415</v>
      </c>
      <c r="G591" s="831" t="str">
        <f>VLOOKUP(H591,'Pob. Ext, Parroquial'!$B$9:$C$117,2,0)</f>
        <v>LOJA</v>
      </c>
      <c r="H591" s="831" t="s">
        <v>430</v>
      </c>
      <c r="I591" s="831" t="s">
        <v>173</v>
      </c>
      <c r="J591" s="831" t="s">
        <v>174</v>
      </c>
      <c r="K591" s="831"/>
      <c r="L591" s="537"/>
      <c r="M591" s="538">
        <f>IF(K591&gt;0,VLOOKUP(H591,'[5]Pob. Ext, Parroquial'!$B$8:$F$117,4,FALSE),0)</f>
        <v>0</v>
      </c>
      <c r="N591" s="834" t="s">
        <v>1539</v>
      </c>
      <c r="O591" s="836" t="s">
        <v>224</v>
      </c>
      <c r="P591" s="836">
        <v>0.08</v>
      </c>
      <c r="Q591" s="983">
        <v>85000</v>
      </c>
      <c r="R591" s="948">
        <v>41974</v>
      </c>
      <c r="S591" s="948">
        <v>41997</v>
      </c>
      <c r="T591" s="686" t="str">
        <f t="shared" ref="T591" si="199">IF(S591&lt;$G$5,"EJECUTADO","EN EJECUCION")</f>
        <v>EN EJECUCION</v>
      </c>
      <c r="U591" s="838">
        <f t="shared" ref="U591" si="200">ROUND(P591*Q591,2)</f>
        <v>6800</v>
      </c>
      <c r="V591" s="544"/>
      <c r="W591" s="544"/>
      <c r="X591" s="978">
        <f>U591+V591+W591</f>
        <v>6800</v>
      </c>
      <c r="Y591" s="640"/>
      <c r="Z591" s="545" t="s">
        <v>417</v>
      </c>
      <c r="AA591" s="545" t="s">
        <v>178</v>
      </c>
      <c r="AB591" s="546" t="s">
        <v>179</v>
      </c>
      <c r="AC591" s="547">
        <v>2014</v>
      </c>
      <c r="AD591" s="93"/>
      <c r="AE591" s="93"/>
    </row>
    <row r="592" spans="1:31" s="94" customFormat="1" ht="50.1" customHeight="1">
      <c r="A592" s="683"/>
      <c r="B592" s="645"/>
      <c r="C592" s="985" t="s">
        <v>182</v>
      </c>
      <c r="D592" s="1117" t="s">
        <v>472</v>
      </c>
      <c r="E592" s="636" t="str">
        <f t="shared" si="187"/>
        <v>MANTENIMIENTO DE LA VÍA EL CISNE - AMBOCAS L=24 km.</v>
      </c>
      <c r="F592" s="831" t="s">
        <v>415</v>
      </c>
      <c r="G592" s="831" t="str">
        <f>VLOOKUP(H592,'Pob. Ext, Parroquial'!$B$9:$C$117,2,0)</f>
        <v>LOJA</v>
      </c>
      <c r="H592" s="831" t="s">
        <v>430</v>
      </c>
      <c r="I592" s="831" t="s">
        <v>173</v>
      </c>
      <c r="J592" s="831" t="s">
        <v>174</v>
      </c>
      <c r="K592" s="831"/>
      <c r="L592" s="537"/>
      <c r="M592" s="538">
        <f>IF(K592&gt;0,VLOOKUP(H592,'[5]Pob. Ext, Parroquial'!$B$8:$F$117,4,FALSE),0)</f>
        <v>0</v>
      </c>
      <c r="N592" s="834" t="s">
        <v>469</v>
      </c>
      <c r="O592" s="836" t="s">
        <v>418</v>
      </c>
      <c r="P592" s="836">
        <v>1.46</v>
      </c>
      <c r="Q592" s="983">
        <v>5000</v>
      </c>
      <c r="R592" s="948">
        <v>41699</v>
      </c>
      <c r="S592" s="948">
        <v>41759</v>
      </c>
      <c r="T592" s="686" t="str">
        <f t="shared" si="190"/>
        <v>EJECUTADO</v>
      </c>
      <c r="U592" s="838">
        <f t="shared" si="194"/>
        <v>7300</v>
      </c>
      <c r="V592" s="544"/>
      <c r="W592" s="544"/>
      <c r="X592" s="934">
        <f>SUM(U592:U593)</f>
        <v>11679.4</v>
      </c>
      <c r="Y592" s="640"/>
      <c r="Z592" s="545" t="s">
        <v>417</v>
      </c>
      <c r="AA592" s="545" t="s">
        <v>178</v>
      </c>
      <c r="AB592" s="546" t="s">
        <v>179</v>
      </c>
      <c r="AC592" s="547">
        <v>2014</v>
      </c>
      <c r="AD592" s="93"/>
      <c r="AE592" s="93"/>
    </row>
    <row r="593" spans="1:31" s="94" customFormat="1" ht="50.1" customHeight="1">
      <c r="A593" s="685"/>
      <c r="B593" s="648"/>
      <c r="C593" s="985" t="s">
        <v>182</v>
      </c>
      <c r="D593" s="1118"/>
      <c r="E593" s="655" t="str">
        <f t="shared" ref="E593:E623" si="201">+E592</f>
        <v>MANTENIMIENTO DE LA VÍA EL CISNE - AMBOCAS L=24 km.</v>
      </c>
      <c r="F593" s="831" t="s">
        <v>415</v>
      </c>
      <c r="G593" s="831" t="str">
        <f>VLOOKUP(H593,'Pob. Ext, Parroquial'!$B$9:$C$117,2,0)</f>
        <v>LOJA</v>
      </c>
      <c r="H593" s="831" t="s">
        <v>430</v>
      </c>
      <c r="I593" s="831" t="s">
        <v>173</v>
      </c>
      <c r="J593" s="831" t="s">
        <v>174</v>
      </c>
      <c r="K593" s="831"/>
      <c r="L593" s="537"/>
      <c r="M593" s="538">
        <f>IF(K593&gt;0,VLOOKUP(H593,'[5]Pob. Ext, Parroquial'!$B$8:$F$117,4,FALSE),0)</f>
        <v>0</v>
      </c>
      <c r="N593" s="834" t="s">
        <v>473</v>
      </c>
      <c r="O593" s="836" t="s">
        <v>418</v>
      </c>
      <c r="P593" s="836">
        <v>8.11</v>
      </c>
      <c r="Q593" s="983">
        <v>540</v>
      </c>
      <c r="R593" s="948">
        <v>41730</v>
      </c>
      <c r="S593" s="948">
        <v>41759</v>
      </c>
      <c r="T593" s="686" t="str">
        <f t="shared" si="190"/>
        <v>EJECUTADO</v>
      </c>
      <c r="U593" s="838">
        <f t="shared" si="194"/>
        <v>4379.3999999999996</v>
      </c>
      <c r="V593" s="544"/>
      <c r="W593" s="544"/>
      <c r="X593" s="935"/>
      <c r="Y593" s="640"/>
      <c r="Z593" s="545" t="s">
        <v>417</v>
      </c>
      <c r="AA593" s="545" t="s">
        <v>178</v>
      </c>
      <c r="AB593" s="546" t="s">
        <v>179</v>
      </c>
      <c r="AC593" s="547">
        <v>2014</v>
      </c>
      <c r="AD593" s="93"/>
      <c r="AE593" s="93"/>
    </row>
    <row r="594" spans="1:31" s="94" customFormat="1" ht="50.1" customHeight="1">
      <c r="A594" s="979"/>
      <c r="B594" s="980"/>
      <c r="C594" s="985" t="s">
        <v>182</v>
      </c>
      <c r="D594" s="982" t="s">
        <v>1540</v>
      </c>
      <c r="E594" s="636" t="str">
        <f>+D594</f>
        <v>MANTENIMIENTPO DE LA VIA SAN PEDRO DE VILCABAMBA - SACAPO L=3,00 KM</v>
      </c>
      <c r="F594" s="831" t="s">
        <v>415</v>
      </c>
      <c r="G594" s="831" t="str">
        <f>VLOOKUP(H594,'Pob. Ext, Parroquial'!$B$9:$C$117,2,0)</f>
        <v>LOJA</v>
      </c>
      <c r="H594" s="831" t="s">
        <v>430</v>
      </c>
      <c r="I594" s="831" t="s">
        <v>173</v>
      </c>
      <c r="J594" s="831" t="s">
        <v>174</v>
      </c>
      <c r="K594" s="831">
        <v>3</v>
      </c>
      <c r="L594" s="537"/>
      <c r="M594" s="538">
        <f>IF(K594&gt;0,VLOOKUP(H594,'[5]Pob. Ext, Parroquial'!$B$8:$F$117,4,FALSE),0)</f>
        <v>20662</v>
      </c>
      <c r="N594" s="834" t="s">
        <v>469</v>
      </c>
      <c r="O594" s="836" t="s">
        <v>418</v>
      </c>
      <c r="P594" s="836">
        <v>1.03</v>
      </c>
      <c r="Q594" s="983">
        <v>864</v>
      </c>
      <c r="R594" s="948">
        <v>41974</v>
      </c>
      <c r="S594" s="948">
        <v>41997</v>
      </c>
      <c r="T594" s="686" t="str">
        <f t="shared" si="190"/>
        <v>EN EJECUCION</v>
      </c>
      <c r="U594" s="838">
        <f t="shared" si="194"/>
        <v>889.92</v>
      </c>
      <c r="V594" s="544"/>
      <c r="W594" s="544"/>
      <c r="X594" s="978">
        <f>U594+V594+W594</f>
        <v>889.92</v>
      </c>
      <c r="Y594" s="640"/>
      <c r="Z594" s="545" t="s">
        <v>417</v>
      </c>
      <c r="AA594" s="545" t="s">
        <v>178</v>
      </c>
      <c r="AB594" s="546" t="s">
        <v>179</v>
      </c>
      <c r="AC594" s="547">
        <v>2014</v>
      </c>
      <c r="AD594" s="93"/>
      <c r="AE594" s="93"/>
    </row>
    <row r="595" spans="1:31" s="94" customFormat="1" ht="50.1" customHeight="1">
      <c r="A595" s="683"/>
      <c r="B595" s="645"/>
      <c r="C595" s="985" t="s">
        <v>182</v>
      </c>
      <c r="D595" s="1117" t="s">
        <v>475</v>
      </c>
      <c r="E595" s="636" t="str">
        <f>+D595</f>
        <v xml:space="preserve">MANTENIMIENTO DE VIAS DE PARROQUIA MALACATOS SAN FRANCISCO BAJO - SAN FRANCISCOALTO-BELEN </v>
      </c>
      <c r="F595" s="831" t="s">
        <v>415</v>
      </c>
      <c r="G595" s="831" t="str">
        <f>VLOOKUP(H595,'Pob. Ext, Parroquial'!$B$9:$C$117,2,0)</f>
        <v>LOJA</v>
      </c>
      <c r="H595" s="831" t="s">
        <v>430</v>
      </c>
      <c r="I595" s="831" t="s">
        <v>173</v>
      </c>
      <c r="J595" s="831" t="s">
        <v>174</v>
      </c>
      <c r="K595" s="831">
        <v>5.8</v>
      </c>
      <c r="L595" s="537">
        <f>ROUNDUP(Q595/5.5/1000,2)</f>
        <v>9.6</v>
      </c>
      <c r="M595" s="538">
        <f>IF(K595&gt;0,VLOOKUP(H595,'[5]Pob. Ext, Parroquial'!$B$8:$F$117,4,FALSE),0)</f>
        <v>20662</v>
      </c>
      <c r="N595" s="834" t="s">
        <v>282</v>
      </c>
      <c r="O595" s="836" t="s">
        <v>224</v>
      </c>
      <c r="P595" s="836">
        <v>0.35</v>
      </c>
      <c r="Q595" s="983">
        <v>52800</v>
      </c>
      <c r="R595" s="948">
        <v>41699</v>
      </c>
      <c r="S595" s="948">
        <v>41759</v>
      </c>
      <c r="T595" s="686" t="str">
        <f t="shared" si="190"/>
        <v>EJECUTADO</v>
      </c>
      <c r="U595" s="838">
        <f t="shared" si="194"/>
        <v>18480</v>
      </c>
      <c r="V595" s="544"/>
      <c r="W595" s="544"/>
      <c r="X595" s="660">
        <f>SUM(U595:U598)</f>
        <v>49678.079999999994</v>
      </c>
      <c r="Y595" s="640"/>
      <c r="Z595" s="545" t="s">
        <v>417</v>
      </c>
      <c r="AA595" s="545" t="s">
        <v>178</v>
      </c>
      <c r="AB595" s="546" t="s">
        <v>179</v>
      </c>
      <c r="AC595" s="547">
        <v>2014</v>
      </c>
      <c r="AD595" s="93"/>
      <c r="AE595" s="93"/>
    </row>
    <row r="596" spans="1:31" s="94" customFormat="1" ht="50.1" customHeight="1">
      <c r="A596" s="685"/>
      <c r="B596" s="648"/>
      <c r="C596" s="985" t="s">
        <v>182</v>
      </c>
      <c r="D596" s="1118"/>
      <c r="E596" s="655" t="str">
        <f t="shared" ref="E596:E598" si="202">+E595</f>
        <v xml:space="preserve">MANTENIMIENTO DE VIAS DE PARROQUIA MALACATOS SAN FRANCISCO BAJO - SAN FRANCISCOALTO-BELEN </v>
      </c>
      <c r="F596" s="831" t="s">
        <v>415</v>
      </c>
      <c r="G596" s="831" t="str">
        <f>VLOOKUP(H596,'Pob. Ext, Parroquial'!$B$9:$C$117,2,0)</f>
        <v>LOJA</v>
      </c>
      <c r="H596" s="831" t="s">
        <v>430</v>
      </c>
      <c r="I596" s="831" t="s">
        <v>173</v>
      </c>
      <c r="J596" s="831" t="s">
        <v>174</v>
      </c>
      <c r="K596" s="831"/>
      <c r="L596" s="537">
        <f>+ROUND(Q596/5500/0.2,2)</f>
        <v>3.27</v>
      </c>
      <c r="M596" s="538">
        <f>IF(K596&gt;0,VLOOKUP(H596,'[5]Pob. Ext, Parroquial'!$B$8:$F$117,4,FALSE),0)</f>
        <v>0</v>
      </c>
      <c r="N596" s="834" t="s">
        <v>229</v>
      </c>
      <c r="O596" s="836" t="s">
        <v>418</v>
      </c>
      <c r="P596" s="836">
        <v>5.92</v>
      </c>
      <c r="Q596" s="983">
        <v>3600</v>
      </c>
      <c r="R596" s="948">
        <v>41699</v>
      </c>
      <c r="S596" s="948">
        <v>41759</v>
      </c>
      <c r="T596" s="686" t="str">
        <f t="shared" si="190"/>
        <v>EJECUTADO</v>
      </c>
      <c r="U596" s="838">
        <f t="shared" si="194"/>
        <v>21312</v>
      </c>
      <c r="V596" s="544"/>
      <c r="W596" s="544"/>
      <c r="X596" s="662"/>
      <c r="Y596" s="640"/>
      <c r="Z596" s="545" t="s">
        <v>417</v>
      </c>
      <c r="AA596" s="545" t="s">
        <v>178</v>
      </c>
      <c r="AB596" s="546" t="s">
        <v>179</v>
      </c>
      <c r="AC596" s="547">
        <v>2014</v>
      </c>
      <c r="AD596" s="93"/>
      <c r="AE596" s="93"/>
    </row>
    <row r="597" spans="1:31" s="94" customFormat="1" ht="50.1" customHeight="1">
      <c r="A597" s="685"/>
      <c r="B597" s="648"/>
      <c r="C597" s="985" t="s">
        <v>182</v>
      </c>
      <c r="D597" s="1118"/>
      <c r="E597" s="655" t="str">
        <f t="shared" si="202"/>
        <v xml:space="preserve">MANTENIMIENTO DE VIAS DE PARROQUIA MALACATOS SAN FRANCISCO BAJO - SAN FRANCISCOALTO-BELEN </v>
      </c>
      <c r="F597" s="831" t="s">
        <v>415</v>
      </c>
      <c r="G597" s="831" t="str">
        <f>VLOOKUP(H597,'Pob. Ext, Parroquial'!$B$9:$C$117,2,0)</f>
        <v>LOJA</v>
      </c>
      <c r="H597" s="831" t="s">
        <v>430</v>
      </c>
      <c r="I597" s="831" t="s">
        <v>173</v>
      </c>
      <c r="J597" s="831" t="s">
        <v>174</v>
      </c>
      <c r="K597" s="831"/>
      <c r="L597" s="537"/>
      <c r="M597" s="538">
        <f>IF(K597&gt;0,VLOOKUP(H597,'[5]Pob. Ext, Parroquial'!$B$8:$F$117,4,FALSE),0)</f>
        <v>0</v>
      </c>
      <c r="N597" s="834" t="s">
        <v>470</v>
      </c>
      <c r="O597" s="836" t="s">
        <v>418</v>
      </c>
      <c r="P597" s="836">
        <v>9.9600000000000009</v>
      </c>
      <c r="Q597" s="983">
        <v>588</v>
      </c>
      <c r="R597" s="948">
        <v>41699</v>
      </c>
      <c r="S597" s="948">
        <v>41729</v>
      </c>
      <c r="T597" s="686" t="str">
        <f t="shared" si="190"/>
        <v>EJECUTADO</v>
      </c>
      <c r="U597" s="838">
        <f t="shared" si="194"/>
        <v>5856.48</v>
      </c>
      <c r="V597" s="544"/>
      <c r="W597" s="544"/>
      <c r="X597" s="662"/>
      <c r="Y597" s="640"/>
      <c r="Z597" s="545" t="s">
        <v>417</v>
      </c>
      <c r="AA597" s="545" t="s">
        <v>178</v>
      </c>
      <c r="AB597" s="546" t="s">
        <v>179</v>
      </c>
      <c r="AC597" s="547">
        <v>2014</v>
      </c>
      <c r="AD597" s="93"/>
      <c r="AE597" s="93"/>
    </row>
    <row r="598" spans="1:31" s="94" customFormat="1" ht="50.1" customHeight="1">
      <c r="A598" s="687"/>
      <c r="B598" s="646"/>
      <c r="C598" s="985" t="s">
        <v>182</v>
      </c>
      <c r="D598" s="1120"/>
      <c r="E598" s="655" t="str">
        <f t="shared" si="202"/>
        <v xml:space="preserve">MANTENIMIENTO DE VIAS DE PARROQUIA MALACATOS SAN FRANCISCO BAJO - SAN FRANCISCOALTO-BELEN </v>
      </c>
      <c r="F598" s="831" t="s">
        <v>415</v>
      </c>
      <c r="G598" s="831" t="str">
        <f>VLOOKUP(H598,'Pob. Ext, Parroquial'!$B$9:$C$117,2,0)</f>
        <v>LOJA</v>
      </c>
      <c r="H598" s="831" t="s">
        <v>430</v>
      </c>
      <c r="I598" s="831" t="s">
        <v>173</v>
      </c>
      <c r="J598" s="831" t="s">
        <v>174</v>
      </c>
      <c r="K598" s="831"/>
      <c r="L598" s="537"/>
      <c r="M598" s="538">
        <f>IF(K598&gt;0,VLOOKUP(H598,'[5]Pob. Ext, Parroquial'!$B$8:$F$117,4,FALSE),0)</f>
        <v>0</v>
      </c>
      <c r="N598" s="834" t="s">
        <v>439</v>
      </c>
      <c r="O598" s="836" t="s">
        <v>420</v>
      </c>
      <c r="P598" s="836">
        <v>0.3</v>
      </c>
      <c r="Q598" s="983">
        <v>13432</v>
      </c>
      <c r="R598" s="948">
        <v>41699</v>
      </c>
      <c r="S598" s="948">
        <v>41759</v>
      </c>
      <c r="T598" s="686" t="str">
        <f t="shared" si="190"/>
        <v>EJECUTADO</v>
      </c>
      <c r="U598" s="838">
        <f t="shared" si="194"/>
        <v>4029.6</v>
      </c>
      <c r="V598" s="544"/>
      <c r="W598" s="544"/>
      <c r="X598" s="664"/>
      <c r="Y598" s="640"/>
      <c r="Z598" s="545" t="s">
        <v>417</v>
      </c>
      <c r="AA598" s="545" t="s">
        <v>178</v>
      </c>
      <c r="AB598" s="546" t="s">
        <v>179</v>
      </c>
      <c r="AC598" s="547">
        <v>2014</v>
      </c>
      <c r="AD598" s="93"/>
      <c r="AE598" s="93"/>
    </row>
    <row r="599" spans="1:31" s="94" customFormat="1" ht="50.1" customHeight="1">
      <c r="A599" s="1068"/>
      <c r="B599" s="1076"/>
      <c r="C599" s="985" t="s">
        <v>182</v>
      </c>
      <c r="D599" s="1117" t="s">
        <v>476</v>
      </c>
      <c r="E599" s="636" t="str">
        <f>+D599</f>
        <v>MANTENIMIENTO DE LA VIA VILLONACO-TAQUIL-CHANTACO-CHUQUIRIBAMBA  L=40 KM.</v>
      </c>
      <c r="F599" s="831" t="s">
        <v>415</v>
      </c>
      <c r="G599" s="831" t="str">
        <f>VLOOKUP(H599,'Pob. Ext, Parroquial'!$B$9:$C$117,2,0)</f>
        <v>LOJA</v>
      </c>
      <c r="H599" s="831" t="s">
        <v>477</v>
      </c>
      <c r="I599" s="831" t="s">
        <v>173</v>
      </c>
      <c r="J599" s="831" t="s">
        <v>174</v>
      </c>
      <c r="K599" s="831">
        <v>10.63</v>
      </c>
      <c r="L599" s="537">
        <f>ROUNDUP(Q599/5.5/1000,2)</f>
        <v>47.6</v>
      </c>
      <c r="M599" s="538">
        <f>IF(K599&gt;0,VLOOKUP(H599,'[5]Pob. Ext, Parroquial'!$B$8:$F$117,4,FALSE),0)</f>
        <v>2613</v>
      </c>
      <c r="N599" s="834" t="s">
        <v>282</v>
      </c>
      <c r="O599" s="836" t="s">
        <v>224</v>
      </c>
      <c r="P599" s="836">
        <v>0.35</v>
      </c>
      <c r="Q599" s="863">
        <v>261800</v>
      </c>
      <c r="R599" s="948">
        <v>41699</v>
      </c>
      <c r="S599" s="948">
        <v>41820</v>
      </c>
      <c r="T599" s="686" t="str">
        <f t="shared" si="190"/>
        <v>EJECUTADO</v>
      </c>
      <c r="U599" s="838">
        <f t="shared" si="194"/>
        <v>91630</v>
      </c>
      <c r="V599" s="544"/>
      <c r="W599" s="544"/>
      <c r="X599" s="660">
        <f>SUM(U599:U603)</f>
        <v>218197.27000000002</v>
      </c>
      <c r="Y599" s="640"/>
      <c r="Z599" s="545" t="s">
        <v>417</v>
      </c>
      <c r="AA599" s="545" t="s">
        <v>178</v>
      </c>
      <c r="AB599" s="546" t="s">
        <v>179</v>
      </c>
      <c r="AC599" s="547">
        <v>2014</v>
      </c>
      <c r="AD599" s="93"/>
      <c r="AE599" s="93"/>
    </row>
    <row r="600" spans="1:31" s="94" customFormat="1" ht="50.1" customHeight="1">
      <c r="A600" s="1068"/>
      <c r="B600" s="1076"/>
      <c r="C600" s="985" t="s">
        <v>182</v>
      </c>
      <c r="D600" s="1118"/>
      <c r="E600" s="655" t="str">
        <f t="shared" ref="E600:E603" si="203">+E599</f>
        <v>MANTENIMIENTO DE LA VIA VILLONACO-TAQUIL-CHANTACO-CHUQUIRIBAMBA  L=40 KM.</v>
      </c>
      <c r="F600" s="831" t="s">
        <v>415</v>
      </c>
      <c r="G600" s="831" t="str">
        <f>VLOOKUP(H600,'Pob. Ext, Parroquial'!$B$9:$C$117,2,0)</f>
        <v>LOJA</v>
      </c>
      <c r="H600" s="831" t="s">
        <v>478</v>
      </c>
      <c r="I600" s="831" t="s">
        <v>173</v>
      </c>
      <c r="J600" s="831" t="s">
        <v>174</v>
      </c>
      <c r="K600" s="831">
        <v>10.63</v>
      </c>
      <c r="L600" s="537">
        <f>+ROUND(Q600/5500/0.2,2)</f>
        <v>14.87</v>
      </c>
      <c r="M600" s="538">
        <f>IF(K600&gt;0,VLOOKUP(H600,'[5]Pob. Ext, Parroquial'!$B$8:$F$117,4,FALSE),0)</f>
        <v>696</v>
      </c>
      <c r="N600" s="834" t="s">
        <v>479</v>
      </c>
      <c r="O600" s="836" t="s">
        <v>418</v>
      </c>
      <c r="P600" s="836">
        <v>5.92</v>
      </c>
      <c r="Q600" s="863">
        <v>16356</v>
      </c>
      <c r="R600" s="948">
        <v>41699</v>
      </c>
      <c r="S600" s="948">
        <v>41820</v>
      </c>
      <c r="T600" s="686" t="str">
        <f t="shared" si="190"/>
        <v>EJECUTADO</v>
      </c>
      <c r="U600" s="838">
        <f t="shared" si="194"/>
        <v>96827.520000000004</v>
      </c>
      <c r="V600" s="544"/>
      <c r="W600" s="544"/>
      <c r="X600" s="662"/>
      <c r="Y600" s="640"/>
      <c r="Z600" s="545" t="s">
        <v>417</v>
      </c>
      <c r="AA600" s="545" t="s">
        <v>178</v>
      </c>
      <c r="AB600" s="546" t="s">
        <v>179</v>
      </c>
      <c r="AC600" s="547">
        <v>2014</v>
      </c>
      <c r="AD600" s="93"/>
      <c r="AE600" s="93"/>
    </row>
    <row r="601" spans="1:31" s="94" customFormat="1" ht="50.1" customHeight="1">
      <c r="A601" s="1068"/>
      <c r="B601" s="1076"/>
      <c r="C601" s="985" t="s">
        <v>182</v>
      </c>
      <c r="D601" s="1118"/>
      <c r="E601" s="655" t="str">
        <f t="shared" si="203"/>
        <v>MANTENIMIENTO DE LA VIA VILLONACO-TAQUIL-CHANTACO-CHUQUIRIBAMBA  L=40 KM.</v>
      </c>
      <c r="F601" s="831" t="s">
        <v>415</v>
      </c>
      <c r="G601" s="831" t="str">
        <f>VLOOKUP(H601,'Pob. Ext, Parroquial'!$B$9:$C$117,2,0)</f>
        <v>LOJA</v>
      </c>
      <c r="H601" s="831" t="s">
        <v>480</v>
      </c>
      <c r="I601" s="831" t="s">
        <v>173</v>
      </c>
      <c r="J601" s="831" t="s">
        <v>174</v>
      </c>
      <c r="K601" s="831">
        <v>10.63</v>
      </c>
      <c r="L601" s="537"/>
      <c r="M601" s="538">
        <f>IF(K601&gt;0,VLOOKUP(H601,'[5]Pob. Ext, Parroquial'!$B$8:$F$117,4,FALSE),0)</f>
        <v>1446</v>
      </c>
      <c r="N601" s="834" t="s">
        <v>439</v>
      </c>
      <c r="O601" s="836" t="s">
        <v>420</v>
      </c>
      <c r="P601" s="836">
        <v>0.3</v>
      </c>
      <c r="Q601" s="863">
        <v>57760</v>
      </c>
      <c r="R601" s="948">
        <v>41699</v>
      </c>
      <c r="S601" s="948">
        <v>41820</v>
      </c>
      <c r="T601" s="686" t="str">
        <f t="shared" si="190"/>
        <v>EJECUTADO</v>
      </c>
      <c r="U601" s="838">
        <f t="shared" si="194"/>
        <v>17328</v>
      </c>
      <c r="V601" s="544"/>
      <c r="W601" s="544"/>
      <c r="X601" s="662"/>
      <c r="Y601" s="640"/>
      <c r="Z601" s="545" t="s">
        <v>417</v>
      </c>
      <c r="AA601" s="545" t="s">
        <v>178</v>
      </c>
      <c r="AB601" s="546" t="s">
        <v>179</v>
      </c>
      <c r="AC601" s="547">
        <v>2014</v>
      </c>
      <c r="AD601" s="93"/>
      <c r="AE601" s="93"/>
    </row>
    <row r="602" spans="1:31" s="94" customFormat="1" ht="50.1" customHeight="1">
      <c r="A602" s="1068"/>
      <c r="B602" s="1076"/>
      <c r="C602" s="985" t="s">
        <v>182</v>
      </c>
      <c r="D602" s="1118"/>
      <c r="E602" s="655" t="str">
        <f t="shared" si="203"/>
        <v>MANTENIMIENTO DE LA VIA VILLONACO-TAQUIL-CHANTACO-CHUQUIRIBAMBA  L=40 KM.</v>
      </c>
      <c r="F602" s="831" t="s">
        <v>415</v>
      </c>
      <c r="G602" s="831" t="str">
        <f>VLOOKUP(H602,'Pob. Ext, Parroquial'!$B$9:$C$117,2,0)</f>
        <v>LOJA</v>
      </c>
      <c r="H602" s="831" t="s">
        <v>480</v>
      </c>
      <c r="I602" s="831" t="s">
        <v>173</v>
      </c>
      <c r="J602" s="831" t="s">
        <v>174</v>
      </c>
      <c r="K602" s="831"/>
      <c r="L602" s="537"/>
      <c r="M602" s="538"/>
      <c r="N602" s="834" t="s">
        <v>470</v>
      </c>
      <c r="O602" s="836" t="s">
        <v>418</v>
      </c>
      <c r="P602" s="836">
        <v>9.9600000000000009</v>
      </c>
      <c r="Q602" s="983">
        <v>400</v>
      </c>
      <c r="R602" s="948">
        <v>41730</v>
      </c>
      <c r="S602" s="948">
        <v>41759</v>
      </c>
      <c r="T602" s="686" t="str">
        <f t="shared" si="190"/>
        <v>EJECUTADO</v>
      </c>
      <c r="U602" s="838">
        <f t="shared" si="194"/>
        <v>3984</v>
      </c>
      <c r="V602" s="544"/>
      <c r="W602" s="544"/>
      <c r="X602" s="662"/>
      <c r="Y602" s="640"/>
      <c r="Z602" s="545" t="s">
        <v>417</v>
      </c>
      <c r="AA602" s="545" t="s">
        <v>178</v>
      </c>
      <c r="AB602" s="546" t="s">
        <v>179</v>
      </c>
      <c r="AC602" s="547">
        <v>2014</v>
      </c>
      <c r="AD602" s="93"/>
      <c r="AE602" s="93"/>
    </row>
    <row r="603" spans="1:31" s="94" customFormat="1" ht="50.1" customHeight="1">
      <c r="A603" s="1068"/>
      <c r="B603" s="1076"/>
      <c r="C603" s="985" t="s">
        <v>182</v>
      </c>
      <c r="D603" s="1120"/>
      <c r="E603" s="655" t="str">
        <f t="shared" si="203"/>
        <v>MANTENIMIENTO DE LA VIA VILLONACO-TAQUIL-CHANTACO-CHUQUIRIBAMBA  L=40 KM.</v>
      </c>
      <c r="F603" s="831" t="s">
        <v>415</v>
      </c>
      <c r="G603" s="831" t="str">
        <f>VLOOKUP(H603,'Pob. Ext, Parroquial'!$B$9:$C$117,2,0)</f>
        <v>LOJA</v>
      </c>
      <c r="H603" s="831" t="s">
        <v>480</v>
      </c>
      <c r="I603" s="831" t="s">
        <v>173</v>
      </c>
      <c r="J603" s="831" t="s">
        <v>174</v>
      </c>
      <c r="K603" s="831"/>
      <c r="L603" s="537"/>
      <c r="M603" s="538"/>
      <c r="N603" s="834" t="s">
        <v>481</v>
      </c>
      <c r="O603" s="836" t="s">
        <v>482</v>
      </c>
      <c r="P603" s="836">
        <v>561.85</v>
      </c>
      <c r="Q603" s="983">
        <v>15</v>
      </c>
      <c r="R603" s="948">
        <v>41730</v>
      </c>
      <c r="S603" s="948">
        <v>41759</v>
      </c>
      <c r="T603" s="686" t="str">
        <f t="shared" si="190"/>
        <v>EJECUTADO</v>
      </c>
      <c r="U603" s="838">
        <f t="shared" si="194"/>
        <v>8427.75</v>
      </c>
      <c r="V603" s="544"/>
      <c r="W603" s="544"/>
      <c r="X603" s="664"/>
      <c r="Y603" s="640"/>
      <c r="Z603" s="545" t="s">
        <v>417</v>
      </c>
      <c r="AA603" s="545" t="s">
        <v>178</v>
      </c>
      <c r="AB603" s="546" t="s">
        <v>179</v>
      </c>
      <c r="AC603" s="547">
        <v>2014</v>
      </c>
      <c r="AD603" s="93"/>
      <c r="AE603" s="93"/>
    </row>
    <row r="604" spans="1:31" s="94" customFormat="1" ht="50.1" customHeight="1">
      <c r="A604" s="1068"/>
      <c r="B604" s="1076"/>
      <c r="C604" s="985" t="s">
        <v>182</v>
      </c>
      <c r="D604" s="1117" t="s">
        <v>483</v>
      </c>
      <c r="E604" s="636" t="str">
        <f>+D604</f>
        <v>REHABILITACION DE LA VIA LOS MANGOS - CHAQUIRCUÑA L = 7.5 KM</v>
      </c>
      <c r="F604" s="831" t="s">
        <v>415</v>
      </c>
      <c r="G604" s="831" t="str">
        <f>VLOOKUP(H604,'Pob. Ext, Parroquial'!$B$9:$C$117,2,0)</f>
        <v>LOJA</v>
      </c>
      <c r="H604" s="831" t="s">
        <v>484</v>
      </c>
      <c r="I604" s="831" t="s">
        <v>173</v>
      </c>
      <c r="J604" s="831" t="s">
        <v>174</v>
      </c>
      <c r="K604" s="831">
        <v>7.5</v>
      </c>
      <c r="L604" s="537"/>
      <c r="M604" s="538">
        <f>IF(K604&gt;0,VLOOKUP(H604,'[5]Pob. Ext, Parroquial'!$B$8:$F$117,4,FALSE),0)</f>
        <v>589</v>
      </c>
      <c r="N604" s="834" t="s">
        <v>485</v>
      </c>
      <c r="O604" s="836" t="s">
        <v>418</v>
      </c>
      <c r="P604" s="836">
        <v>36.880000000000003</v>
      </c>
      <c r="Q604" s="983">
        <v>700</v>
      </c>
      <c r="R604" s="948">
        <v>41730</v>
      </c>
      <c r="S604" s="948">
        <v>41759</v>
      </c>
      <c r="T604" s="686" t="str">
        <f t="shared" si="190"/>
        <v>EJECUTADO</v>
      </c>
      <c r="U604" s="838">
        <f t="shared" si="194"/>
        <v>25816</v>
      </c>
      <c r="V604" s="544"/>
      <c r="W604" s="544"/>
      <c r="X604" s="660">
        <f>SUM(U604:U606)</f>
        <v>68928</v>
      </c>
      <c r="Y604" s="640"/>
      <c r="Z604" s="545" t="s">
        <v>417</v>
      </c>
      <c r="AA604" s="545" t="s">
        <v>178</v>
      </c>
      <c r="AB604" s="546" t="s">
        <v>179</v>
      </c>
      <c r="AC604" s="547">
        <v>2014</v>
      </c>
      <c r="AD604" s="93"/>
      <c r="AE604" s="93"/>
    </row>
    <row r="605" spans="1:31" s="94" customFormat="1" ht="50.1" customHeight="1">
      <c r="A605" s="1068"/>
      <c r="B605" s="1076"/>
      <c r="C605" s="985" t="s">
        <v>182</v>
      </c>
      <c r="D605" s="1118"/>
      <c r="E605" s="655" t="str">
        <f t="shared" ref="E605:E606" si="204">+E604</f>
        <v>REHABILITACION DE LA VIA LOS MANGOS - CHAQUIRCUÑA L = 7.5 KM</v>
      </c>
      <c r="F605" s="831" t="s">
        <v>415</v>
      </c>
      <c r="G605" s="831" t="str">
        <f>VLOOKUP(H605,'Pob. Ext, Parroquial'!$B$9:$C$117,2,0)</f>
        <v>LOJA</v>
      </c>
      <c r="H605" s="831" t="s">
        <v>484</v>
      </c>
      <c r="I605" s="831" t="s">
        <v>173</v>
      </c>
      <c r="J605" s="831" t="s">
        <v>174</v>
      </c>
      <c r="K605" s="831"/>
      <c r="L605" s="537"/>
      <c r="M605" s="538">
        <f>IF(K605&gt;0,VLOOKUP(H605,'[5]Pob. Ext, Parroquial'!$B$8:$F$117,4,FALSE),0)</f>
        <v>0</v>
      </c>
      <c r="N605" s="834" t="s">
        <v>470</v>
      </c>
      <c r="O605" s="836" t="s">
        <v>418</v>
      </c>
      <c r="P605" s="836">
        <v>9.9600000000000009</v>
      </c>
      <c r="Q605" s="983">
        <v>3200</v>
      </c>
      <c r="R605" s="948">
        <v>41730</v>
      </c>
      <c r="S605" s="948">
        <v>41759</v>
      </c>
      <c r="T605" s="686" t="str">
        <f t="shared" si="190"/>
        <v>EJECUTADO</v>
      </c>
      <c r="U605" s="838">
        <f t="shared" si="194"/>
        <v>31872</v>
      </c>
      <c r="V605" s="544"/>
      <c r="W605" s="544"/>
      <c r="X605" s="662"/>
      <c r="Y605" s="640"/>
      <c r="Z605" s="545" t="s">
        <v>417</v>
      </c>
      <c r="AA605" s="545" t="s">
        <v>178</v>
      </c>
      <c r="AB605" s="546" t="s">
        <v>179</v>
      </c>
      <c r="AC605" s="547">
        <v>2014</v>
      </c>
      <c r="AD605" s="93"/>
      <c r="AE605" s="93"/>
    </row>
    <row r="606" spans="1:31" s="94" customFormat="1" ht="50.1" customHeight="1">
      <c r="A606" s="1068"/>
      <c r="B606" s="1076"/>
      <c r="C606" s="985" t="s">
        <v>182</v>
      </c>
      <c r="D606" s="1120"/>
      <c r="E606" s="655" t="str">
        <f t="shared" si="204"/>
        <v>REHABILITACION DE LA VIA LOS MANGOS - CHAQUIRCUÑA L = 7.5 KM</v>
      </c>
      <c r="F606" s="831" t="s">
        <v>415</v>
      </c>
      <c r="G606" s="831" t="str">
        <f>VLOOKUP(H606,'Pob. Ext, Parroquial'!$B$9:$C$117,2,0)</f>
        <v>LOJA</v>
      </c>
      <c r="H606" s="831" t="s">
        <v>484</v>
      </c>
      <c r="I606" s="831" t="s">
        <v>173</v>
      </c>
      <c r="J606" s="831" t="s">
        <v>174</v>
      </c>
      <c r="K606" s="831"/>
      <c r="L606" s="537"/>
      <c r="M606" s="538">
        <f>IF(K606&gt;0,VLOOKUP(H606,'[5]Pob. Ext, Parroquial'!$B$8:$F$117,4,FALSE),0)</f>
        <v>0</v>
      </c>
      <c r="N606" s="834" t="s">
        <v>486</v>
      </c>
      <c r="O606" s="836" t="s">
        <v>176</v>
      </c>
      <c r="P606" s="836">
        <v>2.81</v>
      </c>
      <c r="Q606" s="983">
        <v>4000</v>
      </c>
      <c r="R606" s="948">
        <v>41730</v>
      </c>
      <c r="S606" s="948">
        <v>41759</v>
      </c>
      <c r="T606" s="686" t="str">
        <f t="shared" si="190"/>
        <v>EJECUTADO</v>
      </c>
      <c r="U606" s="838">
        <f t="shared" si="194"/>
        <v>11240</v>
      </c>
      <c r="V606" s="544"/>
      <c r="W606" s="544"/>
      <c r="X606" s="664"/>
      <c r="Y606" s="640"/>
      <c r="Z606" s="545" t="s">
        <v>417</v>
      </c>
      <c r="AA606" s="545" t="s">
        <v>178</v>
      </c>
      <c r="AB606" s="546" t="s">
        <v>179</v>
      </c>
      <c r="AC606" s="547">
        <v>2014</v>
      </c>
      <c r="AD606" s="93"/>
      <c r="AE606" s="93"/>
    </row>
    <row r="607" spans="1:31" s="94" customFormat="1" ht="50.1" customHeight="1">
      <c r="A607" s="1068"/>
      <c r="B607" s="1076"/>
      <c r="C607" s="985" t="s">
        <v>182</v>
      </c>
      <c r="D607" s="1117" t="s">
        <v>497</v>
      </c>
      <c r="E607" s="636" t="str">
        <f>+D607</f>
        <v>MANTENIMIENTO DE LA VIA SOLAMAR - JIMBILLA L= 17.00 KM.</v>
      </c>
      <c r="F607" s="831" t="s">
        <v>415</v>
      </c>
      <c r="G607" s="831" t="str">
        <f>VLOOKUP(H607,'Pob. Ext, Parroquial'!$B$9:$C$117,2,0)</f>
        <v>LOJA</v>
      </c>
      <c r="H607" s="832" t="s">
        <v>498</v>
      </c>
      <c r="I607" s="831" t="s">
        <v>173</v>
      </c>
      <c r="J607" s="831" t="s">
        <v>174</v>
      </c>
      <c r="K607" s="831">
        <v>17</v>
      </c>
      <c r="L607" s="537">
        <f t="shared" ref="L607:L608" si="205">ROUNDUP(Q607/5.5/1000,2)</f>
        <v>3.6399999999999997</v>
      </c>
      <c r="M607" s="538">
        <f>IF(K607&gt;0,VLOOKUP(H607,'[5]Pob. Ext, Parroquial'!$B$8:$F$117,4,FALSE),0)</f>
        <v>539</v>
      </c>
      <c r="N607" s="834" t="s">
        <v>282</v>
      </c>
      <c r="O607" s="836" t="s">
        <v>184</v>
      </c>
      <c r="P607" s="836">
        <v>0.35</v>
      </c>
      <c r="Q607" s="983">
        <v>20000</v>
      </c>
      <c r="R607" s="948">
        <v>41644</v>
      </c>
      <c r="S607" s="948">
        <v>41790</v>
      </c>
      <c r="T607" s="686" t="str">
        <f t="shared" si="190"/>
        <v>EJECUTADO</v>
      </c>
      <c r="U607" s="838">
        <f t="shared" si="194"/>
        <v>7000</v>
      </c>
      <c r="V607" s="544"/>
      <c r="W607" s="544"/>
      <c r="X607" s="912">
        <f>U607+V607+W607</f>
        <v>7000</v>
      </c>
      <c r="Y607" s="640"/>
      <c r="Z607" s="545" t="s">
        <v>417</v>
      </c>
      <c r="AA607" s="545" t="s">
        <v>178</v>
      </c>
      <c r="AB607" s="546" t="s">
        <v>179</v>
      </c>
      <c r="AC607" s="547">
        <v>2014</v>
      </c>
      <c r="AD607" s="93"/>
      <c r="AE607" s="93"/>
    </row>
    <row r="608" spans="1:31" s="94" customFormat="1" ht="50.1" customHeight="1">
      <c r="A608" s="1068"/>
      <c r="B608" s="1076"/>
      <c r="C608" s="985" t="s">
        <v>182</v>
      </c>
      <c r="D608" s="1120"/>
      <c r="E608" s="655" t="str">
        <f t="shared" ref="E608" si="206">+E607</f>
        <v>MANTENIMIENTO DE LA VIA SOLAMAR - JIMBILLA L= 17.00 KM.</v>
      </c>
      <c r="F608" s="831" t="s">
        <v>415</v>
      </c>
      <c r="G608" s="831" t="str">
        <f>VLOOKUP(H608,'Pob. Ext, Parroquial'!$B$9:$C$117,2,0)</f>
        <v>LOJA</v>
      </c>
      <c r="H608" s="832" t="s">
        <v>498</v>
      </c>
      <c r="I608" s="831" t="s">
        <v>173</v>
      </c>
      <c r="J608" s="831" t="s">
        <v>174</v>
      </c>
      <c r="K608" s="831"/>
      <c r="L608" s="537">
        <f t="shared" si="205"/>
        <v>6.9999999999999993E-2</v>
      </c>
      <c r="M608" s="538">
        <f>IF(K608&gt;0,VLOOKUP(H608,'[5]Pob. Ext, Parroquial'!$B$8:$F$117,4,FALSE),0)</f>
        <v>0</v>
      </c>
      <c r="N608" s="834" t="s">
        <v>489</v>
      </c>
      <c r="O608" s="836" t="s">
        <v>184</v>
      </c>
      <c r="P608" s="836">
        <v>0.35</v>
      </c>
      <c r="Q608" s="983">
        <v>336</v>
      </c>
      <c r="R608" s="948">
        <v>41730</v>
      </c>
      <c r="S608" s="948">
        <v>41759</v>
      </c>
      <c r="T608" s="686" t="str">
        <f t="shared" si="190"/>
        <v>EJECUTADO</v>
      </c>
      <c r="U608" s="838">
        <f t="shared" si="194"/>
        <v>117.6</v>
      </c>
      <c r="V608" s="544"/>
      <c r="W608" s="544"/>
      <c r="X608" s="912">
        <f>U608+V608+W608</f>
        <v>117.6</v>
      </c>
      <c r="Y608" s="640"/>
      <c r="Z608" s="545" t="s">
        <v>417</v>
      </c>
      <c r="AA608" s="545" t="s">
        <v>178</v>
      </c>
      <c r="AB608" s="546" t="s">
        <v>179</v>
      </c>
      <c r="AC608" s="547">
        <v>2014</v>
      </c>
      <c r="AD608" s="93"/>
      <c r="AE608" s="93"/>
    </row>
    <row r="609" spans="1:31" s="94" customFormat="1" ht="50.1" customHeight="1">
      <c r="A609" s="910"/>
      <c r="B609" s="913"/>
      <c r="C609" s="985" t="s">
        <v>182</v>
      </c>
      <c r="D609" s="927" t="s">
        <v>499</v>
      </c>
      <c r="E609" s="636" t="str">
        <f>+D609</f>
        <v>MANTENIMIENTO DEL CADE</v>
      </c>
      <c r="F609" s="831" t="s">
        <v>415</v>
      </c>
      <c r="G609" s="831" t="str">
        <f>VLOOKUP(H609,'Pob. Ext, Parroquial'!$B$9:$C$117,2,0)</f>
        <v>LOJA</v>
      </c>
      <c r="H609" s="831" t="s">
        <v>430</v>
      </c>
      <c r="I609" s="831" t="s">
        <v>173</v>
      </c>
      <c r="J609" s="831" t="s">
        <v>174</v>
      </c>
      <c r="K609" s="831"/>
      <c r="L609" s="537"/>
      <c r="M609" s="538">
        <f>IF(K609&gt;0,VLOOKUP(H609,'[5]Pob. Ext, Parroquial'!$B$8:$F$117,4,FALSE),0)</f>
        <v>0</v>
      </c>
      <c r="N609" s="834" t="s">
        <v>486</v>
      </c>
      <c r="O609" s="836" t="s">
        <v>176</v>
      </c>
      <c r="P609" s="836">
        <v>1.46</v>
      </c>
      <c r="Q609" s="983">
        <v>246</v>
      </c>
      <c r="R609" s="948">
        <v>41730</v>
      </c>
      <c r="S609" s="948">
        <v>41759</v>
      </c>
      <c r="T609" s="686" t="str">
        <f t="shared" si="190"/>
        <v>EJECUTADO</v>
      </c>
      <c r="U609" s="838">
        <f t="shared" si="194"/>
        <v>359.16</v>
      </c>
      <c r="V609" s="544"/>
      <c r="W609" s="544"/>
      <c r="X609" s="912">
        <f>U609+V609+W609</f>
        <v>359.16</v>
      </c>
      <c r="Y609" s="640"/>
      <c r="Z609" s="545" t="s">
        <v>417</v>
      </c>
      <c r="AA609" s="545" t="s">
        <v>178</v>
      </c>
      <c r="AB609" s="546" t="s">
        <v>179</v>
      </c>
      <c r="AC609" s="547">
        <v>2014</v>
      </c>
      <c r="AD609" s="93"/>
      <c r="AE609" s="93"/>
    </row>
    <row r="610" spans="1:31" s="94" customFormat="1" ht="50.1" customHeight="1">
      <c r="A610" s="910"/>
      <c r="B610" s="914"/>
      <c r="C610" s="985" t="s">
        <v>182</v>
      </c>
      <c r="D610" s="1117" t="s">
        <v>487</v>
      </c>
      <c r="E610" s="636" t="str">
        <f>+D610</f>
        <v>MANTENIMIENTO DE LA VIA SAUCES NORTE SOLAMAR - SAN LUCAS</v>
      </c>
      <c r="F610" s="831" t="s">
        <v>415</v>
      </c>
      <c r="G610" s="831" t="str">
        <f>VLOOKUP(H610,'Pob. Ext, Parroquial'!$B$9:$C$117,2,0)</f>
        <v>LOJA</v>
      </c>
      <c r="H610" s="831" t="s">
        <v>488</v>
      </c>
      <c r="I610" s="831" t="s">
        <v>173</v>
      </c>
      <c r="J610" s="831" t="s">
        <v>174</v>
      </c>
      <c r="K610" s="831">
        <v>32</v>
      </c>
      <c r="L610" s="537">
        <f>ROUNDUP(Q610/5.5/1000,2)</f>
        <v>7.42</v>
      </c>
      <c r="M610" s="538">
        <f>IF(K610&gt;0,VLOOKUP(H610,'[5]Pob. Ext, Parroquial'!$B$8:$F$117,4,FALSE),0)</f>
        <v>288</v>
      </c>
      <c r="N610" s="834" t="s">
        <v>489</v>
      </c>
      <c r="O610" s="836" t="s">
        <v>184</v>
      </c>
      <c r="P610" s="836">
        <v>0.35</v>
      </c>
      <c r="Q610" s="983">
        <v>40800</v>
      </c>
      <c r="R610" s="948">
        <v>41791</v>
      </c>
      <c r="S610" s="948">
        <v>41820</v>
      </c>
      <c r="T610" s="686" t="str">
        <f t="shared" si="190"/>
        <v>EJECUTADO</v>
      </c>
      <c r="U610" s="838">
        <f t="shared" si="194"/>
        <v>14280</v>
      </c>
      <c r="V610" s="544"/>
      <c r="W610" s="544"/>
      <c r="X610" s="660">
        <f>SUM(U610:U612)</f>
        <v>21885</v>
      </c>
      <c r="Y610" s="640"/>
      <c r="Z610" s="545" t="s">
        <v>417</v>
      </c>
      <c r="AA610" s="545" t="s">
        <v>178</v>
      </c>
      <c r="AB610" s="546" t="s">
        <v>179</v>
      </c>
      <c r="AC610" s="547">
        <v>2014</v>
      </c>
      <c r="AD610" s="93"/>
      <c r="AE610" s="93"/>
    </row>
    <row r="611" spans="1:31" s="94" customFormat="1" ht="50.1" customHeight="1">
      <c r="A611" s="910"/>
      <c r="B611" s="913"/>
      <c r="C611" s="985" t="s">
        <v>182</v>
      </c>
      <c r="D611" s="1118"/>
      <c r="E611" s="655" t="str">
        <f t="shared" ref="E611:E612" si="207">+E610</f>
        <v>MANTENIMIENTO DE LA VIA SAUCES NORTE SOLAMAR - SAN LUCAS</v>
      </c>
      <c r="F611" s="831" t="s">
        <v>415</v>
      </c>
      <c r="G611" s="831" t="str">
        <f>VLOOKUP(H611,'Pob. Ext, Parroquial'!$B$9:$C$117,2,0)</f>
        <v>LOJA</v>
      </c>
      <c r="H611" s="831" t="s">
        <v>488</v>
      </c>
      <c r="I611" s="831" t="s">
        <v>173</v>
      </c>
      <c r="J611" s="831" t="s">
        <v>174</v>
      </c>
      <c r="K611" s="831"/>
      <c r="L611" s="537"/>
      <c r="M611" s="538">
        <f>IF(K611&gt;0,VLOOKUP(H611,'[5]Pob. Ext, Parroquial'!$B$8:$F$117,4,FALSE),0)</f>
        <v>0</v>
      </c>
      <c r="N611" s="834" t="s">
        <v>490</v>
      </c>
      <c r="O611" s="836" t="s">
        <v>418</v>
      </c>
      <c r="P611" s="836">
        <v>0.6</v>
      </c>
      <c r="Q611" s="983">
        <v>720</v>
      </c>
      <c r="R611" s="948">
        <v>41791</v>
      </c>
      <c r="S611" s="948">
        <v>41820</v>
      </c>
      <c r="T611" s="686" t="str">
        <f t="shared" si="190"/>
        <v>EJECUTADO</v>
      </c>
      <c r="U611" s="838">
        <f t="shared" si="194"/>
        <v>432</v>
      </c>
      <c r="V611" s="544"/>
      <c r="W611" s="544"/>
      <c r="X611" s="662"/>
      <c r="Y611" s="640"/>
      <c r="Z611" s="545" t="s">
        <v>417</v>
      </c>
      <c r="AA611" s="545" t="s">
        <v>178</v>
      </c>
      <c r="AB611" s="546" t="s">
        <v>179</v>
      </c>
      <c r="AC611" s="547">
        <v>2014</v>
      </c>
      <c r="AD611" s="93"/>
      <c r="AE611" s="93"/>
    </row>
    <row r="612" spans="1:31" s="94" customFormat="1" ht="50.1" customHeight="1">
      <c r="A612" s="910"/>
      <c r="B612" s="913"/>
      <c r="C612" s="985" t="s">
        <v>182</v>
      </c>
      <c r="D612" s="1120"/>
      <c r="E612" s="655" t="str">
        <f t="shared" si="207"/>
        <v>MANTENIMIENTO DE LA VIA SAUCES NORTE SOLAMAR - SAN LUCAS</v>
      </c>
      <c r="F612" s="831" t="s">
        <v>415</v>
      </c>
      <c r="G612" s="831" t="str">
        <f>VLOOKUP(H612,'Pob. Ext, Parroquial'!$B$9:$C$117,2,0)</f>
        <v>LOJA</v>
      </c>
      <c r="H612" s="831" t="s">
        <v>488</v>
      </c>
      <c r="I612" s="831" t="s">
        <v>173</v>
      </c>
      <c r="J612" s="831" t="s">
        <v>174</v>
      </c>
      <c r="K612" s="831"/>
      <c r="L612" s="537"/>
      <c r="M612" s="538">
        <f>IF(K612&gt;0,VLOOKUP(H612,'[5]Pob. Ext, Parroquial'!$B$8:$F$117,4,FALSE),0)</f>
        <v>0</v>
      </c>
      <c r="N612" s="834" t="s">
        <v>491</v>
      </c>
      <c r="O612" s="836" t="s">
        <v>176</v>
      </c>
      <c r="P612" s="836">
        <v>7.97</v>
      </c>
      <c r="Q612" s="983">
        <v>900</v>
      </c>
      <c r="R612" s="948">
        <v>41791</v>
      </c>
      <c r="S612" s="948">
        <v>41820</v>
      </c>
      <c r="T612" s="686" t="str">
        <f t="shared" si="190"/>
        <v>EJECUTADO</v>
      </c>
      <c r="U612" s="838">
        <f t="shared" si="194"/>
        <v>7173</v>
      </c>
      <c r="V612" s="544"/>
      <c r="W612" s="544"/>
      <c r="X612" s="664"/>
      <c r="Y612" s="640"/>
      <c r="Z612" s="545" t="s">
        <v>417</v>
      </c>
      <c r="AA612" s="545" t="s">
        <v>178</v>
      </c>
      <c r="AB612" s="546" t="s">
        <v>179</v>
      </c>
      <c r="AC612" s="547">
        <v>2014</v>
      </c>
      <c r="AD612" s="93"/>
      <c r="AE612" s="93"/>
    </row>
    <row r="613" spans="1:31" s="94" customFormat="1" ht="50.1" customHeight="1">
      <c r="A613" s="910"/>
      <c r="B613" s="914"/>
      <c r="C613" s="985" t="s">
        <v>182</v>
      </c>
      <c r="D613" s="927" t="s">
        <v>492</v>
      </c>
      <c r="E613" s="636" t="str">
        <f>+D613</f>
        <v>ENCAUSAMIENTO DE QUEBRADA PICUMINE (BARRIO TUMIANUMA)</v>
      </c>
      <c r="F613" s="831" t="s">
        <v>415</v>
      </c>
      <c r="G613" s="831" t="str">
        <f>VLOOKUP(H613,'Pob. Ext, Parroquial'!$B$9:$C$117,2,0)</f>
        <v>LOJA</v>
      </c>
      <c r="H613" s="831" t="s">
        <v>430</v>
      </c>
      <c r="I613" s="831" t="s">
        <v>173</v>
      </c>
      <c r="J613" s="831" t="s">
        <v>174</v>
      </c>
      <c r="K613" s="831"/>
      <c r="L613" s="537"/>
      <c r="M613" s="538">
        <f>IF(K613&gt;0,VLOOKUP(H613,'[5]Pob. Ext, Parroquial'!$B$8:$F$117,4,FALSE),0)</f>
        <v>0</v>
      </c>
      <c r="N613" s="834" t="s">
        <v>486</v>
      </c>
      <c r="O613" s="836" t="s">
        <v>176</v>
      </c>
      <c r="P613" s="836">
        <v>2.81</v>
      </c>
      <c r="Q613" s="983">
        <v>7200</v>
      </c>
      <c r="R613" s="948">
        <v>41791</v>
      </c>
      <c r="S613" s="948">
        <v>41820</v>
      </c>
      <c r="T613" s="686" t="str">
        <f t="shared" si="190"/>
        <v>EJECUTADO</v>
      </c>
      <c r="U613" s="838">
        <f t="shared" si="194"/>
        <v>20232</v>
      </c>
      <c r="V613" s="544"/>
      <c r="W613" s="544"/>
      <c r="X613" s="912">
        <f t="shared" ref="X613:X617" si="208">U613+V613+W613</f>
        <v>20232</v>
      </c>
      <c r="Y613" s="640"/>
      <c r="Z613" s="545" t="s">
        <v>417</v>
      </c>
      <c r="AA613" s="545" t="s">
        <v>178</v>
      </c>
      <c r="AB613" s="546" t="s">
        <v>179</v>
      </c>
      <c r="AC613" s="547">
        <v>2014</v>
      </c>
      <c r="AD613" s="93"/>
      <c r="AE613" s="93"/>
    </row>
    <row r="614" spans="1:31" s="94" customFormat="1" ht="50.1" customHeight="1">
      <c r="A614" s="910" t="s">
        <v>540</v>
      </c>
      <c r="B614" s="914" t="str">
        <f>+T614</f>
        <v>EJECUTADO</v>
      </c>
      <c r="C614" s="985" t="s">
        <v>182</v>
      </c>
      <c r="D614" s="1117" t="s">
        <v>494</v>
      </c>
      <c r="E614" s="636" t="str">
        <f>+D614</f>
        <v>MANTENIMIENTO DE LA VIA SELVA ALEGRE - TENTA</v>
      </c>
      <c r="F614" s="831" t="s">
        <v>415</v>
      </c>
      <c r="G614" s="831" t="str">
        <f>VLOOKUP(H614,'Pob. Ext, Parroquial'!$B$9:$C$117,2,0)</f>
        <v>SARAGURO</v>
      </c>
      <c r="H614" s="831" t="s">
        <v>646</v>
      </c>
      <c r="I614" s="831" t="s">
        <v>173</v>
      </c>
      <c r="J614" s="831" t="s">
        <v>174</v>
      </c>
      <c r="K614" s="831"/>
      <c r="L614" s="537">
        <f>ROUNDUP(Q614/5.5/1000,2)</f>
        <v>8.73</v>
      </c>
      <c r="M614" s="538">
        <f>IF(K614&gt;0,VLOOKUP(H614,'[5]Pob. Ext, Parroquial'!$B$8:$F$117,4,FALSE),0)</f>
        <v>0</v>
      </c>
      <c r="N614" s="834" t="s">
        <v>489</v>
      </c>
      <c r="O614" s="836" t="s">
        <v>184</v>
      </c>
      <c r="P614" s="836">
        <v>0.35</v>
      </c>
      <c r="Q614" s="983">
        <v>48000</v>
      </c>
      <c r="R614" s="948">
        <v>41821</v>
      </c>
      <c r="S614" s="948">
        <v>41851</v>
      </c>
      <c r="T614" s="686" t="str">
        <f t="shared" si="190"/>
        <v>EJECUTADO</v>
      </c>
      <c r="U614" s="838">
        <f t="shared" si="194"/>
        <v>16800</v>
      </c>
      <c r="V614" s="544"/>
      <c r="W614" s="544"/>
      <c r="X614" s="912">
        <f t="shared" si="208"/>
        <v>16800</v>
      </c>
      <c r="Y614" s="640"/>
      <c r="Z614" s="545" t="s">
        <v>417</v>
      </c>
      <c r="AA614" s="545" t="s">
        <v>178</v>
      </c>
      <c r="AB614" s="546" t="s">
        <v>179</v>
      </c>
      <c r="AC614" s="547">
        <v>2014</v>
      </c>
      <c r="AD614" s="93"/>
      <c r="AE614" s="93"/>
    </row>
    <row r="615" spans="1:31" s="94" customFormat="1" ht="50.1" customHeight="1">
      <c r="A615" s="910"/>
      <c r="B615" s="914"/>
      <c r="C615" s="985" t="s">
        <v>182</v>
      </c>
      <c r="D615" s="1118"/>
      <c r="E615" s="655" t="str">
        <f t="shared" ref="E615:E621" si="209">+E614</f>
        <v>MANTENIMIENTO DE LA VIA SELVA ALEGRE - TENTA</v>
      </c>
      <c r="F615" s="831" t="s">
        <v>415</v>
      </c>
      <c r="G615" s="831" t="str">
        <f>VLOOKUP(H615,'Pob. Ext, Parroquial'!$B$9:$C$117,2,0)</f>
        <v>SARAGURO</v>
      </c>
      <c r="H615" s="831" t="s">
        <v>646</v>
      </c>
      <c r="I615" s="831" t="s">
        <v>173</v>
      </c>
      <c r="J615" s="831" t="s">
        <v>174</v>
      </c>
      <c r="K615" s="831"/>
      <c r="L615" s="537"/>
      <c r="M615" s="538">
        <f>IF(K615&gt;0,VLOOKUP(H615,'[5]Pob. Ext, Parroquial'!$B$8:$F$117,4,FALSE),0)</f>
        <v>0</v>
      </c>
      <c r="N615" s="834" t="s">
        <v>490</v>
      </c>
      <c r="O615" s="836" t="s">
        <v>176</v>
      </c>
      <c r="P615" s="836">
        <v>0.6</v>
      </c>
      <c r="Q615" s="983">
        <v>2000</v>
      </c>
      <c r="R615" s="948">
        <v>41821</v>
      </c>
      <c r="S615" s="948">
        <v>41851</v>
      </c>
      <c r="T615" s="686" t="str">
        <f t="shared" si="190"/>
        <v>EJECUTADO</v>
      </c>
      <c r="U615" s="838">
        <f t="shared" si="194"/>
        <v>1200</v>
      </c>
      <c r="V615" s="544"/>
      <c r="W615" s="544"/>
      <c r="X615" s="912">
        <f t="shared" si="208"/>
        <v>1200</v>
      </c>
      <c r="Y615" s="640"/>
      <c r="Z615" s="545" t="s">
        <v>417</v>
      </c>
      <c r="AA615" s="545" t="s">
        <v>178</v>
      </c>
      <c r="AB615" s="546" t="s">
        <v>179</v>
      </c>
      <c r="AC615" s="547">
        <v>2014</v>
      </c>
      <c r="AD615" s="93"/>
      <c r="AE615" s="93"/>
    </row>
    <row r="616" spans="1:31" s="94" customFormat="1" ht="50.1" customHeight="1">
      <c r="A616" s="910"/>
      <c r="B616" s="914"/>
      <c r="C616" s="985" t="s">
        <v>182</v>
      </c>
      <c r="D616" s="1118"/>
      <c r="E616" s="655" t="str">
        <f t="shared" si="209"/>
        <v>MANTENIMIENTO DE LA VIA SELVA ALEGRE - TENTA</v>
      </c>
      <c r="F616" s="831" t="s">
        <v>415</v>
      </c>
      <c r="G616" s="831" t="str">
        <f>VLOOKUP(H616,'Pob. Ext, Parroquial'!$B$9:$C$117,2,0)</f>
        <v>SARAGURO</v>
      </c>
      <c r="H616" s="831" t="s">
        <v>646</v>
      </c>
      <c r="I616" s="831" t="s">
        <v>173</v>
      </c>
      <c r="J616" s="831" t="s">
        <v>174</v>
      </c>
      <c r="K616" s="831"/>
      <c r="L616" s="537">
        <f>+ROUND(Q616/5500/0.2,2)</f>
        <v>1.73</v>
      </c>
      <c r="M616" s="538">
        <f>IF(K616&gt;0,VLOOKUP(H616,'[5]Pob. Ext, Parroquial'!$B$8:$F$117,4,FALSE),0)</f>
        <v>0</v>
      </c>
      <c r="N616" s="834" t="s">
        <v>495</v>
      </c>
      <c r="O616" s="836" t="s">
        <v>176</v>
      </c>
      <c r="P616" s="836">
        <v>5.92</v>
      </c>
      <c r="Q616" s="983">
        <v>1899</v>
      </c>
      <c r="R616" s="948">
        <v>41821</v>
      </c>
      <c r="S616" s="948">
        <v>41851</v>
      </c>
      <c r="T616" s="686" t="str">
        <f t="shared" si="190"/>
        <v>EJECUTADO</v>
      </c>
      <c r="U616" s="838">
        <f t="shared" si="194"/>
        <v>11242.08</v>
      </c>
      <c r="V616" s="544"/>
      <c r="W616" s="544"/>
      <c r="X616" s="912">
        <f t="shared" si="208"/>
        <v>11242.08</v>
      </c>
      <c r="Y616" s="640"/>
      <c r="Z616" s="545" t="s">
        <v>417</v>
      </c>
      <c r="AA616" s="545" t="s">
        <v>178</v>
      </c>
      <c r="AB616" s="546" t="s">
        <v>179</v>
      </c>
      <c r="AC616" s="547">
        <v>2014</v>
      </c>
      <c r="AD616" s="93"/>
      <c r="AE616" s="93"/>
    </row>
    <row r="617" spans="1:31" s="94" customFormat="1" ht="50.1" customHeight="1">
      <c r="A617" s="910"/>
      <c r="B617" s="914"/>
      <c r="C617" s="985" t="s">
        <v>182</v>
      </c>
      <c r="D617" s="1120"/>
      <c r="E617" s="655" t="str">
        <f t="shared" si="209"/>
        <v>MANTENIMIENTO DE LA VIA SELVA ALEGRE - TENTA</v>
      </c>
      <c r="F617" s="831" t="s">
        <v>415</v>
      </c>
      <c r="G617" s="831" t="str">
        <f>VLOOKUP(H617,'Pob. Ext, Parroquial'!$B$9:$C$117,2,0)</f>
        <v>SARAGURO</v>
      </c>
      <c r="H617" s="831" t="s">
        <v>646</v>
      </c>
      <c r="I617" s="831" t="s">
        <v>173</v>
      </c>
      <c r="J617" s="831" t="s">
        <v>174</v>
      </c>
      <c r="K617" s="831"/>
      <c r="L617" s="537"/>
      <c r="M617" s="538">
        <f>IF(K617&gt;0,VLOOKUP(H617,'[5]Pob. Ext, Parroquial'!$B$8:$F$117,4,FALSE),0)</f>
        <v>0</v>
      </c>
      <c r="N617" s="834" t="s">
        <v>496</v>
      </c>
      <c r="O617" s="836" t="s">
        <v>461</v>
      </c>
      <c r="P617" s="836">
        <v>0.3</v>
      </c>
      <c r="Q617" s="983">
        <v>27535</v>
      </c>
      <c r="R617" s="948">
        <v>41821</v>
      </c>
      <c r="S617" s="948">
        <v>41851</v>
      </c>
      <c r="T617" s="686" t="str">
        <f t="shared" si="190"/>
        <v>EJECUTADO</v>
      </c>
      <c r="U617" s="838">
        <f t="shared" si="194"/>
        <v>8260.5</v>
      </c>
      <c r="V617" s="544"/>
      <c r="W617" s="544"/>
      <c r="X617" s="912">
        <f t="shared" si="208"/>
        <v>8260.5</v>
      </c>
      <c r="Y617" s="640"/>
      <c r="Z617" s="545" t="s">
        <v>417</v>
      </c>
      <c r="AA617" s="545" t="s">
        <v>178</v>
      </c>
      <c r="AB617" s="546" t="s">
        <v>179</v>
      </c>
      <c r="AC617" s="547">
        <v>2014</v>
      </c>
      <c r="AD617" s="93"/>
      <c r="AE617" s="93"/>
    </row>
    <row r="618" spans="1:31" s="94" customFormat="1" ht="50.1" customHeight="1">
      <c r="A618" s="910" t="s">
        <v>540</v>
      </c>
      <c r="B618" s="914" t="str">
        <f>+T618</f>
        <v>EJECUTADO</v>
      </c>
      <c r="C618" s="985" t="s">
        <v>182</v>
      </c>
      <c r="D618" s="1117" t="s">
        <v>1057</v>
      </c>
      <c r="E618" s="636" t="str">
        <f>+D618</f>
        <v>MANTENIMIENTO DE LA VIA TENTA - SELVA ALEGRE</v>
      </c>
      <c r="F618" s="831" t="s">
        <v>415</v>
      </c>
      <c r="G618" s="831" t="str">
        <f>VLOOKUP(H618,'Pob. Ext, Parroquial'!$B$9:$C$117,2,0)</f>
        <v>SARAGURO</v>
      </c>
      <c r="H618" s="831" t="s">
        <v>649</v>
      </c>
      <c r="I618" s="831" t="s">
        <v>173</v>
      </c>
      <c r="J618" s="831" t="s">
        <v>174</v>
      </c>
      <c r="K618" s="831"/>
      <c r="L618" s="537">
        <f>ROUNDUP(Q618/5.5/1000,2)</f>
        <v>20.73</v>
      </c>
      <c r="M618" s="538">
        <f>IF(K618&gt;0,VLOOKUP(H618,'[5]Pob. Ext, Parroquial'!$B$8:$F$117,4,FALSE),0)</f>
        <v>0</v>
      </c>
      <c r="N618" s="834" t="s">
        <v>489</v>
      </c>
      <c r="O618" s="836" t="s">
        <v>184</v>
      </c>
      <c r="P618" s="836">
        <v>0.35</v>
      </c>
      <c r="Q618" s="983">
        <v>114000</v>
      </c>
      <c r="R618" s="948">
        <v>41883</v>
      </c>
      <c r="S618" s="948">
        <v>41912</v>
      </c>
      <c r="T618" s="686" t="str">
        <f t="shared" si="190"/>
        <v>EJECUTADO</v>
      </c>
      <c r="U618" s="838">
        <f t="shared" si="194"/>
        <v>39900</v>
      </c>
      <c r="V618" s="544"/>
      <c r="W618" s="544"/>
      <c r="X618" s="1080">
        <f>SUM(U618:U621)</f>
        <v>63553.2</v>
      </c>
      <c r="Y618" s="640"/>
      <c r="Z618" s="545" t="s">
        <v>417</v>
      </c>
      <c r="AA618" s="545" t="s">
        <v>178</v>
      </c>
      <c r="AB618" s="546" t="s">
        <v>179</v>
      </c>
      <c r="AC618" s="547">
        <v>2014</v>
      </c>
      <c r="AD618" s="93"/>
      <c r="AE618" s="93"/>
    </row>
    <row r="619" spans="1:31" s="94" customFormat="1" ht="50.1" customHeight="1">
      <c r="A619" s="910"/>
      <c r="B619" s="914"/>
      <c r="C619" s="985" t="s">
        <v>182</v>
      </c>
      <c r="D619" s="1118"/>
      <c r="E619" s="655" t="str">
        <f t="shared" si="209"/>
        <v>MANTENIMIENTO DE LA VIA TENTA - SELVA ALEGRE</v>
      </c>
      <c r="F619" s="831" t="s">
        <v>415</v>
      </c>
      <c r="G619" s="831" t="str">
        <f>VLOOKUP(H619,'Pob. Ext, Parroquial'!$B$9:$C$117,2,0)</f>
        <v>SARAGURO</v>
      </c>
      <c r="H619" s="831" t="s">
        <v>649</v>
      </c>
      <c r="I619" s="831" t="s">
        <v>173</v>
      </c>
      <c r="J619" s="831" t="s">
        <v>174</v>
      </c>
      <c r="K619" s="831"/>
      <c r="L619" s="537"/>
      <c r="M619" s="538">
        <f>IF(K619&gt;0,VLOOKUP(H619,'[5]Pob. Ext, Parroquial'!$B$8:$F$117,4,FALSE),0)</f>
        <v>0</v>
      </c>
      <c r="N619" s="834" t="s">
        <v>490</v>
      </c>
      <c r="O619" s="836" t="s">
        <v>176</v>
      </c>
      <c r="P619" s="836">
        <v>0.6</v>
      </c>
      <c r="Q619" s="983">
        <v>1902</v>
      </c>
      <c r="R619" s="948">
        <v>41883</v>
      </c>
      <c r="S619" s="948">
        <v>41912</v>
      </c>
      <c r="T619" s="686" t="str">
        <f t="shared" si="190"/>
        <v>EJECUTADO</v>
      </c>
      <c r="U619" s="838">
        <f t="shared" si="194"/>
        <v>1141.2</v>
      </c>
      <c r="V619" s="544"/>
      <c r="W619" s="544"/>
      <c r="X619" s="1081"/>
      <c r="Y619" s="640"/>
      <c r="Z619" s="545" t="s">
        <v>417</v>
      </c>
      <c r="AA619" s="545" t="s">
        <v>178</v>
      </c>
      <c r="AB619" s="546" t="s">
        <v>179</v>
      </c>
      <c r="AC619" s="547">
        <v>2014</v>
      </c>
      <c r="AD619" s="93"/>
      <c r="AE619" s="93"/>
    </row>
    <row r="620" spans="1:31" s="94" customFormat="1" ht="50.1" customHeight="1">
      <c r="A620" s="910"/>
      <c r="B620" s="914"/>
      <c r="C620" s="985" t="s">
        <v>182</v>
      </c>
      <c r="D620" s="1118"/>
      <c r="E620" s="655" t="str">
        <f t="shared" si="209"/>
        <v>MANTENIMIENTO DE LA VIA TENTA - SELVA ALEGRE</v>
      </c>
      <c r="F620" s="831" t="s">
        <v>415</v>
      </c>
      <c r="G620" s="831" t="str">
        <f>VLOOKUP(H620,'Pob. Ext, Parroquial'!$B$9:$C$117,2,0)</f>
        <v>SARAGURO</v>
      </c>
      <c r="H620" s="831" t="s">
        <v>649</v>
      </c>
      <c r="I620" s="831" t="s">
        <v>173</v>
      </c>
      <c r="J620" s="831" t="s">
        <v>174</v>
      </c>
      <c r="K620" s="831"/>
      <c r="L620" s="537">
        <f>+ROUND(Q620/5500/0.2,2)</f>
        <v>1.91</v>
      </c>
      <c r="M620" s="538">
        <f>IF(K620&gt;0,VLOOKUP(H620,'[5]Pob. Ext, Parroquial'!$B$8:$F$117,4,FALSE),0)</f>
        <v>0</v>
      </c>
      <c r="N620" s="834" t="s">
        <v>495</v>
      </c>
      <c r="O620" s="836" t="s">
        <v>176</v>
      </c>
      <c r="P620" s="836">
        <v>5.92</v>
      </c>
      <c r="Q620" s="983">
        <v>2100</v>
      </c>
      <c r="R620" s="948">
        <v>41883</v>
      </c>
      <c r="S620" s="948">
        <v>41912</v>
      </c>
      <c r="T620" s="686" t="str">
        <f t="shared" si="190"/>
        <v>EJECUTADO</v>
      </c>
      <c r="U620" s="838">
        <f t="shared" si="194"/>
        <v>12432</v>
      </c>
      <c r="V620" s="544"/>
      <c r="W620" s="544"/>
      <c r="X620" s="1081"/>
      <c r="Y620" s="640"/>
      <c r="Z620" s="545" t="s">
        <v>417</v>
      </c>
      <c r="AA620" s="545" t="s">
        <v>178</v>
      </c>
      <c r="AB620" s="546" t="s">
        <v>179</v>
      </c>
      <c r="AC620" s="547">
        <v>2014</v>
      </c>
      <c r="AD620" s="93"/>
      <c r="AE620" s="93"/>
    </row>
    <row r="621" spans="1:31" s="94" customFormat="1" ht="50.1" customHeight="1">
      <c r="A621" s="910"/>
      <c r="B621" s="914"/>
      <c r="C621" s="985" t="s">
        <v>182</v>
      </c>
      <c r="D621" s="1120"/>
      <c r="E621" s="655" t="str">
        <f t="shared" si="209"/>
        <v>MANTENIMIENTO DE LA VIA TENTA - SELVA ALEGRE</v>
      </c>
      <c r="F621" s="831" t="s">
        <v>415</v>
      </c>
      <c r="G621" s="831" t="str">
        <f>VLOOKUP(H621,'Pob. Ext, Parroquial'!$B$9:$C$117,2,0)</f>
        <v>SARAGURO</v>
      </c>
      <c r="H621" s="831" t="s">
        <v>649</v>
      </c>
      <c r="I621" s="831" t="s">
        <v>173</v>
      </c>
      <c r="J621" s="831" t="s">
        <v>174</v>
      </c>
      <c r="K621" s="831"/>
      <c r="L621" s="537"/>
      <c r="M621" s="538">
        <f>IF(K621&gt;0,VLOOKUP(H621,'[5]Pob. Ext, Parroquial'!$B$8:$F$117,4,FALSE),0)</f>
        <v>0</v>
      </c>
      <c r="N621" s="834" t="s">
        <v>496</v>
      </c>
      <c r="O621" s="836" t="s">
        <v>461</v>
      </c>
      <c r="P621" s="836">
        <v>0.3</v>
      </c>
      <c r="Q621" s="983">
        <v>33600</v>
      </c>
      <c r="R621" s="948">
        <v>41883</v>
      </c>
      <c r="S621" s="948">
        <v>41912</v>
      </c>
      <c r="T621" s="686" t="str">
        <f t="shared" si="190"/>
        <v>EJECUTADO</v>
      </c>
      <c r="U621" s="838">
        <f t="shared" si="194"/>
        <v>10080</v>
      </c>
      <c r="V621" s="544"/>
      <c r="W621" s="544"/>
      <c r="X621" s="1082"/>
      <c r="Y621" s="640"/>
      <c r="Z621" s="545" t="s">
        <v>417</v>
      </c>
      <c r="AA621" s="545" t="s">
        <v>178</v>
      </c>
      <c r="AB621" s="546" t="s">
        <v>179</v>
      </c>
      <c r="AC621" s="547">
        <v>2014</v>
      </c>
      <c r="AD621" s="93"/>
      <c r="AE621" s="93"/>
    </row>
    <row r="622" spans="1:31" s="94" customFormat="1" ht="50.1" customHeight="1">
      <c r="A622" s="685"/>
      <c r="B622" s="648"/>
      <c r="C622" s="985" t="s">
        <v>182</v>
      </c>
      <c r="D622" s="1117" t="s">
        <v>472</v>
      </c>
      <c r="E622" s="655" t="str">
        <f>+E593</f>
        <v>MANTENIMIENTO DE LA VÍA EL CISNE - AMBOCAS L=24 km.</v>
      </c>
      <c r="F622" s="831" t="s">
        <v>415</v>
      </c>
      <c r="G622" s="831" t="str">
        <f>VLOOKUP(H622,'Pob. Ext, Parroquial'!$B$9:$C$117,2,0)</f>
        <v>LOJA</v>
      </c>
      <c r="H622" s="831" t="s">
        <v>484</v>
      </c>
      <c r="I622" s="831" t="s">
        <v>173</v>
      </c>
      <c r="J622" s="831" t="s">
        <v>174</v>
      </c>
      <c r="K622" s="831"/>
      <c r="L622" s="537">
        <f t="shared" ref="L622:L625" si="210">ROUNDUP(Q622/5.5/1000,2)</f>
        <v>7.64</v>
      </c>
      <c r="M622" s="538">
        <f>IF(K622&gt;0,VLOOKUP(H622,'[5]Pob. Ext, Parroquial'!$B$8:$F$117,4,FALSE),0)</f>
        <v>0</v>
      </c>
      <c r="N622" s="834" t="s">
        <v>536</v>
      </c>
      <c r="O622" s="836" t="s">
        <v>184</v>
      </c>
      <c r="P622" s="836">
        <v>6.8093799999999996E-2</v>
      </c>
      <c r="Q622" s="983">
        <v>42000</v>
      </c>
      <c r="R622" s="948">
        <v>41883</v>
      </c>
      <c r="S622" s="948">
        <v>41912</v>
      </c>
      <c r="T622" s="686" t="str">
        <f t="shared" si="190"/>
        <v>EJECUTADO</v>
      </c>
      <c r="U622" s="838">
        <f t="shared" si="194"/>
        <v>2859.94</v>
      </c>
      <c r="V622" s="544"/>
      <c r="W622" s="544"/>
      <c r="X622" s="1080">
        <f>SUM(U622:U623)</f>
        <v>3579.94</v>
      </c>
      <c r="Y622" s="640"/>
      <c r="Z622" s="545" t="s">
        <v>417</v>
      </c>
      <c r="AA622" s="545" t="s">
        <v>178</v>
      </c>
      <c r="AB622" s="546" t="s">
        <v>179</v>
      </c>
      <c r="AC622" s="547">
        <v>2014</v>
      </c>
      <c r="AD622" s="93"/>
      <c r="AE622" s="93"/>
    </row>
    <row r="623" spans="1:31" s="94" customFormat="1" ht="50.1" customHeight="1">
      <c r="A623" s="687"/>
      <c r="B623" s="646"/>
      <c r="C623" s="985" t="s">
        <v>182</v>
      </c>
      <c r="D623" s="1118"/>
      <c r="E623" s="655" t="str">
        <f t="shared" si="201"/>
        <v>MANTENIMIENTO DE LA VÍA EL CISNE - AMBOCAS L=24 km.</v>
      </c>
      <c r="F623" s="831" t="s">
        <v>415</v>
      </c>
      <c r="G623" s="831" t="str">
        <f>VLOOKUP(H623,'Pob. Ext, Parroquial'!$B$9:$C$117,2,0)</f>
        <v>LOJA</v>
      </c>
      <c r="H623" s="831" t="s">
        <v>484</v>
      </c>
      <c r="I623" s="831" t="s">
        <v>173</v>
      </c>
      <c r="J623" s="831" t="s">
        <v>174</v>
      </c>
      <c r="K623" s="831"/>
      <c r="L623" s="537">
        <f t="shared" si="210"/>
        <v>1.1000000000000001</v>
      </c>
      <c r="M623" s="538">
        <f>IF(K623&gt;0,VLOOKUP(H623,'[5]Pob. Ext, Parroquial'!$B$8:$F$117,4,FALSE),0)</f>
        <v>0</v>
      </c>
      <c r="N623" s="834" t="s">
        <v>537</v>
      </c>
      <c r="O623" s="836" t="s">
        <v>184</v>
      </c>
      <c r="P623" s="836">
        <v>0.12</v>
      </c>
      <c r="Q623" s="983">
        <v>6000</v>
      </c>
      <c r="R623" s="948">
        <v>41883</v>
      </c>
      <c r="S623" s="948">
        <v>41912</v>
      </c>
      <c r="T623" s="686" t="str">
        <f t="shared" si="190"/>
        <v>EJECUTADO</v>
      </c>
      <c r="U623" s="838">
        <f t="shared" si="194"/>
        <v>720</v>
      </c>
      <c r="V623" s="544"/>
      <c r="W623" s="544"/>
      <c r="X623" s="1082"/>
      <c r="Y623" s="640"/>
      <c r="Z623" s="545" t="s">
        <v>417</v>
      </c>
      <c r="AA623" s="545" t="s">
        <v>178</v>
      </c>
      <c r="AB623" s="546" t="s">
        <v>179</v>
      </c>
      <c r="AC623" s="547">
        <v>2014</v>
      </c>
      <c r="AD623" s="93"/>
      <c r="AE623" s="93"/>
    </row>
    <row r="624" spans="1:31" s="94" customFormat="1" ht="50.1" customHeight="1">
      <c r="A624" s="910"/>
      <c r="B624" s="913"/>
      <c r="C624" s="985" t="s">
        <v>182</v>
      </c>
      <c r="D624" s="927" t="s">
        <v>1058</v>
      </c>
      <c r="E624" s="636" t="str">
        <f t="shared" si="187"/>
        <v>RESANTEO DE LA VIA TUMIANUMA QUINARA</v>
      </c>
      <c r="F624" s="831" t="s">
        <v>415</v>
      </c>
      <c r="G624" s="831" t="str">
        <f>VLOOKUP(H624,'Pob. Ext, Parroquial'!$B$9:$C$117,2,0)</f>
        <v>LOJA</v>
      </c>
      <c r="H624" s="831" t="s">
        <v>598</v>
      </c>
      <c r="I624" s="831" t="s">
        <v>173</v>
      </c>
      <c r="J624" s="831" t="s">
        <v>174</v>
      </c>
      <c r="K624" s="831"/>
      <c r="L624" s="537">
        <f t="shared" si="210"/>
        <v>9.1</v>
      </c>
      <c r="M624" s="538">
        <f>IF(K624&gt;0,VLOOKUP(H624,'[5]Pob. Ext, Parroquial'!$B$8:$F$117,4,FALSE),0)</f>
        <v>0</v>
      </c>
      <c r="N624" s="834" t="s">
        <v>536</v>
      </c>
      <c r="O624" s="836" t="s">
        <v>184</v>
      </c>
      <c r="P624" s="836">
        <f>+P622</f>
        <v>6.8093799999999996E-2</v>
      </c>
      <c r="Q624" s="863">
        <v>50000</v>
      </c>
      <c r="R624" s="948">
        <v>41883</v>
      </c>
      <c r="S624" s="948">
        <v>41912</v>
      </c>
      <c r="T624" s="686" t="str">
        <f t="shared" si="190"/>
        <v>EJECUTADO</v>
      </c>
      <c r="U624" s="838">
        <f t="shared" si="194"/>
        <v>3404.69</v>
      </c>
      <c r="V624" s="544"/>
      <c r="W624" s="544"/>
      <c r="X624" s="912">
        <f t="shared" ref="X624" si="211">U624+V624+W624</f>
        <v>3404.69</v>
      </c>
      <c r="Y624" s="640"/>
      <c r="Z624" s="545" t="s">
        <v>417</v>
      </c>
      <c r="AA624" s="545" t="s">
        <v>178</v>
      </c>
      <c r="AB624" s="546" t="s">
        <v>179</v>
      </c>
      <c r="AC624" s="547">
        <v>2014</v>
      </c>
      <c r="AD624" s="93"/>
      <c r="AE624" s="93"/>
    </row>
    <row r="625" spans="1:39" s="94" customFormat="1" ht="50.1" customHeight="1">
      <c r="A625" s="910" t="s">
        <v>541</v>
      </c>
      <c r="B625" s="914" t="str">
        <f>+T625</f>
        <v>EJECUTADO</v>
      </c>
      <c r="C625" s="985" t="s">
        <v>182</v>
      </c>
      <c r="D625" s="1117" t="s">
        <v>1059</v>
      </c>
      <c r="E625" s="929" t="str">
        <f>+D625</f>
        <v>ADECUACION DEL COLEGIO LA SALLE</v>
      </c>
      <c r="F625" s="831" t="s">
        <v>415</v>
      </c>
      <c r="G625" s="831" t="str">
        <f>VLOOKUP(H625,'Pob. Ext, Parroquial'!$B$9:$C$117,2,0)</f>
        <v>LOJA</v>
      </c>
      <c r="H625" s="831" t="s">
        <v>430</v>
      </c>
      <c r="I625" s="831" t="s">
        <v>173</v>
      </c>
      <c r="J625" s="831" t="s">
        <v>174</v>
      </c>
      <c r="K625" s="831"/>
      <c r="L625" s="537">
        <f t="shared" si="210"/>
        <v>1.46</v>
      </c>
      <c r="M625" s="538">
        <f>IF(K625&gt;0,VLOOKUP(H625,'[5]Pob. Ext, Parroquial'!$B$8:$F$117,4,FALSE),0)</f>
        <v>0</v>
      </c>
      <c r="N625" s="834" t="s">
        <v>536</v>
      </c>
      <c r="O625" s="836" t="s">
        <v>184</v>
      </c>
      <c r="P625" s="836">
        <f>+P624</f>
        <v>6.8093799999999996E-2</v>
      </c>
      <c r="Q625" s="983">
        <v>8000</v>
      </c>
      <c r="R625" s="948">
        <v>41883</v>
      </c>
      <c r="S625" s="948">
        <v>41912</v>
      </c>
      <c r="T625" s="686" t="str">
        <f t="shared" si="190"/>
        <v>EJECUTADO</v>
      </c>
      <c r="U625" s="838">
        <f t="shared" si="194"/>
        <v>544.75</v>
      </c>
      <c r="V625" s="544"/>
      <c r="W625" s="544"/>
      <c r="X625" s="1080">
        <f>SUM(U625:U627)</f>
        <v>2344.75</v>
      </c>
      <c r="Y625" s="640"/>
      <c r="Z625" s="545" t="s">
        <v>417</v>
      </c>
      <c r="AA625" s="545" t="s">
        <v>178</v>
      </c>
      <c r="AB625" s="546" t="s">
        <v>179</v>
      </c>
      <c r="AC625" s="547">
        <v>2014</v>
      </c>
      <c r="AD625" s="93"/>
      <c r="AE625" s="93"/>
    </row>
    <row r="626" spans="1:39" s="94" customFormat="1" ht="50.1" customHeight="1">
      <c r="A626" s="910"/>
      <c r="B626" s="914"/>
      <c r="C626" s="985" t="s">
        <v>182</v>
      </c>
      <c r="D626" s="1118"/>
      <c r="E626" s="929" t="str">
        <f>+E625</f>
        <v>ADECUACION DEL COLEGIO LA SALLE</v>
      </c>
      <c r="F626" s="831" t="s">
        <v>415</v>
      </c>
      <c r="G626" s="831" t="str">
        <f>VLOOKUP(H626,'Pob. Ext, Parroquial'!$B$9:$C$117,2,0)</f>
        <v>LOJA</v>
      </c>
      <c r="H626" s="831" t="s">
        <v>430</v>
      </c>
      <c r="I626" s="831" t="s">
        <v>173</v>
      </c>
      <c r="J626" s="831" t="s">
        <v>174</v>
      </c>
      <c r="K626" s="831"/>
      <c r="L626" s="537"/>
      <c r="M626" s="538">
        <f>IF(K626&gt;0,VLOOKUP(H626,'[5]Pob. Ext, Parroquial'!$B$8:$F$117,4,FALSE),0)</f>
        <v>0</v>
      </c>
      <c r="N626" s="834" t="s">
        <v>490</v>
      </c>
      <c r="O626" s="836" t="s">
        <v>176</v>
      </c>
      <c r="P626" s="836">
        <v>0.6</v>
      </c>
      <c r="Q626" s="983">
        <v>600</v>
      </c>
      <c r="R626" s="948">
        <v>41883</v>
      </c>
      <c r="S626" s="948">
        <v>41912</v>
      </c>
      <c r="T626" s="686" t="str">
        <f t="shared" si="190"/>
        <v>EJECUTADO</v>
      </c>
      <c r="U626" s="838">
        <f t="shared" si="194"/>
        <v>360</v>
      </c>
      <c r="V626" s="544"/>
      <c r="W626" s="544"/>
      <c r="X626" s="1081"/>
      <c r="Y626" s="640"/>
      <c r="Z626" s="545" t="s">
        <v>417</v>
      </c>
      <c r="AA626" s="545" t="s">
        <v>178</v>
      </c>
      <c r="AB626" s="546" t="s">
        <v>179</v>
      </c>
      <c r="AC626" s="547">
        <v>2014</v>
      </c>
      <c r="AD626" s="93"/>
      <c r="AE626" s="93"/>
    </row>
    <row r="627" spans="1:39" s="94" customFormat="1" ht="50.1" customHeight="1">
      <c r="A627" s="910"/>
      <c r="B627" s="914"/>
      <c r="C627" s="985" t="s">
        <v>182</v>
      </c>
      <c r="D627" s="1118"/>
      <c r="E627" s="929" t="str">
        <f>+E626</f>
        <v>ADECUACION DEL COLEGIO LA SALLE</v>
      </c>
      <c r="F627" s="831" t="s">
        <v>415</v>
      </c>
      <c r="G627" s="831" t="str">
        <f>VLOOKUP(H627,'Pob. Ext, Parroquial'!$B$9:$C$117,2,0)</f>
        <v>LOJA</v>
      </c>
      <c r="H627" s="831" t="s">
        <v>430</v>
      </c>
      <c r="I627" s="831" t="s">
        <v>173</v>
      </c>
      <c r="J627" s="831" t="s">
        <v>174</v>
      </c>
      <c r="K627" s="831"/>
      <c r="L627" s="537"/>
      <c r="M627" s="538">
        <f>IF(K627&gt;0,VLOOKUP(H627,'[5]Pob. Ext, Parroquial'!$B$8:$F$117,4,FALSE),0)</f>
        <v>0</v>
      </c>
      <c r="N627" s="834" t="s">
        <v>496</v>
      </c>
      <c r="O627" s="836" t="s">
        <v>461</v>
      </c>
      <c r="P627" s="836">
        <v>0.3</v>
      </c>
      <c r="Q627" s="983">
        <v>4800</v>
      </c>
      <c r="R627" s="948">
        <v>41883</v>
      </c>
      <c r="S627" s="948">
        <v>41912</v>
      </c>
      <c r="T627" s="686" t="str">
        <f t="shared" si="190"/>
        <v>EJECUTADO</v>
      </c>
      <c r="U627" s="838">
        <f t="shared" si="194"/>
        <v>1440</v>
      </c>
      <c r="V627" s="544"/>
      <c r="W627" s="544"/>
      <c r="X627" s="1082"/>
      <c r="Y627" s="640"/>
      <c r="Z627" s="545" t="s">
        <v>417</v>
      </c>
      <c r="AA627" s="545" t="s">
        <v>178</v>
      </c>
      <c r="AB627" s="546" t="s">
        <v>179</v>
      </c>
      <c r="AC627" s="547">
        <v>2014</v>
      </c>
      <c r="AD627" s="93"/>
      <c r="AE627" s="93"/>
      <c r="AM627" s="96" t="s">
        <v>240</v>
      </c>
    </row>
    <row r="628" spans="1:39" s="94" customFormat="1" ht="50.1" customHeight="1">
      <c r="A628" s="910"/>
      <c r="B628" s="914"/>
      <c r="C628" s="985" t="s">
        <v>182</v>
      </c>
      <c r="D628" s="1118" t="s">
        <v>1060</v>
      </c>
      <c r="E628" s="929" t="str">
        <f>+D628</f>
        <v>VIA JIMBILLA LA CHONTA</v>
      </c>
      <c r="F628" s="831" t="s">
        <v>415</v>
      </c>
      <c r="G628" s="831" t="str">
        <f>VLOOKUP(H628,'Pob. Ext, Parroquial'!$B$9:$C$117,2,0)</f>
        <v>LOJA</v>
      </c>
      <c r="H628" s="831" t="s">
        <v>498</v>
      </c>
      <c r="I628" s="831" t="s">
        <v>173</v>
      </c>
      <c r="J628" s="831" t="s">
        <v>174</v>
      </c>
      <c r="K628" s="831"/>
      <c r="L628" s="537">
        <f>ROUNDUP(Q628/5.5/1000,2)</f>
        <v>7.64</v>
      </c>
      <c r="M628" s="538">
        <f>IF(K628&gt;0,VLOOKUP(H628,'[5]Pob. Ext, Parroquial'!$B$8:$F$117,4,FALSE),0)</f>
        <v>0</v>
      </c>
      <c r="N628" s="834" t="s">
        <v>1061</v>
      </c>
      <c r="O628" s="836" t="s">
        <v>184</v>
      </c>
      <c r="P628" s="836">
        <v>0.12</v>
      </c>
      <c r="Q628" s="983">
        <v>42000</v>
      </c>
      <c r="R628" s="948">
        <v>41821</v>
      </c>
      <c r="S628" s="948">
        <v>41851</v>
      </c>
      <c r="T628" s="686" t="str">
        <f t="shared" si="190"/>
        <v>EJECUTADO</v>
      </c>
      <c r="U628" s="838">
        <f t="shared" si="194"/>
        <v>5040</v>
      </c>
      <c r="V628" s="544"/>
      <c r="W628" s="544"/>
      <c r="X628" s="1080">
        <f>SUM(U628:U629)</f>
        <v>9420</v>
      </c>
      <c r="Y628" s="640"/>
      <c r="Z628" s="545" t="s">
        <v>417</v>
      </c>
      <c r="AA628" s="545" t="s">
        <v>178</v>
      </c>
      <c r="AB628" s="546" t="s">
        <v>179</v>
      </c>
      <c r="AC628" s="547">
        <v>2014</v>
      </c>
      <c r="AD628" s="93"/>
      <c r="AE628" s="93"/>
      <c r="AM628" s="97" t="s">
        <v>242</v>
      </c>
    </row>
    <row r="629" spans="1:39" s="94" customFormat="1" ht="50.1" customHeight="1">
      <c r="A629" s="910"/>
      <c r="B629" s="914"/>
      <c r="C629" s="985" t="s">
        <v>182</v>
      </c>
      <c r="D629" s="1120"/>
      <c r="E629" s="929" t="str">
        <f>+E628</f>
        <v>VIA JIMBILLA LA CHONTA</v>
      </c>
      <c r="F629" s="831" t="s">
        <v>415</v>
      </c>
      <c r="G629" s="831" t="str">
        <f>VLOOKUP(H629,'Pob. Ext, Parroquial'!$B$9:$C$117,2,0)</f>
        <v>LOJA</v>
      </c>
      <c r="H629" s="831" t="s">
        <v>498</v>
      </c>
      <c r="I629" s="831" t="s">
        <v>173</v>
      </c>
      <c r="J629" s="831" t="s">
        <v>174</v>
      </c>
      <c r="K629" s="831"/>
      <c r="L629" s="537"/>
      <c r="M629" s="538">
        <f>IF(K629&gt;0,VLOOKUP(H629,'[5]Pob. Ext, Parroquial'!$B$8:$F$117,4,FALSE),0)</f>
        <v>0</v>
      </c>
      <c r="N629" s="834" t="s">
        <v>469</v>
      </c>
      <c r="O629" s="836" t="s">
        <v>418</v>
      </c>
      <c r="P629" s="836">
        <v>1.46</v>
      </c>
      <c r="Q629" s="983">
        <v>3000</v>
      </c>
      <c r="R629" s="948">
        <v>41821</v>
      </c>
      <c r="S629" s="948">
        <v>41851</v>
      </c>
      <c r="T629" s="686" t="str">
        <f t="shared" si="190"/>
        <v>EJECUTADO</v>
      </c>
      <c r="U629" s="838">
        <f t="shared" si="194"/>
        <v>4380</v>
      </c>
      <c r="V629" s="544"/>
      <c r="W629" s="544"/>
      <c r="X629" s="1082"/>
      <c r="Y629" s="640"/>
      <c r="Z629" s="545" t="s">
        <v>417</v>
      </c>
      <c r="AA629" s="545" t="s">
        <v>178</v>
      </c>
      <c r="AB629" s="546" t="s">
        <v>179</v>
      </c>
      <c r="AC629" s="547">
        <v>2014</v>
      </c>
      <c r="AD629" s="93"/>
      <c r="AE629" s="93"/>
      <c r="AM629" s="97" t="s">
        <v>246</v>
      </c>
    </row>
    <row r="630" spans="1:39" s="94" customFormat="1" ht="50.1" customHeight="1">
      <c r="A630" s="910"/>
      <c r="B630" s="914"/>
      <c r="C630" s="985" t="s">
        <v>182</v>
      </c>
      <c r="D630" s="936" t="s">
        <v>1171</v>
      </c>
      <c r="E630" s="929" t="s">
        <v>1171</v>
      </c>
      <c r="F630" s="831" t="s">
        <v>415</v>
      </c>
      <c r="G630" s="831" t="str">
        <f>VLOOKUP(H630,'Pob. Ext, Parroquial'!$B$9:$C$117,2,0)</f>
        <v>LOJA</v>
      </c>
      <c r="H630" s="831" t="s">
        <v>601</v>
      </c>
      <c r="I630" s="831" t="s">
        <v>173</v>
      </c>
      <c r="J630" s="831" t="s">
        <v>174</v>
      </c>
      <c r="K630" s="831"/>
      <c r="L630" s="537">
        <f t="shared" ref="L630:L633" si="212">ROUNDUP(Q630/5.5/1000,2)</f>
        <v>24</v>
      </c>
      <c r="M630" s="538">
        <f>IF(K630&gt;0,VLOOKUP(H630,'[5]Pob. Ext, Parroquial'!$B$8:$F$117,4,FALSE),0)</f>
        <v>0</v>
      </c>
      <c r="N630" s="834" t="s">
        <v>1155</v>
      </c>
      <c r="O630" s="836" t="s">
        <v>224</v>
      </c>
      <c r="P630" s="836">
        <v>0.08</v>
      </c>
      <c r="Q630" s="983">
        <v>132000</v>
      </c>
      <c r="R630" s="948">
        <v>41944</v>
      </c>
      <c r="S630" s="948">
        <v>41973</v>
      </c>
      <c r="T630" s="686" t="str">
        <f>IF(S630&lt;$G$5,"EJECUTADO","EN EJECUCION")</f>
        <v>EN EJECUCION</v>
      </c>
      <c r="U630" s="838">
        <f t="shared" ref="U630:U685" si="213">ROUND(P630*Q630,2)</f>
        <v>10560</v>
      </c>
      <c r="V630" s="544"/>
      <c r="W630" s="544"/>
      <c r="X630" s="912">
        <f t="shared" ref="X630:X652" si="214">U630+V630+W630</f>
        <v>10560</v>
      </c>
      <c r="Y630" s="640"/>
      <c r="Z630" s="545" t="s">
        <v>417</v>
      </c>
      <c r="AA630" s="545" t="s">
        <v>178</v>
      </c>
      <c r="AB630" s="546" t="s">
        <v>179</v>
      </c>
      <c r="AC630" s="547">
        <v>2014</v>
      </c>
      <c r="AD630" s="93"/>
      <c r="AE630" s="93"/>
      <c r="AM630" s="97"/>
    </row>
    <row r="631" spans="1:39" s="94" customFormat="1" ht="50.1" customHeight="1">
      <c r="A631" s="910"/>
      <c r="B631" s="914"/>
      <c r="C631" s="985" t="s">
        <v>182</v>
      </c>
      <c r="D631" s="936" t="s">
        <v>1172</v>
      </c>
      <c r="E631" s="929" t="s">
        <v>1172</v>
      </c>
      <c r="F631" s="831" t="s">
        <v>415</v>
      </c>
      <c r="G631" s="831" t="str">
        <f>VLOOKUP(H631,'Pob. Ext, Parroquial'!$B$9:$C$117,2,0)</f>
        <v>LOJA</v>
      </c>
      <c r="H631" s="831" t="s">
        <v>425</v>
      </c>
      <c r="I631" s="831" t="s">
        <v>173</v>
      </c>
      <c r="J631" s="831" t="s">
        <v>174</v>
      </c>
      <c r="K631" s="831"/>
      <c r="L631" s="537">
        <f t="shared" si="212"/>
        <v>15.459999999999999</v>
      </c>
      <c r="M631" s="538">
        <f>IF(K631&gt;0,VLOOKUP(H631,'[5]Pob. Ext, Parroquial'!$B$8:$F$117,4,FALSE),0)</f>
        <v>0</v>
      </c>
      <c r="N631" s="834" t="s">
        <v>1155</v>
      </c>
      <c r="O631" s="836" t="s">
        <v>224</v>
      </c>
      <c r="P631" s="836">
        <v>0.08</v>
      </c>
      <c r="Q631" s="983">
        <v>85000</v>
      </c>
      <c r="R631" s="948">
        <v>41944</v>
      </c>
      <c r="S631" s="948">
        <v>41973</v>
      </c>
      <c r="T631" s="686" t="str">
        <f>IF(S631&lt;$G$5,"EJECUTADO","EN EJECUCION")</f>
        <v>EN EJECUCION</v>
      </c>
      <c r="U631" s="838">
        <f t="shared" si="213"/>
        <v>6800</v>
      </c>
      <c r="V631" s="544"/>
      <c r="W631" s="544"/>
      <c r="X631" s="912">
        <f t="shared" si="214"/>
        <v>6800</v>
      </c>
      <c r="Y631" s="640"/>
      <c r="Z631" s="545" t="s">
        <v>417</v>
      </c>
      <c r="AA631" s="545" t="s">
        <v>178</v>
      </c>
      <c r="AB631" s="546" t="s">
        <v>179</v>
      </c>
      <c r="AC631" s="547">
        <v>2014</v>
      </c>
      <c r="AD631" s="93"/>
      <c r="AE631" s="93"/>
      <c r="AM631" s="97"/>
    </row>
    <row r="632" spans="1:39" s="94" customFormat="1" ht="50.1" customHeight="1">
      <c r="A632" s="910"/>
      <c r="B632" s="914"/>
      <c r="C632" s="985" t="s">
        <v>182</v>
      </c>
      <c r="D632" s="936" t="s">
        <v>1173</v>
      </c>
      <c r="E632" s="929" t="str">
        <f>+D632</f>
        <v>MANTENIMIENTO DE LAS VIA PUNZARA LA ARGENTINA  (CONTRATO)</v>
      </c>
      <c r="F632" s="831" t="s">
        <v>415</v>
      </c>
      <c r="G632" s="831" t="str">
        <f>VLOOKUP(H632,'Pob. Ext, Parroquial'!$B$9:$C$117,2,0)</f>
        <v>LOJA</v>
      </c>
      <c r="H632" s="831" t="s">
        <v>425</v>
      </c>
      <c r="I632" s="831" t="s">
        <v>173</v>
      </c>
      <c r="J632" s="831" t="s">
        <v>174</v>
      </c>
      <c r="K632" s="831"/>
      <c r="L632" s="537">
        <f t="shared" si="212"/>
        <v>9.1</v>
      </c>
      <c r="M632" s="538">
        <f>IF(K632&gt;0,VLOOKUP(H632,'[5]Pob. Ext, Parroquial'!$B$8:$F$117,4,FALSE),0)</f>
        <v>0</v>
      </c>
      <c r="N632" s="834" t="s">
        <v>1155</v>
      </c>
      <c r="O632" s="836" t="s">
        <v>224</v>
      </c>
      <c r="P632" s="836">
        <v>0.12</v>
      </c>
      <c r="Q632" s="983">
        <v>50000</v>
      </c>
      <c r="R632" s="948">
        <v>41944</v>
      </c>
      <c r="S632" s="948">
        <v>41973</v>
      </c>
      <c r="T632" s="686" t="str">
        <f>IF(S632&lt;$G$5,"EJECUTADO","EN EJECUCION")</f>
        <v>EN EJECUCION</v>
      </c>
      <c r="U632" s="838">
        <f t="shared" si="213"/>
        <v>6000</v>
      </c>
      <c r="V632" s="544"/>
      <c r="W632" s="544"/>
      <c r="X632" s="912">
        <f t="shared" si="214"/>
        <v>6000</v>
      </c>
      <c r="Y632" s="640"/>
      <c r="Z632" s="545" t="s">
        <v>417</v>
      </c>
      <c r="AA632" s="545" t="s">
        <v>178</v>
      </c>
      <c r="AB632" s="546" t="s">
        <v>179</v>
      </c>
      <c r="AC632" s="547">
        <v>2014</v>
      </c>
      <c r="AD632" s="93"/>
      <c r="AE632" s="93"/>
      <c r="AM632" s="97"/>
    </row>
    <row r="633" spans="1:39" s="94" customFormat="1" ht="50.1" customHeight="1">
      <c r="A633" s="910" t="s">
        <v>540</v>
      </c>
      <c r="B633" s="914" t="str">
        <f>+T633</f>
        <v>EN EJECUCION</v>
      </c>
      <c r="C633" s="985" t="s">
        <v>182</v>
      </c>
      <c r="D633" s="1117" t="s">
        <v>1174</v>
      </c>
      <c r="E633" s="636" t="str">
        <f>+D633</f>
        <v>MANTENIMIENTO DE LA VIA SELVA ALEGRE - SAN LUIS</v>
      </c>
      <c r="F633" s="831" t="s">
        <v>415</v>
      </c>
      <c r="G633" s="831" t="str">
        <f>VLOOKUP(H633,'Pob. Ext, Parroquial'!$B$9:$C$117,2,0)</f>
        <v>SARAGURO</v>
      </c>
      <c r="H633" s="831" t="s">
        <v>649</v>
      </c>
      <c r="I633" s="831" t="s">
        <v>173</v>
      </c>
      <c r="J633" s="831" t="s">
        <v>174</v>
      </c>
      <c r="K633" s="831"/>
      <c r="L633" s="537">
        <f t="shared" si="212"/>
        <v>21.1</v>
      </c>
      <c r="M633" s="538">
        <f>IF(K633&gt;0,VLOOKUP(H633,'[5]Pob. Ext, Parroquial'!$B$8:$F$117,4,FALSE),0)</f>
        <v>0</v>
      </c>
      <c r="N633" s="834" t="s">
        <v>489</v>
      </c>
      <c r="O633" s="836" t="s">
        <v>184</v>
      </c>
      <c r="P633" s="836">
        <v>0.25</v>
      </c>
      <c r="Q633" s="983">
        <v>116000</v>
      </c>
      <c r="R633" s="948">
        <v>41944</v>
      </c>
      <c r="S633" s="948">
        <v>41993</v>
      </c>
      <c r="T633" s="686" t="str">
        <f t="shared" ref="T633:T636" si="215">IF(S633&lt;$G$5,"EJECUTADO","EN EJECUCION")</f>
        <v>EN EJECUCION</v>
      </c>
      <c r="U633" s="838">
        <f t="shared" si="213"/>
        <v>29000</v>
      </c>
      <c r="V633" s="544"/>
      <c r="W633" s="544"/>
      <c r="X633" s="1080">
        <f>SUM(U633:U636)</f>
        <v>63084</v>
      </c>
      <c r="Y633" s="640"/>
      <c r="Z633" s="545" t="s">
        <v>417</v>
      </c>
      <c r="AA633" s="545" t="s">
        <v>178</v>
      </c>
      <c r="AB633" s="546" t="s">
        <v>179</v>
      </c>
      <c r="AC633" s="547">
        <v>2014</v>
      </c>
      <c r="AD633" s="93"/>
      <c r="AE633" s="93"/>
      <c r="AM633" s="97"/>
    </row>
    <row r="634" spans="1:39" s="94" customFormat="1" ht="50.1" customHeight="1">
      <c r="A634" s="910"/>
      <c r="B634" s="914"/>
      <c r="C634" s="985" t="s">
        <v>182</v>
      </c>
      <c r="D634" s="1118"/>
      <c r="E634" s="655" t="str">
        <f t="shared" ref="E634:E636" si="216">+E633</f>
        <v>MANTENIMIENTO DE LA VIA SELVA ALEGRE - SAN LUIS</v>
      </c>
      <c r="F634" s="831" t="s">
        <v>415</v>
      </c>
      <c r="G634" s="831" t="str">
        <f>VLOOKUP(H634,'Pob. Ext, Parroquial'!$B$9:$C$117,2,0)</f>
        <v>SARAGURO</v>
      </c>
      <c r="H634" s="831" t="s">
        <v>649</v>
      </c>
      <c r="I634" s="831" t="s">
        <v>173</v>
      </c>
      <c r="J634" s="831" t="s">
        <v>174</v>
      </c>
      <c r="K634" s="831"/>
      <c r="L634" s="537"/>
      <c r="M634" s="538">
        <f>IF(K634&gt;0,VLOOKUP(H634,'[5]Pob. Ext, Parroquial'!$B$8:$F$117,4,FALSE),0)</f>
        <v>0</v>
      </c>
      <c r="N634" s="834" t="s">
        <v>490</v>
      </c>
      <c r="O634" s="836" t="s">
        <v>176</v>
      </c>
      <c r="P634" s="836">
        <v>0.6</v>
      </c>
      <c r="Q634" s="983">
        <v>1500</v>
      </c>
      <c r="R634" s="948">
        <v>41944</v>
      </c>
      <c r="S634" s="948">
        <v>41993</v>
      </c>
      <c r="T634" s="686" t="str">
        <f t="shared" si="215"/>
        <v>EN EJECUCION</v>
      </c>
      <c r="U634" s="838">
        <f t="shared" si="213"/>
        <v>900</v>
      </c>
      <c r="V634" s="544"/>
      <c r="W634" s="544"/>
      <c r="X634" s="1081"/>
      <c r="Y634" s="640"/>
      <c r="Z634" s="545" t="s">
        <v>417</v>
      </c>
      <c r="AA634" s="545" t="s">
        <v>178</v>
      </c>
      <c r="AB634" s="546" t="s">
        <v>179</v>
      </c>
      <c r="AC634" s="547">
        <v>2014</v>
      </c>
      <c r="AD634" s="93"/>
      <c r="AE634" s="93"/>
      <c r="AM634" s="97"/>
    </row>
    <row r="635" spans="1:39" s="94" customFormat="1" ht="50.1" customHeight="1">
      <c r="A635" s="910"/>
      <c r="B635" s="914"/>
      <c r="C635" s="985" t="s">
        <v>182</v>
      </c>
      <c r="D635" s="1118"/>
      <c r="E635" s="655" t="str">
        <f t="shared" si="216"/>
        <v>MANTENIMIENTO DE LA VIA SELVA ALEGRE - SAN LUIS</v>
      </c>
      <c r="F635" s="831" t="s">
        <v>415</v>
      </c>
      <c r="G635" s="831" t="str">
        <f>VLOOKUP(H635,'Pob. Ext, Parroquial'!$B$9:$C$117,2,0)</f>
        <v>SARAGURO</v>
      </c>
      <c r="H635" s="831" t="s">
        <v>649</v>
      </c>
      <c r="I635" s="831" t="s">
        <v>173</v>
      </c>
      <c r="J635" s="831" t="s">
        <v>174</v>
      </c>
      <c r="K635" s="831"/>
      <c r="L635" s="537">
        <f>+ROUND(Q635/5500/0.2,2)</f>
        <v>2.76</v>
      </c>
      <c r="M635" s="538">
        <f>IF(K635&gt;0,VLOOKUP(H635,'[5]Pob. Ext, Parroquial'!$B$8:$F$117,4,FALSE),0)</f>
        <v>0</v>
      </c>
      <c r="N635" s="834" t="s">
        <v>495</v>
      </c>
      <c r="O635" s="836" t="s">
        <v>176</v>
      </c>
      <c r="P635" s="836">
        <v>5.2</v>
      </c>
      <c r="Q635" s="983">
        <v>3040</v>
      </c>
      <c r="R635" s="948">
        <v>41944</v>
      </c>
      <c r="S635" s="948">
        <v>41993</v>
      </c>
      <c r="T635" s="686" t="str">
        <f t="shared" si="215"/>
        <v>EN EJECUCION</v>
      </c>
      <c r="U635" s="838">
        <f t="shared" si="213"/>
        <v>15808</v>
      </c>
      <c r="V635" s="544"/>
      <c r="W635" s="544"/>
      <c r="X635" s="1081"/>
      <c r="Y635" s="640"/>
      <c r="Z635" s="545" t="s">
        <v>417</v>
      </c>
      <c r="AA635" s="545" t="s">
        <v>178</v>
      </c>
      <c r="AB635" s="546" t="s">
        <v>179</v>
      </c>
      <c r="AC635" s="547">
        <v>2014</v>
      </c>
      <c r="AD635" s="93"/>
      <c r="AE635" s="93"/>
      <c r="AM635" s="97"/>
    </row>
    <row r="636" spans="1:39" s="94" customFormat="1" ht="50.1" customHeight="1">
      <c r="A636" s="910"/>
      <c r="B636" s="914"/>
      <c r="C636" s="985" t="s">
        <v>182</v>
      </c>
      <c r="D636" s="1118"/>
      <c r="E636" s="655" t="str">
        <f t="shared" si="216"/>
        <v>MANTENIMIENTO DE LA VIA SELVA ALEGRE - SAN LUIS</v>
      </c>
      <c r="F636" s="831" t="s">
        <v>415</v>
      </c>
      <c r="G636" s="831" t="str">
        <f>VLOOKUP(H636,'Pob. Ext, Parroquial'!$B$9:$C$117,2,0)</f>
        <v>SARAGURO</v>
      </c>
      <c r="H636" s="831" t="s">
        <v>649</v>
      </c>
      <c r="I636" s="831" t="s">
        <v>173</v>
      </c>
      <c r="J636" s="831" t="s">
        <v>174</v>
      </c>
      <c r="K636" s="831"/>
      <c r="L636" s="537"/>
      <c r="M636" s="538">
        <f>IF(K636&gt;0,VLOOKUP(H636,'[5]Pob. Ext, Parroquial'!$B$8:$F$117,4,FALSE),0)</f>
        <v>0</v>
      </c>
      <c r="N636" s="834" t="s">
        <v>496</v>
      </c>
      <c r="O636" s="836" t="s">
        <v>461</v>
      </c>
      <c r="P636" s="836">
        <v>0.3</v>
      </c>
      <c r="Q636" s="983">
        <v>57920</v>
      </c>
      <c r="R636" s="948">
        <v>41944</v>
      </c>
      <c r="S636" s="948">
        <v>41993</v>
      </c>
      <c r="T636" s="686" t="str">
        <f t="shared" si="215"/>
        <v>EN EJECUCION</v>
      </c>
      <c r="U636" s="838">
        <f t="shared" si="213"/>
        <v>17376</v>
      </c>
      <c r="V636" s="544"/>
      <c r="W636" s="544"/>
      <c r="X636" s="1082"/>
      <c r="Y636" s="640"/>
      <c r="Z636" s="545" t="s">
        <v>417</v>
      </c>
      <c r="AA636" s="545" t="s">
        <v>178</v>
      </c>
      <c r="AB636" s="546" t="s">
        <v>179</v>
      </c>
      <c r="AC636" s="547">
        <v>2014</v>
      </c>
      <c r="AD636" s="93"/>
      <c r="AE636" s="93"/>
      <c r="AM636" s="97"/>
    </row>
    <row r="637" spans="1:39" s="94" customFormat="1" ht="50.1" customHeight="1">
      <c r="A637" s="979"/>
      <c r="B637" s="981"/>
      <c r="C637" s="985" t="s">
        <v>182</v>
      </c>
      <c r="D637" s="936" t="s">
        <v>1541</v>
      </c>
      <c r="E637" s="929" t="str">
        <f>+D637</f>
        <v>MANTENIMIENTO DE LA VIA EL CISNE - GUALEL</v>
      </c>
      <c r="F637" s="831" t="s">
        <v>415</v>
      </c>
      <c r="G637" s="831" t="str">
        <f>VLOOKUP(H637,'Pob. Ext, Parroquial'!$B$9:$C$117,2,0)</f>
        <v>LOJA</v>
      </c>
      <c r="H637" s="831" t="s">
        <v>484</v>
      </c>
      <c r="I637" s="831" t="s">
        <v>173</v>
      </c>
      <c r="J637" s="831" t="s">
        <v>174</v>
      </c>
      <c r="K637" s="831"/>
      <c r="L637" s="537"/>
      <c r="M637" s="538">
        <f>IF(K637&gt;0,VLOOKUP(H637,'[5]Pob. Ext, Parroquial'!$B$8:$F$117,4,FALSE),0)</f>
        <v>0</v>
      </c>
      <c r="N637" s="834" t="s">
        <v>1155</v>
      </c>
      <c r="O637" s="836" t="s">
        <v>224</v>
      </c>
      <c r="P637" s="836">
        <v>0.08</v>
      </c>
      <c r="Q637" s="983">
        <v>85000</v>
      </c>
      <c r="R637" s="948">
        <v>41974</v>
      </c>
      <c r="S637" s="948">
        <v>41993</v>
      </c>
      <c r="T637" s="686" t="str">
        <f>IF(S637&lt;$G$5,"EJECUTADO","EN EJECUCION")</f>
        <v>EN EJECUCION</v>
      </c>
      <c r="U637" s="838">
        <f t="shared" ref="U637" si="217">ROUND(P637*Q637,2)</f>
        <v>6800</v>
      </c>
      <c r="V637" s="544"/>
      <c r="W637" s="544"/>
      <c r="X637" s="978">
        <f t="shared" ref="X637" si="218">U637+V637+W637</f>
        <v>6800</v>
      </c>
      <c r="Y637" s="640"/>
      <c r="Z637" s="545" t="s">
        <v>417</v>
      </c>
      <c r="AA637" s="545" t="s">
        <v>178</v>
      </c>
      <c r="AB637" s="546" t="s">
        <v>179</v>
      </c>
      <c r="AC637" s="547">
        <v>2014</v>
      </c>
      <c r="AD637" s="93"/>
      <c r="AE637" s="93"/>
      <c r="AM637" s="97"/>
    </row>
    <row r="638" spans="1:39" s="94" customFormat="1" ht="50.1" customHeight="1">
      <c r="A638" s="979"/>
      <c r="B638" s="981"/>
      <c r="C638" s="985" t="s">
        <v>182</v>
      </c>
      <c r="D638" s="936" t="s">
        <v>1542</v>
      </c>
      <c r="E638" s="929" t="str">
        <f t="shared" ref="E638:E641" si="219">+D638</f>
        <v>MANTENIMIENTO DE LA VIA CHUQUIRIBAMBA-YEE DE PORDEL-GONZABAL</v>
      </c>
      <c r="F638" s="831" t="s">
        <v>415</v>
      </c>
      <c r="G638" s="831" t="str">
        <f>VLOOKUP(H638,'Pob. Ext, Parroquial'!$B$9:$C$117,2,0)</f>
        <v>LOJA</v>
      </c>
      <c r="H638" s="831" t="s">
        <v>484</v>
      </c>
      <c r="I638" s="831" t="s">
        <v>173</v>
      </c>
      <c r="J638" s="831" t="s">
        <v>174</v>
      </c>
      <c r="K638" s="831"/>
      <c r="L638" s="537"/>
      <c r="M638" s="538">
        <f>IF(K638&gt;0,VLOOKUP(H638,'[5]Pob. Ext, Parroquial'!$B$8:$F$117,4,FALSE),0)</f>
        <v>0</v>
      </c>
      <c r="N638" s="834" t="s">
        <v>255</v>
      </c>
      <c r="O638" s="836" t="s">
        <v>224</v>
      </c>
      <c r="P638" s="836">
        <v>0.3</v>
      </c>
      <c r="Q638" s="983">
        <v>35750</v>
      </c>
      <c r="R638" s="948">
        <v>41974</v>
      </c>
      <c r="S638" s="948">
        <v>41993</v>
      </c>
      <c r="T638" s="686" t="str">
        <f t="shared" ref="T638:T641" si="220">IF(S638&lt;$G$5,"EJECUTADO","EN EJECUCION")</f>
        <v>EN EJECUCION</v>
      </c>
      <c r="U638" s="838">
        <f t="shared" ref="U638:U641" si="221">ROUND(P638*Q638,2)</f>
        <v>10725</v>
      </c>
      <c r="V638" s="544"/>
      <c r="W638" s="544"/>
      <c r="X638" s="978">
        <f t="shared" ref="X638:X641" si="222">U638+V638+W638</f>
        <v>10725</v>
      </c>
      <c r="Y638" s="640"/>
      <c r="Z638" s="545" t="s">
        <v>417</v>
      </c>
      <c r="AA638" s="545" t="s">
        <v>178</v>
      </c>
      <c r="AB638" s="546" t="s">
        <v>179</v>
      </c>
      <c r="AC638" s="547">
        <v>2014</v>
      </c>
      <c r="AD638" s="93"/>
      <c r="AE638" s="93"/>
      <c r="AM638" s="97"/>
    </row>
    <row r="639" spans="1:39" s="94" customFormat="1" ht="50.1" customHeight="1">
      <c r="A639" s="979"/>
      <c r="B639" s="981"/>
      <c r="C639" s="985" t="s">
        <v>182</v>
      </c>
      <c r="D639" s="936" t="s">
        <v>1542</v>
      </c>
      <c r="E639" s="929" t="str">
        <f t="shared" si="219"/>
        <v>MANTENIMIENTO DE LA VIA CHUQUIRIBAMBA-YEE DE PORDEL-GONZABAL</v>
      </c>
      <c r="F639" s="831" t="s">
        <v>415</v>
      </c>
      <c r="G639" s="831" t="str">
        <f>VLOOKUP(H639,'Pob. Ext, Parroquial'!$B$9:$C$117,2,0)</f>
        <v>LOJA</v>
      </c>
      <c r="H639" s="831" t="s">
        <v>484</v>
      </c>
      <c r="I639" s="831" t="s">
        <v>173</v>
      </c>
      <c r="J639" s="831" t="s">
        <v>174</v>
      </c>
      <c r="K639" s="831"/>
      <c r="L639" s="537"/>
      <c r="M639" s="538">
        <f>IF(K639&gt;0,VLOOKUP(H639,'[5]Pob. Ext, Parroquial'!$B$8:$F$117,4,FALSE),0)</f>
        <v>0</v>
      </c>
      <c r="N639" s="834" t="s">
        <v>469</v>
      </c>
      <c r="O639" s="836" t="s">
        <v>418</v>
      </c>
      <c r="P639" s="836">
        <v>1.18</v>
      </c>
      <c r="Q639" s="983">
        <v>300</v>
      </c>
      <c r="R639" s="948">
        <v>41974</v>
      </c>
      <c r="S639" s="948">
        <v>41993</v>
      </c>
      <c r="T639" s="686" t="str">
        <f t="shared" si="220"/>
        <v>EN EJECUCION</v>
      </c>
      <c r="U639" s="838">
        <f t="shared" si="221"/>
        <v>354</v>
      </c>
      <c r="V639" s="544"/>
      <c r="W639" s="544"/>
      <c r="X639" s="978">
        <f t="shared" si="222"/>
        <v>354</v>
      </c>
      <c r="Y639" s="640"/>
      <c r="Z639" s="545" t="s">
        <v>417</v>
      </c>
      <c r="AA639" s="545" t="s">
        <v>178</v>
      </c>
      <c r="AB639" s="546" t="s">
        <v>179</v>
      </c>
      <c r="AC639" s="547">
        <v>2014</v>
      </c>
      <c r="AD639" s="93"/>
      <c r="AE639" s="93"/>
      <c r="AM639" s="97"/>
    </row>
    <row r="640" spans="1:39" s="94" customFormat="1" ht="50.1" customHeight="1">
      <c r="A640" s="979"/>
      <c r="B640" s="981"/>
      <c r="C640" s="985" t="s">
        <v>182</v>
      </c>
      <c r="D640" s="936" t="s">
        <v>1542</v>
      </c>
      <c r="E640" s="929" t="str">
        <f t="shared" si="219"/>
        <v>MANTENIMIENTO DE LA VIA CHUQUIRIBAMBA-YEE DE PORDEL-GONZABAL</v>
      </c>
      <c r="F640" s="831" t="s">
        <v>415</v>
      </c>
      <c r="G640" s="831" t="str">
        <f>VLOOKUP(H640,'Pob. Ext, Parroquial'!$B$9:$C$117,2,0)</f>
        <v>LOJA</v>
      </c>
      <c r="H640" s="831" t="s">
        <v>484</v>
      </c>
      <c r="I640" s="831" t="s">
        <v>173</v>
      </c>
      <c r="J640" s="831" t="s">
        <v>174</v>
      </c>
      <c r="K640" s="831"/>
      <c r="L640" s="537"/>
      <c r="M640" s="538">
        <f>IF(K640&gt;0,VLOOKUP(H640,'[5]Pob. Ext, Parroquial'!$B$8:$F$117,4,FALSE),0)</f>
        <v>0</v>
      </c>
      <c r="N640" s="834" t="s">
        <v>1543</v>
      </c>
      <c r="O640" s="836" t="s">
        <v>418</v>
      </c>
      <c r="P640" s="836">
        <v>0.27</v>
      </c>
      <c r="Q640" s="983">
        <v>10500</v>
      </c>
      <c r="R640" s="948">
        <v>41974</v>
      </c>
      <c r="S640" s="948">
        <v>41993</v>
      </c>
      <c r="T640" s="686" t="str">
        <f t="shared" si="220"/>
        <v>EN EJECUCION</v>
      </c>
      <c r="U640" s="838">
        <f t="shared" si="221"/>
        <v>2835</v>
      </c>
      <c r="V640" s="544"/>
      <c r="W640" s="544"/>
      <c r="X640" s="978">
        <f t="shared" si="222"/>
        <v>2835</v>
      </c>
      <c r="Y640" s="640"/>
      <c r="Z640" s="545" t="s">
        <v>417</v>
      </c>
      <c r="AA640" s="545" t="s">
        <v>178</v>
      </c>
      <c r="AB640" s="546" t="s">
        <v>179</v>
      </c>
      <c r="AC640" s="547">
        <v>2014</v>
      </c>
      <c r="AD640" s="93"/>
      <c r="AE640" s="93"/>
      <c r="AM640" s="97"/>
    </row>
    <row r="641" spans="1:39" s="94" customFormat="1" ht="50.1" customHeight="1">
      <c r="A641" s="979"/>
      <c r="B641" s="981"/>
      <c r="C641" s="985" t="s">
        <v>182</v>
      </c>
      <c r="D641" s="936" t="s">
        <v>1542</v>
      </c>
      <c r="E641" s="929" t="str">
        <f t="shared" si="219"/>
        <v>MANTENIMIENTO DE LA VIA CHUQUIRIBAMBA-YEE DE PORDEL-GONZABAL</v>
      </c>
      <c r="F641" s="831" t="s">
        <v>415</v>
      </c>
      <c r="G641" s="831" t="str">
        <f>VLOOKUP(H641,'Pob. Ext, Parroquial'!$B$9:$C$117,2,0)</f>
        <v>LOJA</v>
      </c>
      <c r="H641" s="831" t="s">
        <v>484</v>
      </c>
      <c r="I641" s="831" t="s">
        <v>173</v>
      </c>
      <c r="J641" s="831" t="s">
        <v>174</v>
      </c>
      <c r="K641" s="831"/>
      <c r="L641" s="537"/>
      <c r="M641" s="538">
        <f>IF(K641&gt;0,VLOOKUP(H641,'[5]Pob. Ext, Parroquial'!$B$8:$F$117,4,FALSE),0)</f>
        <v>0</v>
      </c>
      <c r="N641" s="834" t="s">
        <v>1544</v>
      </c>
      <c r="O641" s="836" t="s">
        <v>440</v>
      </c>
      <c r="P641" s="836">
        <v>4.43</v>
      </c>
      <c r="Q641" s="983">
        <v>2100</v>
      </c>
      <c r="R641" s="948">
        <v>41974</v>
      </c>
      <c r="S641" s="948">
        <v>41993</v>
      </c>
      <c r="T641" s="686" t="str">
        <f t="shared" si="220"/>
        <v>EN EJECUCION</v>
      </c>
      <c r="U641" s="838">
        <f t="shared" si="221"/>
        <v>9303</v>
      </c>
      <c r="V641" s="544"/>
      <c r="W641" s="544"/>
      <c r="X641" s="978">
        <f t="shared" si="222"/>
        <v>9303</v>
      </c>
      <c r="Y641" s="640"/>
      <c r="Z641" s="545" t="s">
        <v>417</v>
      </c>
      <c r="AA641" s="545" t="s">
        <v>178</v>
      </c>
      <c r="AB641" s="546" t="s">
        <v>179</v>
      </c>
      <c r="AC641" s="547">
        <v>2014</v>
      </c>
      <c r="AD641" s="93"/>
      <c r="AE641" s="93"/>
      <c r="AM641" s="97"/>
    </row>
    <row r="642" spans="1:39" s="94" customFormat="1" ht="50.1" customHeight="1">
      <c r="A642" s="910"/>
      <c r="B642" s="914"/>
      <c r="C642" s="927" t="s">
        <v>1183</v>
      </c>
      <c r="D642" s="936" t="s">
        <v>1480</v>
      </c>
      <c r="E642" s="929" t="str">
        <f t="shared" ref="E642:E652" si="223">+D642</f>
        <v>ESTUDIOS DE IMPACTO AMBIENTAL EN LA PROVINCIA</v>
      </c>
      <c r="F642" s="831" t="s">
        <v>415</v>
      </c>
      <c r="G642" s="831" t="str">
        <f>VLOOKUP(H642,'Pob. Ext, Parroquial'!$B$9:$C$117,2,0)</f>
        <v>LOJA</v>
      </c>
      <c r="H642" s="831" t="s">
        <v>430</v>
      </c>
      <c r="I642" s="831" t="s">
        <v>173</v>
      </c>
      <c r="J642" s="831" t="s">
        <v>174</v>
      </c>
      <c r="K642" s="831"/>
      <c r="L642" s="537"/>
      <c r="M642" s="538">
        <f>IF(K642&gt;0,VLOOKUP(H642,'[5]Pob. Ext, Parroquial'!$B$8:$F$117,4,FALSE),0)</f>
        <v>0</v>
      </c>
      <c r="N642" s="834" t="s">
        <v>1355</v>
      </c>
      <c r="O642" s="836" t="s">
        <v>532</v>
      </c>
      <c r="P642" s="836">
        <v>1</v>
      </c>
      <c r="Q642" s="863">
        <v>35214.21</v>
      </c>
      <c r="R642" s="948">
        <v>41640</v>
      </c>
      <c r="S642" s="948">
        <v>41760</v>
      </c>
      <c r="T642" s="686" t="str">
        <f t="shared" ref="T642:T652" si="224">IF(S642&lt;$G$5,"EJECUTADO","EN EJECUCION")</f>
        <v>EJECUTADO</v>
      </c>
      <c r="U642" s="838">
        <f t="shared" si="213"/>
        <v>35214.21</v>
      </c>
      <c r="V642" s="544"/>
      <c r="W642" s="544"/>
      <c r="X642" s="912">
        <f t="shared" si="214"/>
        <v>35214.21</v>
      </c>
      <c r="Y642" s="640"/>
      <c r="Z642" s="545" t="s">
        <v>1481</v>
      </c>
      <c r="AA642" s="545" t="s">
        <v>178</v>
      </c>
      <c r="AB642" s="546" t="s">
        <v>179</v>
      </c>
      <c r="AC642" s="547">
        <v>2014</v>
      </c>
      <c r="AD642" s="93"/>
      <c r="AE642" s="93"/>
      <c r="AM642" s="97"/>
    </row>
    <row r="643" spans="1:39" s="94" customFormat="1" ht="50.1" customHeight="1">
      <c r="A643" s="910"/>
      <c r="B643" s="914"/>
      <c r="C643" s="927" t="s">
        <v>1183</v>
      </c>
      <c r="D643" s="936" t="s">
        <v>1496</v>
      </c>
      <c r="E643" s="929" t="str">
        <f t="shared" si="223"/>
        <v>ESTUDIO DE LA VIA CHAQUIRCUÑA 75 % DE AVANCE</v>
      </c>
      <c r="F643" s="831" t="s">
        <v>330</v>
      </c>
      <c r="G643" s="831" t="str">
        <f>VLOOKUP(H643,'Pob. Ext, Parroquial'!$B$9:$C$117,2,0)</f>
        <v>CATAMAYO</v>
      </c>
      <c r="H643" s="831" t="s">
        <v>348</v>
      </c>
      <c r="I643" s="831" t="s">
        <v>173</v>
      </c>
      <c r="J643" s="831" t="s">
        <v>174</v>
      </c>
      <c r="K643" s="831"/>
      <c r="L643" s="537">
        <v>6.7</v>
      </c>
      <c r="M643" s="538">
        <f>IF(K643&gt;0,VLOOKUP(H643,'[5]Pob. Ext, Parroquial'!$B$8:$F$117,4,FALSE),0)</f>
        <v>0</v>
      </c>
      <c r="N643" s="834" t="s">
        <v>1497</v>
      </c>
      <c r="O643" s="836" t="s">
        <v>532</v>
      </c>
      <c r="P643" s="836">
        <v>7000</v>
      </c>
      <c r="Q643" s="863">
        <f>+L643</f>
        <v>6.7</v>
      </c>
      <c r="R643" s="948">
        <v>41640</v>
      </c>
      <c r="S643" s="948">
        <v>41760</v>
      </c>
      <c r="T643" s="686" t="str">
        <f t="shared" si="224"/>
        <v>EJECUTADO</v>
      </c>
      <c r="U643" s="838">
        <f t="shared" si="213"/>
        <v>46900</v>
      </c>
      <c r="V643" s="544"/>
      <c r="W643" s="544"/>
      <c r="X643" s="912">
        <f t="shared" si="214"/>
        <v>46900</v>
      </c>
      <c r="Y643" s="640"/>
      <c r="Z643" s="545"/>
      <c r="AA643" s="545"/>
      <c r="AB643" s="546"/>
      <c r="AC643" s="547"/>
      <c r="AD643" s="93"/>
      <c r="AE643" s="93"/>
      <c r="AM643" s="97"/>
    </row>
    <row r="644" spans="1:39" s="94" customFormat="1" ht="84.6" customHeight="1">
      <c r="A644" s="910"/>
      <c r="B644" s="914"/>
      <c r="C644" s="927" t="s">
        <v>1183</v>
      </c>
      <c r="D644" s="936" t="s">
        <v>1498</v>
      </c>
      <c r="E644" s="929" t="str">
        <f t="shared" si="223"/>
        <v>ESTUDIO DE LA VIA SOLAMAR JIMBILLA 90 % DE AVANCE</v>
      </c>
      <c r="F644" s="831" t="s">
        <v>415</v>
      </c>
      <c r="G644" s="831" t="str">
        <f>VLOOKUP(H644,'Pob. Ext, Parroquial'!$B$9:$C$117,2,0)</f>
        <v>LOJA</v>
      </c>
      <c r="H644" s="831" t="s">
        <v>498</v>
      </c>
      <c r="I644" s="831" t="s">
        <v>173</v>
      </c>
      <c r="J644" s="831" t="s">
        <v>174</v>
      </c>
      <c r="K644" s="831"/>
      <c r="L644" s="537">
        <v>6.6</v>
      </c>
      <c r="M644" s="538">
        <f>IF(K644&gt;0,VLOOKUP(H644,'[5]Pob. Ext, Parroquial'!$B$8:$F$117,4,FALSE),0)</f>
        <v>0</v>
      </c>
      <c r="N644" s="834" t="s">
        <v>1499</v>
      </c>
      <c r="O644" s="836" t="s">
        <v>532</v>
      </c>
      <c r="P644" s="836">
        <v>9500</v>
      </c>
      <c r="Q644" s="863">
        <f>+L644</f>
        <v>6.6</v>
      </c>
      <c r="R644" s="948">
        <v>41640</v>
      </c>
      <c r="S644" s="948">
        <v>41760</v>
      </c>
      <c r="T644" s="686" t="str">
        <f t="shared" si="224"/>
        <v>EJECUTADO</v>
      </c>
      <c r="U644" s="838">
        <f t="shared" si="213"/>
        <v>62700</v>
      </c>
      <c r="V644" s="544"/>
      <c r="W644" s="544"/>
      <c r="X644" s="912">
        <f t="shared" si="214"/>
        <v>62700</v>
      </c>
      <c r="Y644" s="640"/>
      <c r="Z644" s="545"/>
      <c r="AA644" s="545"/>
      <c r="AB644" s="546"/>
      <c r="AC644" s="547"/>
      <c r="AD644" s="93"/>
      <c r="AE644" s="93"/>
      <c r="AM644" s="97"/>
    </row>
    <row r="645" spans="1:39" s="94" customFormat="1" ht="50.1" customHeight="1">
      <c r="A645" s="910"/>
      <c r="B645" s="914"/>
      <c r="C645" s="927" t="s">
        <v>1183</v>
      </c>
      <c r="D645" s="936" t="s">
        <v>1500</v>
      </c>
      <c r="E645" s="929" t="str">
        <f t="shared" si="223"/>
        <v>ESTUDIO DE LA VIA EL TAMBO SANTODOMINGO 95 % DE AVANCE</v>
      </c>
      <c r="F645" s="831" t="s">
        <v>330</v>
      </c>
      <c r="G645" s="831" t="str">
        <f>VLOOKUP(H645,'Pob. Ext, Parroquial'!$B$9:$C$117,2,0)</f>
        <v>CATAMAYO</v>
      </c>
      <c r="H645" s="831" t="s">
        <v>355</v>
      </c>
      <c r="I645" s="831" t="s">
        <v>173</v>
      </c>
      <c r="J645" s="831" t="s">
        <v>174</v>
      </c>
      <c r="K645" s="831"/>
      <c r="L645" s="537">
        <v>17.329999999999998</v>
      </c>
      <c r="M645" s="538">
        <f>IF(K645&gt;0,VLOOKUP(H645,'[5]Pob. Ext, Parroquial'!$B$8:$F$117,4,FALSE),0)</f>
        <v>0</v>
      </c>
      <c r="N645" s="834" t="s">
        <v>1499</v>
      </c>
      <c r="O645" s="836" t="s">
        <v>532</v>
      </c>
      <c r="P645" s="836">
        <v>11000</v>
      </c>
      <c r="Q645" s="863">
        <f>+L645</f>
        <v>17.329999999999998</v>
      </c>
      <c r="R645" s="948">
        <v>41640</v>
      </c>
      <c r="S645" s="948">
        <v>41760</v>
      </c>
      <c r="T645" s="686" t="str">
        <f t="shared" si="224"/>
        <v>EJECUTADO</v>
      </c>
      <c r="U645" s="838">
        <f t="shared" si="213"/>
        <v>190630</v>
      </c>
      <c r="V645" s="544"/>
      <c r="W645" s="544"/>
      <c r="X645" s="912">
        <f t="shared" si="214"/>
        <v>190630</v>
      </c>
      <c r="Y645" s="640"/>
      <c r="Z645" s="545"/>
      <c r="AA645" s="545"/>
      <c r="AB645" s="546"/>
      <c r="AC645" s="547"/>
      <c r="AD645" s="93"/>
      <c r="AE645" s="93"/>
      <c r="AM645" s="97"/>
    </row>
    <row r="646" spans="1:39" s="94" customFormat="1" ht="50.1" customHeight="1">
      <c r="A646" s="910"/>
      <c r="B646" s="914"/>
      <c r="C646" s="927" t="s">
        <v>1183</v>
      </c>
      <c r="D646" s="936" t="s">
        <v>1501</v>
      </c>
      <c r="E646" s="929" t="str">
        <f t="shared" si="223"/>
        <v>DISEÑO DE ALCANTARILLA CON MULTIPLICA SOBRE LA Q. IGUILA EN LA VIA CRIAMANGA EL LUCERO</v>
      </c>
      <c r="F646" s="831" t="s">
        <v>171</v>
      </c>
      <c r="G646" s="831" t="str">
        <f>VLOOKUP(H646,'Pob. Ext, Parroquial'!$B$9:$C$117,2,0)</f>
        <v>CALVAS</v>
      </c>
      <c r="H646" s="831" t="s">
        <v>567</v>
      </c>
      <c r="I646" s="831" t="s">
        <v>173</v>
      </c>
      <c r="J646" s="831" t="s">
        <v>174</v>
      </c>
      <c r="K646" s="831"/>
      <c r="L646" s="537"/>
      <c r="M646" s="538">
        <f>IF(K646&gt;0,VLOOKUP(H646,'[5]Pob. Ext, Parroquial'!$B$8:$F$117,4,FALSE),0)</f>
        <v>0</v>
      </c>
      <c r="N646" s="834" t="s">
        <v>1502</v>
      </c>
      <c r="O646" s="836" t="s">
        <v>532</v>
      </c>
      <c r="P646" s="836">
        <v>500</v>
      </c>
      <c r="Q646" s="863">
        <v>12.5</v>
      </c>
      <c r="R646" s="948">
        <v>41640</v>
      </c>
      <c r="S646" s="948">
        <v>41760</v>
      </c>
      <c r="T646" s="686" t="str">
        <f t="shared" si="224"/>
        <v>EJECUTADO</v>
      </c>
      <c r="U646" s="838">
        <f t="shared" si="213"/>
        <v>6250</v>
      </c>
      <c r="V646" s="544"/>
      <c r="W646" s="544"/>
      <c r="X646" s="912">
        <f t="shared" si="214"/>
        <v>6250</v>
      </c>
      <c r="Y646" s="640"/>
      <c r="Z646" s="545"/>
      <c r="AA646" s="545"/>
      <c r="AB646" s="546"/>
      <c r="AC646" s="547"/>
      <c r="AD646" s="93"/>
      <c r="AE646" s="93"/>
      <c r="AM646" s="97"/>
    </row>
    <row r="647" spans="1:39" s="94" customFormat="1" ht="50.1" customHeight="1">
      <c r="A647" s="910"/>
      <c r="B647" s="914"/>
      <c r="C647" s="927" t="s">
        <v>1183</v>
      </c>
      <c r="D647" s="936" t="s">
        <v>1503</v>
      </c>
      <c r="E647" s="929" t="str">
        <f t="shared" si="223"/>
        <v>ESTUDIO DE PUENTE SANTIAGO</v>
      </c>
      <c r="F647" s="831" t="s">
        <v>415</v>
      </c>
      <c r="G647" s="831" t="str">
        <f>VLOOKUP(H647,'Pob. Ext, Parroquial'!$B$9:$C$117,2,0)</f>
        <v>LOJA</v>
      </c>
      <c r="H647" s="831" t="s">
        <v>600</v>
      </c>
      <c r="I647" s="831" t="s">
        <v>173</v>
      </c>
      <c r="J647" s="831" t="s">
        <v>174</v>
      </c>
      <c r="K647" s="831"/>
      <c r="L647" s="537"/>
      <c r="M647" s="538">
        <f>IF(K647&gt;0,VLOOKUP(H647,'[5]Pob. Ext, Parroquial'!$B$8:$F$117,4,FALSE),0)</f>
        <v>0</v>
      </c>
      <c r="N647" s="834" t="s">
        <v>1504</v>
      </c>
      <c r="O647" s="836" t="s">
        <v>532</v>
      </c>
      <c r="P647" s="836">
        <v>500</v>
      </c>
      <c r="Q647" s="863">
        <v>10</v>
      </c>
      <c r="R647" s="948">
        <v>41730</v>
      </c>
      <c r="S647" s="948">
        <v>41973</v>
      </c>
      <c r="T647" s="686" t="str">
        <f t="shared" si="224"/>
        <v>EN EJECUCION</v>
      </c>
      <c r="U647" s="838">
        <f t="shared" si="213"/>
        <v>5000</v>
      </c>
      <c r="V647" s="544"/>
      <c r="W647" s="544"/>
      <c r="X647" s="912">
        <f t="shared" si="214"/>
        <v>5000</v>
      </c>
      <c r="Y647" s="640"/>
      <c r="Z647" s="545"/>
      <c r="AA647" s="545"/>
      <c r="AB647" s="546"/>
      <c r="AC647" s="547"/>
      <c r="AD647" s="93"/>
      <c r="AE647" s="93"/>
      <c r="AM647" s="97"/>
    </row>
    <row r="648" spans="1:39" s="94" customFormat="1" ht="50.1" customHeight="1">
      <c r="A648" s="910"/>
      <c r="B648" s="914"/>
      <c r="C648" s="927" t="s">
        <v>1183</v>
      </c>
      <c r="D648" s="936" t="s">
        <v>1505</v>
      </c>
      <c r="E648" s="929" t="str">
        <f t="shared" si="223"/>
        <v>ESTUDIO DE PUENTE BERDUN</v>
      </c>
      <c r="F648" s="831" t="s">
        <v>330</v>
      </c>
      <c r="G648" s="831" t="str">
        <f>VLOOKUP(H648,'Pob. Ext, Parroquial'!$B$9:$C$117,2,0)</f>
        <v>CATAMAYO</v>
      </c>
      <c r="H648" s="831" t="s">
        <v>355</v>
      </c>
      <c r="I648" s="831" t="s">
        <v>173</v>
      </c>
      <c r="J648" s="831" t="s">
        <v>174</v>
      </c>
      <c r="K648" s="831"/>
      <c r="L648" s="537"/>
      <c r="M648" s="538">
        <f>IF(K648&gt;0,VLOOKUP(H648,'[5]Pob. Ext, Parroquial'!$B$8:$F$117,4,FALSE),0)</f>
        <v>0</v>
      </c>
      <c r="N648" s="834" t="s">
        <v>1504</v>
      </c>
      <c r="O648" s="836" t="s">
        <v>532</v>
      </c>
      <c r="P648" s="836">
        <v>800</v>
      </c>
      <c r="Q648" s="863">
        <v>12</v>
      </c>
      <c r="R648" s="948">
        <v>41730</v>
      </c>
      <c r="S648" s="948">
        <v>41973</v>
      </c>
      <c r="T648" s="686" t="str">
        <f t="shared" si="224"/>
        <v>EN EJECUCION</v>
      </c>
      <c r="U648" s="838">
        <f t="shared" si="213"/>
        <v>9600</v>
      </c>
      <c r="V648" s="544"/>
      <c r="W648" s="544"/>
      <c r="X648" s="912">
        <f t="shared" si="214"/>
        <v>9600</v>
      </c>
      <c r="Y648" s="640"/>
      <c r="Z648" s="545"/>
      <c r="AA648" s="545"/>
      <c r="AB648" s="546"/>
      <c r="AC648" s="547"/>
      <c r="AD648" s="93"/>
      <c r="AE648" s="93"/>
      <c r="AM648" s="97"/>
    </row>
    <row r="649" spans="1:39" s="94" customFormat="1" ht="50.1" customHeight="1">
      <c r="A649" s="910"/>
      <c r="B649" s="914"/>
      <c r="C649" s="927" t="s">
        <v>1183</v>
      </c>
      <c r="D649" s="936" t="s">
        <v>1506</v>
      </c>
      <c r="E649" s="929" t="str">
        <f t="shared" si="223"/>
        <v>ESTUDIO DE PUENTE QUEBRADA LINUMA</v>
      </c>
      <c r="F649" s="831" t="s">
        <v>330</v>
      </c>
      <c r="G649" s="831" t="str">
        <f>VLOOKUP(H649,'Pob. Ext, Parroquial'!$B$9:$C$117,2,0)</f>
        <v>PALTAS</v>
      </c>
      <c r="H649" s="831" t="s">
        <v>622</v>
      </c>
      <c r="I649" s="831" t="s">
        <v>173</v>
      </c>
      <c r="J649" s="831" t="s">
        <v>174</v>
      </c>
      <c r="K649" s="831"/>
      <c r="L649" s="537"/>
      <c r="M649" s="538">
        <f>IF(K649&gt;0,VLOOKUP(H649,'[5]Pob. Ext, Parroquial'!$B$8:$F$117,4,FALSE),0)</f>
        <v>0</v>
      </c>
      <c r="N649" s="834" t="s">
        <v>1504</v>
      </c>
      <c r="O649" s="836" t="s">
        <v>532</v>
      </c>
      <c r="P649" s="836">
        <v>800</v>
      </c>
      <c r="Q649" s="863">
        <v>14</v>
      </c>
      <c r="R649" s="948">
        <v>41730</v>
      </c>
      <c r="S649" s="948">
        <v>41973</v>
      </c>
      <c r="T649" s="686" t="str">
        <f t="shared" si="224"/>
        <v>EN EJECUCION</v>
      </c>
      <c r="U649" s="838">
        <f t="shared" si="213"/>
        <v>11200</v>
      </c>
      <c r="V649" s="544"/>
      <c r="W649" s="544"/>
      <c r="X649" s="912">
        <f t="shared" si="214"/>
        <v>11200</v>
      </c>
      <c r="Y649" s="640"/>
      <c r="Z649" s="545"/>
      <c r="AA649" s="545"/>
      <c r="AB649" s="546"/>
      <c r="AC649" s="547"/>
      <c r="AD649" s="93"/>
      <c r="AE649" s="93"/>
      <c r="AM649" s="97"/>
    </row>
    <row r="650" spans="1:39" s="94" customFormat="1" ht="50.1" customHeight="1">
      <c r="A650" s="910"/>
      <c r="B650" s="914"/>
      <c r="C650" s="927" t="s">
        <v>1183</v>
      </c>
      <c r="D650" s="936" t="s">
        <v>1507</v>
      </c>
      <c r="E650" s="929" t="str">
        <f t="shared" si="223"/>
        <v>ESTUDIO DE OBRAS DE ARTE DE LA VIA LA HOYADA EL LIMO</v>
      </c>
      <c r="F650" s="831" t="s">
        <v>275</v>
      </c>
      <c r="G650" s="831" t="str">
        <f>VLOOKUP(H650,'Pob. Ext, Parroquial'!$B$9:$C$117,2,0)</f>
        <v>PUYANGO</v>
      </c>
      <c r="H650" s="831" t="s">
        <v>286</v>
      </c>
      <c r="I650" s="831" t="s">
        <v>173</v>
      </c>
      <c r="J650" s="831" t="s">
        <v>174</v>
      </c>
      <c r="K650" s="831"/>
      <c r="L650" s="537"/>
      <c r="M650" s="538">
        <f>IF(K650&gt;0,VLOOKUP(H650,'[5]Pob. Ext, Parroquial'!$B$8:$F$117,4,FALSE),0)</f>
        <v>0</v>
      </c>
      <c r="N650" s="834" t="s">
        <v>1508</v>
      </c>
      <c r="O650" s="836" t="s">
        <v>532</v>
      </c>
      <c r="P650" s="836">
        <v>400</v>
      </c>
      <c r="Q650" s="863">
        <v>16</v>
      </c>
      <c r="R650" s="948">
        <v>41730</v>
      </c>
      <c r="S650" s="948">
        <v>41973</v>
      </c>
      <c r="T650" s="686" t="str">
        <f t="shared" si="224"/>
        <v>EN EJECUCION</v>
      </c>
      <c r="U650" s="838">
        <f t="shared" si="213"/>
        <v>6400</v>
      </c>
      <c r="V650" s="544"/>
      <c r="W650" s="544"/>
      <c r="X650" s="912">
        <f t="shared" si="214"/>
        <v>6400</v>
      </c>
      <c r="Y650" s="640"/>
      <c r="Z650" s="545"/>
      <c r="AA650" s="545"/>
      <c r="AB650" s="546"/>
      <c r="AC650" s="547"/>
      <c r="AD650" s="93"/>
      <c r="AE650" s="93"/>
      <c r="AM650" s="97"/>
    </row>
    <row r="651" spans="1:39" s="94" customFormat="1" ht="50.1" customHeight="1">
      <c r="A651" s="910"/>
      <c r="B651" s="914"/>
      <c r="C651" s="927" t="s">
        <v>323</v>
      </c>
      <c r="D651" s="936" t="s">
        <v>1181</v>
      </c>
      <c r="E651" s="929" t="str">
        <f t="shared" si="223"/>
        <v>CONSTRUCCION DE PUENTES Y PASARELAS</v>
      </c>
      <c r="F651" s="831" t="s">
        <v>415</v>
      </c>
      <c r="G651" s="831" t="str">
        <f>VLOOKUP(H651,'Pob. Ext, Parroquial'!$B$9:$C$117,2,0)</f>
        <v>LOJA</v>
      </c>
      <c r="H651" s="831" t="s">
        <v>488</v>
      </c>
      <c r="I651" s="831" t="s">
        <v>270</v>
      </c>
      <c r="J651" s="831" t="s">
        <v>174</v>
      </c>
      <c r="K651" s="831"/>
      <c r="L651" s="537"/>
      <c r="M651" s="538">
        <f>IF(K651&gt;0,VLOOKUP(H651,'[5]Pob. Ext, Parroquial'!$B$8:$F$117,4,FALSE),0)</f>
        <v>0</v>
      </c>
      <c r="N651" s="834" t="s">
        <v>1182</v>
      </c>
      <c r="O651" s="836" t="s">
        <v>532</v>
      </c>
      <c r="P651" s="836">
        <v>1</v>
      </c>
      <c r="Q651" s="863">
        <v>16019</v>
      </c>
      <c r="R651" s="948">
        <v>41730</v>
      </c>
      <c r="S651" s="948">
        <v>41973</v>
      </c>
      <c r="T651" s="686" t="str">
        <f t="shared" si="224"/>
        <v>EN EJECUCION</v>
      </c>
      <c r="U651" s="838">
        <f t="shared" si="213"/>
        <v>16019</v>
      </c>
      <c r="V651" s="544"/>
      <c r="W651" s="544"/>
      <c r="X651" s="912">
        <f t="shared" si="214"/>
        <v>16019</v>
      </c>
      <c r="Y651" s="640"/>
      <c r="Z651" s="545" t="s">
        <v>417</v>
      </c>
      <c r="AA651" s="545" t="s">
        <v>178</v>
      </c>
      <c r="AB651" s="546" t="s">
        <v>179</v>
      </c>
      <c r="AC651" s="547">
        <v>2014</v>
      </c>
      <c r="AD651" s="93"/>
      <c r="AE651" s="93"/>
      <c r="AM651" s="97"/>
    </row>
    <row r="652" spans="1:39" s="94" customFormat="1" ht="50.1" customHeight="1">
      <c r="A652" s="910"/>
      <c r="B652" s="914"/>
      <c r="C652" s="985" t="s">
        <v>182</v>
      </c>
      <c r="D652" s="936" t="s">
        <v>1179</v>
      </c>
      <c r="E652" s="929" t="str">
        <f t="shared" si="223"/>
        <v>MANTENIMIENTO RUTINARIO DE LA VIA LOJA SOLAMAR SAN LUCAS (MICROEMPRESA LOS ANDES)</v>
      </c>
      <c r="F652" s="831" t="s">
        <v>415</v>
      </c>
      <c r="G652" s="831" t="str">
        <f>VLOOKUP(H652,'Pob. Ext, Parroquial'!$B$9:$C$117,2,0)</f>
        <v>LOJA</v>
      </c>
      <c r="H652" s="831" t="s">
        <v>488</v>
      </c>
      <c r="I652" s="831" t="s">
        <v>270</v>
      </c>
      <c r="J652" s="831" t="s">
        <v>174</v>
      </c>
      <c r="K652" s="831">
        <v>32</v>
      </c>
      <c r="L652" s="537">
        <v>32</v>
      </c>
      <c r="M652" s="538">
        <f>IF(K652&gt;0,VLOOKUP(H652,'[5]Pob. Ext, Parroquial'!$B$8:$F$117,4,FALSE),0)</f>
        <v>288</v>
      </c>
      <c r="N652" s="834" t="s">
        <v>1180</v>
      </c>
      <c r="O652" s="836" t="s">
        <v>532</v>
      </c>
      <c r="P652" s="836">
        <v>1</v>
      </c>
      <c r="Q652" s="863">
        <v>21405.81</v>
      </c>
      <c r="R652" s="948">
        <v>41730</v>
      </c>
      <c r="S652" s="948">
        <v>41973</v>
      </c>
      <c r="T652" s="686" t="str">
        <f t="shared" si="224"/>
        <v>EN EJECUCION</v>
      </c>
      <c r="U652" s="838">
        <f t="shared" si="213"/>
        <v>21405.81</v>
      </c>
      <c r="V652" s="544"/>
      <c r="W652" s="544"/>
      <c r="X652" s="912">
        <f t="shared" si="214"/>
        <v>21405.81</v>
      </c>
      <c r="Y652" s="640"/>
      <c r="Z652" s="545" t="s">
        <v>417</v>
      </c>
      <c r="AA652" s="545" t="s">
        <v>178</v>
      </c>
      <c r="AB652" s="546" t="s">
        <v>179</v>
      </c>
      <c r="AC652" s="547">
        <v>2014</v>
      </c>
      <c r="AD652" s="93"/>
      <c r="AE652" s="93"/>
      <c r="AM652" s="97"/>
    </row>
    <row r="653" spans="1:39" s="94" customFormat="1" ht="50.1" customHeight="1">
      <c r="A653" s="683" t="s">
        <v>493</v>
      </c>
      <c r="B653" s="645" t="s">
        <v>187</v>
      </c>
      <c r="C653" s="927" t="s">
        <v>1493</v>
      </c>
      <c r="D653" s="1117" t="s">
        <v>500</v>
      </c>
      <c r="E653" s="636" t="str">
        <f t="shared" ref="E653" si="225">+D653</f>
        <v>MEJORAMIENTO A NIVEL DE DOBLE TRATAMIENTO SUPERFICIAL BITUMINOSO DE LA VIA SARAGURO TENTA L= 6.17 KM.ABSC (4+044.69 - 10+210.55) CONVENIO NRO.120 - DPS -2013 GPL - VIALSUR.EP</v>
      </c>
      <c r="F653" s="831" t="s">
        <v>501</v>
      </c>
      <c r="G653" s="831" t="str">
        <f>VLOOKUP(H653,'Pob. Ext, Parroquial'!$B$9:$C$117,2,0)</f>
        <v>SARAGURO</v>
      </c>
      <c r="H653" s="831" t="s">
        <v>468</v>
      </c>
      <c r="I653" s="831" t="s">
        <v>265</v>
      </c>
      <c r="J653" s="831" t="s">
        <v>502</v>
      </c>
      <c r="K653" s="831">
        <v>6.17</v>
      </c>
      <c r="L653" s="537"/>
      <c r="M653" s="538">
        <f>IF(K653&gt;0,VLOOKUP(H653,'[5]Pob. Ext, Parroquial'!$B$8:$F$117,4,FALSE),0)</f>
        <v>17667</v>
      </c>
      <c r="N653" s="834" t="s">
        <v>503</v>
      </c>
      <c r="O653" s="836" t="s">
        <v>504</v>
      </c>
      <c r="P653" s="836">
        <v>705.7</v>
      </c>
      <c r="Q653" s="836">
        <v>6.17</v>
      </c>
      <c r="R653" s="948">
        <v>41640</v>
      </c>
      <c r="S653" s="948">
        <v>41963</v>
      </c>
      <c r="T653" s="686" t="str">
        <f t="shared" si="190"/>
        <v>EJECUTADO</v>
      </c>
      <c r="U653" s="837">
        <f t="shared" si="213"/>
        <v>4354.17</v>
      </c>
      <c r="V653" s="544"/>
      <c r="W653" s="544"/>
      <c r="X653" s="660">
        <f>SUM(U653:U685)</f>
        <v>1205907.27</v>
      </c>
      <c r="Y653" s="640"/>
      <c r="Z653" s="545" t="s">
        <v>505</v>
      </c>
      <c r="AA653" s="545" t="s">
        <v>178</v>
      </c>
      <c r="AB653" s="546" t="s">
        <v>179</v>
      </c>
      <c r="AC653" s="547">
        <v>2014</v>
      </c>
      <c r="AD653" s="93"/>
      <c r="AE653" s="93"/>
      <c r="AM653" s="97" t="s">
        <v>249</v>
      </c>
    </row>
    <row r="654" spans="1:39" s="94" customFormat="1" ht="50.1" customHeight="1">
      <c r="A654" s="685"/>
      <c r="B654" s="648"/>
      <c r="C654" s="927" t="s">
        <v>1493</v>
      </c>
      <c r="D654" s="1118"/>
      <c r="E654" s="655" t="str">
        <f t="shared" ref="E654:E685" si="226">+E653</f>
        <v>MEJORAMIENTO A NIVEL DE DOBLE TRATAMIENTO SUPERFICIAL BITUMINOSO DE LA VIA SARAGURO TENTA L= 6.17 KM.ABSC (4+044.69 - 10+210.55) CONVENIO NRO.120 - DPS -2013 GPL - VIALSUR.EP</v>
      </c>
      <c r="F654" s="831" t="s">
        <v>501</v>
      </c>
      <c r="G654" s="831" t="str">
        <f>VLOOKUP(H654,'Pob. Ext, Parroquial'!$B$9:$C$117,2,0)</f>
        <v>SARAGURO</v>
      </c>
      <c r="H654" s="831" t="s">
        <v>468</v>
      </c>
      <c r="I654" s="831" t="s">
        <v>265</v>
      </c>
      <c r="J654" s="831" t="s">
        <v>502</v>
      </c>
      <c r="K654" s="831"/>
      <c r="L654" s="537"/>
      <c r="M654" s="538">
        <f>IF(K654&gt;0,VLOOKUP(H654,'[5]Pob. Ext, Parroquial'!$B$8:$F$117,4,FALSE),0)</f>
        <v>0</v>
      </c>
      <c r="N654" s="834" t="s">
        <v>506</v>
      </c>
      <c r="O654" s="836" t="s">
        <v>277</v>
      </c>
      <c r="P654" s="836">
        <v>1744.8</v>
      </c>
      <c r="Q654" s="836">
        <v>2.66</v>
      </c>
      <c r="R654" s="948">
        <v>41640</v>
      </c>
      <c r="S654" s="948">
        <v>41963</v>
      </c>
      <c r="T654" s="686" t="str">
        <f t="shared" si="190"/>
        <v>EJECUTADO</v>
      </c>
      <c r="U654" s="837">
        <f t="shared" si="213"/>
        <v>4641.17</v>
      </c>
      <c r="V654" s="544"/>
      <c r="W654" s="544"/>
      <c r="X654" s="662"/>
      <c r="Y654" s="640"/>
      <c r="Z654" s="545" t="s">
        <v>505</v>
      </c>
      <c r="AA654" s="545" t="s">
        <v>178</v>
      </c>
      <c r="AB654" s="546" t="s">
        <v>179</v>
      </c>
      <c r="AC654" s="547">
        <v>2014</v>
      </c>
      <c r="AD654" s="93"/>
      <c r="AE654" s="93"/>
    </row>
    <row r="655" spans="1:39" s="94" customFormat="1" ht="50.1" customHeight="1">
      <c r="A655" s="685"/>
      <c r="B655" s="648"/>
      <c r="C655" s="927" t="s">
        <v>1493</v>
      </c>
      <c r="D655" s="1118"/>
      <c r="E655" s="655" t="str">
        <f>+E654</f>
        <v>MEJORAMIENTO A NIVEL DE DOBLE TRATAMIENTO SUPERFICIAL BITUMINOSO DE LA VIA SARAGURO TENTA L= 6.17 KM.ABSC (4+044.69 - 10+210.55) CONVENIO NRO.120 - DPS -2013 GPL - VIALSUR.EP</v>
      </c>
      <c r="F655" s="831" t="s">
        <v>501</v>
      </c>
      <c r="G655" s="831" t="str">
        <f>VLOOKUP(H655,'Pob. Ext, Parroquial'!$B$9:$C$117,2,0)</f>
        <v>SARAGURO</v>
      </c>
      <c r="H655" s="831" t="s">
        <v>468</v>
      </c>
      <c r="I655" s="831" t="s">
        <v>265</v>
      </c>
      <c r="J655" s="831" t="s">
        <v>502</v>
      </c>
      <c r="K655" s="831"/>
      <c r="L655" s="537"/>
      <c r="M655" s="538">
        <f>IF(K655&gt;0,VLOOKUP(H655,'[5]Pob. Ext, Parroquial'!$B$8:$F$117,4,FALSE),0)</f>
        <v>0</v>
      </c>
      <c r="N655" s="834" t="s">
        <v>507</v>
      </c>
      <c r="O655" s="836" t="s">
        <v>508</v>
      </c>
      <c r="P655" s="836">
        <v>6.86</v>
      </c>
      <c r="Q655" s="836">
        <v>25</v>
      </c>
      <c r="R655" s="948">
        <v>41640</v>
      </c>
      <c r="S655" s="948">
        <v>41963</v>
      </c>
      <c r="T655" s="686" t="str">
        <f t="shared" si="190"/>
        <v>EJECUTADO</v>
      </c>
      <c r="U655" s="837">
        <f t="shared" si="213"/>
        <v>171.5</v>
      </c>
      <c r="V655" s="544"/>
      <c r="W655" s="544"/>
      <c r="X655" s="662"/>
      <c r="Y655" s="640"/>
      <c r="Z655" s="545" t="s">
        <v>505</v>
      </c>
      <c r="AA655" s="545" t="s">
        <v>178</v>
      </c>
      <c r="AB655" s="546" t="s">
        <v>179</v>
      </c>
      <c r="AC655" s="547">
        <v>2014</v>
      </c>
      <c r="AD655" s="93"/>
      <c r="AE655" s="93"/>
    </row>
    <row r="656" spans="1:39" s="94" customFormat="1" ht="50.1" customHeight="1">
      <c r="A656" s="685"/>
      <c r="B656" s="648"/>
      <c r="C656" s="927" t="s">
        <v>1493</v>
      </c>
      <c r="D656" s="1118"/>
      <c r="E656" s="655" t="str">
        <f t="shared" si="226"/>
        <v>MEJORAMIENTO A NIVEL DE DOBLE TRATAMIENTO SUPERFICIAL BITUMINOSO DE LA VIA SARAGURO TENTA L= 6.17 KM.ABSC (4+044.69 - 10+210.55) CONVENIO NRO.120 - DPS -2013 GPL - VIALSUR.EP</v>
      </c>
      <c r="F656" s="831" t="s">
        <v>501</v>
      </c>
      <c r="G656" s="831" t="str">
        <f>VLOOKUP(H656,'Pob. Ext, Parroquial'!$B$9:$C$117,2,0)</f>
        <v>SARAGURO</v>
      </c>
      <c r="H656" s="831" t="s">
        <v>468</v>
      </c>
      <c r="I656" s="831" t="s">
        <v>265</v>
      </c>
      <c r="J656" s="831" t="s">
        <v>502</v>
      </c>
      <c r="K656" s="831"/>
      <c r="L656" s="537"/>
      <c r="M656" s="538">
        <f>IF(K656&gt;0,VLOOKUP(H656,'[5]Pob. Ext, Parroquial'!$B$8:$F$117,4,FALSE),0)</f>
        <v>0</v>
      </c>
      <c r="N656" s="834" t="s">
        <v>509</v>
      </c>
      <c r="O656" s="836" t="s">
        <v>510</v>
      </c>
      <c r="P656" s="836">
        <v>41.84</v>
      </c>
      <c r="Q656" s="836">
        <v>2.2200000000000002</v>
      </c>
      <c r="R656" s="948">
        <v>41640</v>
      </c>
      <c r="S656" s="948">
        <v>41963</v>
      </c>
      <c r="T656" s="686" t="str">
        <f t="shared" si="190"/>
        <v>EJECUTADO</v>
      </c>
      <c r="U656" s="837">
        <f t="shared" si="213"/>
        <v>92.88</v>
      </c>
      <c r="V656" s="544"/>
      <c r="W656" s="544"/>
      <c r="X656" s="662"/>
      <c r="Y656" s="640"/>
      <c r="Z656" s="545" t="s">
        <v>505</v>
      </c>
      <c r="AA656" s="545" t="s">
        <v>178</v>
      </c>
      <c r="AB656" s="546" t="s">
        <v>179</v>
      </c>
      <c r="AC656" s="547">
        <v>2014</v>
      </c>
      <c r="AD656" s="93"/>
      <c r="AE656" s="93"/>
    </row>
    <row r="657" spans="1:31" s="94" customFormat="1" ht="50.1" customHeight="1">
      <c r="A657" s="685"/>
      <c r="B657" s="648"/>
      <c r="C657" s="927" t="s">
        <v>1493</v>
      </c>
      <c r="D657" s="1118"/>
      <c r="E657" s="655" t="str">
        <f t="shared" si="226"/>
        <v>MEJORAMIENTO A NIVEL DE DOBLE TRATAMIENTO SUPERFICIAL BITUMINOSO DE LA VIA SARAGURO TENTA L= 6.17 KM.ABSC (4+044.69 - 10+210.55) CONVENIO NRO.120 - DPS -2013 GPL - VIALSUR.EP</v>
      </c>
      <c r="F657" s="831" t="s">
        <v>501</v>
      </c>
      <c r="G657" s="831" t="str">
        <f>VLOOKUP(H657,'Pob. Ext, Parroquial'!$B$9:$C$117,2,0)</f>
        <v>SARAGURO</v>
      </c>
      <c r="H657" s="831" t="s">
        <v>468</v>
      </c>
      <c r="I657" s="831" t="s">
        <v>265</v>
      </c>
      <c r="J657" s="831" t="s">
        <v>502</v>
      </c>
      <c r="K657" s="831"/>
      <c r="L657" s="537"/>
      <c r="M657" s="538">
        <f>IF(K657&gt;0,VLOOKUP(H657,'[5]Pob. Ext, Parroquial'!$B$8:$F$117,4,FALSE),0)</f>
        <v>0</v>
      </c>
      <c r="N657" s="834" t="s">
        <v>511</v>
      </c>
      <c r="O657" s="836" t="s">
        <v>510</v>
      </c>
      <c r="P657" s="836">
        <v>1.58</v>
      </c>
      <c r="Q657" s="836">
        <v>42267.29</v>
      </c>
      <c r="R657" s="948">
        <v>41640</v>
      </c>
      <c r="S657" s="948">
        <v>41963</v>
      </c>
      <c r="T657" s="686" t="str">
        <f t="shared" si="190"/>
        <v>EJECUTADO</v>
      </c>
      <c r="U657" s="837">
        <f t="shared" si="213"/>
        <v>66782.320000000007</v>
      </c>
      <c r="V657" s="544"/>
      <c r="W657" s="544"/>
      <c r="X657" s="662"/>
      <c r="Y657" s="640"/>
      <c r="Z657" s="545" t="s">
        <v>505</v>
      </c>
      <c r="AA657" s="545" t="s">
        <v>178</v>
      </c>
      <c r="AB657" s="546" t="s">
        <v>179</v>
      </c>
      <c r="AC657" s="547">
        <v>2014</v>
      </c>
      <c r="AD657" s="93"/>
      <c r="AE657" s="93"/>
    </row>
    <row r="658" spans="1:31" s="94" customFormat="1" ht="50.1" customHeight="1">
      <c r="A658" s="685"/>
      <c r="B658" s="648"/>
      <c r="C658" s="927" t="s">
        <v>1493</v>
      </c>
      <c r="D658" s="1118"/>
      <c r="E658" s="655" t="str">
        <f t="shared" si="226"/>
        <v>MEJORAMIENTO A NIVEL DE DOBLE TRATAMIENTO SUPERFICIAL BITUMINOSO DE LA VIA SARAGURO TENTA L= 6.17 KM.ABSC (4+044.69 - 10+210.55) CONVENIO NRO.120 - DPS -2013 GPL - VIALSUR.EP</v>
      </c>
      <c r="F658" s="831" t="s">
        <v>501</v>
      </c>
      <c r="G658" s="831" t="str">
        <f>VLOOKUP(H658,'Pob. Ext, Parroquial'!$B$9:$C$117,2,0)</f>
        <v>SARAGURO</v>
      </c>
      <c r="H658" s="831" t="s">
        <v>468</v>
      </c>
      <c r="I658" s="831" t="s">
        <v>265</v>
      </c>
      <c r="J658" s="831" t="s">
        <v>502</v>
      </c>
      <c r="K658" s="831"/>
      <c r="L658" s="537"/>
      <c r="M658" s="538">
        <f>IF(K658&gt;0,VLOOKUP(H658,'[5]Pob. Ext, Parroquial'!$B$8:$F$117,4,FALSE),0)</f>
        <v>0</v>
      </c>
      <c r="N658" s="834" t="s">
        <v>512</v>
      </c>
      <c r="O658" s="836" t="s">
        <v>510</v>
      </c>
      <c r="P658" s="836">
        <v>6.78</v>
      </c>
      <c r="Q658" s="836">
        <v>3479.06</v>
      </c>
      <c r="R658" s="948">
        <v>41640</v>
      </c>
      <c r="S658" s="948">
        <v>41963</v>
      </c>
      <c r="T658" s="686" t="str">
        <f t="shared" si="190"/>
        <v>EJECUTADO</v>
      </c>
      <c r="U658" s="837">
        <f t="shared" si="213"/>
        <v>23588.03</v>
      </c>
      <c r="V658" s="544"/>
      <c r="W658" s="544"/>
      <c r="X658" s="662"/>
      <c r="Y658" s="640"/>
      <c r="Z658" s="545" t="s">
        <v>505</v>
      </c>
      <c r="AA658" s="545" t="s">
        <v>178</v>
      </c>
      <c r="AB658" s="546" t="s">
        <v>187</v>
      </c>
      <c r="AC658" s="547">
        <v>2014</v>
      </c>
      <c r="AD658" s="93"/>
      <c r="AE658" s="93"/>
    </row>
    <row r="659" spans="1:31" s="94" customFormat="1" ht="50.1" customHeight="1">
      <c r="A659" s="685"/>
      <c r="B659" s="648"/>
      <c r="C659" s="927" t="s">
        <v>1493</v>
      </c>
      <c r="D659" s="1118"/>
      <c r="E659" s="655" t="str">
        <f t="shared" si="226"/>
        <v>MEJORAMIENTO A NIVEL DE DOBLE TRATAMIENTO SUPERFICIAL BITUMINOSO DE LA VIA SARAGURO TENTA L= 6.17 KM.ABSC (4+044.69 - 10+210.55) CONVENIO NRO.120 - DPS -2013 GPL - VIALSUR.EP</v>
      </c>
      <c r="F659" s="831" t="s">
        <v>501</v>
      </c>
      <c r="G659" s="831" t="str">
        <f>VLOOKUP(H659,'Pob. Ext, Parroquial'!$B$9:$C$117,2,0)</f>
        <v>SARAGURO</v>
      </c>
      <c r="H659" s="831" t="s">
        <v>468</v>
      </c>
      <c r="I659" s="831" t="s">
        <v>265</v>
      </c>
      <c r="J659" s="831" t="s">
        <v>502</v>
      </c>
      <c r="K659" s="831"/>
      <c r="L659" s="537"/>
      <c r="M659" s="538">
        <f>IF(K659&gt;0,VLOOKUP(H659,'[5]Pob. Ext, Parroquial'!$B$8:$F$117,4,FALSE),0)</f>
        <v>0</v>
      </c>
      <c r="N659" s="834" t="s">
        <v>282</v>
      </c>
      <c r="O659" s="836" t="s">
        <v>513</v>
      </c>
      <c r="P659" s="836">
        <v>0.35</v>
      </c>
      <c r="Q659" s="836">
        <v>34507.57</v>
      </c>
      <c r="R659" s="948">
        <v>41640</v>
      </c>
      <c r="S659" s="948">
        <v>41963</v>
      </c>
      <c r="T659" s="686" t="str">
        <f t="shared" si="190"/>
        <v>EJECUTADO</v>
      </c>
      <c r="U659" s="837">
        <f t="shared" si="213"/>
        <v>12077.65</v>
      </c>
      <c r="V659" s="544"/>
      <c r="W659" s="544"/>
      <c r="X659" s="662"/>
      <c r="Y659" s="640"/>
      <c r="Z659" s="545" t="s">
        <v>505</v>
      </c>
      <c r="AA659" s="545" t="s">
        <v>178</v>
      </c>
      <c r="AB659" s="546" t="s">
        <v>187</v>
      </c>
      <c r="AC659" s="547">
        <v>2014</v>
      </c>
      <c r="AD659" s="93"/>
      <c r="AE659" s="93"/>
    </row>
    <row r="660" spans="1:31" s="94" customFormat="1" ht="50.1" customHeight="1">
      <c r="A660" s="685"/>
      <c r="B660" s="648"/>
      <c r="C660" s="927" t="s">
        <v>1493</v>
      </c>
      <c r="D660" s="1118"/>
      <c r="E660" s="655" t="str">
        <f t="shared" si="226"/>
        <v>MEJORAMIENTO A NIVEL DE DOBLE TRATAMIENTO SUPERFICIAL BITUMINOSO DE LA VIA SARAGURO TENTA L= 6.17 KM.ABSC (4+044.69 - 10+210.55) CONVENIO NRO.120 - DPS -2013 GPL - VIALSUR.EP</v>
      </c>
      <c r="F660" s="831" t="s">
        <v>501</v>
      </c>
      <c r="G660" s="831" t="str">
        <f>VLOOKUP(H660,'Pob. Ext, Parroquial'!$B$9:$C$117,2,0)</f>
        <v>SARAGURO</v>
      </c>
      <c r="H660" s="831" t="s">
        <v>468</v>
      </c>
      <c r="I660" s="831" t="s">
        <v>265</v>
      </c>
      <c r="J660" s="831" t="s">
        <v>502</v>
      </c>
      <c r="K660" s="831"/>
      <c r="L660" s="537"/>
      <c r="M660" s="538">
        <f>IF(K660&gt;0,VLOOKUP(H660,'[5]Pob. Ext, Parroquial'!$B$8:$F$117,4,FALSE),0)</f>
        <v>0</v>
      </c>
      <c r="N660" s="834" t="s">
        <v>514</v>
      </c>
      <c r="O660" s="836" t="s">
        <v>513</v>
      </c>
      <c r="P660" s="836">
        <v>1.45</v>
      </c>
      <c r="Q660" s="836">
        <v>3416.92</v>
      </c>
      <c r="R660" s="948">
        <v>41640</v>
      </c>
      <c r="S660" s="948">
        <v>41963</v>
      </c>
      <c r="T660" s="686" t="str">
        <f t="shared" si="190"/>
        <v>EJECUTADO</v>
      </c>
      <c r="U660" s="837">
        <f t="shared" si="213"/>
        <v>4954.53</v>
      </c>
      <c r="V660" s="544"/>
      <c r="W660" s="544"/>
      <c r="X660" s="662"/>
      <c r="Y660" s="640"/>
      <c r="Z660" s="545" t="s">
        <v>505</v>
      </c>
      <c r="AA660" s="545" t="s">
        <v>178</v>
      </c>
      <c r="AB660" s="546" t="s">
        <v>187</v>
      </c>
      <c r="AC660" s="547">
        <v>2014</v>
      </c>
      <c r="AD660" s="93"/>
      <c r="AE660" s="93"/>
    </row>
    <row r="661" spans="1:31" s="94" customFormat="1" ht="50.1" customHeight="1">
      <c r="A661" s="685"/>
      <c r="B661" s="648"/>
      <c r="C661" s="927" t="s">
        <v>1493</v>
      </c>
      <c r="D661" s="1118"/>
      <c r="E661" s="655" t="str">
        <f t="shared" si="226"/>
        <v>MEJORAMIENTO A NIVEL DE DOBLE TRATAMIENTO SUPERFICIAL BITUMINOSO DE LA VIA SARAGURO TENTA L= 6.17 KM.ABSC (4+044.69 - 10+210.55) CONVENIO NRO.120 - DPS -2013 GPL - VIALSUR.EP</v>
      </c>
      <c r="F661" s="831" t="s">
        <v>501</v>
      </c>
      <c r="G661" s="831" t="str">
        <f>VLOOKUP(H661,'Pob. Ext, Parroquial'!$B$9:$C$117,2,0)</f>
        <v>SARAGURO</v>
      </c>
      <c r="H661" s="831" t="s">
        <v>468</v>
      </c>
      <c r="I661" s="831" t="s">
        <v>265</v>
      </c>
      <c r="J661" s="831" t="s">
        <v>502</v>
      </c>
      <c r="K661" s="831"/>
      <c r="L661" s="537"/>
      <c r="M661" s="538">
        <f>IF(K661&gt;0,VLOOKUP(H661,'[5]Pob. Ext, Parroquial'!$B$8:$F$117,4,FALSE),0)</f>
        <v>0</v>
      </c>
      <c r="N661" s="834" t="s">
        <v>515</v>
      </c>
      <c r="O661" s="836" t="s">
        <v>516</v>
      </c>
      <c r="P661" s="836">
        <v>0.3</v>
      </c>
      <c r="Q661" s="836">
        <v>233679.96</v>
      </c>
      <c r="R661" s="948">
        <v>41640</v>
      </c>
      <c r="S661" s="948">
        <v>41963</v>
      </c>
      <c r="T661" s="686" t="str">
        <f t="shared" si="190"/>
        <v>EJECUTADO</v>
      </c>
      <c r="U661" s="837">
        <f t="shared" si="213"/>
        <v>70103.990000000005</v>
      </c>
      <c r="V661" s="544"/>
      <c r="W661" s="544"/>
      <c r="X661" s="662"/>
      <c r="Y661" s="640"/>
      <c r="Z661" s="545" t="s">
        <v>505</v>
      </c>
      <c r="AA661" s="545" t="s">
        <v>178</v>
      </c>
      <c r="AB661" s="546" t="s">
        <v>187</v>
      </c>
      <c r="AC661" s="547">
        <v>2014</v>
      </c>
      <c r="AD661" s="93"/>
      <c r="AE661" s="93"/>
    </row>
    <row r="662" spans="1:31" s="94" customFormat="1" ht="50.1" customHeight="1">
      <c r="A662" s="685"/>
      <c r="B662" s="648"/>
      <c r="C662" s="927" t="s">
        <v>1493</v>
      </c>
      <c r="D662" s="1118"/>
      <c r="E662" s="655" t="str">
        <f t="shared" si="226"/>
        <v>MEJORAMIENTO A NIVEL DE DOBLE TRATAMIENTO SUPERFICIAL BITUMINOSO DE LA VIA SARAGURO TENTA L= 6.17 KM.ABSC (4+044.69 - 10+210.55) CONVENIO NRO.120 - DPS -2013 GPL - VIALSUR.EP</v>
      </c>
      <c r="F662" s="831" t="s">
        <v>501</v>
      </c>
      <c r="G662" s="831" t="str">
        <f>VLOOKUP(H662,'Pob. Ext, Parroquial'!$B$9:$C$117,2,0)</f>
        <v>SARAGURO</v>
      </c>
      <c r="H662" s="831" t="s">
        <v>468</v>
      </c>
      <c r="I662" s="831" t="s">
        <v>265</v>
      </c>
      <c r="J662" s="831" t="s">
        <v>502</v>
      </c>
      <c r="K662" s="831"/>
      <c r="L662" s="537"/>
      <c r="M662" s="538">
        <f>IF(K662&gt;0,VLOOKUP(H662,'[5]Pob. Ext, Parroquial'!$B$8:$F$117,4,FALSE),0)</f>
        <v>0</v>
      </c>
      <c r="N662" s="834" t="s">
        <v>517</v>
      </c>
      <c r="O662" s="836" t="s">
        <v>510</v>
      </c>
      <c r="P662" s="836">
        <v>1.1599999999999999</v>
      </c>
      <c r="Q662" s="836">
        <v>32375.75</v>
      </c>
      <c r="R662" s="948">
        <v>41640</v>
      </c>
      <c r="S662" s="948">
        <v>41963</v>
      </c>
      <c r="T662" s="686" t="str">
        <f t="shared" si="190"/>
        <v>EJECUTADO</v>
      </c>
      <c r="U662" s="837">
        <f t="shared" si="213"/>
        <v>37555.870000000003</v>
      </c>
      <c r="V662" s="544"/>
      <c r="W662" s="544"/>
      <c r="X662" s="662"/>
      <c r="Y662" s="640"/>
      <c r="Z662" s="545" t="s">
        <v>505</v>
      </c>
      <c r="AA662" s="545" t="s">
        <v>178</v>
      </c>
      <c r="AB662" s="546" t="s">
        <v>179</v>
      </c>
      <c r="AC662" s="547">
        <v>2014</v>
      </c>
      <c r="AD662" s="93"/>
      <c r="AE662" s="93"/>
    </row>
    <row r="663" spans="1:31" s="94" customFormat="1" ht="50.1" customHeight="1">
      <c r="A663" s="685"/>
      <c r="B663" s="648"/>
      <c r="C663" s="927" t="s">
        <v>1493</v>
      </c>
      <c r="D663" s="1118"/>
      <c r="E663" s="655" t="str">
        <f t="shared" si="226"/>
        <v>MEJORAMIENTO A NIVEL DE DOBLE TRATAMIENTO SUPERFICIAL BITUMINOSO DE LA VIA SARAGURO TENTA L= 6.17 KM.ABSC (4+044.69 - 10+210.55) CONVENIO NRO.120 - DPS -2013 GPL - VIALSUR.EP</v>
      </c>
      <c r="F663" s="831" t="s">
        <v>501</v>
      </c>
      <c r="G663" s="831" t="str">
        <f>VLOOKUP(H663,'Pob. Ext, Parroquial'!$B$9:$C$117,2,0)</f>
        <v>SARAGURO</v>
      </c>
      <c r="H663" s="831" t="s">
        <v>468</v>
      </c>
      <c r="I663" s="831" t="s">
        <v>265</v>
      </c>
      <c r="J663" s="831" t="s">
        <v>502</v>
      </c>
      <c r="K663" s="831"/>
      <c r="L663" s="537"/>
      <c r="M663" s="538">
        <f>IF(K663&gt;0,VLOOKUP(H663,'[5]Pob. Ext, Parroquial'!$B$8:$F$117,4,FALSE),0)</f>
        <v>0</v>
      </c>
      <c r="N663" s="834" t="s">
        <v>1175</v>
      </c>
      <c r="O663" s="937" t="s">
        <v>418</v>
      </c>
      <c r="P663" s="839">
        <v>1.99</v>
      </c>
      <c r="Q663" s="840">
        <v>2833.41</v>
      </c>
      <c r="R663" s="948">
        <v>41640</v>
      </c>
      <c r="S663" s="948">
        <v>41963</v>
      </c>
      <c r="T663" s="686" t="str">
        <f t="shared" si="190"/>
        <v>EJECUTADO</v>
      </c>
      <c r="U663" s="837">
        <f t="shared" si="213"/>
        <v>5638.49</v>
      </c>
      <c r="V663" s="544"/>
      <c r="W663" s="544"/>
      <c r="X663" s="662"/>
      <c r="Y663" s="640"/>
      <c r="Z663" s="545" t="s">
        <v>505</v>
      </c>
      <c r="AA663" s="545" t="s">
        <v>178</v>
      </c>
      <c r="AB663" s="546" t="s">
        <v>179</v>
      </c>
      <c r="AC663" s="547">
        <v>2014</v>
      </c>
      <c r="AD663" s="93"/>
      <c r="AE663" s="93"/>
    </row>
    <row r="664" spans="1:31" s="94" customFormat="1" ht="50.1" customHeight="1">
      <c r="A664" s="685"/>
      <c r="B664" s="648"/>
      <c r="C664" s="927" t="s">
        <v>1493</v>
      </c>
      <c r="D664" s="1118"/>
      <c r="E664" s="655" t="str">
        <f>+E662</f>
        <v>MEJORAMIENTO A NIVEL DE DOBLE TRATAMIENTO SUPERFICIAL BITUMINOSO DE LA VIA SARAGURO TENTA L= 6.17 KM.ABSC (4+044.69 - 10+210.55) CONVENIO NRO.120 - DPS -2013 GPL - VIALSUR.EP</v>
      </c>
      <c r="F664" s="831" t="s">
        <v>501</v>
      </c>
      <c r="G664" s="831" t="str">
        <f>VLOOKUP(H664,'Pob. Ext, Parroquial'!$B$9:$C$117,2,0)</f>
        <v>SARAGURO</v>
      </c>
      <c r="H664" s="831" t="s">
        <v>468</v>
      </c>
      <c r="I664" s="831" t="s">
        <v>265</v>
      </c>
      <c r="J664" s="831" t="s">
        <v>502</v>
      </c>
      <c r="K664" s="831"/>
      <c r="L664" s="537"/>
      <c r="M664" s="538">
        <f>IF(K664&gt;0,VLOOKUP(H664,'[5]Pob. Ext, Parroquial'!$B$8:$F$117,4,FALSE),0)</f>
        <v>0</v>
      </c>
      <c r="N664" s="834" t="s">
        <v>518</v>
      </c>
      <c r="O664" s="836" t="s">
        <v>516</v>
      </c>
      <c r="P664" s="836">
        <v>0.3</v>
      </c>
      <c r="Q664" s="836">
        <v>400547.11</v>
      </c>
      <c r="R664" s="948">
        <v>41640</v>
      </c>
      <c r="S664" s="948">
        <v>41963</v>
      </c>
      <c r="T664" s="686" t="str">
        <f t="shared" si="190"/>
        <v>EJECUTADO</v>
      </c>
      <c r="U664" s="837">
        <f t="shared" si="213"/>
        <v>120164.13</v>
      </c>
      <c r="V664" s="544"/>
      <c r="W664" s="544"/>
      <c r="X664" s="662"/>
      <c r="Y664" s="640"/>
      <c r="Z664" s="545" t="s">
        <v>505</v>
      </c>
      <c r="AA664" s="545" t="s">
        <v>178</v>
      </c>
      <c r="AB664" s="546" t="s">
        <v>187</v>
      </c>
      <c r="AC664" s="547">
        <v>2014</v>
      </c>
      <c r="AD664" s="93"/>
      <c r="AE664" s="93"/>
    </row>
    <row r="665" spans="1:31" s="94" customFormat="1" ht="50.1" customHeight="1">
      <c r="A665" s="685"/>
      <c r="B665" s="648"/>
      <c r="C665" s="927" t="s">
        <v>1493</v>
      </c>
      <c r="D665" s="1118"/>
      <c r="E665" s="655" t="str">
        <f t="shared" si="226"/>
        <v>MEJORAMIENTO A NIVEL DE DOBLE TRATAMIENTO SUPERFICIAL BITUMINOSO DE LA VIA SARAGURO TENTA L= 6.17 KM.ABSC (4+044.69 - 10+210.55) CONVENIO NRO.120 - DPS -2013 GPL - VIALSUR.EP</v>
      </c>
      <c r="F665" s="831" t="s">
        <v>501</v>
      </c>
      <c r="G665" s="831" t="str">
        <f>VLOOKUP(H665,'Pob. Ext, Parroquial'!$B$9:$C$117,2,0)</f>
        <v>SARAGURO</v>
      </c>
      <c r="H665" s="831" t="s">
        <v>468</v>
      </c>
      <c r="I665" s="831" t="s">
        <v>265</v>
      </c>
      <c r="J665" s="831" t="s">
        <v>502</v>
      </c>
      <c r="K665" s="831"/>
      <c r="L665" s="537"/>
      <c r="M665" s="538">
        <f>IF(K665&gt;0,VLOOKUP(H665,'[5]Pob. Ext, Parroquial'!$B$8:$F$117,4,FALSE),0)</f>
        <v>0</v>
      </c>
      <c r="N665" s="834" t="s">
        <v>229</v>
      </c>
      <c r="O665" s="836" t="s">
        <v>510</v>
      </c>
      <c r="P665" s="836">
        <v>5.88</v>
      </c>
      <c r="Q665" s="836">
        <v>13428.07</v>
      </c>
      <c r="R665" s="948">
        <v>41640</v>
      </c>
      <c r="S665" s="948">
        <v>41963</v>
      </c>
      <c r="T665" s="686" t="str">
        <f t="shared" si="190"/>
        <v>EJECUTADO</v>
      </c>
      <c r="U665" s="837">
        <f t="shared" si="213"/>
        <v>78957.05</v>
      </c>
      <c r="V665" s="544"/>
      <c r="W665" s="544"/>
      <c r="X665" s="662"/>
      <c r="Y665" s="640"/>
      <c r="Z665" s="545" t="s">
        <v>505</v>
      </c>
      <c r="AA665" s="545" t="s">
        <v>178</v>
      </c>
      <c r="AB665" s="546" t="s">
        <v>187</v>
      </c>
      <c r="AC665" s="547">
        <v>2014</v>
      </c>
      <c r="AD665" s="93"/>
      <c r="AE665" s="93"/>
    </row>
    <row r="666" spans="1:31" s="94" customFormat="1" ht="50.1" customHeight="1">
      <c r="A666" s="685"/>
      <c r="B666" s="648"/>
      <c r="C666" s="927" t="s">
        <v>1493</v>
      </c>
      <c r="D666" s="1118"/>
      <c r="E666" s="655" t="str">
        <f t="shared" si="226"/>
        <v>MEJORAMIENTO A NIVEL DE DOBLE TRATAMIENTO SUPERFICIAL BITUMINOSO DE LA VIA SARAGURO TENTA L= 6.17 KM.ABSC (4+044.69 - 10+210.55) CONVENIO NRO.120 - DPS -2013 GPL - VIALSUR.EP</v>
      </c>
      <c r="F666" s="831" t="s">
        <v>501</v>
      </c>
      <c r="G666" s="831" t="str">
        <f>VLOOKUP(H666,'Pob. Ext, Parroquial'!$B$9:$C$117,2,0)</f>
        <v>SARAGURO</v>
      </c>
      <c r="H666" s="831" t="s">
        <v>468</v>
      </c>
      <c r="I666" s="831" t="s">
        <v>265</v>
      </c>
      <c r="J666" s="831" t="s">
        <v>502</v>
      </c>
      <c r="K666" s="831"/>
      <c r="L666" s="537"/>
      <c r="M666" s="538">
        <f>IF(K666&gt;0,VLOOKUP(H666,'[5]Pob. Ext, Parroquial'!$B$8:$F$117,4,FALSE),0)</f>
        <v>0</v>
      </c>
      <c r="N666" s="834" t="s">
        <v>519</v>
      </c>
      <c r="O666" s="836" t="s">
        <v>510</v>
      </c>
      <c r="P666" s="836">
        <v>9.32</v>
      </c>
      <c r="Q666" s="836"/>
      <c r="R666" s="948">
        <v>41640</v>
      </c>
      <c r="S666" s="948">
        <v>41963</v>
      </c>
      <c r="T666" s="686" t="str">
        <f t="shared" si="190"/>
        <v>EJECUTADO</v>
      </c>
      <c r="U666" s="837">
        <f t="shared" si="213"/>
        <v>0</v>
      </c>
      <c r="V666" s="544"/>
      <c r="W666" s="544"/>
      <c r="X666" s="662"/>
      <c r="Y666" s="640"/>
      <c r="Z666" s="545" t="s">
        <v>505</v>
      </c>
      <c r="AA666" s="545" t="s">
        <v>178</v>
      </c>
      <c r="AB666" s="546" t="s">
        <v>179</v>
      </c>
      <c r="AC666" s="547">
        <v>2014</v>
      </c>
      <c r="AD666" s="93"/>
      <c r="AE666" s="93"/>
    </row>
    <row r="667" spans="1:31" s="94" customFormat="1" ht="50.1" customHeight="1">
      <c r="A667" s="685"/>
      <c r="B667" s="648"/>
      <c r="C667" s="927" t="s">
        <v>1493</v>
      </c>
      <c r="D667" s="1118"/>
      <c r="E667" s="655" t="str">
        <f t="shared" si="226"/>
        <v>MEJORAMIENTO A NIVEL DE DOBLE TRATAMIENTO SUPERFICIAL BITUMINOSO DE LA VIA SARAGURO TENTA L= 6.17 KM.ABSC (4+044.69 - 10+210.55) CONVENIO NRO.120 - DPS -2013 GPL - VIALSUR.EP</v>
      </c>
      <c r="F667" s="831" t="s">
        <v>501</v>
      </c>
      <c r="G667" s="831" t="str">
        <f>VLOOKUP(H667,'Pob. Ext, Parroquial'!$B$9:$C$117,2,0)</f>
        <v>SARAGURO</v>
      </c>
      <c r="H667" s="831" t="s">
        <v>468</v>
      </c>
      <c r="I667" s="831" t="s">
        <v>265</v>
      </c>
      <c r="J667" s="831" t="s">
        <v>502</v>
      </c>
      <c r="K667" s="831"/>
      <c r="L667" s="537"/>
      <c r="M667" s="538">
        <f>IF(K667&gt;0,VLOOKUP(H667,'[5]Pob. Ext, Parroquial'!$B$8:$F$117,4,FALSE),0)</f>
        <v>0</v>
      </c>
      <c r="N667" s="834" t="s">
        <v>520</v>
      </c>
      <c r="O667" s="836" t="s">
        <v>510</v>
      </c>
      <c r="P667" s="836">
        <v>19.100000000000001</v>
      </c>
      <c r="Q667" s="836">
        <v>11697.06</v>
      </c>
      <c r="R667" s="948">
        <v>41640</v>
      </c>
      <c r="S667" s="948">
        <v>41963</v>
      </c>
      <c r="T667" s="686" t="str">
        <f t="shared" si="190"/>
        <v>EJECUTADO</v>
      </c>
      <c r="U667" s="837">
        <f t="shared" si="213"/>
        <v>223413.85</v>
      </c>
      <c r="V667" s="544"/>
      <c r="W667" s="544"/>
      <c r="X667" s="662"/>
      <c r="Y667" s="640"/>
      <c r="Z667" s="545" t="s">
        <v>505</v>
      </c>
      <c r="AA667" s="545" t="s">
        <v>178</v>
      </c>
      <c r="AB667" s="546" t="s">
        <v>179</v>
      </c>
      <c r="AC667" s="547">
        <v>2014</v>
      </c>
      <c r="AD667" s="93"/>
      <c r="AE667" s="93"/>
    </row>
    <row r="668" spans="1:31" s="94" customFormat="1" ht="50.1" customHeight="1">
      <c r="A668" s="685"/>
      <c r="B668" s="648"/>
      <c r="C668" s="927" t="s">
        <v>1493</v>
      </c>
      <c r="D668" s="1118"/>
      <c r="E668" s="655" t="str">
        <f t="shared" si="226"/>
        <v>MEJORAMIENTO A NIVEL DE DOBLE TRATAMIENTO SUPERFICIAL BITUMINOSO DE LA VIA SARAGURO TENTA L= 6.17 KM.ABSC (4+044.69 - 10+210.55) CONVENIO NRO.120 - DPS -2013 GPL - VIALSUR.EP</v>
      </c>
      <c r="F668" s="831" t="s">
        <v>501</v>
      </c>
      <c r="G668" s="831" t="str">
        <f>VLOOKUP(H668,'Pob. Ext, Parroquial'!$B$9:$C$117,2,0)</f>
        <v>SARAGURO</v>
      </c>
      <c r="H668" s="831" t="s">
        <v>468</v>
      </c>
      <c r="I668" s="831" t="s">
        <v>265</v>
      </c>
      <c r="J668" s="831" t="s">
        <v>502</v>
      </c>
      <c r="K668" s="831"/>
      <c r="L668" s="537"/>
      <c r="M668" s="538">
        <f>IF(K668&gt;0,VLOOKUP(H668,'[5]Pob. Ext, Parroquial'!$B$8:$F$117,4,FALSE),0)</f>
        <v>0</v>
      </c>
      <c r="N668" s="834" t="s">
        <v>311</v>
      </c>
      <c r="O668" s="836" t="s">
        <v>224</v>
      </c>
      <c r="P668" s="836">
        <v>3.47</v>
      </c>
      <c r="Q668" s="836">
        <v>38990.230000000003</v>
      </c>
      <c r="R668" s="948">
        <v>41640</v>
      </c>
      <c r="S668" s="948">
        <v>41963</v>
      </c>
      <c r="T668" s="686" t="str">
        <f t="shared" ref="T668:T685" si="227">IF(S668&lt;$G$5,"EJECUTADO","EN EJECUCION")</f>
        <v>EJECUTADO</v>
      </c>
      <c r="U668" s="837">
        <f t="shared" si="213"/>
        <v>135296.1</v>
      </c>
      <c r="V668" s="544"/>
      <c r="W668" s="544"/>
      <c r="X668" s="662"/>
      <c r="Y668" s="640"/>
      <c r="Z668" s="545" t="s">
        <v>505</v>
      </c>
      <c r="AA668" s="545" t="s">
        <v>178</v>
      </c>
      <c r="AB668" s="546" t="s">
        <v>179</v>
      </c>
      <c r="AC668" s="547">
        <v>2014</v>
      </c>
      <c r="AD668" s="93"/>
      <c r="AE668" s="93"/>
    </row>
    <row r="669" spans="1:31" s="94" customFormat="1" ht="50.1" customHeight="1">
      <c r="A669" s="685"/>
      <c r="B669" s="648"/>
      <c r="C669" s="927" t="s">
        <v>1493</v>
      </c>
      <c r="D669" s="1118"/>
      <c r="E669" s="655" t="str">
        <f t="shared" si="226"/>
        <v>MEJORAMIENTO A NIVEL DE DOBLE TRATAMIENTO SUPERFICIAL BITUMINOSO DE LA VIA SARAGURO TENTA L= 6.17 KM.ABSC (4+044.69 - 10+210.55) CONVENIO NRO.120 - DPS -2013 GPL - VIALSUR.EP</v>
      </c>
      <c r="F669" s="831" t="s">
        <v>501</v>
      </c>
      <c r="G669" s="831" t="str">
        <f>VLOOKUP(H669,'Pob. Ext, Parroquial'!$B$9:$C$117,2,0)</f>
        <v>SARAGURO</v>
      </c>
      <c r="H669" s="831" t="s">
        <v>468</v>
      </c>
      <c r="I669" s="831" t="s">
        <v>265</v>
      </c>
      <c r="J669" s="831" t="s">
        <v>502</v>
      </c>
      <c r="K669" s="831"/>
      <c r="L669" s="537">
        <v>6.17</v>
      </c>
      <c r="M669" s="538">
        <f>IF(K669&gt;0,VLOOKUP(H669,'[5]Pob. Ext, Parroquial'!$B$8:$F$117,4,FALSE),0)</f>
        <v>0</v>
      </c>
      <c r="N669" s="834" t="s">
        <v>442</v>
      </c>
      <c r="O669" s="836" t="s">
        <v>443</v>
      </c>
      <c r="P669" s="836">
        <v>0.97</v>
      </c>
      <c r="Q669" s="836">
        <v>189540</v>
      </c>
      <c r="R669" s="948">
        <v>41640</v>
      </c>
      <c r="S669" s="948">
        <v>41963</v>
      </c>
      <c r="T669" s="686" t="str">
        <f t="shared" si="227"/>
        <v>EJECUTADO</v>
      </c>
      <c r="U669" s="837">
        <f t="shared" si="213"/>
        <v>183853.8</v>
      </c>
      <c r="V669" s="544"/>
      <c r="W669" s="544"/>
      <c r="X669" s="662"/>
      <c r="Y669" s="640"/>
      <c r="Z669" s="545" t="s">
        <v>505</v>
      </c>
      <c r="AA669" s="545" t="s">
        <v>178</v>
      </c>
      <c r="AB669" s="546" t="s">
        <v>179</v>
      </c>
      <c r="AC669" s="547">
        <v>2014</v>
      </c>
      <c r="AD669" s="93"/>
      <c r="AE669" s="93"/>
    </row>
    <row r="670" spans="1:31" s="94" customFormat="1" ht="50.1" customHeight="1">
      <c r="A670" s="685"/>
      <c r="B670" s="648"/>
      <c r="C670" s="927" t="s">
        <v>1493</v>
      </c>
      <c r="D670" s="1118"/>
      <c r="E670" s="655" t="str">
        <f t="shared" si="226"/>
        <v>MEJORAMIENTO A NIVEL DE DOBLE TRATAMIENTO SUPERFICIAL BITUMINOSO DE LA VIA SARAGURO TENTA L= 6.17 KM.ABSC (4+044.69 - 10+210.55) CONVENIO NRO.120 - DPS -2013 GPL - VIALSUR.EP</v>
      </c>
      <c r="F670" s="831" t="s">
        <v>501</v>
      </c>
      <c r="G670" s="831" t="str">
        <f>VLOOKUP(H670,'Pob. Ext, Parroquial'!$B$9:$C$117,2,0)</f>
        <v>SARAGURO</v>
      </c>
      <c r="H670" s="831" t="s">
        <v>468</v>
      </c>
      <c r="I670" s="831" t="s">
        <v>265</v>
      </c>
      <c r="J670" s="831" t="s">
        <v>502</v>
      </c>
      <c r="K670" s="831"/>
      <c r="L670" s="537"/>
      <c r="M670" s="538">
        <f>IF(K670&gt;0,VLOOKUP(H670,'[5]Pob. Ext, Parroquial'!$B$8:$F$117,4,FALSE),0)</f>
        <v>0</v>
      </c>
      <c r="N670" s="834" t="s">
        <v>1177</v>
      </c>
      <c r="O670" s="836" t="s">
        <v>529</v>
      </c>
      <c r="P670" s="836">
        <v>175.16</v>
      </c>
      <c r="Q670" s="836">
        <v>10</v>
      </c>
      <c r="R670" s="948">
        <v>41640</v>
      </c>
      <c r="S670" s="948">
        <v>41963</v>
      </c>
      <c r="T670" s="686" t="str">
        <f t="shared" si="227"/>
        <v>EJECUTADO</v>
      </c>
      <c r="U670" s="837">
        <f t="shared" si="213"/>
        <v>1751.6</v>
      </c>
      <c r="V670" s="544"/>
      <c r="W670" s="544"/>
      <c r="X670" s="662"/>
      <c r="Y670" s="640"/>
      <c r="Z670" s="545" t="s">
        <v>505</v>
      </c>
      <c r="AA670" s="545" t="s">
        <v>178</v>
      </c>
      <c r="AB670" s="546" t="s">
        <v>179</v>
      </c>
      <c r="AC670" s="547">
        <v>2014</v>
      </c>
      <c r="AD670" s="93"/>
      <c r="AE670" s="93"/>
    </row>
    <row r="671" spans="1:31" s="94" customFormat="1" ht="49.5">
      <c r="A671" s="685"/>
      <c r="B671" s="648"/>
      <c r="C671" s="927" t="s">
        <v>1493</v>
      </c>
      <c r="D671" s="1118"/>
      <c r="E671" s="655" t="str">
        <f t="shared" si="226"/>
        <v>MEJORAMIENTO A NIVEL DE DOBLE TRATAMIENTO SUPERFICIAL BITUMINOSO DE LA VIA SARAGURO TENTA L= 6.17 KM.ABSC (4+044.69 - 10+210.55) CONVENIO NRO.120 - DPS -2013 GPL - VIALSUR.EP</v>
      </c>
      <c r="F671" s="831" t="s">
        <v>501</v>
      </c>
      <c r="G671" s="831" t="str">
        <f>VLOOKUP(H671,'Pob. Ext, Parroquial'!$B$9:$C$117,2,0)</f>
        <v>SARAGURO</v>
      </c>
      <c r="H671" s="831" t="s">
        <v>468</v>
      </c>
      <c r="I671" s="831" t="s">
        <v>265</v>
      </c>
      <c r="J671" s="831" t="s">
        <v>502</v>
      </c>
      <c r="K671" s="831"/>
      <c r="L671" s="537"/>
      <c r="M671" s="538">
        <f>IF(K671&gt;0,VLOOKUP(H671,'[5]Pob. Ext, Parroquial'!$B$8:$F$117,4,FALSE),0)</f>
        <v>0</v>
      </c>
      <c r="N671" s="834" t="s">
        <v>192</v>
      </c>
      <c r="O671" s="836" t="s">
        <v>418</v>
      </c>
      <c r="P671" s="836">
        <v>178.13</v>
      </c>
      <c r="Q671" s="836"/>
      <c r="R671" s="948">
        <v>41640</v>
      </c>
      <c r="S671" s="948">
        <v>41963</v>
      </c>
      <c r="T671" s="686" t="str">
        <f t="shared" si="227"/>
        <v>EJECUTADO</v>
      </c>
      <c r="U671" s="837">
        <f t="shared" si="213"/>
        <v>0</v>
      </c>
      <c r="V671" s="544"/>
      <c r="W671" s="544"/>
      <c r="X671" s="662"/>
      <c r="Y671" s="640"/>
      <c r="Z671" s="545" t="s">
        <v>505</v>
      </c>
      <c r="AA671" s="545" t="s">
        <v>178</v>
      </c>
      <c r="AB671" s="546" t="s">
        <v>179</v>
      </c>
      <c r="AC671" s="547">
        <v>2014</v>
      </c>
      <c r="AD671" s="93"/>
      <c r="AE671" s="93"/>
    </row>
    <row r="672" spans="1:31" s="94" customFormat="1" ht="49.5">
      <c r="A672" s="685"/>
      <c r="B672" s="648"/>
      <c r="C672" s="927" t="s">
        <v>1493</v>
      </c>
      <c r="D672" s="1118"/>
      <c r="E672" s="655" t="str">
        <f t="shared" si="226"/>
        <v>MEJORAMIENTO A NIVEL DE DOBLE TRATAMIENTO SUPERFICIAL BITUMINOSO DE LA VIA SARAGURO TENTA L= 6.17 KM.ABSC (4+044.69 - 10+210.55) CONVENIO NRO.120 - DPS -2013 GPL - VIALSUR.EP</v>
      </c>
      <c r="F672" s="831" t="s">
        <v>501</v>
      </c>
      <c r="G672" s="831" t="str">
        <f>VLOOKUP(H672,'Pob. Ext, Parroquial'!$B$9:$C$117,2,0)</f>
        <v>SARAGURO</v>
      </c>
      <c r="H672" s="831" t="s">
        <v>468</v>
      </c>
      <c r="I672" s="831" t="s">
        <v>265</v>
      </c>
      <c r="J672" s="831" t="s">
        <v>502</v>
      </c>
      <c r="K672" s="831"/>
      <c r="L672" s="537"/>
      <c r="M672" s="538">
        <f>IF(K672&gt;0,VLOOKUP(H672,'[5]Pob. Ext, Parroquial'!$B$8:$F$117,4,FALSE),0)</f>
        <v>0</v>
      </c>
      <c r="N672" s="938" t="s">
        <v>1176</v>
      </c>
      <c r="O672" s="937" t="s">
        <v>418</v>
      </c>
      <c r="P672" s="839">
        <v>141.97999999999999</v>
      </c>
      <c r="Q672" s="840">
        <v>27.63</v>
      </c>
      <c r="R672" s="948">
        <v>41640</v>
      </c>
      <c r="S672" s="948">
        <v>41963</v>
      </c>
      <c r="T672" s="686" t="str">
        <f t="shared" si="227"/>
        <v>EJECUTADO</v>
      </c>
      <c r="U672" s="837">
        <f t="shared" si="213"/>
        <v>3922.91</v>
      </c>
      <c r="V672" s="544"/>
      <c r="W672" s="544"/>
      <c r="X672" s="662"/>
      <c r="Y672" s="640"/>
      <c r="Z672" s="545" t="s">
        <v>505</v>
      </c>
      <c r="AA672" s="545" t="s">
        <v>178</v>
      </c>
      <c r="AB672" s="546" t="s">
        <v>179</v>
      </c>
      <c r="AC672" s="547">
        <v>2014</v>
      </c>
      <c r="AD672" s="93"/>
      <c r="AE672" s="93"/>
    </row>
    <row r="673" spans="1:31" s="94" customFormat="1" ht="49.5">
      <c r="A673" s="685"/>
      <c r="B673" s="648"/>
      <c r="C673" s="927" t="s">
        <v>1493</v>
      </c>
      <c r="D673" s="1118"/>
      <c r="E673" s="655" t="str">
        <f>+E667</f>
        <v>MEJORAMIENTO A NIVEL DE DOBLE TRATAMIENTO SUPERFICIAL BITUMINOSO DE LA VIA SARAGURO TENTA L= 6.17 KM.ABSC (4+044.69 - 10+210.55) CONVENIO NRO.120 - DPS -2013 GPL - VIALSUR.EP</v>
      </c>
      <c r="F673" s="831" t="s">
        <v>501</v>
      </c>
      <c r="G673" s="831" t="str">
        <f>VLOOKUP(H673,'Pob. Ext, Parroquial'!$B$9:$C$117,2,0)</f>
        <v>SARAGURO</v>
      </c>
      <c r="H673" s="831" t="s">
        <v>468</v>
      </c>
      <c r="I673" s="831" t="s">
        <v>265</v>
      </c>
      <c r="J673" s="831" t="s">
        <v>502</v>
      </c>
      <c r="K673" s="831"/>
      <c r="L673" s="537"/>
      <c r="M673" s="538">
        <f>IF(K673&gt;0,VLOOKUP(H673,'[5]Pob. Ext, Parroquial'!$B$8:$F$117,4,FALSE),0)</f>
        <v>0</v>
      </c>
      <c r="N673" s="834" t="s">
        <v>521</v>
      </c>
      <c r="O673" s="836" t="s">
        <v>510</v>
      </c>
      <c r="P673" s="836">
        <v>10.87</v>
      </c>
      <c r="Q673" s="836">
        <v>36.85</v>
      </c>
      <c r="R673" s="948">
        <v>41640</v>
      </c>
      <c r="S673" s="948">
        <v>41963</v>
      </c>
      <c r="T673" s="686" t="str">
        <f t="shared" si="227"/>
        <v>EJECUTADO</v>
      </c>
      <c r="U673" s="837">
        <f t="shared" si="213"/>
        <v>400.56</v>
      </c>
      <c r="V673" s="544"/>
      <c r="W673" s="544"/>
      <c r="X673" s="662"/>
      <c r="Y673" s="640"/>
      <c r="Z673" s="545" t="s">
        <v>505</v>
      </c>
      <c r="AA673" s="545" t="s">
        <v>178</v>
      </c>
      <c r="AB673" s="546" t="s">
        <v>179</v>
      </c>
      <c r="AC673" s="547">
        <v>2014</v>
      </c>
      <c r="AD673" s="93"/>
      <c r="AE673" s="93"/>
    </row>
    <row r="674" spans="1:31" s="94" customFormat="1" ht="49.5">
      <c r="A674" s="685"/>
      <c r="B674" s="648"/>
      <c r="C674" s="927" t="s">
        <v>1493</v>
      </c>
      <c r="D674" s="1118"/>
      <c r="E674" s="655" t="str">
        <f t="shared" si="226"/>
        <v>MEJORAMIENTO A NIVEL DE DOBLE TRATAMIENTO SUPERFICIAL BITUMINOSO DE LA VIA SARAGURO TENTA L= 6.17 KM.ABSC (4+044.69 - 10+210.55) CONVENIO NRO.120 - DPS -2013 GPL - VIALSUR.EP</v>
      </c>
      <c r="F674" s="831" t="s">
        <v>501</v>
      </c>
      <c r="G674" s="831" t="str">
        <f>VLOOKUP(H674,'Pob. Ext, Parroquial'!$B$9:$C$117,2,0)</f>
        <v>SARAGURO</v>
      </c>
      <c r="H674" s="831" t="s">
        <v>468</v>
      </c>
      <c r="I674" s="831" t="s">
        <v>265</v>
      </c>
      <c r="J674" s="831" t="s">
        <v>502</v>
      </c>
      <c r="K674" s="831"/>
      <c r="L674" s="537"/>
      <c r="M674" s="538">
        <f>IF(K674&gt;0,VLOOKUP(H674,'[5]Pob. Ext, Parroquial'!$B$8:$F$117,4,FALSE),0)</f>
        <v>0</v>
      </c>
      <c r="N674" s="834" t="s">
        <v>522</v>
      </c>
      <c r="O674" s="836" t="s">
        <v>510</v>
      </c>
      <c r="P674" s="836">
        <v>1.57</v>
      </c>
      <c r="Q674" s="836">
        <v>1526.09</v>
      </c>
      <c r="R674" s="948">
        <v>41640</v>
      </c>
      <c r="S674" s="948">
        <v>41963</v>
      </c>
      <c r="T674" s="686" t="str">
        <f t="shared" si="227"/>
        <v>EJECUTADO</v>
      </c>
      <c r="U674" s="837">
        <f t="shared" si="213"/>
        <v>2395.96</v>
      </c>
      <c r="V674" s="544"/>
      <c r="W674" s="544"/>
      <c r="X674" s="662"/>
      <c r="Y674" s="640"/>
      <c r="Z674" s="545" t="s">
        <v>505</v>
      </c>
      <c r="AA674" s="545" t="s">
        <v>178</v>
      </c>
      <c r="AB674" s="546" t="s">
        <v>179</v>
      </c>
      <c r="AC674" s="547">
        <v>2014</v>
      </c>
      <c r="AD674" s="93"/>
      <c r="AE674" s="93"/>
    </row>
    <row r="675" spans="1:31" s="94" customFormat="1" ht="49.5">
      <c r="A675" s="685"/>
      <c r="B675" s="648"/>
      <c r="C675" s="927" t="s">
        <v>1493</v>
      </c>
      <c r="D675" s="1118"/>
      <c r="E675" s="655" t="str">
        <f t="shared" si="226"/>
        <v>MEJORAMIENTO A NIVEL DE DOBLE TRATAMIENTO SUPERFICIAL BITUMINOSO DE LA VIA SARAGURO TENTA L= 6.17 KM.ABSC (4+044.69 - 10+210.55) CONVENIO NRO.120 - DPS -2013 GPL - VIALSUR.EP</v>
      </c>
      <c r="F675" s="831" t="s">
        <v>501</v>
      </c>
      <c r="G675" s="831" t="str">
        <f>VLOOKUP(H675,'Pob. Ext, Parroquial'!$B$9:$C$117,2,0)</f>
        <v>SARAGURO</v>
      </c>
      <c r="H675" s="831" t="s">
        <v>468</v>
      </c>
      <c r="I675" s="831" t="s">
        <v>265</v>
      </c>
      <c r="J675" s="831" t="s">
        <v>502</v>
      </c>
      <c r="K675" s="831"/>
      <c r="L675" s="537"/>
      <c r="M675" s="538">
        <f>IF(K675&gt;0,VLOOKUP(H675,'[5]Pob. Ext, Parroquial'!$B$8:$F$117,4,FALSE),0)</f>
        <v>0</v>
      </c>
      <c r="N675" s="834" t="s">
        <v>523</v>
      </c>
      <c r="O675" s="836" t="s">
        <v>510</v>
      </c>
      <c r="P675" s="836">
        <v>1.73</v>
      </c>
      <c r="Q675" s="836">
        <v>432</v>
      </c>
      <c r="R675" s="948">
        <v>41640</v>
      </c>
      <c r="S675" s="948">
        <v>41963</v>
      </c>
      <c r="T675" s="686" t="str">
        <f t="shared" si="227"/>
        <v>EJECUTADO</v>
      </c>
      <c r="U675" s="837">
        <f t="shared" si="213"/>
        <v>747.36</v>
      </c>
      <c r="V675" s="544"/>
      <c r="W675" s="544"/>
      <c r="X675" s="662"/>
      <c r="Y675" s="640"/>
      <c r="Z675" s="545" t="s">
        <v>505</v>
      </c>
      <c r="AA675" s="545" t="s">
        <v>178</v>
      </c>
      <c r="AB675" s="546" t="s">
        <v>179</v>
      </c>
      <c r="AC675" s="547">
        <v>2014</v>
      </c>
      <c r="AD675" s="93"/>
      <c r="AE675" s="93"/>
    </row>
    <row r="676" spans="1:31" s="94" customFormat="1" ht="49.5">
      <c r="A676" s="685"/>
      <c r="B676" s="648"/>
      <c r="C676" s="927" t="s">
        <v>1493</v>
      </c>
      <c r="D676" s="1118"/>
      <c r="E676" s="655" t="str">
        <f t="shared" si="226"/>
        <v>MEJORAMIENTO A NIVEL DE DOBLE TRATAMIENTO SUPERFICIAL BITUMINOSO DE LA VIA SARAGURO TENTA L= 6.17 KM.ABSC (4+044.69 - 10+210.55) CONVENIO NRO.120 - DPS -2013 GPL - VIALSUR.EP</v>
      </c>
      <c r="F676" s="831" t="s">
        <v>501</v>
      </c>
      <c r="G676" s="831" t="str">
        <f>VLOOKUP(H676,'Pob. Ext, Parroquial'!$B$9:$C$117,2,0)</f>
        <v>SARAGURO</v>
      </c>
      <c r="H676" s="831" t="s">
        <v>468</v>
      </c>
      <c r="I676" s="831" t="s">
        <v>265</v>
      </c>
      <c r="J676" s="831" t="s">
        <v>502</v>
      </c>
      <c r="K676" s="831"/>
      <c r="L676" s="537"/>
      <c r="M676" s="538">
        <f>IF(K676&gt;0,VLOOKUP(H676,'[5]Pob. Ext, Parroquial'!$B$8:$F$117,4,FALSE),0)</f>
        <v>0</v>
      </c>
      <c r="N676" s="834" t="s">
        <v>524</v>
      </c>
      <c r="O676" s="836" t="s">
        <v>482</v>
      </c>
      <c r="P676" s="836">
        <v>206.62</v>
      </c>
      <c r="Q676" s="836">
        <v>91.58</v>
      </c>
      <c r="R676" s="948">
        <v>41640</v>
      </c>
      <c r="S676" s="948">
        <v>41963</v>
      </c>
      <c r="T676" s="686" t="str">
        <f t="shared" si="227"/>
        <v>EJECUTADO</v>
      </c>
      <c r="U676" s="837">
        <f t="shared" si="213"/>
        <v>18922.259999999998</v>
      </c>
      <c r="V676" s="544"/>
      <c r="W676" s="544"/>
      <c r="X676" s="662"/>
      <c r="Y676" s="640"/>
      <c r="Z676" s="545" t="s">
        <v>505</v>
      </c>
      <c r="AA676" s="545" t="s">
        <v>178</v>
      </c>
      <c r="AB676" s="546" t="s">
        <v>179</v>
      </c>
      <c r="AC676" s="547">
        <v>2014</v>
      </c>
      <c r="AD676" s="93"/>
      <c r="AE676" s="93"/>
    </row>
    <row r="677" spans="1:31" s="94" customFormat="1" ht="49.5">
      <c r="A677" s="685"/>
      <c r="B677" s="648"/>
      <c r="C677" s="927" t="s">
        <v>1493</v>
      </c>
      <c r="D677" s="1118"/>
      <c r="E677" s="655" t="str">
        <f t="shared" si="226"/>
        <v>MEJORAMIENTO A NIVEL DE DOBLE TRATAMIENTO SUPERFICIAL BITUMINOSO DE LA VIA SARAGURO TENTA L= 6.17 KM.ABSC (4+044.69 - 10+210.55) CONVENIO NRO.120 - DPS -2013 GPL - VIALSUR.EP</v>
      </c>
      <c r="F677" s="831" t="s">
        <v>501</v>
      </c>
      <c r="G677" s="831" t="str">
        <f>VLOOKUP(H677,'Pob. Ext, Parroquial'!$B$9:$C$117,2,0)</f>
        <v>SARAGURO</v>
      </c>
      <c r="H677" s="831" t="s">
        <v>468</v>
      </c>
      <c r="I677" s="831" t="s">
        <v>265</v>
      </c>
      <c r="J677" s="831" t="s">
        <v>502</v>
      </c>
      <c r="K677" s="831"/>
      <c r="L677" s="537"/>
      <c r="M677" s="538">
        <f>IF(K677&gt;0,VLOOKUP(H677,'[5]Pob. Ext, Parroquial'!$B$8:$F$117,4,FALSE),0)</f>
        <v>0</v>
      </c>
      <c r="N677" s="834" t="s">
        <v>525</v>
      </c>
      <c r="O677" s="836" t="s">
        <v>508</v>
      </c>
      <c r="P677" s="836">
        <v>19.16</v>
      </c>
      <c r="Q677" s="836">
        <v>995.6</v>
      </c>
      <c r="R677" s="948">
        <v>41640</v>
      </c>
      <c r="S677" s="948">
        <v>41963</v>
      </c>
      <c r="T677" s="686" t="str">
        <f t="shared" si="227"/>
        <v>EJECUTADO</v>
      </c>
      <c r="U677" s="837">
        <f t="shared" si="213"/>
        <v>19075.7</v>
      </c>
      <c r="V677" s="544"/>
      <c r="W677" s="544"/>
      <c r="X677" s="662"/>
      <c r="Y677" s="640"/>
      <c r="Z677" s="545" t="s">
        <v>505</v>
      </c>
      <c r="AA677" s="545" t="s">
        <v>178</v>
      </c>
      <c r="AB677" s="546" t="s">
        <v>179</v>
      </c>
      <c r="AC677" s="547">
        <v>2014</v>
      </c>
      <c r="AD677" s="93"/>
      <c r="AE677" s="93"/>
    </row>
    <row r="678" spans="1:31" s="94" customFormat="1" ht="49.5">
      <c r="A678" s="685"/>
      <c r="B678" s="648"/>
      <c r="C678" s="927" t="s">
        <v>1493</v>
      </c>
      <c r="D678" s="1118"/>
      <c r="E678" s="655" t="str">
        <f t="shared" si="226"/>
        <v>MEJORAMIENTO A NIVEL DE DOBLE TRATAMIENTO SUPERFICIAL BITUMINOSO DE LA VIA SARAGURO TENTA L= 6.17 KM.ABSC (4+044.69 - 10+210.55) CONVENIO NRO.120 - DPS -2013 GPL - VIALSUR.EP</v>
      </c>
      <c r="F678" s="831" t="s">
        <v>501</v>
      </c>
      <c r="G678" s="831" t="str">
        <f>VLOOKUP(H678,'Pob. Ext, Parroquial'!$B$9:$C$117,2,0)</f>
        <v>SARAGURO</v>
      </c>
      <c r="H678" s="831" t="s">
        <v>468</v>
      </c>
      <c r="I678" s="831" t="s">
        <v>265</v>
      </c>
      <c r="J678" s="831" t="s">
        <v>502</v>
      </c>
      <c r="K678" s="831"/>
      <c r="L678" s="537"/>
      <c r="M678" s="538">
        <f>IF(K678&gt;0,VLOOKUP(H678,'[5]Pob. Ext, Parroquial'!$B$8:$F$117,4,FALSE),0)</f>
        <v>0</v>
      </c>
      <c r="N678" s="834" t="s">
        <v>526</v>
      </c>
      <c r="O678" s="836" t="s">
        <v>513</v>
      </c>
      <c r="P678" s="836">
        <v>1.91</v>
      </c>
      <c r="Q678" s="836">
        <v>3982.4</v>
      </c>
      <c r="R678" s="948">
        <v>41640</v>
      </c>
      <c r="S678" s="948">
        <v>41963</v>
      </c>
      <c r="T678" s="686" t="str">
        <f t="shared" si="227"/>
        <v>EJECUTADO</v>
      </c>
      <c r="U678" s="837">
        <f t="shared" si="213"/>
        <v>7606.38</v>
      </c>
      <c r="V678" s="544"/>
      <c r="W678" s="544"/>
      <c r="X678" s="662"/>
      <c r="Y678" s="640"/>
      <c r="Z678" s="545" t="s">
        <v>505</v>
      </c>
      <c r="AA678" s="545" t="s">
        <v>178</v>
      </c>
      <c r="AB678" s="546" t="s">
        <v>179</v>
      </c>
      <c r="AC678" s="547">
        <v>2014</v>
      </c>
      <c r="AD678" s="93"/>
      <c r="AE678" s="93"/>
    </row>
    <row r="679" spans="1:31" ht="49.5">
      <c r="A679" s="685"/>
      <c r="B679" s="648"/>
      <c r="C679" s="927" t="s">
        <v>1493</v>
      </c>
      <c r="D679" s="1118"/>
      <c r="E679" s="655" t="str">
        <f t="shared" si="226"/>
        <v>MEJORAMIENTO A NIVEL DE DOBLE TRATAMIENTO SUPERFICIAL BITUMINOSO DE LA VIA SARAGURO TENTA L= 6.17 KM.ABSC (4+044.69 - 10+210.55) CONVENIO NRO.120 - DPS -2013 GPL - VIALSUR.EP</v>
      </c>
      <c r="F679" s="831" t="s">
        <v>501</v>
      </c>
      <c r="G679" s="831" t="str">
        <f>VLOOKUP(H679,'Pob. Ext, Parroquial'!$B$9:$C$117,2,0)</f>
        <v>SARAGURO</v>
      </c>
      <c r="H679" s="831" t="s">
        <v>468</v>
      </c>
      <c r="I679" s="831" t="s">
        <v>265</v>
      </c>
      <c r="J679" s="831" t="s">
        <v>502</v>
      </c>
      <c r="K679" s="831"/>
      <c r="L679" s="537"/>
      <c r="M679" s="538">
        <f>IF(K679&gt;0,VLOOKUP(H679,'[5]Pob. Ext, Parroquial'!$B$8:$F$117,4,FALSE),0)</f>
        <v>0</v>
      </c>
      <c r="N679" s="834" t="s">
        <v>527</v>
      </c>
      <c r="O679" s="836" t="s">
        <v>510</v>
      </c>
      <c r="P679" s="836">
        <v>8.1999999999999993</v>
      </c>
      <c r="Q679" s="836">
        <v>157.87</v>
      </c>
      <c r="R679" s="948">
        <v>41640</v>
      </c>
      <c r="S679" s="948">
        <v>41963</v>
      </c>
      <c r="T679" s="686" t="str">
        <f t="shared" si="227"/>
        <v>EJECUTADO</v>
      </c>
      <c r="U679" s="837">
        <f t="shared" si="213"/>
        <v>1294.53</v>
      </c>
      <c r="V679" s="544"/>
      <c r="W679" s="544"/>
      <c r="X679" s="662"/>
      <c r="Y679" s="640"/>
      <c r="Z679" s="545" t="s">
        <v>505</v>
      </c>
      <c r="AA679" s="545" t="s">
        <v>178</v>
      </c>
      <c r="AB679" s="546" t="s">
        <v>179</v>
      </c>
      <c r="AC679" s="547">
        <v>2014</v>
      </c>
    </row>
    <row r="680" spans="1:31" ht="49.5">
      <c r="A680" s="685"/>
      <c r="B680" s="648"/>
      <c r="C680" s="927" t="s">
        <v>1493</v>
      </c>
      <c r="D680" s="1118"/>
      <c r="E680" s="655" t="str">
        <f t="shared" si="226"/>
        <v>MEJORAMIENTO A NIVEL DE DOBLE TRATAMIENTO SUPERFICIAL BITUMINOSO DE LA VIA SARAGURO TENTA L= 6.17 KM.ABSC (4+044.69 - 10+210.55) CONVENIO NRO.120 - DPS -2013 GPL - VIALSUR.EP</v>
      </c>
      <c r="F680" s="831" t="s">
        <v>501</v>
      </c>
      <c r="G680" s="831" t="str">
        <f>VLOOKUP(H680,'Pob. Ext, Parroquial'!$B$9:$C$117,2,0)</f>
        <v>SARAGURO</v>
      </c>
      <c r="H680" s="831" t="s">
        <v>468</v>
      </c>
      <c r="I680" s="831" t="s">
        <v>265</v>
      </c>
      <c r="J680" s="831" t="s">
        <v>502</v>
      </c>
      <c r="K680" s="831"/>
      <c r="L680" s="537"/>
      <c r="M680" s="538">
        <f>IF(K680&gt;0,VLOOKUP(H680,'[5]Pob. Ext, Parroquial'!$B$8:$F$117,4,FALSE),0)</f>
        <v>0</v>
      </c>
      <c r="N680" s="834" t="s">
        <v>518</v>
      </c>
      <c r="O680" s="836" t="s">
        <v>516</v>
      </c>
      <c r="P680" s="836">
        <v>0.3</v>
      </c>
      <c r="Q680" s="836">
        <v>62275.6</v>
      </c>
      <c r="R680" s="948">
        <v>41640</v>
      </c>
      <c r="S680" s="948">
        <v>41963</v>
      </c>
      <c r="T680" s="686" t="str">
        <f t="shared" si="227"/>
        <v>EJECUTADO</v>
      </c>
      <c r="U680" s="837">
        <f t="shared" si="213"/>
        <v>18682.68</v>
      </c>
      <c r="V680" s="544"/>
      <c r="W680" s="544"/>
      <c r="X680" s="662"/>
      <c r="Y680" s="640"/>
      <c r="Z680" s="545" t="s">
        <v>505</v>
      </c>
      <c r="AA680" s="545" t="s">
        <v>178</v>
      </c>
      <c r="AB680" s="546" t="s">
        <v>179</v>
      </c>
      <c r="AC680" s="547">
        <v>2014</v>
      </c>
      <c r="AD680" s="1053">
        <f>SUBTOTAL(9,U12:U685)</f>
        <v>10064341.500000006</v>
      </c>
      <c r="AE680" s="1053"/>
    </row>
    <row r="681" spans="1:31" ht="49.5">
      <c r="A681" s="685"/>
      <c r="B681" s="648"/>
      <c r="C681" s="927" t="s">
        <v>1493</v>
      </c>
      <c r="D681" s="1118"/>
      <c r="E681" s="655" t="str">
        <f t="shared" si="226"/>
        <v>MEJORAMIENTO A NIVEL DE DOBLE TRATAMIENTO SUPERFICIAL BITUMINOSO DE LA VIA SARAGURO TENTA L= 6.17 KM.ABSC (4+044.69 - 10+210.55) CONVENIO NRO.120 - DPS -2013 GPL - VIALSUR.EP</v>
      </c>
      <c r="F681" s="831" t="s">
        <v>501</v>
      </c>
      <c r="G681" s="831" t="str">
        <f>VLOOKUP(H681,'Pob. Ext, Parroquial'!$B$9:$C$117,2,0)</f>
        <v>SARAGURO</v>
      </c>
      <c r="H681" s="831" t="s">
        <v>468</v>
      </c>
      <c r="I681" s="831" t="s">
        <v>265</v>
      </c>
      <c r="J681" s="831" t="s">
        <v>502</v>
      </c>
      <c r="K681" s="831"/>
      <c r="L681" s="537"/>
      <c r="M681" s="538">
        <f>IF(K681&gt;0,VLOOKUP(H681,'[5]Pob. Ext, Parroquial'!$B$8:$F$117,4,FALSE),0)</f>
        <v>0</v>
      </c>
      <c r="N681" s="834" t="s">
        <v>528</v>
      </c>
      <c r="O681" s="836" t="s">
        <v>529</v>
      </c>
      <c r="P681" s="836">
        <v>1040.57</v>
      </c>
      <c r="Q681" s="836">
        <v>1</v>
      </c>
      <c r="R681" s="948">
        <v>41640</v>
      </c>
      <c r="S681" s="948">
        <v>41963</v>
      </c>
      <c r="T681" s="686" t="str">
        <f t="shared" si="227"/>
        <v>EJECUTADO</v>
      </c>
      <c r="U681" s="837">
        <f t="shared" si="213"/>
        <v>1040.57</v>
      </c>
      <c r="V681" s="544"/>
      <c r="W681" s="544"/>
      <c r="X681" s="662"/>
      <c r="Y681" s="640"/>
      <c r="Z681" s="545" t="s">
        <v>505</v>
      </c>
      <c r="AA681" s="545" t="s">
        <v>178</v>
      </c>
      <c r="AB681" s="546" t="s">
        <v>179</v>
      </c>
      <c r="AC681" s="547">
        <v>2014</v>
      </c>
    </row>
    <row r="682" spans="1:31" ht="49.5">
      <c r="A682" s="685"/>
      <c r="B682" s="648"/>
      <c r="C682" s="927" t="s">
        <v>1493</v>
      </c>
      <c r="D682" s="1118"/>
      <c r="E682" s="655" t="str">
        <f t="shared" si="226"/>
        <v>MEJORAMIENTO A NIVEL DE DOBLE TRATAMIENTO SUPERFICIAL BITUMINOSO DE LA VIA SARAGURO TENTA L= 6.17 KM.ABSC (4+044.69 - 10+210.55) CONVENIO NRO.120 - DPS -2013 GPL - VIALSUR.EP</v>
      </c>
      <c r="F682" s="831" t="s">
        <v>501</v>
      </c>
      <c r="G682" s="831" t="str">
        <f>VLOOKUP(H682,'Pob. Ext, Parroquial'!$B$9:$C$117,2,0)</f>
        <v>SARAGURO</v>
      </c>
      <c r="H682" s="831" t="s">
        <v>468</v>
      </c>
      <c r="I682" s="831" t="s">
        <v>265</v>
      </c>
      <c r="J682" s="831" t="s">
        <v>502</v>
      </c>
      <c r="K682" s="831"/>
      <c r="L682" s="537"/>
      <c r="M682" s="538">
        <f>IF(K682&gt;0,VLOOKUP(H682,'[5]Pob. Ext, Parroquial'!$B$8:$F$117,4,FALSE),0)</f>
        <v>0</v>
      </c>
      <c r="N682" s="834" t="s">
        <v>530</v>
      </c>
      <c r="O682" s="836" t="s">
        <v>529</v>
      </c>
      <c r="P682" s="836">
        <v>664.56</v>
      </c>
      <c r="Q682" s="836">
        <v>2</v>
      </c>
      <c r="R682" s="948">
        <v>41640</v>
      </c>
      <c r="S682" s="948">
        <v>41963</v>
      </c>
      <c r="T682" s="686" t="str">
        <f t="shared" si="227"/>
        <v>EJECUTADO</v>
      </c>
      <c r="U682" s="837">
        <f t="shared" si="213"/>
        <v>1329.12</v>
      </c>
      <c r="V682" s="544"/>
      <c r="W682" s="544"/>
      <c r="X682" s="662"/>
      <c r="Y682" s="640"/>
      <c r="Z682" s="545" t="s">
        <v>505</v>
      </c>
      <c r="AA682" s="545" t="s">
        <v>178</v>
      </c>
      <c r="AB682" s="546" t="s">
        <v>179</v>
      </c>
      <c r="AC682" s="547">
        <v>2014</v>
      </c>
    </row>
    <row r="683" spans="1:31" ht="23.45" customHeight="1">
      <c r="A683" s="685"/>
      <c r="B683" s="648"/>
      <c r="C683" s="927" t="s">
        <v>1493</v>
      </c>
      <c r="D683" s="1118"/>
      <c r="E683" s="655" t="str">
        <f t="shared" si="226"/>
        <v>MEJORAMIENTO A NIVEL DE DOBLE TRATAMIENTO SUPERFICIAL BITUMINOSO DE LA VIA SARAGURO TENTA L= 6.17 KM.ABSC (4+044.69 - 10+210.55) CONVENIO NRO.120 - DPS -2013 GPL - VIALSUR.EP</v>
      </c>
      <c r="F683" s="831" t="s">
        <v>501</v>
      </c>
      <c r="G683" s="831" t="str">
        <f>VLOOKUP(H683,'Pob. Ext, Parroquial'!$B$9:$C$117,2,0)</f>
        <v>SARAGURO</v>
      </c>
      <c r="H683" s="831" t="s">
        <v>468</v>
      </c>
      <c r="I683" s="831" t="s">
        <v>265</v>
      </c>
      <c r="J683" s="831" t="s">
        <v>502</v>
      </c>
      <c r="K683" s="831"/>
      <c r="L683" s="537"/>
      <c r="M683" s="538">
        <f>IF(K683&gt;0,VLOOKUP(H683,'[5]Pob. Ext, Parroquial'!$B$8:$F$117,4,FALSE),0)</f>
        <v>0</v>
      </c>
      <c r="N683" s="834" t="s">
        <v>360</v>
      </c>
      <c r="O683" s="836" t="s">
        <v>510</v>
      </c>
      <c r="P683" s="836">
        <v>0.42</v>
      </c>
      <c r="Q683" s="836">
        <v>178265.91</v>
      </c>
      <c r="R683" s="948">
        <v>41640</v>
      </c>
      <c r="S683" s="948">
        <v>41963</v>
      </c>
      <c r="T683" s="686" t="str">
        <f t="shared" si="227"/>
        <v>EJECUTADO</v>
      </c>
      <c r="U683" s="837">
        <f t="shared" si="213"/>
        <v>74871.679999999993</v>
      </c>
      <c r="V683" s="544"/>
      <c r="W683" s="544"/>
      <c r="X683" s="662"/>
      <c r="Y683" s="640"/>
      <c r="Z683" s="545" t="s">
        <v>505</v>
      </c>
      <c r="AA683" s="545" t="s">
        <v>178</v>
      </c>
      <c r="AB683" s="546" t="s">
        <v>187</v>
      </c>
      <c r="AC683" s="547">
        <v>2014</v>
      </c>
    </row>
    <row r="684" spans="1:31" ht="23.45" customHeight="1">
      <c r="A684" s="685"/>
      <c r="B684" s="648"/>
      <c r="C684" s="927" t="s">
        <v>1493</v>
      </c>
      <c r="D684" s="1118"/>
      <c r="E684" s="655" t="str">
        <f t="shared" si="226"/>
        <v>MEJORAMIENTO A NIVEL DE DOBLE TRATAMIENTO SUPERFICIAL BITUMINOSO DE LA VIA SARAGURO TENTA L= 6.17 KM.ABSC (4+044.69 - 10+210.55) CONVENIO NRO.120 - DPS -2013 GPL - VIALSUR.EP</v>
      </c>
      <c r="F684" s="831" t="s">
        <v>501</v>
      </c>
      <c r="G684" s="831" t="str">
        <f>VLOOKUP(H684,'Pob. Ext, Parroquial'!$B$9:$C$117,2,0)</f>
        <v>SARAGURO</v>
      </c>
      <c r="H684" s="831" t="s">
        <v>468</v>
      </c>
      <c r="I684" s="831" t="s">
        <v>265</v>
      </c>
      <c r="J684" s="831" t="s">
        <v>502</v>
      </c>
      <c r="K684" s="831"/>
      <c r="L684" s="537"/>
      <c r="M684" s="538">
        <f>IF(K684&gt;0,VLOOKUP(H684,'[5]Pob. Ext, Parroquial'!$B$8:$F$117,4,FALSE),0)</f>
        <v>0</v>
      </c>
      <c r="N684" s="834" t="s">
        <v>531</v>
      </c>
      <c r="O684" s="836" t="s">
        <v>532</v>
      </c>
      <c r="P684" s="836">
        <v>78920.429999999993</v>
      </c>
      <c r="Q684" s="836">
        <v>1</v>
      </c>
      <c r="R684" s="948">
        <v>41640</v>
      </c>
      <c r="S684" s="948">
        <v>41963</v>
      </c>
      <c r="T684" s="686" t="str">
        <f t="shared" si="227"/>
        <v>EJECUTADO</v>
      </c>
      <c r="U684" s="837">
        <f t="shared" si="213"/>
        <v>78920.429999999993</v>
      </c>
      <c r="V684" s="544"/>
      <c r="W684" s="544"/>
      <c r="X684" s="662"/>
      <c r="Y684" s="640"/>
      <c r="Z684" s="545" t="s">
        <v>505</v>
      </c>
      <c r="AA684" s="545" t="s">
        <v>178</v>
      </c>
      <c r="AB684" s="546" t="s">
        <v>179</v>
      </c>
      <c r="AC684" s="547">
        <v>2014</v>
      </c>
    </row>
    <row r="685" spans="1:31" ht="23.45" customHeight="1" thickBot="1">
      <c r="A685" s="939"/>
      <c r="B685" s="940"/>
      <c r="C685" s="927" t="s">
        <v>1493</v>
      </c>
      <c r="D685" s="1119"/>
      <c r="E685" s="941" t="str">
        <f t="shared" si="226"/>
        <v>MEJORAMIENTO A NIVEL DE DOBLE TRATAMIENTO SUPERFICIAL BITUMINOSO DE LA VIA SARAGURO TENTA L= 6.17 KM.ABSC (4+044.69 - 10+210.55) CONVENIO NRO.120 - DPS -2013 GPL - VIALSUR.EP</v>
      </c>
      <c r="F685" s="865" t="s">
        <v>501</v>
      </c>
      <c r="G685" s="865" t="str">
        <f>VLOOKUP(H685,'Pob. Ext, Parroquial'!$B$9:$C$117,2,0)</f>
        <v>SARAGURO</v>
      </c>
      <c r="H685" s="865" t="s">
        <v>468</v>
      </c>
      <c r="I685" s="865" t="s">
        <v>265</v>
      </c>
      <c r="J685" s="865" t="s">
        <v>502</v>
      </c>
      <c r="K685" s="865"/>
      <c r="L685" s="699"/>
      <c r="M685" s="700">
        <f>IF(K685&gt;0,VLOOKUP(H685,'[5]Pob. Ext, Parroquial'!$B$8:$F$117,4,FALSE),0)</f>
        <v>0</v>
      </c>
      <c r="N685" s="866" t="s">
        <v>533</v>
      </c>
      <c r="O685" s="867" t="s">
        <v>529</v>
      </c>
      <c r="P685" s="867">
        <v>300</v>
      </c>
      <c r="Q685" s="867">
        <v>11</v>
      </c>
      <c r="R685" s="958">
        <v>41640</v>
      </c>
      <c r="S685" s="958">
        <v>41963</v>
      </c>
      <c r="T685" s="956" t="str">
        <f t="shared" si="227"/>
        <v>EJECUTADO</v>
      </c>
      <c r="U685" s="868">
        <f t="shared" si="213"/>
        <v>3300</v>
      </c>
      <c r="V685" s="703"/>
      <c r="W685" s="703"/>
      <c r="X685" s="942"/>
      <c r="Y685" s="640"/>
      <c r="Z685" s="545" t="s">
        <v>505</v>
      </c>
      <c r="AA685" s="545" t="s">
        <v>178</v>
      </c>
      <c r="AB685" s="546" t="s">
        <v>179</v>
      </c>
      <c r="AC685" s="547">
        <v>2014</v>
      </c>
    </row>
    <row r="686" spans="1:31" ht="23.45" customHeight="1" thickTop="1">
      <c r="A686" s="92"/>
      <c r="B686" s="92"/>
      <c r="E686" s="92"/>
      <c r="O686" s="92"/>
      <c r="P686" s="92"/>
      <c r="Q686" s="92"/>
      <c r="R686" s="953"/>
      <c r="V686" s="92"/>
      <c r="W686" s="92"/>
      <c r="X686" s="92"/>
      <c r="AC686" s="92"/>
    </row>
    <row r="687" spans="1:31" s="124" customFormat="1" ht="23.45" customHeight="1">
      <c r="A687" s="870"/>
      <c r="B687" s="871"/>
      <c r="C687" s="871"/>
      <c r="D687" s="871"/>
      <c r="E687" s="872"/>
      <c r="F687" s="871"/>
      <c r="G687" s="871"/>
      <c r="H687" s="871"/>
      <c r="I687" s="943" t="s">
        <v>534</v>
      </c>
      <c r="J687" s="871"/>
      <c r="K687" s="944"/>
      <c r="L687" s="945">
        <f>SUBTOTAL(9,L10:L685)</f>
        <v>2014.7199999999998</v>
      </c>
      <c r="M687" s="946">
        <f>SUBTOTAL(9,M12:M685)</f>
        <v>192494</v>
      </c>
      <c r="N687" s="871"/>
      <c r="O687" s="873"/>
      <c r="P687" s="873"/>
      <c r="Q687" s="874"/>
      <c r="R687" s="960"/>
      <c r="S687" s="787"/>
      <c r="T687" s="957"/>
      <c r="U687" s="876">
        <f>SUBTOTAL(9,U10:U685)</f>
        <v>10064341.500000006</v>
      </c>
      <c r="V687" s="875"/>
      <c r="W687" s="875"/>
      <c r="X687" s="876">
        <f>SUM(X12:X685)</f>
        <v>10031639.280000003</v>
      </c>
      <c r="AC687" s="877"/>
    </row>
    <row r="696" spans="1:29" ht="23.45" customHeight="1">
      <c r="E696" s="530">
        <f>10515062.89/1.33333333333333</f>
        <v>7886297.1675000209</v>
      </c>
    </row>
    <row r="699" spans="1:29" ht="23.45" customHeight="1">
      <c r="A699" s="92"/>
      <c r="B699" s="92"/>
      <c r="E699" s="92" t="s">
        <v>1108</v>
      </c>
      <c r="O699" s="92"/>
      <c r="P699" s="92"/>
      <c r="Q699" s="92"/>
      <c r="R699" s="953"/>
      <c r="V699" s="92"/>
      <c r="W699" s="92"/>
      <c r="X699" s="92"/>
      <c r="AC699" s="92"/>
    </row>
    <row r="700" spans="1:29" ht="23.45" customHeight="1">
      <c r="A700" s="92"/>
      <c r="B700" s="92"/>
      <c r="E700" s="92" t="s">
        <v>4</v>
      </c>
      <c r="O700" s="92"/>
      <c r="P700" s="92"/>
      <c r="Q700" s="92"/>
      <c r="R700" s="953"/>
      <c r="V700" s="92"/>
      <c r="W700" s="92"/>
      <c r="X700" s="92"/>
      <c r="AC700" s="92"/>
    </row>
    <row r="701" spans="1:29" ht="23.45" customHeight="1">
      <c r="A701" s="92"/>
      <c r="B701" s="92"/>
      <c r="E701" s="92" t="s">
        <v>1109</v>
      </c>
      <c r="O701" s="92"/>
      <c r="P701" s="92"/>
      <c r="Q701" s="92"/>
      <c r="R701" s="953"/>
      <c r="V701" s="92"/>
      <c r="W701" s="92"/>
      <c r="X701" s="92"/>
      <c r="AC701" s="92"/>
    </row>
  </sheetData>
  <sheetProtection selectLockedCells="1" selectUnlockedCells="1"/>
  <autoFilter ref="A11:AC685"/>
  <mergeCells count="215">
    <mergeCell ref="D185:D193"/>
    <mergeCell ref="D194:D202"/>
    <mergeCell ref="D392:D399"/>
    <mergeCell ref="D400:D404"/>
    <mergeCell ref="D405:D407"/>
    <mergeCell ref="D449:D453"/>
    <mergeCell ref="D454:D460"/>
    <mergeCell ref="D461:D467"/>
    <mergeCell ref="D239:D240"/>
    <mergeCell ref="D334:D335"/>
    <mergeCell ref="D279:D287"/>
    <mergeCell ref="A185:A193"/>
    <mergeCell ref="D101:D104"/>
    <mergeCell ref="D105:D108"/>
    <mergeCell ref="X625:X627"/>
    <mergeCell ref="A113:A121"/>
    <mergeCell ref="D113:D121"/>
    <mergeCell ref="D122:D125"/>
    <mergeCell ref="D127:D130"/>
    <mergeCell ref="A212:A220"/>
    <mergeCell ref="B212:B220"/>
    <mergeCell ref="D212:D220"/>
    <mergeCell ref="A221:A226"/>
    <mergeCell ref="B221:B226"/>
    <mergeCell ref="D221:D226"/>
    <mergeCell ref="A194:A202"/>
    <mergeCell ref="A203:A211"/>
    <mergeCell ref="D203:D211"/>
    <mergeCell ref="A290:A299"/>
    <mergeCell ref="B290:B299"/>
    <mergeCell ref="V382:V390"/>
    <mergeCell ref="D435:D439"/>
    <mergeCell ref="D592:D593"/>
    <mergeCell ref="D622:D623"/>
    <mergeCell ref="D595:D598"/>
    <mergeCell ref="A89:A95"/>
    <mergeCell ref="D89:D95"/>
    <mergeCell ref="D109:D112"/>
    <mergeCell ref="D96:D99"/>
    <mergeCell ref="A84:A85"/>
    <mergeCell ref="D84:D85"/>
    <mergeCell ref="A86:A87"/>
    <mergeCell ref="D86:D87"/>
    <mergeCell ref="A176:A184"/>
    <mergeCell ref="D176:D184"/>
    <mergeCell ref="D167:D175"/>
    <mergeCell ref="R10:S10"/>
    <mergeCell ref="U10:W10"/>
    <mergeCell ref="AA10:AC10"/>
    <mergeCell ref="A19:A23"/>
    <mergeCell ref="D19:D23"/>
    <mergeCell ref="A34:A35"/>
    <mergeCell ref="D34:D35"/>
    <mergeCell ref="B7:B9"/>
    <mergeCell ref="A36:A37"/>
    <mergeCell ref="D36:D37"/>
    <mergeCell ref="A12:A15"/>
    <mergeCell ref="D12:D15"/>
    <mergeCell ref="A16:A18"/>
    <mergeCell ref="D16:D18"/>
    <mergeCell ref="G5:I5"/>
    <mergeCell ref="A80:A83"/>
    <mergeCell ref="D80:D83"/>
    <mergeCell ref="A56:A58"/>
    <mergeCell ref="D56:D58"/>
    <mergeCell ref="D59:D61"/>
    <mergeCell ref="D46:D47"/>
    <mergeCell ref="D48:D49"/>
    <mergeCell ref="D50:D51"/>
    <mergeCell ref="D52:D53"/>
    <mergeCell ref="D65:D67"/>
    <mergeCell ref="D68:D70"/>
    <mergeCell ref="D71:D73"/>
    <mergeCell ref="D74:D76"/>
    <mergeCell ref="I10:K10"/>
    <mergeCell ref="A77:A79"/>
    <mergeCell ref="D77:D79"/>
    <mergeCell ref="D42:D43"/>
    <mergeCell ref="D44:D45"/>
    <mergeCell ref="A10:C10"/>
    <mergeCell ref="A227:A232"/>
    <mergeCell ref="B227:B232"/>
    <mergeCell ref="D227:D232"/>
    <mergeCell ref="A233:A238"/>
    <mergeCell ref="B233:B238"/>
    <mergeCell ref="D233:D238"/>
    <mergeCell ref="D241:D242"/>
    <mergeCell ref="A243:A251"/>
    <mergeCell ref="D243:D251"/>
    <mergeCell ref="A252:A260"/>
    <mergeCell ref="D252:D260"/>
    <mergeCell ref="A261:A269"/>
    <mergeCell ref="D261:D269"/>
    <mergeCell ref="A308:A315"/>
    <mergeCell ref="B308:B315"/>
    <mergeCell ref="D308:D315"/>
    <mergeCell ref="A316:A326"/>
    <mergeCell ref="B316:B326"/>
    <mergeCell ref="D316:D326"/>
    <mergeCell ref="D300:D301"/>
    <mergeCell ref="D303:D304"/>
    <mergeCell ref="A305:A307"/>
    <mergeCell ref="D305:D307"/>
    <mergeCell ref="A270:A278"/>
    <mergeCell ref="D270:D278"/>
    <mergeCell ref="D290:D299"/>
    <mergeCell ref="A279:A287"/>
    <mergeCell ref="A336:A338"/>
    <mergeCell ref="B336:B338"/>
    <mergeCell ref="D336:D338"/>
    <mergeCell ref="D328:D329"/>
    <mergeCell ref="A330:A333"/>
    <mergeCell ref="B330:B333"/>
    <mergeCell ref="D330:D333"/>
    <mergeCell ref="A424:A425"/>
    <mergeCell ref="B424:B425"/>
    <mergeCell ref="B377:B380"/>
    <mergeCell ref="D377:D380"/>
    <mergeCell ref="D382:D390"/>
    <mergeCell ref="A417:A423"/>
    <mergeCell ref="B417:B423"/>
    <mergeCell ref="D417:D423"/>
    <mergeCell ref="A435:A439"/>
    <mergeCell ref="B435:B439"/>
    <mergeCell ref="A361:A367"/>
    <mergeCell ref="B361:B367"/>
    <mergeCell ref="D361:D367"/>
    <mergeCell ref="A369:A374"/>
    <mergeCell ref="B369:B374"/>
    <mergeCell ref="D369:D374"/>
    <mergeCell ref="D339:D348"/>
    <mergeCell ref="A350:A355"/>
    <mergeCell ref="B350:B355"/>
    <mergeCell ref="D350:D355"/>
    <mergeCell ref="A357:A360"/>
    <mergeCell ref="B357:B360"/>
    <mergeCell ref="D357:D360"/>
    <mergeCell ref="A408:A413"/>
    <mergeCell ref="D408:D413"/>
    <mergeCell ref="A414:A416"/>
    <mergeCell ref="B414:B416"/>
    <mergeCell ref="D414:D416"/>
    <mergeCell ref="A375:A376"/>
    <mergeCell ref="B375:B376"/>
    <mergeCell ref="D375:D376"/>
    <mergeCell ref="A377:A380"/>
    <mergeCell ref="D566:D587"/>
    <mergeCell ref="A607:A608"/>
    <mergeCell ref="B607:B608"/>
    <mergeCell ref="D607:D608"/>
    <mergeCell ref="A604:A606"/>
    <mergeCell ref="B604:B606"/>
    <mergeCell ref="D604:D606"/>
    <mergeCell ref="D610:D612"/>
    <mergeCell ref="A599:A603"/>
    <mergeCell ref="B599:B603"/>
    <mergeCell ref="D599:D603"/>
    <mergeCell ref="D483:D489"/>
    <mergeCell ref="B558:B564"/>
    <mergeCell ref="A548:A551"/>
    <mergeCell ref="B548:B551"/>
    <mergeCell ref="D548:D551"/>
    <mergeCell ref="A552:A556"/>
    <mergeCell ref="B552:B556"/>
    <mergeCell ref="D552:D556"/>
    <mergeCell ref="D502:D507"/>
    <mergeCell ref="D515:D517"/>
    <mergeCell ref="A469:A476"/>
    <mergeCell ref="D469:D476"/>
    <mergeCell ref="D546:D547"/>
    <mergeCell ref="A429:A430"/>
    <mergeCell ref="D429:D430"/>
    <mergeCell ref="A432:A434"/>
    <mergeCell ref="B432:B434"/>
    <mergeCell ref="D432:D434"/>
    <mergeCell ref="D614:D617"/>
    <mergeCell ref="A440:A445"/>
    <mergeCell ref="B440:B445"/>
    <mergeCell ref="D440:D445"/>
    <mergeCell ref="A537:A540"/>
    <mergeCell ref="B537:B540"/>
    <mergeCell ref="D537:D540"/>
    <mergeCell ref="A477:A482"/>
    <mergeCell ref="A541:A542"/>
    <mergeCell ref="B541:B542"/>
    <mergeCell ref="D541:D542"/>
    <mergeCell ref="A490:A495"/>
    <mergeCell ref="D490:D495"/>
    <mergeCell ref="D519:D526"/>
    <mergeCell ref="A519:A526"/>
    <mergeCell ref="A483:A489"/>
    <mergeCell ref="D653:D685"/>
    <mergeCell ref="AD680:AE680"/>
    <mergeCell ref="A543:A545"/>
    <mergeCell ref="B543:B545"/>
    <mergeCell ref="D543:D545"/>
    <mergeCell ref="A546:A547"/>
    <mergeCell ref="B546:B547"/>
    <mergeCell ref="D508:D513"/>
    <mergeCell ref="D477:D482"/>
    <mergeCell ref="D618:D621"/>
    <mergeCell ref="X622:X623"/>
    <mergeCell ref="D633:D636"/>
    <mergeCell ref="X628:X629"/>
    <mergeCell ref="X633:X636"/>
    <mergeCell ref="X618:X621"/>
    <mergeCell ref="D625:D627"/>
    <mergeCell ref="D628:D629"/>
    <mergeCell ref="D496:D501"/>
    <mergeCell ref="A496:A501"/>
    <mergeCell ref="A508:A513"/>
    <mergeCell ref="D535:D536"/>
    <mergeCell ref="A588:A589"/>
    <mergeCell ref="B588:B589"/>
    <mergeCell ref="D588:D589"/>
  </mergeCells>
  <conditionalFormatting sqref="R12:S45 R451:S452 R395:S399 R54:S64 R77:S121 R574:S576 R588:S590 R629:S629 R176:S240 R131:S131 R357:S363 R405:S405 R408:S419 R421:S425 R530:S530 R537:S562 R428:S447 R478:S482 R288:S291 R653:S662 R664:S671 R673:S685 R564:S571 R293:S296 R297:R298 R300:S342 R345:S349 R365:S367 R369:S381 R592:S593 R595:S617">
    <cfRule type="cellIs" dxfId="565" priority="156" operator="between">
      <formula>41760</formula>
      <formula>41912</formula>
    </cfRule>
  </conditionalFormatting>
  <conditionalFormatting sqref="R167:S175">
    <cfRule type="cellIs" dxfId="564" priority="155" operator="between">
      <formula>41760</formula>
      <formula>41912</formula>
    </cfRule>
  </conditionalFormatting>
  <conditionalFormatting sqref="R420:S420">
    <cfRule type="cellIs" dxfId="563" priority="154" operator="between">
      <formula>41760</formula>
      <formula>41912</formula>
    </cfRule>
  </conditionalFormatting>
  <conditionalFormatting sqref="R448:S448">
    <cfRule type="cellIs" dxfId="562" priority="153" operator="between">
      <formula>41760</formula>
      <formula>41912</formula>
    </cfRule>
  </conditionalFormatting>
  <conditionalFormatting sqref="R382:S390">
    <cfRule type="cellIs" dxfId="561" priority="152" operator="between">
      <formula>41760</formula>
      <formula>41912</formula>
    </cfRule>
  </conditionalFormatting>
  <conditionalFormatting sqref="R394:S394">
    <cfRule type="cellIs" dxfId="560" priority="148" operator="between">
      <formula>41760</formula>
      <formula>41912</formula>
    </cfRule>
  </conditionalFormatting>
  <conditionalFormatting sqref="R391:S391">
    <cfRule type="cellIs" dxfId="559" priority="151" operator="between">
      <formula>41760</formula>
      <formula>41912</formula>
    </cfRule>
  </conditionalFormatting>
  <conditionalFormatting sqref="R392:S392">
    <cfRule type="cellIs" dxfId="558" priority="150" operator="between">
      <formula>41760</formula>
      <formula>41912</formula>
    </cfRule>
  </conditionalFormatting>
  <conditionalFormatting sqref="R393:S393">
    <cfRule type="cellIs" dxfId="557" priority="149" operator="between">
      <formula>41760</formula>
      <formula>41912</formula>
    </cfRule>
  </conditionalFormatting>
  <conditionalFormatting sqref="R450:S450">
    <cfRule type="cellIs" dxfId="556" priority="145" operator="between">
      <formula>41760</formula>
      <formula>41912</formula>
    </cfRule>
  </conditionalFormatting>
  <conditionalFormatting sqref="R400:S404">
    <cfRule type="cellIs" dxfId="555" priority="147" operator="between">
      <formula>41760</formula>
      <formula>41912</formula>
    </cfRule>
  </conditionalFormatting>
  <conditionalFormatting sqref="R449:S449">
    <cfRule type="cellIs" dxfId="554" priority="146" operator="between">
      <formula>41760</formula>
      <formula>41912</formula>
    </cfRule>
  </conditionalFormatting>
  <conditionalFormatting sqref="R453:S453">
    <cfRule type="cellIs" dxfId="553" priority="144" operator="between">
      <formula>41760</formula>
      <formula>41912</formula>
    </cfRule>
  </conditionalFormatting>
  <conditionalFormatting sqref="R458:S459">
    <cfRule type="cellIs" dxfId="552" priority="143" operator="between">
      <formula>41760</formula>
      <formula>41912</formula>
    </cfRule>
  </conditionalFormatting>
  <conditionalFormatting sqref="R460:S460">
    <cfRule type="cellIs" dxfId="551" priority="141" operator="between">
      <formula>41760</formula>
      <formula>41912</formula>
    </cfRule>
  </conditionalFormatting>
  <conditionalFormatting sqref="R454:S454">
    <cfRule type="cellIs" dxfId="550" priority="142" operator="between">
      <formula>41760</formula>
      <formula>41912</formula>
    </cfRule>
  </conditionalFormatting>
  <conditionalFormatting sqref="R465:S466">
    <cfRule type="cellIs" dxfId="549" priority="140" operator="between">
      <formula>41760</formula>
      <formula>41912</formula>
    </cfRule>
  </conditionalFormatting>
  <conditionalFormatting sqref="R464:S464">
    <cfRule type="cellIs" dxfId="548" priority="138" operator="between">
      <formula>41760</formula>
      <formula>41912</formula>
    </cfRule>
  </conditionalFormatting>
  <conditionalFormatting sqref="R461:S461">
    <cfRule type="cellIs" dxfId="547" priority="139" operator="between">
      <formula>41760</formula>
      <formula>41912</formula>
    </cfRule>
  </conditionalFormatting>
  <conditionalFormatting sqref="R467:S467">
    <cfRule type="cellIs" dxfId="546" priority="137" operator="between">
      <formula>41760</formula>
      <formula>41912</formula>
    </cfRule>
  </conditionalFormatting>
  <conditionalFormatting sqref="R46:S47">
    <cfRule type="cellIs" dxfId="545" priority="136" operator="between">
      <formula>41760</formula>
      <formula>41912</formula>
    </cfRule>
  </conditionalFormatting>
  <conditionalFormatting sqref="R48:S49">
    <cfRule type="cellIs" dxfId="544" priority="135" operator="between">
      <formula>41760</formula>
      <formula>41912</formula>
    </cfRule>
  </conditionalFormatting>
  <conditionalFormatting sqref="R50:S51">
    <cfRule type="cellIs" dxfId="543" priority="134" operator="between">
      <formula>41760</formula>
      <formula>41912</formula>
    </cfRule>
  </conditionalFormatting>
  <conditionalFormatting sqref="R52:S53">
    <cfRule type="cellIs" dxfId="542" priority="133" operator="between">
      <formula>41760</formula>
      <formula>41912</formula>
    </cfRule>
  </conditionalFormatting>
  <conditionalFormatting sqref="R65:S67">
    <cfRule type="cellIs" dxfId="541" priority="132" operator="between">
      <formula>41760</formula>
      <formula>41912</formula>
    </cfRule>
  </conditionalFormatting>
  <conditionalFormatting sqref="R68:S70">
    <cfRule type="cellIs" dxfId="540" priority="131" operator="between">
      <formula>41760</formula>
      <formula>41912</formula>
    </cfRule>
  </conditionalFormatting>
  <conditionalFormatting sqref="R46:S76">
    <cfRule type="cellIs" dxfId="539" priority="129" operator="between">
      <formula>41760</formula>
      <formula>41912</formula>
    </cfRule>
  </conditionalFormatting>
  <conditionalFormatting sqref="R71:S73">
    <cfRule type="cellIs" dxfId="538" priority="130" operator="between">
      <formula>41760</formula>
      <formula>41912</formula>
    </cfRule>
  </conditionalFormatting>
  <conditionalFormatting sqref="R578:S578">
    <cfRule type="cellIs" dxfId="537" priority="128" operator="between">
      <formula>41760</formula>
      <formula>41912</formula>
    </cfRule>
  </conditionalFormatting>
  <conditionalFormatting sqref="R579:S579">
    <cfRule type="cellIs" dxfId="536" priority="127" operator="between">
      <formula>41760</formula>
      <formula>41912</formula>
    </cfRule>
  </conditionalFormatting>
  <conditionalFormatting sqref="R580:S580">
    <cfRule type="cellIs" dxfId="535" priority="126" operator="between">
      <formula>41760</formula>
      <formula>41912</formula>
    </cfRule>
  </conditionalFormatting>
  <conditionalFormatting sqref="R581:S581">
    <cfRule type="cellIs" dxfId="534" priority="125" operator="between">
      <formula>41760</formula>
      <formula>41912</formula>
    </cfRule>
  </conditionalFormatting>
  <conditionalFormatting sqref="R582:S582">
    <cfRule type="cellIs" dxfId="533" priority="124" operator="between">
      <formula>41760</formula>
      <formula>41912</formula>
    </cfRule>
  </conditionalFormatting>
  <conditionalFormatting sqref="R583:S583">
    <cfRule type="cellIs" dxfId="532" priority="123" operator="between">
      <formula>41760</formula>
      <formula>41912</formula>
    </cfRule>
  </conditionalFormatting>
  <conditionalFormatting sqref="R584:S584">
    <cfRule type="cellIs" dxfId="531" priority="122" operator="between">
      <formula>41760</formula>
      <formula>41912</formula>
    </cfRule>
  </conditionalFormatting>
  <conditionalFormatting sqref="R573:S573">
    <cfRule type="cellIs" dxfId="530" priority="121" operator="between">
      <formula>41760</formula>
      <formula>41912</formula>
    </cfRule>
  </conditionalFormatting>
  <conditionalFormatting sqref="R572:S572">
    <cfRule type="cellIs" dxfId="529" priority="120" operator="between">
      <formula>41760</formula>
      <formula>41912</formula>
    </cfRule>
  </conditionalFormatting>
  <conditionalFormatting sqref="R585:S585">
    <cfRule type="cellIs" dxfId="528" priority="119" operator="between">
      <formula>41760</formula>
      <formula>41912</formula>
    </cfRule>
  </conditionalFormatting>
  <conditionalFormatting sqref="R586:S586">
    <cfRule type="cellIs" dxfId="527" priority="118" operator="between">
      <formula>41760</formula>
      <formula>41912</formula>
    </cfRule>
  </conditionalFormatting>
  <conditionalFormatting sqref="R587:S587">
    <cfRule type="cellIs" dxfId="526" priority="117" operator="between">
      <formula>41760</formula>
      <formula>41912</formula>
    </cfRule>
  </conditionalFormatting>
  <conditionalFormatting sqref="R618:S621">
    <cfRule type="cellIs" dxfId="525" priority="116" operator="between">
      <formula>41760</formula>
      <formula>41912</formula>
    </cfRule>
  </conditionalFormatting>
  <conditionalFormatting sqref="R622:S627">
    <cfRule type="cellIs" dxfId="524" priority="115" operator="between">
      <formula>41760</formula>
      <formula>41912</formula>
    </cfRule>
  </conditionalFormatting>
  <conditionalFormatting sqref="R628:S628">
    <cfRule type="cellIs" dxfId="523" priority="114" operator="between">
      <formula>41760</formula>
      <formula>41912</formula>
    </cfRule>
  </conditionalFormatting>
  <conditionalFormatting sqref="R132:S135">
    <cfRule type="cellIs" dxfId="522" priority="113" operator="between">
      <formula>41760</formula>
      <formula>41912</formula>
    </cfRule>
  </conditionalFormatting>
  <conditionalFormatting sqref="R166:S166">
    <cfRule type="cellIs" dxfId="521" priority="112" operator="between">
      <formula>41760</formula>
      <formula>41912</formula>
    </cfRule>
  </conditionalFormatting>
  <conditionalFormatting sqref="R577:S577">
    <cfRule type="cellIs" dxfId="520" priority="111" operator="between">
      <formula>41760</formula>
      <formula>41912</formula>
    </cfRule>
  </conditionalFormatting>
  <conditionalFormatting sqref="R122:S125">
    <cfRule type="cellIs" dxfId="519" priority="110" operator="between">
      <formula>41760</formula>
      <formula>41912</formula>
    </cfRule>
  </conditionalFormatting>
  <conditionalFormatting sqref="R126:S126">
    <cfRule type="cellIs" dxfId="518" priority="109" operator="between">
      <formula>41760</formula>
      <formula>41912</formula>
    </cfRule>
  </conditionalFormatting>
  <conditionalFormatting sqref="S127:S130">
    <cfRule type="cellIs" dxfId="517" priority="108" operator="between">
      <formula>41760</formula>
      <formula>41912</formula>
    </cfRule>
  </conditionalFormatting>
  <conditionalFormatting sqref="R127:R130">
    <cfRule type="cellIs" dxfId="516" priority="107" operator="between">
      <formula>41760</formula>
      <formula>41912</formula>
    </cfRule>
  </conditionalFormatting>
  <conditionalFormatting sqref="R350:S355">
    <cfRule type="cellIs" dxfId="515" priority="106" operator="between">
      <formula>41760</formula>
      <formula>41912</formula>
    </cfRule>
  </conditionalFormatting>
  <conditionalFormatting sqref="R356:S356">
    <cfRule type="cellIs" dxfId="514" priority="105" operator="between">
      <formula>41760</formula>
      <formula>41912</formula>
    </cfRule>
  </conditionalFormatting>
  <conditionalFormatting sqref="R456:S456">
    <cfRule type="cellIs" dxfId="513" priority="103" operator="between">
      <formula>41760</formula>
      <formula>41912</formula>
    </cfRule>
  </conditionalFormatting>
  <conditionalFormatting sqref="R406:S407">
    <cfRule type="cellIs" dxfId="512" priority="104" operator="between">
      <formula>41760</formula>
      <formula>41912</formula>
    </cfRule>
  </conditionalFormatting>
  <conditionalFormatting sqref="R457:S457">
    <cfRule type="cellIs" dxfId="511" priority="102" operator="between">
      <formula>41760</formula>
      <formula>41912</formula>
    </cfRule>
  </conditionalFormatting>
  <conditionalFormatting sqref="R462:S462">
    <cfRule type="cellIs" dxfId="510" priority="101" operator="between">
      <formula>41760</formula>
      <formula>41912</formula>
    </cfRule>
  </conditionalFormatting>
  <conditionalFormatting sqref="R463:S463">
    <cfRule type="cellIs" dxfId="509" priority="100" operator="between">
      <formula>41760</formula>
      <formula>41912</formula>
    </cfRule>
  </conditionalFormatting>
  <conditionalFormatting sqref="R455:S455">
    <cfRule type="cellIs" dxfId="508" priority="99" operator="between">
      <formula>41760</formula>
      <formula>41912</formula>
    </cfRule>
  </conditionalFormatting>
  <conditionalFormatting sqref="R468:S468">
    <cfRule type="cellIs" dxfId="507" priority="98" operator="between">
      <formula>41760</formula>
      <formula>41912</formula>
    </cfRule>
  </conditionalFormatting>
  <conditionalFormatting sqref="R469:S473 R476:S476">
    <cfRule type="cellIs" dxfId="506" priority="97" operator="between">
      <formula>41760</formula>
      <formula>41912</formula>
    </cfRule>
  </conditionalFormatting>
  <conditionalFormatting sqref="R426:S426">
    <cfRule type="cellIs" dxfId="505" priority="96" operator="between">
      <formula>41760</formula>
      <formula>41912</formula>
    </cfRule>
  </conditionalFormatting>
  <conditionalFormatting sqref="R427:S427">
    <cfRule type="cellIs" dxfId="504" priority="95" operator="between">
      <formula>41760</formula>
      <formula>41912</formula>
    </cfRule>
  </conditionalFormatting>
  <conditionalFormatting sqref="R474:S474">
    <cfRule type="cellIs" dxfId="503" priority="94" operator="between">
      <formula>41760</formula>
      <formula>41912</formula>
    </cfRule>
  </conditionalFormatting>
  <conditionalFormatting sqref="R475:S475">
    <cfRule type="cellIs" dxfId="502" priority="93" operator="between">
      <formula>41760</formula>
      <formula>41912</formula>
    </cfRule>
  </conditionalFormatting>
  <conditionalFormatting sqref="R477:S477">
    <cfRule type="cellIs" dxfId="501" priority="92" operator="between">
      <formula>41760</formula>
      <formula>41912</formula>
    </cfRule>
  </conditionalFormatting>
  <conditionalFormatting sqref="R483:S483">
    <cfRule type="cellIs" dxfId="500" priority="91" operator="between">
      <formula>41760</formula>
      <formula>41912</formula>
    </cfRule>
  </conditionalFormatting>
  <conditionalFormatting sqref="R484:S489">
    <cfRule type="cellIs" dxfId="499" priority="90" operator="between">
      <formula>41760</formula>
      <formula>41912</formula>
    </cfRule>
  </conditionalFormatting>
  <conditionalFormatting sqref="R490:S490">
    <cfRule type="cellIs" dxfId="498" priority="89" operator="between">
      <formula>41760</formula>
      <formula>41912</formula>
    </cfRule>
  </conditionalFormatting>
  <conditionalFormatting sqref="R491:S495">
    <cfRule type="cellIs" dxfId="497" priority="88" operator="between">
      <formula>41760</formula>
      <formula>41912</formula>
    </cfRule>
  </conditionalFormatting>
  <conditionalFormatting sqref="R496:S496">
    <cfRule type="cellIs" dxfId="496" priority="87" operator="between">
      <formula>41760</formula>
      <formula>41912</formula>
    </cfRule>
  </conditionalFormatting>
  <conditionalFormatting sqref="R497:S501">
    <cfRule type="cellIs" dxfId="495" priority="86" operator="between">
      <formula>41760</formula>
      <formula>41912</formula>
    </cfRule>
  </conditionalFormatting>
  <conditionalFormatting sqref="R508:S508">
    <cfRule type="cellIs" dxfId="494" priority="85" operator="between">
      <formula>41760</formula>
      <formula>41912</formula>
    </cfRule>
  </conditionalFormatting>
  <conditionalFormatting sqref="R520:R526">
    <cfRule type="cellIs" dxfId="493" priority="80" operator="between">
      <formula>41760</formula>
      <formula>41912</formula>
    </cfRule>
  </conditionalFormatting>
  <conditionalFormatting sqref="R514:S514">
    <cfRule type="cellIs" dxfId="492" priority="83" operator="between">
      <formula>41760</formula>
      <formula>41912</formula>
    </cfRule>
  </conditionalFormatting>
  <conditionalFormatting sqref="R515:S516">
    <cfRule type="cellIs" dxfId="491" priority="82" operator="between">
      <formula>41760</formula>
      <formula>41912</formula>
    </cfRule>
  </conditionalFormatting>
  <conditionalFormatting sqref="R519:S519">
    <cfRule type="cellIs" dxfId="490" priority="81" operator="between">
      <formula>41760</formula>
      <formula>41912</formula>
    </cfRule>
  </conditionalFormatting>
  <conditionalFormatting sqref="R527:S527">
    <cfRule type="cellIs" dxfId="489" priority="79" operator="between">
      <formula>41760</formula>
      <formula>41912</formula>
    </cfRule>
  </conditionalFormatting>
  <conditionalFormatting sqref="R531:S531">
    <cfRule type="cellIs" dxfId="488" priority="78" operator="between">
      <formula>41760</formula>
      <formula>41912</formula>
    </cfRule>
  </conditionalFormatting>
  <conditionalFormatting sqref="R532:S532 R535:S535">
    <cfRule type="cellIs" dxfId="487" priority="77" operator="between">
      <formula>41760</formula>
      <formula>41912</formula>
    </cfRule>
  </conditionalFormatting>
  <conditionalFormatting sqref="R536:S536">
    <cfRule type="cellIs" dxfId="486" priority="76" operator="between">
      <formula>41760</formula>
      <formula>41912</formula>
    </cfRule>
  </conditionalFormatting>
  <conditionalFormatting sqref="R241:S242">
    <cfRule type="cellIs" dxfId="485" priority="75" operator="between">
      <formula>41760</formula>
      <formula>41912</formula>
    </cfRule>
  </conditionalFormatting>
  <conditionalFormatting sqref="R243:S251">
    <cfRule type="cellIs" dxfId="484" priority="74" operator="between">
      <formula>41760</formula>
      <formula>41912</formula>
    </cfRule>
  </conditionalFormatting>
  <conditionalFormatting sqref="R252:S260">
    <cfRule type="cellIs" dxfId="483" priority="73" operator="between">
      <formula>41760</formula>
      <formula>41912</formula>
    </cfRule>
  </conditionalFormatting>
  <conditionalFormatting sqref="R261:S269">
    <cfRule type="cellIs" dxfId="482" priority="72" operator="between">
      <formula>41760</formula>
      <formula>41912</formula>
    </cfRule>
  </conditionalFormatting>
  <conditionalFormatting sqref="R270:S278">
    <cfRule type="cellIs" dxfId="481" priority="71" operator="between">
      <formula>41760</formula>
      <formula>41912</formula>
    </cfRule>
  </conditionalFormatting>
  <conditionalFormatting sqref="R630:S630">
    <cfRule type="cellIs" dxfId="480" priority="70" operator="between">
      <formula>41760</formula>
      <formula>41912</formula>
    </cfRule>
  </conditionalFormatting>
  <conditionalFormatting sqref="R632:S632">
    <cfRule type="cellIs" dxfId="479" priority="68" operator="between">
      <formula>41760</formula>
      <formula>41912</formula>
    </cfRule>
  </conditionalFormatting>
  <conditionalFormatting sqref="R631:S631">
    <cfRule type="cellIs" dxfId="478" priority="69" operator="between">
      <formula>41760</formula>
      <formula>41912</formula>
    </cfRule>
  </conditionalFormatting>
  <conditionalFormatting sqref="R633:S636">
    <cfRule type="cellIs" dxfId="477" priority="67" operator="between">
      <formula>41760</formula>
      <formula>41912</formula>
    </cfRule>
  </conditionalFormatting>
  <conditionalFormatting sqref="R663:S663">
    <cfRule type="cellIs" dxfId="476" priority="66" operator="between">
      <formula>41760</formula>
      <formula>41912</formula>
    </cfRule>
  </conditionalFormatting>
  <conditionalFormatting sqref="R672:S672">
    <cfRule type="cellIs" dxfId="475" priority="65" operator="between">
      <formula>41760</formula>
      <formula>41912</formula>
    </cfRule>
  </conditionalFormatting>
  <conditionalFormatting sqref="R652:S652">
    <cfRule type="cellIs" dxfId="474" priority="64" operator="between">
      <formula>41760</formula>
      <formula>41912</formula>
    </cfRule>
  </conditionalFormatting>
  <conditionalFormatting sqref="R651:S651">
    <cfRule type="cellIs" dxfId="473" priority="63" operator="between">
      <formula>41760</formula>
      <formula>41912</formula>
    </cfRule>
  </conditionalFormatting>
  <conditionalFormatting sqref="R534:S534">
    <cfRule type="cellIs" dxfId="472" priority="62" operator="between">
      <formula>41760</formula>
      <formula>41912</formula>
    </cfRule>
  </conditionalFormatting>
  <conditionalFormatting sqref="R642:S642">
    <cfRule type="cellIs" dxfId="471" priority="61" operator="between">
      <formula>41760</formula>
      <formula>41912</formula>
    </cfRule>
  </conditionalFormatting>
  <conditionalFormatting sqref="R533:S533">
    <cfRule type="cellIs" dxfId="470" priority="60" operator="between">
      <formula>41760</formula>
      <formula>41912</formula>
    </cfRule>
  </conditionalFormatting>
  <conditionalFormatting sqref="R136:S136">
    <cfRule type="cellIs" dxfId="469" priority="59" operator="between">
      <formula>41760</formula>
      <formula>41912</formula>
    </cfRule>
  </conditionalFormatting>
  <conditionalFormatting sqref="R165:S165">
    <cfRule type="cellIs" dxfId="468" priority="58" operator="between">
      <formula>41760</formula>
      <formula>41912</formula>
    </cfRule>
  </conditionalFormatting>
  <conditionalFormatting sqref="R563:S563">
    <cfRule type="cellIs" dxfId="467" priority="57" operator="between">
      <formula>41760</formula>
      <formula>41912</formula>
    </cfRule>
  </conditionalFormatting>
  <conditionalFormatting sqref="R643:S643">
    <cfRule type="cellIs" dxfId="466" priority="56" operator="between">
      <formula>41760</formula>
      <formula>41912</formula>
    </cfRule>
  </conditionalFormatting>
  <conditionalFormatting sqref="R644:S644">
    <cfRule type="cellIs" dxfId="465" priority="55" operator="between">
      <formula>41760</formula>
      <formula>41912</formula>
    </cfRule>
  </conditionalFormatting>
  <conditionalFormatting sqref="R645:S645">
    <cfRule type="cellIs" dxfId="464" priority="54" operator="between">
      <formula>41760</formula>
      <formula>41912</formula>
    </cfRule>
  </conditionalFormatting>
  <conditionalFormatting sqref="R646:S646">
    <cfRule type="cellIs" dxfId="463" priority="53" operator="between">
      <formula>41760</formula>
      <formula>41912</formula>
    </cfRule>
  </conditionalFormatting>
  <conditionalFormatting sqref="R647:S647">
    <cfRule type="cellIs" dxfId="462" priority="52" operator="between">
      <formula>41760</formula>
      <formula>41912</formula>
    </cfRule>
  </conditionalFormatting>
  <conditionalFormatting sqref="R648:S648">
    <cfRule type="cellIs" dxfId="461" priority="51" operator="between">
      <formula>41760</formula>
      <formula>41912</formula>
    </cfRule>
  </conditionalFormatting>
  <conditionalFormatting sqref="R649:S649">
    <cfRule type="cellIs" dxfId="460" priority="50" operator="between">
      <formula>41760</formula>
      <formula>41912</formula>
    </cfRule>
  </conditionalFormatting>
  <conditionalFormatting sqref="R650:S650">
    <cfRule type="cellIs" dxfId="459" priority="49" operator="between">
      <formula>41760</formula>
      <formula>41912</formula>
    </cfRule>
  </conditionalFormatting>
  <conditionalFormatting sqref="R292:S292">
    <cfRule type="cellIs" dxfId="458" priority="48" operator="between">
      <formula>41760</formula>
      <formula>41912</formula>
    </cfRule>
  </conditionalFormatting>
  <conditionalFormatting sqref="R299:S299">
    <cfRule type="cellIs" dxfId="457" priority="46" operator="between">
      <formula>41760</formula>
      <formula>41912</formula>
    </cfRule>
  </conditionalFormatting>
  <conditionalFormatting sqref="S297:S298">
    <cfRule type="cellIs" dxfId="456" priority="45" operator="between">
      <formula>41760</formula>
      <formula>41912</formula>
    </cfRule>
  </conditionalFormatting>
  <conditionalFormatting sqref="R343:S344">
    <cfRule type="cellIs" dxfId="455" priority="44" operator="between">
      <formula>41760</formula>
      <formula>41912</formula>
    </cfRule>
  </conditionalFormatting>
  <conditionalFormatting sqref="R364:S364">
    <cfRule type="cellIs" dxfId="454" priority="42" operator="between">
      <formula>41760</formula>
      <formula>41912</formula>
    </cfRule>
  </conditionalFormatting>
  <conditionalFormatting sqref="R368:S368">
    <cfRule type="cellIs" dxfId="453" priority="41" operator="between">
      <formula>41760</formula>
      <formula>41912</formula>
    </cfRule>
  </conditionalFormatting>
  <conditionalFormatting sqref="R502:S507">
    <cfRule type="cellIs" dxfId="452" priority="40" operator="between">
      <formula>41760</formula>
      <formula>41912</formula>
    </cfRule>
  </conditionalFormatting>
  <conditionalFormatting sqref="R509:S513">
    <cfRule type="cellIs" dxfId="451" priority="39" operator="between">
      <formula>41760</formula>
      <formula>41912</formula>
    </cfRule>
  </conditionalFormatting>
  <conditionalFormatting sqref="R517:S517">
    <cfRule type="cellIs" dxfId="450" priority="38" operator="between">
      <formula>41760</formula>
      <formula>41912</formula>
    </cfRule>
  </conditionalFormatting>
  <conditionalFormatting sqref="R518:S518">
    <cfRule type="cellIs" dxfId="449" priority="37" operator="between">
      <formula>41760</formula>
      <formula>41912</formula>
    </cfRule>
  </conditionalFormatting>
  <conditionalFormatting sqref="S520:S526">
    <cfRule type="cellIs" dxfId="448" priority="36" operator="between">
      <formula>41760</formula>
      <formula>41912</formula>
    </cfRule>
  </conditionalFormatting>
  <conditionalFormatting sqref="R528:S529">
    <cfRule type="cellIs" dxfId="447" priority="35" operator="between">
      <formula>41760</formula>
      <formula>41912</formula>
    </cfRule>
  </conditionalFormatting>
  <conditionalFormatting sqref="R137:S137">
    <cfRule type="cellIs" dxfId="446" priority="34" operator="between">
      <formula>41760</formula>
      <formula>41912</formula>
    </cfRule>
  </conditionalFormatting>
  <conditionalFormatting sqref="R138:S139">
    <cfRule type="cellIs" dxfId="445" priority="33" operator="between">
      <formula>41760</formula>
      <formula>41912</formula>
    </cfRule>
  </conditionalFormatting>
  <conditionalFormatting sqref="R140:S140">
    <cfRule type="cellIs" dxfId="444" priority="32" operator="between">
      <formula>41760</formula>
      <formula>41912</formula>
    </cfRule>
  </conditionalFormatting>
  <conditionalFormatting sqref="R141:S142">
    <cfRule type="cellIs" dxfId="443" priority="31" operator="between">
      <formula>41760</formula>
      <formula>41912</formula>
    </cfRule>
  </conditionalFormatting>
  <conditionalFormatting sqref="R143:S143">
    <cfRule type="cellIs" dxfId="442" priority="30" operator="between">
      <formula>41760</formula>
      <formula>41912</formula>
    </cfRule>
  </conditionalFormatting>
  <conditionalFormatting sqref="R144:S145">
    <cfRule type="cellIs" dxfId="441" priority="29" operator="between">
      <formula>41760</formula>
      <formula>41912</formula>
    </cfRule>
  </conditionalFormatting>
  <conditionalFormatting sqref="R147:S148">
    <cfRule type="cellIs" dxfId="440" priority="26" operator="between">
      <formula>41760</formula>
      <formula>41912</formula>
    </cfRule>
  </conditionalFormatting>
  <conditionalFormatting sqref="R150:S151">
    <cfRule type="cellIs" dxfId="439" priority="23" operator="between">
      <formula>41760</formula>
      <formula>41912</formula>
    </cfRule>
  </conditionalFormatting>
  <conditionalFormatting sqref="R146:S146">
    <cfRule type="cellIs" dxfId="438" priority="28" operator="between">
      <formula>41760</formula>
      <formula>41912</formula>
    </cfRule>
  </conditionalFormatting>
  <conditionalFormatting sqref="R154">
    <cfRule type="cellIs" dxfId="437" priority="19" operator="between">
      <formula>41760</formula>
      <formula>41912</formula>
    </cfRule>
  </conditionalFormatting>
  <conditionalFormatting sqref="R157">
    <cfRule type="cellIs" dxfId="436" priority="15" operator="between">
      <formula>41760</formula>
      <formula>41912</formula>
    </cfRule>
  </conditionalFormatting>
  <conditionalFormatting sqref="R149:S149">
    <cfRule type="cellIs" dxfId="435" priority="25" operator="between">
      <formula>41760</formula>
      <formula>41912</formula>
    </cfRule>
  </conditionalFormatting>
  <conditionalFormatting sqref="R160:S163">
    <cfRule type="cellIs" dxfId="434" priority="9" operator="between">
      <formula>41760</formula>
      <formula>41912</formula>
    </cfRule>
  </conditionalFormatting>
  <conditionalFormatting sqref="S153:S154">
    <cfRule type="cellIs" dxfId="433" priority="21" operator="between">
      <formula>41760</formula>
      <formula>41912</formula>
    </cfRule>
  </conditionalFormatting>
  <conditionalFormatting sqref="R152:S152">
    <cfRule type="cellIs" dxfId="432" priority="22" operator="between">
      <formula>41760</formula>
      <formula>41912</formula>
    </cfRule>
  </conditionalFormatting>
  <conditionalFormatting sqref="R153">
    <cfRule type="cellIs" dxfId="431" priority="20" operator="between">
      <formula>41760</formula>
      <formula>41912</formula>
    </cfRule>
  </conditionalFormatting>
  <conditionalFormatting sqref="R164:S164">
    <cfRule type="cellIs" dxfId="430" priority="8" operator="between">
      <formula>41760</formula>
      <formula>41912</formula>
    </cfRule>
  </conditionalFormatting>
  <conditionalFormatting sqref="S156:S157">
    <cfRule type="cellIs" dxfId="429" priority="17" operator="between">
      <formula>41760</formula>
      <formula>41912</formula>
    </cfRule>
  </conditionalFormatting>
  <conditionalFormatting sqref="R155:S155">
    <cfRule type="cellIs" dxfId="428" priority="18" operator="between">
      <formula>41760</formula>
      <formula>41912</formula>
    </cfRule>
  </conditionalFormatting>
  <conditionalFormatting sqref="R156">
    <cfRule type="cellIs" dxfId="427" priority="16" operator="between">
      <formula>41760</formula>
      <formula>41912</formula>
    </cfRule>
  </conditionalFormatting>
  <conditionalFormatting sqref="R158:S158">
    <cfRule type="cellIs" dxfId="426" priority="14" operator="between">
      <formula>41760</formula>
      <formula>41912</formula>
    </cfRule>
  </conditionalFormatting>
  <conditionalFormatting sqref="R159:S159">
    <cfRule type="cellIs" dxfId="425" priority="10" operator="between">
      <formula>41760</formula>
      <formula>41912</formula>
    </cfRule>
  </conditionalFormatting>
  <conditionalFormatting sqref="R591:S591">
    <cfRule type="cellIs" dxfId="424" priority="7" operator="between">
      <formula>41760</formula>
      <formula>41912</formula>
    </cfRule>
  </conditionalFormatting>
  <conditionalFormatting sqref="R594:S594">
    <cfRule type="cellIs" dxfId="423" priority="6" operator="between">
      <formula>41760</formula>
      <formula>41912</formula>
    </cfRule>
  </conditionalFormatting>
  <conditionalFormatting sqref="R637:S637">
    <cfRule type="cellIs" dxfId="422" priority="5" operator="between">
      <formula>41760</formula>
      <formula>41912</formula>
    </cfRule>
  </conditionalFormatting>
  <conditionalFormatting sqref="R638:S641">
    <cfRule type="cellIs" dxfId="421" priority="4" operator="between">
      <formula>41760</formula>
      <formula>41912</formula>
    </cfRule>
  </conditionalFormatting>
  <conditionalFormatting sqref="R279:S287">
    <cfRule type="cellIs" dxfId="420" priority="3" operator="between">
      <formula>41760</formula>
      <formula>41912</formula>
    </cfRule>
  </conditionalFormatting>
  <conditionalFormatting sqref="C13:C652">
    <cfRule type="cellIs" dxfId="419" priority="2" operator="equal">
      <formula>"""alcantarilla"""</formula>
    </cfRule>
  </conditionalFormatting>
  <conditionalFormatting sqref="A1:XFD1048576">
    <cfRule type="cellIs" dxfId="418" priority="1" operator="equal">
      <formula>"""alcantarilla"""</formula>
    </cfRule>
  </conditionalFormatting>
  <pageMargins left="0.25" right="0" top="0.5" bottom="0.5" header="0.3" footer="0.3"/>
  <pageSetup paperSize="9" scale="40" firstPageNumber="0" fitToHeight="0" orientation="landscape" horizontalDpi="300" verticalDpi="300" r:id="rId1"/>
  <headerFooter alignWithMargins="0">
    <oddFooter>&amp;F&amp;RPágina &amp;P</oddFoot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4"/>
  <sheetViews>
    <sheetView workbookViewId="0">
      <selection activeCell="A4" sqref="A4"/>
    </sheetView>
  </sheetViews>
  <sheetFormatPr baseColWidth="10" defaultColWidth="11.5703125" defaultRowHeight="15"/>
  <cols>
    <col min="1" max="1" width="11.5703125" style="410"/>
    <col min="2" max="2" width="89.7109375" style="410" customWidth="1"/>
    <col min="3" max="3" width="15.140625" style="410" bestFit="1" customWidth="1"/>
    <col min="4" max="4" width="14.140625" style="410" bestFit="1" customWidth="1"/>
    <col min="5" max="16384" width="11.5703125" style="410"/>
  </cols>
  <sheetData>
    <row r="2" spans="2:6" ht="45">
      <c r="B2" s="411" t="s">
        <v>784</v>
      </c>
      <c r="C2" s="412">
        <v>626531.81000000006</v>
      </c>
    </row>
    <row r="3" spans="2:6" ht="45">
      <c r="B3" s="411" t="s">
        <v>785</v>
      </c>
      <c r="C3" s="412">
        <v>4051978.36</v>
      </c>
    </row>
    <row r="4" spans="2:6" ht="45">
      <c r="B4" s="411" t="s">
        <v>786</v>
      </c>
      <c r="C4" s="412">
        <v>1399964.58</v>
      </c>
    </row>
    <row r="5" spans="2:6">
      <c r="B5" s="411" t="s">
        <v>787</v>
      </c>
      <c r="C5" s="412">
        <v>40000</v>
      </c>
    </row>
    <row r="6" spans="2:6">
      <c r="B6" s="411" t="s">
        <v>788</v>
      </c>
      <c r="C6" s="412">
        <v>67500</v>
      </c>
    </row>
    <row r="7" spans="2:6">
      <c r="B7" s="411" t="s">
        <v>721</v>
      </c>
      <c r="C7" s="412">
        <v>152161.82999999999</v>
      </c>
    </row>
    <row r="8" spans="2:6">
      <c r="B8" s="411" t="s">
        <v>789</v>
      </c>
      <c r="C8" s="412">
        <v>88222.76</v>
      </c>
    </row>
    <row r="9" spans="2:6">
      <c r="B9" s="411" t="s">
        <v>790</v>
      </c>
      <c r="C9" s="412">
        <v>355017.06</v>
      </c>
      <c r="D9" s="413">
        <f>SUM(C2:C9)</f>
        <v>6781376.3999999994</v>
      </c>
      <c r="E9" s="410">
        <f>+diciembre!D10</f>
        <v>10064341.500000006</v>
      </c>
      <c r="F9" s="410">
        <f>+E9/9*12</f>
        <v>13419122.000000007</v>
      </c>
    </row>
    <row r="10" spans="2:6">
      <c r="B10" s="411" t="s">
        <v>791</v>
      </c>
      <c r="C10" s="412"/>
    </row>
    <row r="11" spans="2:6">
      <c r="B11" s="411" t="s">
        <v>723</v>
      </c>
      <c r="C11" s="412">
        <v>1707468.9</v>
      </c>
      <c r="E11" s="410">
        <v>1381401.91</v>
      </c>
    </row>
    <row r="12" spans="2:6">
      <c r="B12" s="411" t="s">
        <v>792</v>
      </c>
      <c r="C12" s="412">
        <v>229598</v>
      </c>
    </row>
    <row r="13" spans="2:6">
      <c r="B13" s="411" t="s">
        <v>793</v>
      </c>
      <c r="C13" s="412">
        <v>1840620.59</v>
      </c>
    </row>
    <row r="14" spans="2:6">
      <c r="B14" s="410" t="s">
        <v>665</v>
      </c>
      <c r="C14" s="412">
        <v>10559063.890000001</v>
      </c>
      <c r="E14" s="410">
        <f>SUM(E9:E11)</f>
        <v>11445743.410000006</v>
      </c>
      <c r="F14" s="410">
        <f>+E14/9*12</f>
        <v>15260991.213333342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66"/>
  <sheetViews>
    <sheetView zoomScale="40" zoomScaleNormal="40" workbookViewId="0">
      <selection activeCell="B29" sqref="B29"/>
    </sheetView>
  </sheetViews>
  <sheetFormatPr baseColWidth="10" defaultColWidth="11.5703125" defaultRowHeight="15"/>
  <cols>
    <col min="1" max="1" width="21.28515625" style="126" customWidth="1"/>
    <col min="2" max="2" width="68.7109375" style="408" customWidth="1"/>
    <col min="3" max="3" width="48.140625" style="192" customWidth="1"/>
    <col min="4" max="4" width="15.7109375" style="126" bestFit="1" customWidth="1"/>
    <col min="5" max="5" width="14.5703125" style="126" bestFit="1" customWidth="1"/>
    <col min="6" max="6" width="13.85546875" style="126" bestFit="1" customWidth="1"/>
    <col min="7" max="16384" width="11.5703125" style="126"/>
  </cols>
  <sheetData>
    <row r="1" spans="1:25" ht="19.5" thickBot="1">
      <c r="A1" s="516"/>
      <c r="B1" s="517"/>
      <c r="C1" s="518"/>
      <c r="D1" s="516"/>
      <c r="E1" s="516"/>
      <c r="F1" s="516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</row>
    <row r="2" spans="1:25" ht="18.75" thickTop="1">
      <c r="A2" s="1140" t="s">
        <v>726</v>
      </c>
      <c r="B2" s="1140"/>
      <c r="C2" s="1140"/>
      <c r="D2" s="519"/>
      <c r="E2" s="519"/>
      <c r="F2" s="519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6"/>
      <c r="S2" s="186"/>
      <c r="T2" s="186"/>
      <c r="U2" s="186"/>
      <c r="V2" s="186"/>
      <c r="W2" s="186"/>
      <c r="X2" s="186"/>
      <c r="Y2" s="186"/>
    </row>
    <row r="3" spans="1:25" ht="18">
      <c r="A3" s="1141" t="s">
        <v>127</v>
      </c>
      <c r="B3" s="1141"/>
      <c r="C3" s="1141"/>
      <c r="D3" s="519"/>
      <c r="E3" s="519"/>
      <c r="F3" s="519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5" ht="18">
      <c r="A4" s="1140" t="s">
        <v>727</v>
      </c>
      <c r="B4" s="1140"/>
      <c r="C4" s="1140"/>
      <c r="D4" s="65"/>
      <c r="E4" s="65"/>
      <c r="F4" s="65"/>
      <c r="G4" s="187"/>
      <c r="H4" s="187"/>
      <c r="I4" s="187"/>
      <c r="J4" s="187"/>
      <c r="K4" s="187"/>
      <c r="L4" s="188"/>
      <c r="M4" s="188"/>
      <c r="N4" s="188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9"/>
    </row>
    <row r="5" spans="1:25" ht="18" hidden="1">
      <c r="A5" s="509"/>
      <c r="B5" s="520"/>
      <c r="C5" s="509"/>
      <c r="D5" s="65"/>
      <c r="E5" s="65"/>
      <c r="F5" s="65"/>
      <c r="G5" s="187"/>
      <c r="H5" s="187"/>
      <c r="I5" s="187"/>
      <c r="J5" s="187"/>
      <c r="K5" s="187"/>
      <c r="L5" s="188"/>
      <c r="M5" s="188"/>
      <c r="N5" s="188"/>
      <c r="O5" s="191"/>
      <c r="P5" s="187"/>
      <c r="Q5" s="187"/>
      <c r="R5" s="187"/>
      <c r="S5" s="187"/>
      <c r="T5" s="187"/>
      <c r="U5" s="187"/>
      <c r="V5" s="187"/>
      <c r="W5" s="187"/>
      <c r="X5" s="187"/>
      <c r="Y5" s="189"/>
    </row>
    <row r="6" spans="1:25" ht="18">
      <c r="A6" s="509" t="s">
        <v>728</v>
      </c>
      <c r="B6" s="521" t="s">
        <v>729</v>
      </c>
      <c r="C6" s="509"/>
      <c r="D6" s="65"/>
      <c r="E6" s="65"/>
      <c r="F6" s="65"/>
      <c r="G6" s="187"/>
      <c r="H6" s="187"/>
      <c r="I6" s="187"/>
      <c r="J6" s="187"/>
      <c r="K6" s="187"/>
      <c r="L6" s="188"/>
      <c r="M6" s="188"/>
      <c r="N6" s="188"/>
      <c r="O6" s="191"/>
      <c r="P6" s="187"/>
      <c r="Q6" s="187"/>
      <c r="R6" s="187"/>
      <c r="S6" s="187"/>
      <c r="T6" s="187"/>
      <c r="U6" s="187"/>
      <c r="V6" s="187"/>
      <c r="W6" s="187"/>
      <c r="X6" s="187"/>
      <c r="Y6" s="189"/>
    </row>
    <row r="7" spans="1:25" ht="18">
      <c r="A7" s="509"/>
      <c r="B7" s="521"/>
      <c r="C7" s="509"/>
      <c r="D7" s="65"/>
      <c r="E7" s="65"/>
      <c r="F7" s="65"/>
      <c r="G7" s="187"/>
      <c r="H7" s="187"/>
      <c r="I7" s="187"/>
      <c r="J7" s="187"/>
      <c r="K7" s="187"/>
      <c r="L7" s="188"/>
      <c r="M7" s="188"/>
      <c r="N7" s="188"/>
      <c r="O7" s="191"/>
      <c r="P7" s="187"/>
      <c r="Q7" s="187"/>
      <c r="R7" s="187"/>
      <c r="S7" s="187"/>
      <c r="T7" s="187"/>
      <c r="U7" s="187"/>
      <c r="V7" s="187"/>
      <c r="W7" s="187"/>
      <c r="X7" s="187"/>
      <c r="Y7" s="189"/>
    </row>
    <row r="8" spans="1:25" ht="18.75">
      <c r="A8" s="522" t="s">
        <v>132</v>
      </c>
      <c r="B8" s="407" t="s">
        <v>133</v>
      </c>
      <c r="C8" s="523"/>
      <c r="D8" s="77"/>
      <c r="E8" s="77"/>
      <c r="F8" s="524"/>
      <c r="G8" s="78"/>
      <c r="H8" s="78"/>
      <c r="I8" s="187"/>
      <c r="J8" s="187"/>
      <c r="K8" s="187"/>
      <c r="L8" s="188"/>
      <c r="M8" s="188"/>
      <c r="N8" s="188"/>
      <c r="O8" s="191"/>
      <c r="P8" s="187"/>
      <c r="Q8" s="187"/>
      <c r="R8" s="187"/>
      <c r="S8" s="187"/>
      <c r="T8" s="187"/>
      <c r="U8" s="187"/>
      <c r="V8" s="187"/>
      <c r="W8" s="187"/>
      <c r="X8" s="187"/>
      <c r="Y8" s="189"/>
    </row>
    <row r="9" spans="1:25" ht="18">
      <c r="A9" s="509"/>
      <c r="B9" s="521"/>
      <c r="C9" s="509"/>
      <c r="D9" s="65"/>
      <c r="E9" s="65"/>
      <c r="F9" s="65"/>
      <c r="G9" s="187"/>
      <c r="H9" s="187"/>
      <c r="I9" s="187"/>
      <c r="J9" s="187"/>
      <c r="K9" s="187"/>
      <c r="L9" s="188"/>
      <c r="M9" s="188"/>
      <c r="N9" s="188"/>
      <c r="O9" s="191"/>
      <c r="P9" s="187"/>
      <c r="Q9" s="187"/>
      <c r="R9" s="187"/>
      <c r="S9" s="187"/>
      <c r="T9" s="187"/>
      <c r="U9" s="187"/>
      <c r="V9" s="187"/>
      <c r="W9" s="187"/>
      <c r="X9" s="187"/>
      <c r="Y9" s="189"/>
    </row>
    <row r="10" spans="1:25" ht="18">
      <c r="A10" s="509"/>
      <c r="B10" s="521"/>
      <c r="C10" s="509"/>
      <c r="D10" s="65"/>
      <c r="E10" s="65"/>
      <c r="F10" s="65"/>
      <c r="G10" s="187"/>
      <c r="H10" s="187"/>
      <c r="I10" s="187"/>
      <c r="J10" s="187"/>
      <c r="K10" s="187"/>
      <c r="L10" s="188"/>
      <c r="M10" s="188"/>
      <c r="N10" s="188"/>
      <c r="O10" s="191"/>
      <c r="P10" s="187"/>
      <c r="Q10" s="187"/>
      <c r="R10" s="187"/>
      <c r="S10" s="187"/>
      <c r="T10" s="187"/>
      <c r="U10" s="187"/>
      <c r="V10" s="187"/>
      <c r="W10" s="187"/>
      <c r="X10" s="187"/>
      <c r="Y10" s="189"/>
    </row>
    <row r="11" spans="1:25" ht="18">
      <c r="A11" s="509"/>
      <c r="B11" s="521"/>
      <c r="C11" s="509"/>
      <c r="D11" s="65"/>
      <c r="E11" s="65"/>
      <c r="F11" s="65"/>
      <c r="G11" s="187"/>
      <c r="H11" s="187"/>
      <c r="I11" s="187"/>
      <c r="J11" s="187"/>
      <c r="K11" s="187"/>
      <c r="L11" s="188"/>
      <c r="M11" s="188"/>
      <c r="N11" s="188"/>
      <c r="O11" s="191"/>
      <c r="P11" s="187"/>
      <c r="Q11" s="187"/>
      <c r="R11" s="187"/>
      <c r="S11" s="187"/>
      <c r="T11" s="187"/>
      <c r="U11" s="187"/>
      <c r="V11" s="187"/>
      <c r="W11" s="187"/>
      <c r="X11" s="187"/>
      <c r="Y11" s="189"/>
    </row>
    <row r="12" spans="1:25" ht="18">
      <c r="A12" s="509"/>
      <c r="B12" s="521"/>
      <c r="C12" s="509"/>
      <c r="D12" s="65"/>
      <c r="E12" s="65"/>
      <c r="F12" s="65"/>
      <c r="G12" s="187"/>
      <c r="H12" s="187"/>
      <c r="I12" s="187"/>
      <c r="J12" s="187"/>
      <c r="K12" s="187"/>
      <c r="L12" s="188"/>
      <c r="M12" s="188"/>
      <c r="N12" s="188"/>
      <c r="O12" s="191"/>
      <c r="P12" s="187"/>
      <c r="Q12" s="187"/>
      <c r="R12" s="187"/>
      <c r="S12" s="187"/>
      <c r="T12" s="187"/>
      <c r="U12" s="187"/>
      <c r="V12" s="187"/>
      <c r="W12" s="187"/>
      <c r="X12" s="187"/>
      <c r="Y12" s="189"/>
    </row>
    <row r="13" spans="1:25" ht="18">
      <c r="A13" s="525" t="s">
        <v>142</v>
      </c>
      <c r="B13" s="514" t="s">
        <v>297</v>
      </c>
      <c r="C13" s="190"/>
      <c r="D13" s="187"/>
      <c r="E13" s="187"/>
      <c r="F13" s="187"/>
      <c r="G13" s="187"/>
      <c r="H13" s="187"/>
      <c r="I13" s="187"/>
      <c r="J13" s="187"/>
      <c r="K13" s="187"/>
      <c r="L13" s="188"/>
      <c r="M13" s="188"/>
      <c r="N13" s="188"/>
      <c r="O13" s="191"/>
      <c r="P13" s="187"/>
      <c r="Q13" s="187"/>
      <c r="R13" s="187"/>
      <c r="S13" s="187"/>
      <c r="T13" s="187"/>
      <c r="U13" s="187"/>
      <c r="V13" s="187"/>
      <c r="W13" s="187"/>
      <c r="X13" s="187"/>
      <c r="Y13" s="189"/>
    </row>
    <row r="14" spans="1:25" ht="18.75">
      <c r="A14" s="509" t="s">
        <v>730</v>
      </c>
      <c r="B14" s="510" t="s">
        <v>1078</v>
      </c>
    </row>
    <row r="15" spans="1:25" ht="18">
      <c r="A15" s="511" t="s">
        <v>731</v>
      </c>
      <c r="B15" s="512" t="s">
        <v>667</v>
      </c>
      <c r="C15" s="126"/>
    </row>
    <row r="16" spans="1:25" ht="18">
      <c r="A16" s="513" t="s">
        <v>275</v>
      </c>
      <c r="B16" s="514">
        <v>1090199.8799999999</v>
      </c>
      <c r="C16" s="126"/>
    </row>
    <row r="17" spans="1:3" ht="18">
      <c r="A17" s="513" t="s">
        <v>415</v>
      </c>
      <c r="B17" s="514">
        <v>118890</v>
      </c>
      <c r="C17" s="126"/>
    </row>
    <row r="18" spans="1:3" ht="18">
      <c r="A18" s="513" t="s">
        <v>501</v>
      </c>
      <c r="B18" s="514">
        <v>201551.69</v>
      </c>
      <c r="C18" s="126"/>
    </row>
    <row r="19" spans="1:3" ht="18">
      <c r="A19" s="513" t="s">
        <v>665</v>
      </c>
      <c r="B19" s="514">
        <v>1410641.5699999998</v>
      </c>
      <c r="C19" s="126"/>
    </row>
    <row r="20" spans="1:3">
      <c r="A20"/>
      <c r="B20"/>
      <c r="C20" s="126"/>
    </row>
    <row r="21" spans="1:3">
      <c r="A21"/>
      <c r="B21"/>
      <c r="C21" s="126"/>
    </row>
    <row r="22" spans="1:3" ht="18">
      <c r="A22" s="2"/>
      <c r="B22" s="2"/>
      <c r="C22" s="126"/>
    </row>
    <row r="23" spans="1:3" ht="18.75">
      <c r="A23" s="515"/>
      <c r="B23" s="510"/>
      <c r="C23" s="126"/>
    </row>
    <row r="24" spans="1:3" ht="18.75">
      <c r="A24" s="515"/>
      <c r="B24" s="510"/>
      <c r="C24" s="126"/>
    </row>
    <row r="25" spans="1:3" ht="18.75">
      <c r="A25" s="515"/>
      <c r="B25" s="510"/>
      <c r="C25" s="126"/>
    </row>
    <row r="26" spans="1:3" ht="18.75">
      <c r="A26" s="515"/>
      <c r="B26" s="510"/>
      <c r="C26" s="126"/>
    </row>
    <row r="27" spans="1:3" ht="18.75">
      <c r="A27" s="515"/>
      <c r="B27" s="510"/>
      <c r="C27" s="126"/>
    </row>
    <row r="28" spans="1:3" ht="18.75">
      <c r="A28" s="515"/>
      <c r="B28" s="510"/>
      <c r="C28" s="126"/>
    </row>
    <row r="29" spans="1:3" ht="18.75">
      <c r="A29" s="515"/>
      <c r="B29" s="510"/>
      <c r="C29" s="126"/>
    </row>
    <row r="30" spans="1:3">
      <c r="C30" s="126"/>
    </row>
    <row r="31" spans="1:3">
      <c r="C31" s="126"/>
    </row>
    <row r="32" spans="1:3">
      <c r="C32" s="126"/>
    </row>
    <row r="33" spans="1:6">
      <c r="C33" s="126"/>
    </row>
    <row r="34" spans="1:6">
      <c r="C34" s="126"/>
    </row>
    <row r="35" spans="1:6">
      <c r="C35" s="126"/>
    </row>
    <row r="36" spans="1:6">
      <c r="C36" s="126"/>
    </row>
    <row r="37" spans="1:6" ht="18">
      <c r="A37" s="2"/>
      <c r="B37" s="514"/>
    </row>
    <row r="38" spans="1:6" ht="18.75">
      <c r="A38" s="509" t="s">
        <v>730</v>
      </c>
      <c r="B38" s="510" t="s">
        <v>1078</v>
      </c>
    </row>
    <row r="39" spans="1:6" ht="18">
      <c r="A39" s="525" t="s">
        <v>731</v>
      </c>
      <c r="B39" s="512" t="s">
        <v>667</v>
      </c>
      <c r="C39"/>
    </row>
    <row r="40" spans="1:6" ht="18">
      <c r="A40" s="513" t="s">
        <v>297</v>
      </c>
      <c r="B40" s="514">
        <v>1410641.5699999998</v>
      </c>
      <c r="C40"/>
    </row>
    <row r="41" spans="1:6" ht="18">
      <c r="A41" s="513" t="s">
        <v>182</v>
      </c>
      <c r="B41" s="514">
        <v>1733772.5599999996</v>
      </c>
      <c r="C41"/>
    </row>
    <row r="42" spans="1:6" ht="18">
      <c r="A42" s="513" t="s">
        <v>169</v>
      </c>
      <c r="B42" s="514">
        <v>2669407.1800000011</v>
      </c>
      <c r="C42"/>
    </row>
    <row r="43" spans="1:6" ht="18">
      <c r="A43" s="513" t="s">
        <v>323</v>
      </c>
      <c r="B43" s="514">
        <v>10000</v>
      </c>
      <c r="C43"/>
    </row>
    <row r="44" spans="1:6" ht="18">
      <c r="A44" s="513" t="s">
        <v>191</v>
      </c>
      <c r="B44" s="514">
        <v>1044251.8400000001</v>
      </c>
      <c r="C44"/>
    </row>
    <row r="45" spans="1:6" ht="18">
      <c r="A45" s="513" t="s">
        <v>196</v>
      </c>
      <c r="B45" s="514">
        <v>225115.65000000002</v>
      </c>
      <c r="C45"/>
    </row>
    <row r="46" spans="1:6" ht="18">
      <c r="A46" s="513" t="s">
        <v>353</v>
      </c>
      <c r="B46" s="514">
        <v>23653.569999999996</v>
      </c>
      <c r="C46"/>
      <c r="D46" s="193"/>
      <c r="E46" s="194"/>
      <c r="F46" s="194"/>
    </row>
    <row r="47" spans="1:6" ht="18">
      <c r="A47" s="513" t="s">
        <v>665</v>
      </c>
      <c r="B47" s="514">
        <v>7116842.370000001</v>
      </c>
      <c r="D47" s="195"/>
      <c r="E47" s="195"/>
      <c r="F47" s="195"/>
    </row>
    <row r="48" spans="1:6" ht="18">
      <c r="A48" s="2"/>
      <c r="B48" s="514"/>
    </row>
    <row r="49" spans="1:2" ht="18">
      <c r="A49" s="2"/>
      <c r="B49" s="514"/>
    </row>
    <row r="50" spans="1:2" ht="18">
      <c r="A50" s="2"/>
      <c r="B50" s="514"/>
    </row>
    <row r="51" spans="1:2" ht="18">
      <c r="A51" s="2"/>
      <c r="B51" s="514"/>
    </row>
    <row r="52" spans="1:2" ht="18">
      <c r="A52" s="2"/>
      <c r="B52" s="514"/>
    </row>
    <row r="53" spans="1:2" ht="18">
      <c r="A53" s="2"/>
      <c r="B53" s="514"/>
    </row>
    <row r="54" spans="1:2">
      <c r="A54"/>
      <c r="B54" s="409"/>
    </row>
    <row r="55" spans="1:2">
      <c r="A55"/>
      <c r="B55" s="409"/>
    </row>
    <row r="56" spans="1:2">
      <c r="A56"/>
      <c r="B56" s="409"/>
    </row>
    <row r="57" spans="1:2">
      <c r="A57"/>
      <c r="B57" s="409"/>
    </row>
    <row r="58" spans="1:2">
      <c r="A58"/>
      <c r="B58" s="409"/>
    </row>
    <row r="59" spans="1:2">
      <c r="A59"/>
      <c r="B59" s="409"/>
    </row>
    <row r="60" spans="1:2">
      <c r="A60"/>
      <c r="B60" s="409"/>
    </row>
    <row r="61" spans="1:2">
      <c r="A61"/>
      <c r="B61" s="409"/>
    </row>
    <row r="62" spans="1:2">
      <c r="A62"/>
      <c r="B62" s="409"/>
    </row>
    <row r="63" spans="1:2">
      <c r="A63"/>
      <c r="B63" s="409"/>
    </row>
    <row r="64" spans="1:2">
      <c r="A64"/>
      <c r="B64" s="409"/>
    </row>
    <row r="65" spans="1:3">
      <c r="A65"/>
      <c r="B65" s="409"/>
      <c r="C65" s="196"/>
    </row>
    <row r="66" spans="1:3">
      <c r="B66" s="1142"/>
      <c r="C66" s="1142"/>
    </row>
  </sheetData>
  <mergeCells count="4">
    <mergeCell ref="A2:C2"/>
    <mergeCell ref="A3:C3"/>
    <mergeCell ref="A4:C4"/>
    <mergeCell ref="B66:C6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7" fitToHeight="0" orientation="landscape" horizontalDpi="300" verticalDpi="300" r:id="rId3"/>
  <rowBreaks count="1" manualBreakCount="1">
    <brk id="35" max="7" man="1"/>
  </rowBreaks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9"/>
  <sheetViews>
    <sheetView topLeftCell="A10" workbookViewId="0">
      <selection activeCell="C14" sqref="C14"/>
    </sheetView>
  </sheetViews>
  <sheetFormatPr baseColWidth="10" defaultColWidth="11.5703125" defaultRowHeight="15"/>
  <cols>
    <col min="1" max="1" width="17.140625" style="126" customWidth="1"/>
    <col min="2" max="2" width="26.42578125" style="134" customWidth="1"/>
    <col min="3" max="3" width="40.85546875" style="126" customWidth="1"/>
    <col min="4" max="4" width="11.5703125" style="126" customWidth="1"/>
    <col min="5" max="5" width="15.85546875" style="126" bestFit="1" customWidth="1"/>
    <col min="6" max="6" width="15.85546875" style="126" customWidth="1"/>
    <col min="7" max="7" width="14" style="126" bestFit="1" customWidth="1"/>
    <col min="8" max="16384" width="11.5703125" style="126"/>
  </cols>
  <sheetData>
    <row r="1" spans="1:7" ht="15.75" thickBot="1"/>
    <row r="2" spans="1:7" ht="15.75" thickBot="1">
      <c r="A2" s="145" t="s">
        <v>663</v>
      </c>
      <c r="B2" t="s">
        <v>664</v>
      </c>
      <c r="C2" t="s">
        <v>667</v>
      </c>
      <c r="E2" s="199" t="s">
        <v>660</v>
      </c>
      <c r="F2" s="200" t="s">
        <v>661</v>
      </c>
      <c r="G2" s="200" t="s">
        <v>662</v>
      </c>
    </row>
    <row r="3" spans="1:7" ht="17.25" thickBot="1">
      <c r="A3" s="146" t="s">
        <v>353</v>
      </c>
      <c r="B3" s="147"/>
      <c r="C3" s="147">
        <v>23653.569999999996</v>
      </c>
      <c r="E3" s="137" t="s">
        <v>353</v>
      </c>
      <c r="F3" s="138"/>
      <c r="G3" s="139">
        <v>23653.569999999996</v>
      </c>
    </row>
    <row r="4" spans="1:7" ht="17.25" thickBot="1">
      <c r="A4" s="146" t="s">
        <v>297</v>
      </c>
      <c r="B4" s="147">
        <v>80.58</v>
      </c>
      <c r="C4" s="147">
        <v>1410641.5699999998</v>
      </c>
      <c r="E4" s="137" t="s">
        <v>297</v>
      </c>
      <c r="F4" s="138">
        <v>8</v>
      </c>
      <c r="G4" s="139">
        <v>1232494.2599999998</v>
      </c>
    </row>
    <row r="5" spans="1:7" ht="17.25" thickBot="1">
      <c r="A5" s="146" t="s">
        <v>191</v>
      </c>
      <c r="B5" s="147"/>
      <c r="C5" s="147">
        <v>1044251.8400000001</v>
      </c>
      <c r="E5" s="137" t="s">
        <v>191</v>
      </c>
      <c r="F5" s="138"/>
      <c r="G5" s="139">
        <v>698461.83</v>
      </c>
    </row>
    <row r="6" spans="1:7" ht="17.25" thickBot="1">
      <c r="A6" s="146" t="s">
        <v>182</v>
      </c>
      <c r="B6" s="147">
        <v>1002.2200000000004</v>
      </c>
      <c r="C6" s="147">
        <v>1733772.5599999996</v>
      </c>
      <c r="E6" s="137" t="s">
        <v>182</v>
      </c>
      <c r="F6" s="138">
        <v>79</v>
      </c>
      <c r="G6" s="139">
        <v>1402197.7800000005</v>
      </c>
    </row>
    <row r="7" spans="1:7" ht="17.25" thickBot="1">
      <c r="A7" s="146" t="s">
        <v>169</v>
      </c>
      <c r="B7" s="147">
        <v>139.85999999999999</v>
      </c>
      <c r="C7" s="147">
        <v>2669407.1800000011</v>
      </c>
      <c r="E7" s="137" t="s">
        <v>169</v>
      </c>
      <c r="F7" s="138">
        <v>38</v>
      </c>
      <c r="G7" s="139">
        <v>2086928.59</v>
      </c>
    </row>
    <row r="8" spans="1:7" ht="17.25" thickBot="1">
      <c r="A8" s="146" t="s">
        <v>323</v>
      </c>
      <c r="B8" s="147">
        <v>0</v>
      </c>
      <c r="C8" s="147">
        <v>10000</v>
      </c>
      <c r="E8" s="137" t="s">
        <v>323</v>
      </c>
      <c r="F8" s="138">
        <v>2</v>
      </c>
      <c r="G8" s="139">
        <v>10000</v>
      </c>
    </row>
    <row r="9" spans="1:7" ht="17.25" thickBot="1">
      <c r="A9" s="146" t="s">
        <v>196</v>
      </c>
      <c r="B9" s="147">
        <v>2.94</v>
      </c>
      <c r="C9" s="147">
        <v>225115.65000000002</v>
      </c>
      <c r="E9" s="137" t="s">
        <v>196</v>
      </c>
      <c r="F9" s="138">
        <v>1</v>
      </c>
      <c r="G9" s="139">
        <v>16372.25</v>
      </c>
    </row>
    <row r="10" spans="1:7" ht="17.25" thickBot="1">
      <c r="A10" s="146" t="s">
        <v>665</v>
      </c>
      <c r="B10" s="147">
        <v>1225.6000000000004</v>
      </c>
      <c r="C10" s="147">
        <v>7116842.370000001</v>
      </c>
      <c r="E10" s="140" t="s">
        <v>665</v>
      </c>
      <c r="F10" s="141">
        <f>SUM(F3:F9)</f>
        <v>128</v>
      </c>
      <c r="G10" s="142">
        <f>SUM(G3:G9)</f>
        <v>5470108.2800000003</v>
      </c>
    </row>
    <row r="11" spans="1:7">
      <c r="A11"/>
      <c r="B11"/>
      <c r="C11"/>
    </row>
    <row r="12" spans="1:7">
      <c r="A12"/>
      <c r="B12"/>
    </row>
    <row r="13" spans="1:7">
      <c r="A13"/>
      <c r="B13"/>
    </row>
    <row r="14" spans="1:7" ht="15.75" thickBot="1">
      <c r="A14"/>
      <c r="B14"/>
    </row>
    <row r="15" spans="1:7" ht="26.25" thickBot="1">
      <c r="A15"/>
      <c r="B15"/>
      <c r="E15" s="135" t="s">
        <v>660</v>
      </c>
      <c r="F15" s="136" t="s">
        <v>661</v>
      </c>
      <c r="G15" s="136" t="s">
        <v>662</v>
      </c>
    </row>
    <row r="16" spans="1:7" ht="17.25" thickBot="1">
      <c r="A16"/>
      <c r="B16"/>
      <c r="E16" s="137" t="s">
        <v>353</v>
      </c>
      <c r="F16" s="138"/>
      <c r="G16" s="139">
        <v>24191.63</v>
      </c>
    </row>
    <row r="17" spans="1:7" ht="17.25" thickBot="1">
      <c r="A17"/>
      <c r="B17"/>
      <c r="E17" s="137" t="s">
        <v>297</v>
      </c>
      <c r="F17" s="138">
        <v>39.61</v>
      </c>
      <c r="G17" s="139">
        <v>546553.59999999998</v>
      </c>
    </row>
    <row r="18" spans="1:7" ht="17.25" thickBot="1">
      <c r="A18"/>
      <c r="B18"/>
      <c r="E18" s="137" t="s">
        <v>191</v>
      </c>
      <c r="F18" s="138"/>
      <c r="G18" s="139">
        <v>634593.13</v>
      </c>
    </row>
    <row r="19" spans="1:7" ht="17.25" thickBot="1">
      <c r="A19"/>
      <c r="B19"/>
      <c r="E19" s="137" t="s">
        <v>182</v>
      </c>
      <c r="F19" s="138">
        <v>726.42</v>
      </c>
      <c r="G19" s="139">
        <v>1095789.6000000001</v>
      </c>
    </row>
    <row r="20" spans="1:7" ht="17.25" thickBot="1">
      <c r="A20"/>
      <c r="B20"/>
      <c r="E20" s="137" t="s">
        <v>169</v>
      </c>
      <c r="F20" s="138">
        <v>92.58</v>
      </c>
      <c r="G20" s="139">
        <v>1597412.42</v>
      </c>
    </row>
    <row r="21" spans="1:7" ht="17.25" thickBot="1">
      <c r="A21"/>
      <c r="B21"/>
      <c r="E21" s="137" t="s">
        <v>323</v>
      </c>
      <c r="F21" s="138">
        <v>0</v>
      </c>
      <c r="G21" s="139">
        <v>10000</v>
      </c>
    </row>
    <row r="22" spans="1:7" ht="17.25" thickBot="1">
      <c r="A22"/>
      <c r="B22"/>
      <c r="E22" s="137" t="s">
        <v>196</v>
      </c>
      <c r="F22" s="138"/>
      <c r="G22" s="139">
        <v>328.28</v>
      </c>
    </row>
    <row r="23" spans="1:7" ht="17.25" thickBot="1">
      <c r="A23"/>
      <c r="B23"/>
      <c r="E23" s="140" t="s">
        <v>665</v>
      </c>
      <c r="F23" s="141">
        <v>858.61</v>
      </c>
      <c r="G23" s="142">
        <v>3908868.66</v>
      </c>
    </row>
    <row r="24" spans="1:7">
      <c r="A24"/>
      <c r="B24"/>
    </row>
    <row r="25" spans="1:7">
      <c r="A25"/>
      <c r="B25"/>
    </row>
    <row r="26" spans="1:7">
      <c r="A26"/>
      <c r="B26"/>
    </row>
    <row r="27" spans="1:7">
      <c r="A27"/>
      <c r="B27"/>
    </row>
    <row r="28" spans="1:7">
      <c r="A28"/>
      <c r="B28"/>
    </row>
    <row r="29" spans="1:7">
      <c r="A29"/>
      <c r="B29"/>
    </row>
    <row r="30" spans="1:7">
      <c r="A30"/>
      <c r="B30"/>
    </row>
    <row r="31" spans="1:7">
      <c r="A31"/>
      <c r="B31"/>
    </row>
    <row r="32" spans="1:7">
      <c r="A32"/>
      <c r="B32"/>
    </row>
    <row r="33" spans="1:2">
      <c r="A33"/>
      <c r="B33"/>
    </row>
    <row r="34" spans="1:2">
      <c r="A34"/>
      <c r="B34"/>
    </row>
    <row r="35" spans="1:2">
      <c r="A35"/>
      <c r="B35"/>
    </row>
    <row r="36" spans="1:2">
      <c r="A36"/>
      <c r="B36"/>
    </row>
    <row r="37" spans="1:2">
      <c r="A37"/>
      <c r="B37"/>
    </row>
    <row r="38" spans="1:2">
      <c r="A38"/>
      <c r="B38"/>
    </row>
    <row r="39" spans="1:2">
      <c r="A39"/>
      <c r="B39"/>
    </row>
    <row r="40" spans="1:2">
      <c r="A40"/>
      <c r="B40"/>
    </row>
    <row r="41" spans="1:2">
      <c r="A41"/>
      <c r="B41"/>
    </row>
    <row r="42" spans="1:2">
      <c r="A42"/>
      <c r="B42"/>
    </row>
    <row r="43" spans="1:2">
      <c r="A43"/>
      <c r="B43"/>
    </row>
    <row r="44" spans="1:2">
      <c r="A44"/>
      <c r="B44"/>
    </row>
    <row r="45" spans="1:2">
      <c r="A45"/>
      <c r="B45"/>
    </row>
    <row r="46" spans="1:2">
      <c r="A46"/>
      <c r="B46"/>
    </row>
    <row r="47" spans="1:2">
      <c r="A47"/>
      <c r="B47"/>
    </row>
    <row r="48" spans="1:2">
      <c r="A48"/>
      <c r="B48"/>
    </row>
    <row r="49" spans="1:2">
      <c r="A49"/>
      <c r="B49"/>
    </row>
    <row r="50" spans="1:2">
      <c r="A50"/>
      <c r="B50"/>
    </row>
    <row r="51" spans="1:2">
      <c r="A51"/>
      <c r="B51"/>
    </row>
    <row r="52" spans="1:2">
      <c r="A52"/>
      <c r="B52"/>
    </row>
    <row r="53" spans="1:2">
      <c r="A53"/>
      <c r="B53"/>
    </row>
    <row r="54" spans="1:2">
      <c r="A54"/>
      <c r="B54"/>
    </row>
    <row r="55" spans="1:2">
      <c r="A55"/>
      <c r="B55"/>
    </row>
    <row r="56" spans="1:2">
      <c r="A56"/>
      <c r="B56"/>
    </row>
    <row r="57" spans="1:2">
      <c r="A57"/>
      <c r="B57"/>
    </row>
    <row r="58" spans="1:2">
      <c r="A58"/>
      <c r="B58"/>
    </row>
    <row r="59" spans="1:2">
      <c r="A59"/>
      <c r="B59"/>
    </row>
    <row r="60" spans="1:2">
      <c r="A60"/>
      <c r="B60"/>
    </row>
    <row r="61" spans="1:2">
      <c r="A61"/>
      <c r="B61"/>
    </row>
    <row r="62" spans="1:2">
      <c r="A62"/>
      <c r="B62"/>
    </row>
    <row r="63" spans="1:2">
      <c r="A63"/>
      <c r="B63"/>
    </row>
    <row r="64" spans="1:2">
      <c r="A64"/>
      <c r="B64"/>
    </row>
    <row r="65" spans="1:2">
      <c r="A65"/>
      <c r="B65"/>
    </row>
    <row r="66" spans="1:2">
      <c r="A66"/>
      <c r="B66"/>
    </row>
    <row r="67" spans="1:2">
      <c r="A67"/>
      <c r="B67"/>
    </row>
    <row r="68" spans="1:2">
      <c r="A68"/>
      <c r="B68"/>
    </row>
    <row r="69" spans="1:2">
      <c r="A69"/>
      <c r="B69"/>
    </row>
    <row r="70" spans="1:2">
      <c r="A70"/>
      <c r="B70"/>
    </row>
    <row r="71" spans="1:2">
      <c r="A71"/>
      <c r="B71"/>
    </row>
    <row r="72" spans="1:2">
      <c r="A72"/>
      <c r="B72"/>
    </row>
    <row r="73" spans="1:2">
      <c r="A73"/>
      <c r="B73"/>
    </row>
    <row r="74" spans="1:2">
      <c r="A74"/>
      <c r="B74"/>
    </row>
    <row r="75" spans="1:2">
      <c r="A75"/>
      <c r="B75"/>
    </row>
    <row r="76" spans="1:2">
      <c r="A76"/>
      <c r="B76"/>
    </row>
    <row r="77" spans="1:2">
      <c r="A77"/>
      <c r="B77"/>
    </row>
    <row r="78" spans="1:2">
      <c r="A78"/>
      <c r="B78"/>
    </row>
    <row r="79" spans="1:2">
      <c r="A79"/>
      <c r="B79"/>
    </row>
    <row r="80" spans="1:2">
      <c r="A80"/>
      <c r="B80"/>
    </row>
    <row r="81" spans="1:2">
      <c r="A81"/>
      <c r="B81"/>
    </row>
    <row r="82" spans="1:2">
      <c r="A82"/>
      <c r="B82"/>
    </row>
    <row r="83" spans="1:2">
      <c r="A83"/>
      <c r="B83"/>
    </row>
    <row r="84" spans="1:2">
      <c r="A84"/>
      <c r="B84"/>
    </row>
    <row r="85" spans="1:2">
      <c r="A85"/>
      <c r="B85"/>
    </row>
    <row r="86" spans="1:2">
      <c r="A86"/>
      <c r="B86"/>
    </row>
    <row r="87" spans="1:2">
      <c r="A87"/>
      <c r="B87"/>
    </row>
    <row r="88" spans="1:2">
      <c r="A88"/>
      <c r="B88"/>
    </row>
    <row r="89" spans="1:2">
      <c r="A89"/>
      <c r="B89"/>
    </row>
    <row r="90" spans="1:2">
      <c r="A90"/>
      <c r="B90"/>
    </row>
    <row r="91" spans="1:2">
      <c r="A91"/>
      <c r="B91"/>
    </row>
    <row r="92" spans="1:2">
      <c r="A92"/>
      <c r="B92"/>
    </row>
    <row r="93" spans="1:2">
      <c r="A93"/>
      <c r="B93"/>
    </row>
    <row r="94" spans="1:2">
      <c r="A94"/>
      <c r="B94"/>
    </row>
    <row r="95" spans="1:2">
      <c r="A95"/>
      <c r="B95"/>
    </row>
    <row r="96" spans="1:2">
      <c r="A96"/>
      <c r="B96"/>
    </row>
    <row r="97" spans="1:2">
      <c r="A97"/>
      <c r="B97"/>
    </row>
    <row r="98" spans="1:2">
      <c r="A98"/>
      <c r="B98"/>
    </row>
    <row r="99" spans="1:2">
      <c r="A99"/>
      <c r="B99"/>
    </row>
    <row r="100" spans="1:2">
      <c r="A100"/>
      <c r="B100"/>
    </row>
    <row r="101" spans="1:2">
      <c r="A101"/>
      <c r="B101"/>
    </row>
    <row r="102" spans="1:2">
      <c r="A102"/>
      <c r="B102"/>
    </row>
    <row r="103" spans="1:2">
      <c r="A103"/>
      <c r="B103"/>
    </row>
    <row r="104" spans="1:2">
      <c r="A104"/>
      <c r="B104"/>
    </row>
    <row r="105" spans="1:2">
      <c r="A105"/>
      <c r="B105"/>
    </row>
    <row r="106" spans="1:2">
      <c r="A106"/>
      <c r="B106"/>
    </row>
    <row r="107" spans="1:2">
      <c r="A107"/>
      <c r="B107"/>
    </row>
    <row r="108" spans="1:2">
      <c r="A108"/>
      <c r="B108"/>
    </row>
    <row r="109" spans="1:2">
      <c r="A109"/>
      <c r="B109"/>
    </row>
    <row r="110" spans="1:2">
      <c r="A110"/>
      <c r="B110"/>
    </row>
    <row r="111" spans="1:2">
      <c r="A111"/>
      <c r="B111"/>
    </row>
    <row r="112" spans="1:2">
      <c r="A112"/>
      <c r="B112"/>
    </row>
    <row r="113" spans="1:2">
      <c r="A113"/>
      <c r="B113"/>
    </row>
    <row r="114" spans="1:2">
      <c r="A114"/>
      <c r="B114"/>
    </row>
    <row r="115" spans="1:2">
      <c r="A115"/>
      <c r="B115"/>
    </row>
    <row r="116" spans="1:2">
      <c r="A116"/>
      <c r="B116"/>
    </row>
    <row r="117" spans="1:2">
      <c r="A117"/>
      <c r="B117"/>
    </row>
    <row r="118" spans="1:2">
      <c r="A118"/>
      <c r="B118"/>
    </row>
    <row r="119" spans="1:2">
      <c r="A119"/>
      <c r="B119"/>
    </row>
    <row r="120" spans="1:2">
      <c r="A120"/>
      <c r="B120"/>
    </row>
    <row r="121" spans="1:2">
      <c r="A121"/>
      <c r="B121"/>
    </row>
    <row r="122" spans="1:2">
      <c r="A122"/>
      <c r="B122"/>
    </row>
    <row r="123" spans="1:2">
      <c r="A123"/>
      <c r="B123"/>
    </row>
    <row r="124" spans="1:2">
      <c r="A124"/>
      <c r="B124"/>
    </row>
    <row r="125" spans="1:2">
      <c r="A125"/>
      <c r="B125"/>
    </row>
    <row r="126" spans="1:2">
      <c r="A126"/>
      <c r="B126"/>
    </row>
    <row r="127" spans="1:2">
      <c r="A127"/>
      <c r="B127"/>
    </row>
    <row r="128" spans="1:2">
      <c r="A128"/>
      <c r="B128"/>
    </row>
    <row r="129" spans="1:2">
      <c r="A129"/>
      <c r="B129"/>
    </row>
    <row r="130" spans="1:2">
      <c r="A130"/>
      <c r="B130"/>
    </row>
    <row r="131" spans="1:2">
      <c r="A131"/>
      <c r="B131"/>
    </row>
    <row r="132" spans="1:2">
      <c r="A132"/>
      <c r="B132"/>
    </row>
    <row r="133" spans="1:2">
      <c r="A133"/>
      <c r="B133"/>
    </row>
    <row r="134" spans="1:2">
      <c r="A134"/>
      <c r="B134"/>
    </row>
    <row r="135" spans="1:2">
      <c r="A135"/>
      <c r="B135"/>
    </row>
    <row r="136" spans="1:2">
      <c r="A136"/>
      <c r="B136"/>
    </row>
    <row r="137" spans="1:2">
      <c r="A137"/>
      <c r="B137"/>
    </row>
    <row r="138" spans="1:2">
      <c r="A138"/>
      <c r="B138"/>
    </row>
    <row r="139" spans="1:2">
      <c r="A139"/>
      <c r="B139"/>
    </row>
    <row r="140" spans="1:2">
      <c r="A140"/>
      <c r="B140"/>
    </row>
    <row r="141" spans="1:2">
      <c r="A141"/>
      <c r="B141"/>
    </row>
    <row r="142" spans="1:2">
      <c r="A142"/>
      <c r="B142"/>
    </row>
    <row r="143" spans="1:2">
      <c r="A143"/>
      <c r="B143"/>
    </row>
    <row r="144" spans="1:2">
      <c r="A144"/>
      <c r="B144"/>
    </row>
    <row r="145" spans="1:2">
      <c r="A145"/>
      <c r="B145"/>
    </row>
    <row r="146" spans="1:2">
      <c r="A146"/>
      <c r="B146"/>
    </row>
    <row r="147" spans="1:2">
      <c r="A147"/>
      <c r="B147"/>
    </row>
    <row r="148" spans="1:2">
      <c r="A148"/>
      <c r="B148"/>
    </row>
    <row r="149" spans="1:2">
      <c r="A149"/>
      <c r="B149"/>
    </row>
    <row r="150" spans="1:2">
      <c r="A150"/>
      <c r="B150"/>
    </row>
    <row r="151" spans="1:2">
      <c r="A151"/>
      <c r="B151"/>
    </row>
    <row r="152" spans="1:2">
      <c r="A152"/>
      <c r="B152"/>
    </row>
    <row r="153" spans="1:2">
      <c r="A153"/>
      <c r="B153"/>
    </row>
    <row r="154" spans="1:2">
      <c r="A154"/>
      <c r="B154"/>
    </row>
    <row r="155" spans="1:2">
      <c r="A155"/>
      <c r="B155"/>
    </row>
    <row r="156" spans="1:2">
      <c r="A156"/>
      <c r="B156"/>
    </row>
    <row r="157" spans="1:2">
      <c r="A157"/>
      <c r="B157"/>
    </row>
    <row r="158" spans="1:2">
      <c r="A158"/>
      <c r="B158"/>
    </row>
    <row r="159" spans="1:2">
      <c r="A159"/>
      <c r="B159"/>
    </row>
    <row r="160" spans="1:2">
      <c r="A160"/>
      <c r="B160"/>
    </row>
    <row r="161" spans="1:2">
      <c r="A161"/>
      <c r="B161"/>
    </row>
    <row r="162" spans="1:2">
      <c r="A162"/>
      <c r="B162"/>
    </row>
    <row r="163" spans="1:2">
      <c r="A163"/>
      <c r="B163"/>
    </row>
    <row r="164" spans="1:2">
      <c r="A164"/>
      <c r="B164"/>
    </row>
    <row r="165" spans="1:2">
      <c r="A165"/>
      <c r="B165"/>
    </row>
    <row r="166" spans="1:2">
      <c r="A166"/>
      <c r="B166"/>
    </row>
    <row r="167" spans="1:2">
      <c r="A167"/>
      <c r="B167"/>
    </row>
    <row r="168" spans="1:2">
      <c r="A168"/>
      <c r="B168"/>
    </row>
    <row r="169" spans="1:2">
      <c r="A169"/>
      <c r="B169"/>
    </row>
    <row r="170" spans="1:2">
      <c r="A170"/>
      <c r="B170"/>
    </row>
    <row r="171" spans="1:2">
      <c r="A171"/>
      <c r="B171"/>
    </row>
    <row r="172" spans="1:2">
      <c r="A172"/>
      <c r="B172"/>
    </row>
    <row r="173" spans="1:2">
      <c r="A173"/>
      <c r="B173"/>
    </row>
    <row r="174" spans="1:2">
      <c r="A174"/>
      <c r="B174"/>
    </row>
    <row r="175" spans="1:2">
      <c r="A175"/>
      <c r="B175"/>
    </row>
    <row r="176" spans="1:2">
      <c r="A176"/>
      <c r="B176"/>
    </row>
    <row r="177" spans="1:2">
      <c r="A177"/>
      <c r="B177"/>
    </row>
    <row r="178" spans="1:2">
      <c r="A178"/>
      <c r="B178"/>
    </row>
    <row r="179" spans="1:2">
      <c r="A179"/>
      <c r="B179"/>
    </row>
    <row r="180" spans="1:2">
      <c r="A180"/>
      <c r="B180"/>
    </row>
    <row r="181" spans="1:2">
      <c r="A181"/>
      <c r="B181"/>
    </row>
    <row r="182" spans="1:2">
      <c r="A182"/>
      <c r="B182"/>
    </row>
    <row r="183" spans="1:2">
      <c r="A183"/>
      <c r="B183"/>
    </row>
    <row r="184" spans="1:2">
      <c r="A184"/>
      <c r="B184"/>
    </row>
    <row r="185" spans="1:2">
      <c r="A185"/>
      <c r="B185"/>
    </row>
    <row r="186" spans="1:2">
      <c r="A186"/>
      <c r="B186"/>
    </row>
    <row r="187" spans="1:2">
      <c r="A187"/>
      <c r="B187"/>
    </row>
    <row r="188" spans="1:2">
      <c r="A188"/>
      <c r="B188"/>
    </row>
    <row r="189" spans="1:2">
      <c r="A189"/>
      <c r="B189"/>
    </row>
    <row r="190" spans="1:2">
      <c r="A190"/>
      <c r="B190"/>
    </row>
    <row r="191" spans="1:2">
      <c r="A191"/>
      <c r="B191"/>
    </row>
    <row r="192" spans="1:2">
      <c r="A192"/>
      <c r="B192"/>
    </row>
    <row r="193" spans="1:2">
      <c r="A193"/>
      <c r="B193"/>
    </row>
    <row r="194" spans="1:2">
      <c r="A194"/>
      <c r="B194"/>
    </row>
    <row r="195" spans="1:2">
      <c r="A195"/>
      <c r="B195"/>
    </row>
    <row r="196" spans="1:2">
      <c r="A196"/>
      <c r="B196"/>
    </row>
    <row r="197" spans="1:2">
      <c r="A197"/>
      <c r="B197"/>
    </row>
    <row r="198" spans="1:2">
      <c r="A198"/>
      <c r="B198"/>
    </row>
    <row r="199" spans="1:2">
      <c r="A199"/>
      <c r="B199"/>
    </row>
    <row r="200" spans="1:2">
      <c r="A200"/>
      <c r="B200"/>
    </row>
    <row r="201" spans="1:2">
      <c r="A201"/>
      <c r="B201"/>
    </row>
    <row r="202" spans="1:2">
      <c r="A202"/>
      <c r="B202"/>
    </row>
    <row r="203" spans="1:2">
      <c r="A203"/>
      <c r="B203"/>
    </row>
    <row r="204" spans="1:2">
      <c r="A204"/>
      <c r="B204"/>
    </row>
    <row r="205" spans="1:2">
      <c r="A205"/>
      <c r="B205"/>
    </row>
    <row r="206" spans="1:2">
      <c r="A206"/>
      <c r="B206"/>
    </row>
    <row r="207" spans="1:2">
      <c r="A207"/>
      <c r="B207"/>
    </row>
    <row r="208" spans="1:2">
      <c r="A208"/>
      <c r="B208"/>
    </row>
    <row r="209" spans="1:2">
      <c r="A209"/>
      <c r="B209"/>
    </row>
    <row r="210" spans="1:2">
      <c r="A210"/>
      <c r="B210"/>
    </row>
    <row r="211" spans="1:2">
      <c r="A211"/>
      <c r="B211"/>
    </row>
    <row r="212" spans="1:2">
      <c r="A212"/>
      <c r="B212"/>
    </row>
    <row r="213" spans="1:2">
      <c r="A213"/>
      <c r="B213"/>
    </row>
    <row r="214" spans="1:2">
      <c r="A214"/>
      <c r="B214"/>
    </row>
    <row r="215" spans="1:2">
      <c r="A215"/>
      <c r="B215"/>
    </row>
    <row r="216" spans="1:2">
      <c r="A216"/>
      <c r="B216"/>
    </row>
    <row r="217" spans="1:2">
      <c r="A217"/>
      <c r="B217"/>
    </row>
    <row r="218" spans="1:2">
      <c r="A218"/>
      <c r="B218"/>
    </row>
    <row r="219" spans="1:2">
      <c r="A219"/>
      <c r="B219"/>
    </row>
    <row r="220" spans="1:2">
      <c r="A220"/>
      <c r="B220"/>
    </row>
    <row r="221" spans="1:2">
      <c r="A221"/>
      <c r="B221"/>
    </row>
    <row r="222" spans="1:2">
      <c r="A222"/>
      <c r="B222"/>
    </row>
    <row r="223" spans="1:2">
      <c r="A223"/>
      <c r="B223"/>
    </row>
    <row r="224" spans="1:2">
      <c r="A224"/>
      <c r="B224"/>
    </row>
    <row r="225" spans="1:2">
      <c r="A225"/>
      <c r="B225"/>
    </row>
    <row r="226" spans="1:2">
      <c r="A226"/>
      <c r="B226"/>
    </row>
    <row r="227" spans="1:2">
      <c r="A227"/>
      <c r="B227"/>
    </row>
    <row r="228" spans="1:2">
      <c r="A228"/>
      <c r="B228"/>
    </row>
    <row r="229" spans="1:2">
      <c r="A229"/>
      <c r="B229"/>
    </row>
    <row r="230" spans="1:2">
      <c r="A230"/>
      <c r="B230"/>
    </row>
    <row r="231" spans="1:2">
      <c r="A231"/>
      <c r="B231"/>
    </row>
    <row r="232" spans="1:2">
      <c r="A232"/>
      <c r="B232"/>
    </row>
    <row r="233" spans="1:2">
      <c r="A233"/>
      <c r="B233"/>
    </row>
    <row r="234" spans="1:2">
      <c r="A234"/>
      <c r="B234"/>
    </row>
    <row r="235" spans="1:2">
      <c r="A235"/>
      <c r="B235"/>
    </row>
    <row r="236" spans="1:2">
      <c r="A236"/>
      <c r="B236"/>
    </row>
    <row r="237" spans="1:2">
      <c r="A237"/>
      <c r="B237"/>
    </row>
    <row r="238" spans="1:2">
      <c r="A238"/>
      <c r="B238"/>
    </row>
    <row r="239" spans="1:2">
      <c r="A239"/>
      <c r="B239"/>
    </row>
    <row r="240" spans="1:2">
      <c r="A240"/>
      <c r="B240"/>
    </row>
    <row r="241" spans="1:2">
      <c r="A241"/>
      <c r="B241"/>
    </row>
    <row r="242" spans="1:2">
      <c r="A242"/>
      <c r="B242"/>
    </row>
    <row r="243" spans="1:2">
      <c r="A243"/>
      <c r="B243"/>
    </row>
    <row r="244" spans="1:2">
      <c r="A244"/>
      <c r="B244"/>
    </row>
    <row r="245" spans="1:2">
      <c r="A245"/>
      <c r="B245"/>
    </row>
    <row r="246" spans="1:2">
      <c r="A246"/>
      <c r="B246"/>
    </row>
    <row r="247" spans="1:2">
      <c r="A247"/>
      <c r="B247"/>
    </row>
    <row r="248" spans="1:2">
      <c r="A248"/>
      <c r="B248"/>
    </row>
    <row r="249" spans="1:2">
      <c r="A249"/>
      <c r="B249"/>
    </row>
    <row r="250" spans="1:2">
      <c r="A250"/>
      <c r="B250"/>
    </row>
    <row r="251" spans="1:2">
      <c r="A251"/>
      <c r="B251"/>
    </row>
    <row r="252" spans="1:2">
      <c r="A252"/>
      <c r="B252"/>
    </row>
    <row r="253" spans="1:2">
      <c r="A253"/>
      <c r="B253"/>
    </row>
    <row r="254" spans="1:2">
      <c r="A254"/>
      <c r="B254"/>
    </row>
    <row r="255" spans="1:2">
      <c r="A255"/>
      <c r="B255"/>
    </row>
    <row r="256" spans="1:2">
      <c r="A256"/>
      <c r="B256"/>
    </row>
    <row r="257" spans="1:2">
      <c r="A257"/>
      <c r="B257"/>
    </row>
    <row r="258" spans="1:2">
      <c r="A258"/>
      <c r="B258"/>
    </row>
    <row r="259" spans="1:2">
      <c r="A259"/>
      <c r="B259"/>
    </row>
    <row r="260" spans="1:2">
      <c r="A260"/>
      <c r="B260"/>
    </row>
    <row r="261" spans="1:2">
      <c r="A261"/>
      <c r="B261"/>
    </row>
    <row r="262" spans="1:2">
      <c r="A262"/>
      <c r="B262"/>
    </row>
    <row r="263" spans="1:2">
      <c r="A263"/>
      <c r="B263"/>
    </row>
    <row r="264" spans="1:2">
      <c r="A264"/>
      <c r="B264"/>
    </row>
    <row r="265" spans="1:2">
      <c r="A265"/>
      <c r="B265"/>
    </row>
    <row r="266" spans="1:2">
      <c r="A266"/>
      <c r="B266"/>
    </row>
    <row r="267" spans="1:2">
      <c r="A267"/>
      <c r="B267"/>
    </row>
    <row r="268" spans="1:2">
      <c r="A268"/>
      <c r="B268"/>
    </row>
    <row r="269" spans="1:2">
      <c r="A269"/>
      <c r="B269"/>
    </row>
    <row r="270" spans="1:2">
      <c r="A270"/>
      <c r="B270"/>
    </row>
    <row r="271" spans="1:2">
      <c r="A271"/>
      <c r="B271"/>
    </row>
    <row r="272" spans="1:2">
      <c r="A272"/>
      <c r="B272"/>
    </row>
    <row r="273" spans="1:2">
      <c r="A273"/>
      <c r="B273"/>
    </row>
    <row r="274" spans="1:2">
      <c r="A274"/>
      <c r="B274"/>
    </row>
    <row r="275" spans="1:2">
      <c r="A275"/>
      <c r="B275"/>
    </row>
    <row r="276" spans="1:2">
      <c r="A276"/>
      <c r="B276"/>
    </row>
    <row r="277" spans="1:2">
      <c r="A277"/>
      <c r="B277"/>
    </row>
    <row r="278" spans="1:2">
      <c r="A278"/>
      <c r="B278"/>
    </row>
    <row r="279" spans="1:2">
      <c r="A279"/>
      <c r="B279"/>
    </row>
    <row r="280" spans="1:2">
      <c r="A280"/>
      <c r="B280"/>
    </row>
    <row r="281" spans="1:2">
      <c r="A281"/>
      <c r="B281"/>
    </row>
    <row r="282" spans="1:2">
      <c r="A282"/>
      <c r="B282"/>
    </row>
    <row r="283" spans="1:2">
      <c r="A283"/>
      <c r="B283"/>
    </row>
    <row r="284" spans="1:2">
      <c r="A284"/>
      <c r="B284"/>
    </row>
    <row r="285" spans="1:2">
      <c r="A285"/>
      <c r="B285"/>
    </row>
    <row r="286" spans="1:2">
      <c r="A286"/>
      <c r="B286"/>
    </row>
    <row r="287" spans="1:2">
      <c r="A287"/>
      <c r="B287"/>
    </row>
    <row r="288" spans="1:2">
      <c r="A288"/>
      <c r="B288"/>
    </row>
    <row r="289" spans="1:2">
      <c r="A289"/>
      <c r="B289"/>
    </row>
    <row r="290" spans="1:2">
      <c r="A290"/>
      <c r="B290"/>
    </row>
    <row r="291" spans="1:2">
      <c r="A291"/>
      <c r="B291"/>
    </row>
    <row r="292" spans="1:2">
      <c r="A292"/>
      <c r="B292"/>
    </row>
    <row r="293" spans="1:2">
      <c r="A293"/>
      <c r="B293"/>
    </row>
    <row r="294" spans="1:2">
      <c r="A294"/>
      <c r="B294"/>
    </row>
    <row r="295" spans="1:2">
      <c r="A295"/>
      <c r="B295"/>
    </row>
    <row r="296" spans="1:2">
      <c r="A296"/>
      <c r="B296"/>
    </row>
    <row r="297" spans="1:2">
      <c r="A297"/>
      <c r="B297"/>
    </row>
    <row r="298" spans="1:2">
      <c r="A298"/>
      <c r="B298"/>
    </row>
    <row r="299" spans="1:2">
      <c r="A299"/>
      <c r="B299"/>
    </row>
    <row r="300" spans="1:2">
      <c r="A300"/>
      <c r="B300"/>
    </row>
    <row r="301" spans="1:2">
      <c r="A301"/>
      <c r="B301"/>
    </row>
    <row r="302" spans="1:2">
      <c r="A302"/>
      <c r="B302"/>
    </row>
    <row r="303" spans="1:2">
      <c r="A303"/>
      <c r="B303"/>
    </row>
    <row r="304" spans="1:2">
      <c r="A304"/>
      <c r="B304"/>
    </row>
    <row r="305" spans="1:2">
      <c r="A305"/>
      <c r="B305"/>
    </row>
    <row r="306" spans="1:2">
      <c r="A306"/>
      <c r="B306"/>
    </row>
    <row r="307" spans="1:2">
      <c r="A307"/>
      <c r="B307"/>
    </row>
    <row r="308" spans="1:2">
      <c r="A308"/>
      <c r="B308"/>
    </row>
    <row r="309" spans="1:2">
      <c r="A309"/>
      <c r="B309"/>
    </row>
    <row r="310" spans="1:2">
      <c r="A310"/>
      <c r="B310"/>
    </row>
    <row r="311" spans="1:2">
      <c r="A311"/>
      <c r="B311"/>
    </row>
    <row r="312" spans="1:2">
      <c r="A312"/>
      <c r="B312"/>
    </row>
    <row r="313" spans="1:2">
      <c r="A313"/>
      <c r="B313"/>
    </row>
    <row r="314" spans="1:2">
      <c r="A314"/>
      <c r="B314"/>
    </row>
    <row r="315" spans="1:2">
      <c r="A315"/>
      <c r="B315"/>
    </row>
    <row r="316" spans="1:2">
      <c r="A316"/>
      <c r="B316"/>
    </row>
    <row r="317" spans="1:2">
      <c r="A317"/>
      <c r="B317"/>
    </row>
    <row r="318" spans="1:2">
      <c r="A318"/>
      <c r="B318"/>
    </row>
    <row r="319" spans="1:2">
      <c r="A319"/>
      <c r="B319"/>
    </row>
    <row r="320" spans="1:2">
      <c r="A320"/>
      <c r="B320"/>
    </row>
    <row r="321" spans="1:2">
      <c r="A321"/>
      <c r="B321"/>
    </row>
    <row r="322" spans="1:2">
      <c r="A322"/>
      <c r="B322"/>
    </row>
    <row r="323" spans="1:2">
      <c r="A323"/>
      <c r="B323"/>
    </row>
    <row r="324" spans="1:2">
      <c r="A324"/>
      <c r="B324"/>
    </row>
    <row r="325" spans="1:2">
      <c r="A325"/>
      <c r="B325"/>
    </row>
    <row r="326" spans="1:2">
      <c r="A326"/>
      <c r="B326"/>
    </row>
    <row r="327" spans="1:2">
      <c r="A327"/>
      <c r="B327"/>
    </row>
    <row r="328" spans="1:2">
      <c r="A328"/>
      <c r="B328"/>
    </row>
    <row r="329" spans="1:2">
      <c r="A329"/>
      <c r="B329"/>
    </row>
    <row r="330" spans="1:2">
      <c r="A330"/>
      <c r="B330"/>
    </row>
    <row r="331" spans="1:2">
      <c r="A331"/>
      <c r="B331"/>
    </row>
    <row r="332" spans="1:2">
      <c r="A332"/>
      <c r="B332"/>
    </row>
    <row r="333" spans="1:2">
      <c r="A333"/>
      <c r="B333"/>
    </row>
    <row r="334" spans="1:2">
      <c r="A334"/>
      <c r="B334"/>
    </row>
    <row r="335" spans="1:2">
      <c r="A335"/>
      <c r="B335"/>
    </row>
    <row r="336" spans="1:2">
      <c r="A336"/>
      <c r="B336"/>
    </row>
    <row r="337" spans="1:2">
      <c r="A337"/>
      <c r="B337"/>
    </row>
    <row r="338" spans="1:2">
      <c r="A338"/>
      <c r="B338"/>
    </row>
    <row r="339" spans="1:2">
      <c r="A339"/>
      <c r="B339"/>
    </row>
    <row r="340" spans="1:2">
      <c r="A340"/>
      <c r="B340"/>
    </row>
    <row r="341" spans="1:2">
      <c r="A341"/>
      <c r="B341"/>
    </row>
    <row r="342" spans="1:2">
      <c r="A342"/>
      <c r="B342"/>
    </row>
    <row r="343" spans="1:2">
      <c r="A343"/>
      <c r="B343"/>
    </row>
    <row r="344" spans="1:2">
      <c r="A344"/>
      <c r="B344"/>
    </row>
    <row r="345" spans="1:2">
      <c r="A345"/>
      <c r="B345"/>
    </row>
    <row r="346" spans="1:2">
      <c r="A346"/>
      <c r="B346"/>
    </row>
    <row r="347" spans="1:2">
      <c r="A347"/>
      <c r="B347"/>
    </row>
    <row r="348" spans="1:2">
      <c r="A348"/>
      <c r="B348"/>
    </row>
    <row r="349" spans="1:2">
      <c r="A349"/>
      <c r="B349"/>
    </row>
    <row r="350" spans="1:2">
      <c r="A350"/>
      <c r="B350"/>
    </row>
    <row r="351" spans="1:2">
      <c r="A351"/>
      <c r="B351"/>
    </row>
    <row r="352" spans="1:2">
      <c r="A352"/>
      <c r="B352"/>
    </row>
    <row r="353" spans="1:2">
      <c r="A353"/>
      <c r="B353"/>
    </row>
    <row r="354" spans="1:2">
      <c r="A354"/>
      <c r="B354"/>
    </row>
    <row r="355" spans="1:2">
      <c r="A355"/>
      <c r="B355"/>
    </row>
    <row r="356" spans="1:2">
      <c r="A356"/>
      <c r="B356"/>
    </row>
    <row r="357" spans="1:2">
      <c r="A357"/>
      <c r="B357"/>
    </row>
    <row r="358" spans="1:2">
      <c r="A358"/>
      <c r="B358"/>
    </row>
    <row r="359" spans="1:2">
      <c r="A359"/>
      <c r="B359"/>
    </row>
  </sheetData>
  <pageMargins left="0.7" right="0.7" top="0.75" bottom="0.75" header="0.3" footer="0.3"/>
  <pageSetup paperSize="9" orientation="portrait" horizontalDpi="300" verticalDpi="300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J24"/>
  <sheetViews>
    <sheetView workbookViewId="0">
      <selection activeCell="J15" sqref="J15"/>
    </sheetView>
  </sheetViews>
  <sheetFormatPr baseColWidth="10" defaultColWidth="11.5703125" defaultRowHeight="15"/>
  <cols>
    <col min="1" max="2" width="11.5703125" style="466"/>
    <col min="3" max="3" width="15.28515625" style="466" bestFit="1" customWidth="1"/>
    <col min="4" max="4" width="16.5703125" style="466" bestFit="1" customWidth="1"/>
    <col min="5" max="5" width="19.28515625" style="466" bestFit="1" customWidth="1"/>
    <col min="6" max="6" width="5.7109375" style="466" bestFit="1" customWidth="1"/>
    <col min="7" max="7" width="11.5703125" style="466"/>
    <col min="8" max="8" width="15.7109375" style="466" bestFit="1" customWidth="1"/>
    <col min="9" max="16384" width="11.5703125" style="466"/>
  </cols>
  <sheetData>
    <row r="2" spans="2:10" ht="21">
      <c r="B2" s="1145" t="s">
        <v>726</v>
      </c>
      <c r="C2" s="1145"/>
      <c r="D2" s="1145"/>
      <c r="E2" s="1145"/>
      <c r="F2" s="1145"/>
      <c r="G2" s="1145"/>
      <c r="H2" s="1145"/>
    </row>
    <row r="3" spans="2:10">
      <c r="B3" s="1146" t="s">
        <v>988</v>
      </c>
      <c r="C3" s="1146"/>
      <c r="D3" s="1146"/>
      <c r="E3" s="1146"/>
      <c r="F3" s="1146"/>
      <c r="G3" s="1146"/>
      <c r="H3" s="1146"/>
    </row>
    <row r="6" spans="2:10">
      <c r="B6" s="467" t="s">
        <v>999</v>
      </c>
    </row>
    <row r="8" spans="2:10">
      <c r="B8" s="468" t="s">
        <v>145</v>
      </c>
      <c r="C8" s="469" t="s">
        <v>672</v>
      </c>
      <c r="D8" s="469" t="s">
        <v>546</v>
      </c>
      <c r="E8" s="469" t="s">
        <v>989</v>
      </c>
      <c r="F8" s="469" t="s">
        <v>990</v>
      </c>
      <c r="G8" s="469" t="s">
        <v>673</v>
      </c>
      <c r="H8" s="469" t="s">
        <v>991</v>
      </c>
      <c r="I8" s="466">
        <v>10</v>
      </c>
      <c r="J8" s="466">
        <v>17000</v>
      </c>
    </row>
    <row r="9" spans="2:10">
      <c r="B9" s="1147">
        <v>1</v>
      </c>
      <c r="C9" s="470" t="s">
        <v>232</v>
      </c>
      <c r="D9" s="470" t="s">
        <v>223</v>
      </c>
      <c r="E9" s="470" t="s">
        <v>223</v>
      </c>
      <c r="F9" s="471">
        <v>10</v>
      </c>
      <c r="G9" s="472">
        <f t="shared" ref="G9:G16" si="0">+F9*$J$8/$I$8</f>
        <v>17000</v>
      </c>
      <c r="H9" s="1149">
        <f>SUM(G9:G10)</f>
        <v>37400</v>
      </c>
    </row>
    <row r="10" spans="2:10">
      <c r="B10" s="1148"/>
      <c r="C10" s="470" t="s">
        <v>272</v>
      </c>
      <c r="D10" s="470" t="s">
        <v>891</v>
      </c>
      <c r="E10" s="470" t="s">
        <v>992</v>
      </c>
      <c r="F10" s="471">
        <v>12</v>
      </c>
      <c r="G10" s="472">
        <f t="shared" si="0"/>
        <v>20400</v>
      </c>
      <c r="H10" s="1150"/>
    </row>
    <row r="11" spans="2:10">
      <c r="B11" s="473">
        <v>2</v>
      </c>
      <c r="C11" s="470" t="s">
        <v>630</v>
      </c>
      <c r="D11" s="470" t="s">
        <v>634</v>
      </c>
      <c r="E11" s="470" t="s">
        <v>993</v>
      </c>
      <c r="F11" s="471">
        <v>15</v>
      </c>
      <c r="G11" s="472">
        <f t="shared" si="0"/>
        <v>25500</v>
      </c>
      <c r="H11" s="474">
        <f>SUM(G11)</f>
        <v>25500</v>
      </c>
    </row>
    <row r="12" spans="2:10">
      <c r="B12" s="1151">
        <v>3</v>
      </c>
      <c r="C12" s="470" t="s">
        <v>614</v>
      </c>
      <c r="D12" s="470" t="s">
        <v>622</v>
      </c>
      <c r="E12" s="470" t="s">
        <v>994</v>
      </c>
      <c r="F12" s="471">
        <v>6</v>
      </c>
      <c r="G12" s="472">
        <f t="shared" si="0"/>
        <v>10200</v>
      </c>
      <c r="H12" s="1144">
        <f>SUM(G12:G14)</f>
        <v>69700</v>
      </c>
    </row>
    <row r="13" spans="2:10">
      <c r="B13" s="1151"/>
      <c r="C13" s="470" t="s">
        <v>614</v>
      </c>
      <c r="D13" s="470" t="s">
        <v>623</v>
      </c>
      <c r="E13" s="470" t="s">
        <v>995</v>
      </c>
      <c r="F13" s="471">
        <v>18</v>
      </c>
      <c r="G13" s="472">
        <f t="shared" si="0"/>
        <v>30600</v>
      </c>
      <c r="H13" s="1144"/>
    </row>
    <row r="14" spans="2:10">
      <c r="B14" s="1151"/>
      <c r="C14" s="470" t="s">
        <v>583</v>
      </c>
      <c r="D14" s="470" t="s">
        <v>236</v>
      </c>
      <c r="E14" s="470" t="s">
        <v>996</v>
      </c>
      <c r="F14" s="471">
        <v>17</v>
      </c>
      <c r="G14" s="472">
        <f t="shared" si="0"/>
        <v>28900</v>
      </c>
      <c r="H14" s="1144"/>
    </row>
    <row r="15" spans="2:10">
      <c r="B15" s="1143">
        <v>4</v>
      </c>
      <c r="C15" s="470" t="s">
        <v>430</v>
      </c>
      <c r="D15" s="470" t="s">
        <v>428</v>
      </c>
      <c r="E15" s="470" t="s">
        <v>997</v>
      </c>
      <c r="F15" s="471">
        <v>16</v>
      </c>
      <c r="G15" s="472">
        <f t="shared" si="0"/>
        <v>27200</v>
      </c>
      <c r="H15" s="1144">
        <f>SUM(G15:G16)</f>
        <v>56100</v>
      </c>
    </row>
    <row r="16" spans="2:10">
      <c r="B16" s="1143"/>
      <c r="C16" s="470" t="s">
        <v>430</v>
      </c>
      <c r="D16" s="470" t="s">
        <v>488</v>
      </c>
      <c r="E16" s="470" t="s">
        <v>998</v>
      </c>
      <c r="F16" s="471">
        <v>17</v>
      </c>
      <c r="G16" s="472">
        <f t="shared" si="0"/>
        <v>28900</v>
      </c>
      <c r="H16" s="1144"/>
    </row>
    <row r="17" spans="2:8">
      <c r="B17" s="475"/>
      <c r="F17" s="476"/>
      <c r="G17" s="477"/>
      <c r="H17" s="478"/>
    </row>
    <row r="18" spans="2:8">
      <c r="B18" s="475"/>
      <c r="F18" s="468">
        <f>SUM(F9:F16)</f>
        <v>111</v>
      </c>
      <c r="G18" s="479">
        <f>SUM(G9:G16)</f>
        <v>188700</v>
      </c>
      <c r="H18" s="479">
        <f>SUM(H9:H16)</f>
        <v>188700</v>
      </c>
    </row>
    <row r="19" spans="2:8">
      <c r="B19" s="475"/>
      <c r="F19" s="476"/>
      <c r="G19" s="477"/>
    </row>
    <row r="20" spans="2:8">
      <c r="B20" s="475"/>
      <c r="F20" s="476"/>
      <c r="G20" s="477"/>
    </row>
    <row r="21" spans="2:8">
      <c r="B21" s="475"/>
      <c r="F21" s="476"/>
      <c r="G21" s="477"/>
    </row>
    <row r="22" spans="2:8">
      <c r="B22" s="475"/>
      <c r="F22" s="476"/>
      <c r="G22" s="477"/>
    </row>
    <row r="23" spans="2:8">
      <c r="F23" s="476"/>
      <c r="G23" s="477"/>
    </row>
    <row r="24" spans="2:8">
      <c r="F24" s="476"/>
      <c r="G24" s="477"/>
    </row>
  </sheetData>
  <mergeCells count="8">
    <mergeCell ref="B15:B16"/>
    <mergeCell ref="H15:H16"/>
    <mergeCell ref="B2:H2"/>
    <mergeCell ref="B3:H3"/>
    <mergeCell ref="B9:B10"/>
    <mergeCell ref="H9:H10"/>
    <mergeCell ref="B12:B14"/>
    <mergeCell ref="H12:H1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Height="0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44"/>
  <sheetViews>
    <sheetView zoomScaleNormal="100" workbookViewId="0">
      <selection activeCell="B8" sqref="B8"/>
    </sheetView>
  </sheetViews>
  <sheetFormatPr baseColWidth="10" defaultRowHeight="15"/>
  <cols>
    <col min="1" max="1" width="11.5703125" style="466"/>
    <col min="2" max="2" width="32.7109375" style="466" customWidth="1"/>
    <col min="3" max="3" width="20.5703125" style="466" customWidth="1"/>
    <col min="4" max="4" width="17.42578125" style="466" customWidth="1"/>
    <col min="5" max="5" width="11.7109375" style="466" hidden="1" customWidth="1"/>
    <col min="6" max="6" width="9" style="466" customWidth="1"/>
    <col min="7" max="7" width="14.140625" style="466" customWidth="1"/>
    <col min="8" max="9" width="13.140625" style="466" bestFit="1" customWidth="1"/>
    <col min="10" max="257" width="11.5703125" style="466"/>
    <col min="258" max="258" width="32.7109375" style="466" customWidth="1"/>
    <col min="259" max="259" width="20.5703125" style="466" customWidth="1"/>
    <col min="260" max="260" width="17.42578125" style="466" customWidth="1"/>
    <col min="261" max="261" width="0" style="466" hidden="1" customWidth="1"/>
    <col min="262" max="262" width="9" style="466" customWidth="1"/>
    <col min="263" max="263" width="14.140625" style="466" customWidth="1"/>
    <col min="264" max="265" width="13.140625" style="466" bestFit="1" customWidth="1"/>
    <col min="266" max="513" width="11.5703125" style="466"/>
    <col min="514" max="514" width="32.7109375" style="466" customWidth="1"/>
    <col min="515" max="515" width="20.5703125" style="466" customWidth="1"/>
    <col min="516" max="516" width="17.42578125" style="466" customWidth="1"/>
    <col min="517" max="517" width="0" style="466" hidden="1" customWidth="1"/>
    <col min="518" max="518" width="9" style="466" customWidth="1"/>
    <col min="519" max="519" width="14.140625" style="466" customWidth="1"/>
    <col min="520" max="521" width="13.140625" style="466" bestFit="1" customWidth="1"/>
    <col min="522" max="769" width="11.5703125" style="466"/>
    <col min="770" max="770" width="32.7109375" style="466" customWidth="1"/>
    <col min="771" max="771" width="20.5703125" style="466" customWidth="1"/>
    <col min="772" max="772" width="17.42578125" style="466" customWidth="1"/>
    <col min="773" max="773" width="0" style="466" hidden="1" customWidth="1"/>
    <col min="774" max="774" width="9" style="466" customWidth="1"/>
    <col min="775" max="775" width="14.140625" style="466" customWidth="1"/>
    <col min="776" max="777" width="13.140625" style="466" bestFit="1" customWidth="1"/>
    <col min="778" max="1025" width="11.5703125" style="466"/>
    <col min="1026" max="1026" width="32.7109375" style="466" customWidth="1"/>
    <col min="1027" max="1027" width="20.5703125" style="466" customWidth="1"/>
    <col min="1028" max="1028" width="17.42578125" style="466" customWidth="1"/>
    <col min="1029" max="1029" width="0" style="466" hidden="1" customWidth="1"/>
    <col min="1030" max="1030" width="9" style="466" customWidth="1"/>
    <col min="1031" max="1031" width="14.140625" style="466" customWidth="1"/>
    <col min="1032" max="1033" width="13.140625" style="466" bestFit="1" customWidth="1"/>
    <col min="1034" max="1281" width="11.5703125" style="466"/>
    <col min="1282" max="1282" width="32.7109375" style="466" customWidth="1"/>
    <col min="1283" max="1283" width="20.5703125" style="466" customWidth="1"/>
    <col min="1284" max="1284" width="17.42578125" style="466" customWidth="1"/>
    <col min="1285" max="1285" width="0" style="466" hidden="1" customWidth="1"/>
    <col min="1286" max="1286" width="9" style="466" customWidth="1"/>
    <col min="1287" max="1287" width="14.140625" style="466" customWidth="1"/>
    <col min="1288" max="1289" width="13.140625" style="466" bestFit="1" customWidth="1"/>
    <col min="1290" max="1537" width="11.5703125" style="466"/>
    <col min="1538" max="1538" width="32.7109375" style="466" customWidth="1"/>
    <col min="1539" max="1539" width="20.5703125" style="466" customWidth="1"/>
    <col min="1540" max="1540" width="17.42578125" style="466" customWidth="1"/>
    <col min="1541" max="1541" width="0" style="466" hidden="1" customWidth="1"/>
    <col min="1542" max="1542" width="9" style="466" customWidth="1"/>
    <col min="1543" max="1543" width="14.140625" style="466" customWidth="1"/>
    <col min="1544" max="1545" width="13.140625" style="466" bestFit="1" customWidth="1"/>
    <col min="1546" max="1793" width="11.5703125" style="466"/>
    <col min="1794" max="1794" width="32.7109375" style="466" customWidth="1"/>
    <col min="1795" max="1795" width="20.5703125" style="466" customWidth="1"/>
    <col min="1796" max="1796" width="17.42578125" style="466" customWidth="1"/>
    <col min="1797" max="1797" width="0" style="466" hidden="1" customWidth="1"/>
    <col min="1798" max="1798" width="9" style="466" customWidth="1"/>
    <col min="1799" max="1799" width="14.140625" style="466" customWidth="1"/>
    <col min="1800" max="1801" width="13.140625" style="466" bestFit="1" customWidth="1"/>
    <col min="1802" max="2049" width="11.5703125" style="466"/>
    <col min="2050" max="2050" width="32.7109375" style="466" customWidth="1"/>
    <col min="2051" max="2051" width="20.5703125" style="466" customWidth="1"/>
    <col min="2052" max="2052" width="17.42578125" style="466" customWidth="1"/>
    <col min="2053" max="2053" width="0" style="466" hidden="1" customWidth="1"/>
    <col min="2054" max="2054" width="9" style="466" customWidth="1"/>
    <col min="2055" max="2055" width="14.140625" style="466" customWidth="1"/>
    <col min="2056" max="2057" width="13.140625" style="466" bestFit="1" customWidth="1"/>
    <col min="2058" max="2305" width="11.5703125" style="466"/>
    <col min="2306" max="2306" width="32.7109375" style="466" customWidth="1"/>
    <col min="2307" max="2307" width="20.5703125" style="466" customWidth="1"/>
    <col min="2308" max="2308" width="17.42578125" style="466" customWidth="1"/>
    <col min="2309" max="2309" width="0" style="466" hidden="1" customWidth="1"/>
    <col min="2310" max="2310" width="9" style="466" customWidth="1"/>
    <col min="2311" max="2311" width="14.140625" style="466" customWidth="1"/>
    <col min="2312" max="2313" width="13.140625" style="466" bestFit="1" customWidth="1"/>
    <col min="2314" max="2561" width="11.5703125" style="466"/>
    <col min="2562" max="2562" width="32.7109375" style="466" customWidth="1"/>
    <col min="2563" max="2563" width="20.5703125" style="466" customWidth="1"/>
    <col min="2564" max="2564" width="17.42578125" style="466" customWidth="1"/>
    <col min="2565" max="2565" width="0" style="466" hidden="1" customWidth="1"/>
    <col min="2566" max="2566" width="9" style="466" customWidth="1"/>
    <col min="2567" max="2567" width="14.140625" style="466" customWidth="1"/>
    <col min="2568" max="2569" width="13.140625" style="466" bestFit="1" customWidth="1"/>
    <col min="2570" max="2817" width="11.5703125" style="466"/>
    <col min="2818" max="2818" width="32.7109375" style="466" customWidth="1"/>
    <col min="2819" max="2819" width="20.5703125" style="466" customWidth="1"/>
    <col min="2820" max="2820" width="17.42578125" style="466" customWidth="1"/>
    <col min="2821" max="2821" width="0" style="466" hidden="1" customWidth="1"/>
    <col min="2822" max="2822" width="9" style="466" customWidth="1"/>
    <col min="2823" max="2823" width="14.140625" style="466" customWidth="1"/>
    <col min="2824" max="2825" width="13.140625" style="466" bestFit="1" customWidth="1"/>
    <col min="2826" max="3073" width="11.5703125" style="466"/>
    <col min="3074" max="3074" width="32.7109375" style="466" customWidth="1"/>
    <col min="3075" max="3075" width="20.5703125" style="466" customWidth="1"/>
    <col min="3076" max="3076" width="17.42578125" style="466" customWidth="1"/>
    <col min="3077" max="3077" width="0" style="466" hidden="1" customWidth="1"/>
    <col min="3078" max="3078" width="9" style="466" customWidth="1"/>
    <col min="3079" max="3079" width="14.140625" style="466" customWidth="1"/>
    <col min="3080" max="3081" width="13.140625" style="466" bestFit="1" customWidth="1"/>
    <col min="3082" max="3329" width="11.5703125" style="466"/>
    <col min="3330" max="3330" width="32.7109375" style="466" customWidth="1"/>
    <col min="3331" max="3331" width="20.5703125" style="466" customWidth="1"/>
    <col min="3332" max="3332" width="17.42578125" style="466" customWidth="1"/>
    <col min="3333" max="3333" width="0" style="466" hidden="1" customWidth="1"/>
    <col min="3334" max="3334" width="9" style="466" customWidth="1"/>
    <col min="3335" max="3335" width="14.140625" style="466" customWidth="1"/>
    <col min="3336" max="3337" width="13.140625" style="466" bestFit="1" customWidth="1"/>
    <col min="3338" max="3585" width="11.5703125" style="466"/>
    <col min="3586" max="3586" width="32.7109375" style="466" customWidth="1"/>
    <col min="3587" max="3587" width="20.5703125" style="466" customWidth="1"/>
    <col min="3588" max="3588" width="17.42578125" style="466" customWidth="1"/>
    <col min="3589" max="3589" width="0" style="466" hidden="1" customWidth="1"/>
    <col min="3590" max="3590" width="9" style="466" customWidth="1"/>
    <col min="3591" max="3591" width="14.140625" style="466" customWidth="1"/>
    <col min="3592" max="3593" width="13.140625" style="466" bestFit="1" customWidth="1"/>
    <col min="3594" max="3841" width="11.5703125" style="466"/>
    <col min="3842" max="3842" width="32.7109375" style="466" customWidth="1"/>
    <col min="3843" max="3843" width="20.5703125" style="466" customWidth="1"/>
    <col min="3844" max="3844" width="17.42578125" style="466" customWidth="1"/>
    <col min="3845" max="3845" width="0" style="466" hidden="1" customWidth="1"/>
    <col min="3846" max="3846" width="9" style="466" customWidth="1"/>
    <col min="3847" max="3847" width="14.140625" style="466" customWidth="1"/>
    <col min="3848" max="3849" width="13.140625" style="466" bestFit="1" customWidth="1"/>
    <col min="3850" max="4097" width="11.5703125" style="466"/>
    <col min="4098" max="4098" width="32.7109375" style="466" customWidth="1"/>
    <col min="4099" max="4099" width="20.5703125" style="466" customWidth="1"/>
    <col min="4100" max="4100" width="17.42578125" style="466" customWidth="1"/>
    <col min="4101" max="4101" width="0" style="466" hidden="1" customWidth="1"/>
    <col min="4102" max="4102" width="9" style="466" customWidth="1"/>
    <col min="4103" max="4103" width="14.140625" style="466" customWidth="1"/>
    <col min="4104" max="4105" width="13.140625" style="466" bestFit="1" customWidth="1"/>
    <col min="4106" max="4353" width="11.5703125" style="466"/>
    <col min="4354" max="4354" width="32.7109375" style="466" customWidth="1"/>
    <col min="4355" max="4355" width="20.5703125" style="466" customWidth="1"/>
    <col min="4356" max="4356" width="17.42578125" style="466" customWidth="1"/>
    <col min="4357" max="4357" width="0" style="466" hidden="1" customWidth="1"/>
    <col min="4358" max="4358" width="9" style="466" customWidth="1"/>
    <col min="4359" max="4359" width="14.140625" style="466" customWidth="1"/>
    <col min="4360" max="4361" width="13.140625" style="466" bestFit="1" customWidth="1"/>
    <col min="4362" max="4609" width="11.5703125" style="466"/>
    <col min="4610" max="4610" width="32.7109375" style="466" customWidth="1"/>
    <col min="4611" max="4611" width="20.5703125" style="466" customWidth="1"/>
    <col min="4612" max="4612" width="17.42578125" style="466" customWidth="1"/>
    <col min="4613" max="4613" width="0" style="466" hidden="1" customWidth="1"/>
    <col min="4614" max="4614" width="9" style="466" customWidth="1"/>
    <col min="4615" max="4615" width="14.140625" style="466" customWidth="1"/>
    <col min="4616" max="4617" width="13.140625" style="466" bestFit="1" customWidth="1"/>
    <col min="4618" max="4865" width="11.5703125" style="466"/>
    <col min="4866" max="4866" width="32.7109375" style="466" customWidth="1"/>
    <col min="4867" max="4867" width="20.5703125" style="466" customWidth="1"/>
    <col min="4868" max="4868" width="17.42578125" style="466" customWidth="1"/>
    <col min="4869" max="4869" width="0" style="466" hidden="1" customWidth="1"/>
    <col min="4870" max="4870" width="9" style="466" customWidth="1"/>
    <col min="4871" max="4871" width="14.140625" style="466" customWidth="1"/>
    <col min="4872" max="4873" width="13.140625" style="466" bestFit="1" customWidth="1"/>
    <col min="4874" max="5121" width="11.5703125" style="466"/>
    <col min="5122" max="5122" width="32.7109375" style="466" customWidth="1"/>
    <col min="5123" max="5123" width="20.5703125" style="466" customWidth="1"/>
    <col min="5124" max="5124" width="17.42578125" style="466" customWidth="1"/>
    <col min="5125" max="5125" width="0" style="466" hidden="1" customWidth="1"/>
    <col min="5126" max="5126" width="9" style="466" customWidth="1"/>
    <col min="5127" max="5127" width="14.140625" style="466" customWidth="1"/>
    <col min="5128" max="5129" width="13.140625" style="466" bestFit="1" customWidth="1"/>
    <col min="5130" max="5377" width="11.5703125" style="466"/>
    <col min="5378" max="5378" width="32.7109375" style="466" customWidth="1"/>
    <col min="5379" max="5379" width="20.5703125" style="466" customWidth="1"/>
    <col min="5380" max="5380" width="17.42578125" style="466" customWidth="1"/>
    <col min="5381" max="5381" width="0" style="466" hidden="1" customWidth="1"/>
    <col min="5382" max="5382" width="9" style="466" customWidth="1"/>
    <col min="5383" max="5383" width="14.140625" style="466" customWidth="1"/>
    <col min="5384" max="5385" width="13.140625" style="466" bestFit="1" customWidth="1"/>
    <col min="5386" max="5633" width="11.5703125" style="466"/>
    <col min="5634" max="5634" width="32.7109375" style="466" customWidth="1"/>
    <col min="5635" max="5635" width="20.5703125" style="466" customWidth="1"/>
    <col min="5636" max="5636" width="17.42578125" style="466" customWidth="1"/>
    <col min="5637" max="5637" width="0" style="466" hidden="1" customWidth="1"/>
    <col min="5638" max="5638" width="9" style="466" customWidth="1"/>
    <col min="5639" max="5639" width="14.140625" style="466" customWidth="1"/>
    <col min="5640" max="5641" width="13.140625" style="466" bestFit="1" customWidth="1"/>
    <col min="5642" max="5889" width="11.5703125" style="466"/>
    <col min="5890" max="5890" width="32.7109375" style="466" customWidth="1"/>
    <col min="5891" max="5891" width="20.5703125" style="466" customWidth="1"/>
    <col min="5892" max="5892" width="17.42578125" style="466" customWidth="1"/>
    <col min="5893" max="5893" width="0" style="466" hidden="1" customWidth="1"/>
    <col min="5894" max="5894" width="9" style="466" customWidth="1"/>
    <col min="5895" max="5895" width="14.140625" style="466" customWidth="1"/>
    <col min="5896" max="5897" width="13.140625" style="466" bestFit="1" customWidth="1"/>
    <col min="5898" max="6145" width="11.5703125" style="466"/>
    <col min="6146" max="6146" width="32.7109375" style="466" customWidth="1"/>
    <col min="6147" max="6147" width="20.5703125" style="466" customWidth="1"/>
    <col min="6148" max="6148" width="17.42578125" style="466" customWidth="1"/>
    <col min="6149" max="6149" width="0" style="466" hidden="1" customWidth="1"/>
    <col min="6150" max="6150" width="9" style="466" customWidth="1"/>
    <col min="6151" max="6151" width="14.140625" style="466" customWidth="1"/>
    <col min="6152" max="6153" width="13.140625" style="466" bestFit="1" customWidth="1"/>
    <col min="6154" max="6401" width="11.5703125" style="466"/>
    <col min="6402" max="6402" width="32.7109375" style="466" customWidth="1"/>
    <col min="6403" max="6403" width="20.5703125" style="466" customWidth="1"/>
    <col min="6404" max="6404" width="17.42578125" style="466" customWidth="1"/>
    <col min="6405" max="6405" width="0" style="466" hidden="1" customWidth="1"/>
    <col min="6406" max="6406" width="9" style="466" customWidth="1"/>
    <col min="6407" max="6407" width="14.140625" style="466" customWidth="1"/>
    <col min="6408" max="6409" width="13.140625" style="466" bestFit="1" customWidth="1"/>
    <col min="6410" max="6657" width="11.5703125" style="466"/>
    <col min="6658" max="6658" width="32.7109375" style="466" customWidth="1"/>
    <col min="6659" max="6659" width="20.5703125" style="466" customWidth="1"/>
    <col min="6660" max="6660" width="17.42578125" style="466" customWidth="1"/>
    <col min="6661" max="6661" width="0" style="466" hidden="1" customWidth="1"/>
    <col min="6662" max="6662" width="9" style="466" customWidth="1"/>
    <col min="6663" max="6663" width="14.140625" style="466" customWidth="1"/>
    <col min="6664" max="6665" width="13.140625" style="466" bestFit="1" customWidth="1"/>
    <col min="6666" max="6913" width="11.5703125" style="466"/>
    <col min="6914" max="6914" width="32.7109375" style="466" customWidth="1"/>
    <col min="6915" max="6915" width="20.5703125" style="466" customWidth="1"/>
    <col min="6916" max="6916" width="17.42578125" style="466" customWidth="1"/>
    <col min="6917" max="6917" width="0" style="466" hidden="1" customWidth="1"/>
    <col min="6918" max="6918" width="9" style="466" customWidth="1"/>
    <col min="6919" max="6919" width="14.140625" style="466" customWidth="1"/>
    <col min="6920" max="6921" width="13.140625" style="466" bestFit="1" customWidth="1"/>
    <col min="6922" max="7169" width="11.5703125" style="466"/>
    <col min="7170" max="7170" width="32.7109375" style="466" customWidth="1"/>
    <col min="7171" max="7171" width="20.5703125" style="466" customWidth="1"/>
    <col min="7172" max="7172" width="17.42578125" style="466" customWidth="1"/>
    <col min="7173" max="7173" width="0" style="466" hidden="1" customWidth="1"/>
    <col min="7174" max="7174" width="9" style="466" customWidth="1"/>
    <col min="7175" max="7175" width="14.140625" style="466" customWidth="1"/>
    <col min="7176" max="7177" width="13.140625" style="466" bestFit="1" customWidth="1"/>
    <col min="7178" max="7425" width="11.5703125" style="466"/>
    <col min="7426" max="7426" width="32.7109375" style="466" customWidth="1"/>
    <col min="7427" max="7427" width="20.5703125" style="466" customWidth="1"/>
    <col min="7428" max="7428" width="17.42578125" style="466" customWidth="1"/>
    <col min="7429" max="7429" width="0" style="466" hidden="1" customWidth="1"/>
    <col min="7430" max="7430" width="9" style="466" customWidth="1"/>
    <col min="7431" max="7431" width="14.140625" style="466" customWidth="1"/>
    <col min="7432" max="7433" width="13.140625" style="466" bestFit="1" customWidth="1"/>
    <col min="7434" max="7681" width="11.5703125" style="466"/>
    <col min="7682" max="7682" width="32.7109375" style="466" customWidth="1"/>
    <col min="7683" max="7683" width="20.5703125" style="466" customWidth="1"/>
    <col min="7684" max="7684" width="17.42578125" style="466" customWidth="1"/>
    <col min="7685" max="7685" width="0" style="466" hidden="1" customWidth="1"/>
    <col min="7686" max="7686" width="9" style="466" customWidth="1"/>
    <col min="7687" max="7687" width="14.140625" style="466" customWidth="1"/>
    <col min="7688" max="7689" width="13.140625" style="466" bestFit="1" customWidth="1"/>
    <col min="7690" max="7937" width="11.5703125" style="466"/>
    <col min="7938" max="7938" width="32.7109375" style="466" customWidth="1"/>
    <col min="7939" max="7939" width="20.5703125" style="466" customWidth="1"/>
    <col min="7940" max="7940" width="17.42578125" style="466" customWidth="1"/>
    <col min="7941" max="7941" width="0" style="466" hidden="1" customWidth="1"/>
    <col min="7942" max="7942" width="9" style="466" customWidth="1"/>
    <col min="7943" max="7943" width="14.140625" style="466" customWidth="1"/>
    <col min="7944" max="7945" width="13.140625" style="466" bestFit="1" customWidth="1"/>
    <col min="7946" max="8193" width="11.5703125" style="466"/>
    <col min="8194" max="8194" width="32.7109375" style="466" customWidth="1"/>
    <col min="8195" max="8195" width="20.5703125" style="466" customWidth="1"/>
    <col min="8196" max="8196" width="17.42578125" style="466" customWidth="1"/>
    <col min="8197" max="8197" width="0" style="466" hidden="1" customWidth="1"/>
    <col min="8198" max="8198" width="9" style="466" customWidth="1"/>
    <col min="8199" max="8199" width="14.140625" style="466" customWidth="1"/>
    <col min="8200" max="8201" width="13.140625" style="466" bestFit="1" customWidth="1"/>
    <col min="8202" max="8449" width="11.5703125" style="466"/>
    <col min="8450" max="8450" width="32.7109375" style="466" customWidth="1"/>
    <col min="8451" max="8451" width="20.5703125" style="466" customWidth="1"/>
    <col min="8452" max="8452" width="17.42578125" style="466" customWidth="1"/>
    <col min="8453" max="8453" width="0" style="466" hidden="1" customWidth="1"/>
    <col min="8454" max="8454" width="9" style="466" customWidth="1"/>
    <col min="8455" max="8455" width="14.140625" style="466" customWidth="1"/>
    <col min="8456" max="8457" width="13.140625" style="466" bestFit="1" customWidth="1"/>
    <col min="8458" max="8705" width="11.5703125" style="466"/>
    <col min="8706" max="8706" width="32.7109375" style="466" customWidth="1"/>
    <col min="8707" max="8707" width="20.5703125" style="466" customWidth="1"/>
    <col min="8708" max="8708" width="17.42578125" style="466" customWidth="1"/>
    <col min="8709" max="8709" width="0" style="466" hidden="1" customWidth="1"/>
    <col min="8710" max="8710" width="9" style="466" customWidth="1"/>
    <col min="8711" max="8711" width="14.140625" style="466" customWidth="1"/>
    <col min="8712" max="8713" width="13.140625" style="466" bestFit="1" customWidth="1"/>
    <col min="8714" max="8961" width="11.5703125" style="466"/>
    <col min="8962" max="8962" width="32.7109375" style="466" customWidth="1"/>
    <col min="8963" max="8963" width="20.5703125" style="466" customWidth="1"/>
    <col min="8964" max="8964" width="17.42578125" style="466" customWidth="1"/>
    <col min="8965" max="8965" width="0" style="466" hidden="1" customWidth="1"/>
    <col min="8966" max="8966" width="9" style="466" customWidth="1"/>
    <col min="8967" max="8967" width="14.140625" style="466" customWidth="1"/>
    <col min="8968" max="8969" width="13.140625" style="466" bestFit="1" customWidth="1"/>
    <col min="8970" max="9217" width="11.5703125" style="466"/>
    <col min="9218" max="9218" width="32.7109375" style="466" customWidth="1"/>
    <col min="9219" max="9219" width="20.5703125" style="466" customWidth="1"/>
    <col min="9220" max="9220" width="17.42578125" style="466" customWidth="1"/>
    <col min="9221" max="9221" width="0" style="466" hidden="1" customWidth="1"/>
    <col min="9222" max="9222" width="9" style="466" customWidth="1"/>
    <col min="9223" max="9223" width="14.140625" style="466" customWidth="1"/>
    <col min="9224" max="9225" width="13.140625" style="466" bestFit="1" customWidth="1"/>
    <col min="9226" max="9473" width="11.5703125" style="466"/>
    <col min="9474" max="9474" width="32.7109375" style="466" customWidth="1"/>
    <col min="9475" max="9475" width="20.5703125" style="466" customWidth="1"/>
    <col min="9476" max="9476" width="17.42578125" style="466" customWidth="1"/>
    <col min="9477" max="9477" width="0" style="466" hidden="1" customWidth="1"/>
    <col min="9478" max="9478" width="9" style="466" customWidth="1"/>
    <col min="9479" max="9479" width="14.140625" style="466" customWidth="1"/>
    <col min="9480" max="9481" width="13.140625" style="466" bestFit="1" customWidth="1"/>
    <col min="9482" max="9729" width="11.5703125" style="466"/>
    <col min="9730" max="9730" width="32.7109375" style="466" customWidth="1"/>
    <col min="9731" max="9731" width="20.5703125" style="466" customWidth="1"/>
    <col min="9732" max="9732" width="17.42578125" style="466" customWidth="1"/>
    <col min="9733" max="9733" width="0" style="466" hidden="1" customWidth="1"/>
    <col min="9734" max="9734" width="9" style="466" customWidth="1"/>
    <col min="9735" max="9735" width="14.140625" style="466" customWidth="1"/>
    <col min="9736" max="9737" width="13.140625" style="466" bestFit="1" customWidth="1"/>
    <col min="9738" max="9985" width="11.5703125" style="466"/>
    <col min="9986" max="9986" width="32.7109375" style="466" customWidth="1"/>
    <col min="9987" max="9987" width="20.5703125" style="466" customWidth="1"/>
    <col min="9988" max="9988" width="17.42578125" style="466" customWidth="1"/>
    <col min="9989" max="9989" width="0" style="466" hidden="1" customWidth="1"/>
    <col min="9990" max="9990" width="9" style="466" customWidth="1"/>
    <col min="9991" max="9991" width="14.140625" style="466" customWidth="1"/>
    <col min="9992" max="9993" width="13.140625" style="466" bestFit="1" customWidth="1"/>
    <col min="9994" max="10241" width="11.5703125" style="466"/>
    <col min="10242" max="10242" width="32.7109375" style="466" customWidth="1"/>
    <col min="10243" max="10243" width="20.5703125" style="466" customWidth="1"/>
    <col min="10244" max="10244" width="17.42578125" style="466" customWidth="1"/>
    <col min="10245" max="10245" width="0" style="466" hidden="1" customWidth="1"/>
    <col min="10246" max="10246" width="9" style="466" customWidth="1"/>
    <col min="10247" max="10247" width="14.140625" style="466" customWidth="1"/>
    <col min="10248" max="10249" width="13.140625" style="466" bestFit="1" customWidth="1"/>
    <col min="10250" max="10497" width="11.5703125" style="466"/>
    <col min="10498" max="10498" width="32.7109375" style="466" customWidth="1"/>
    <col min="10499" max="10499" width="20.5703125" style="466" customWidth="1"/>
    <col min="10500" max="10500" width="17.42578125" style="466" customWidth="1"/>
    <col min="10501" max="10501" width="0" style="466" hidden="1" customWidth="1"/>
    <col min="10502" max="10502" width="9" style="466" customWidth="1"/>
    <col min="10503" max="10503" width="14.140625" style="466" customWidth="1"/>
    <col min="10504" max="10505" width="13.140625" style="466" bestFit="1" customWidth="1"/>
    <col min="10506" max="10753" width="11.5703125" style="466"/>
    <col min="10754" max="10754" width="32.7109375" style="466" customWidth="1"/>
    <col min="10755" max="10755" width="20.5703125" style="466" customWidth="1"/>
    <col min="10756" max="10756" width="17.42578125" style="466" customWidth="1"/>
    <col min="10757" max="10757" width="0" style="466" hidden="1" customWidth="1"/>
    <col min="10758" max="10758" width="9" style="466" customWidth="1"/>
    <col min="10759" max="10759" width="14.140625" style="466" customWidth="1"/>
    <col min="10760" max="10761" width="13.140625" style="466" bestFit="1" customWidth="1"/>
    <col min="10762" max="11009" width="11.5703125" style="466"/>
    <col min="11010" max="11010" width="32.7109375" style="466" customWidth="1"/>
    <col min="11011" max="11011" width="20.5703125" style="466" customWidth="1"/>
    <col min="11012" max="11012" width="17.42578125" style="466" customWidth="1"/>
    <col min="11013" max="11013" width="0" style="466" hidden="1" customWidth="1"/>
    <col min="11014" max="11014" width="9" style="466" customWidth="1"/>
    <col min="11015" max="11015" width="14.140625" style="466" customWidth="1"/>
    <col min="11016" max="11017" width="13.140625" style="466" bestFit="1" customWidth="1"/>
    <col min="11018" max="11265" width="11.5703125" style="466"/>
    <col min="11266" max="11266" width="32.7109375" style="466" customWidth="1"/>
    <col min="11267" max="11267" width="20.5703125" style="466" customWidth="1"/>
    <col min="11268" max="11268" width="17.42578125" style="466" customWidth="1"/>
    <col min="11269" max="11269" width="0" style="466" hidden="1" customWidth="1"/>
    <col min="11270" max="11270" width="9" style="466" customWidth="1"/>
    <col min="11271" max="11271" width="14.140625" style="466" customWidth="1"/>
    <col min="11272" max="11273" width="13.140625" style="466" bestFit="1" customWidth="1"/>
    <col min="11274" max="11521" width="11.5703125" style="466"/>
    <col min="11522" max="11522" width="32.7109375" style="466" customWidth="1"/>
    <col min="11523" max="11523" width="20.5703125" style="466" customWidth="1"/>
    <col min="11524" max="11524" width="17.42578125" style="466" customWidth="1"/>
    <col min="11525" max="11525" width="0" style="466" hidden="1" customWidth="1"/>
    <col min="11526" max="11526" width="9" style="466" customWidth="1"/>
    <col min="11527" max="11527" width="14.140625" style="466" customWidth="1"/>
    <col min="11528" max="11529" width="13.140625" style="466" bestFit="1" customWidth="1"/>
    <col min="11530" max="11777" width="11.5703125" style="466"/>
    <col min="11778" max="11778" width="32.7109375" style="466" customWidth="1"/>
    <col min="11779" max="11779" width="20.5703125" style="466" customWidth="1"/>
    <col min="11780" max="11780" width="17.42578125" style="466" customWidth="1"/>
    <col min="11781" max="11781" width="0" style="466" hidden="1" customWidth="1"/>
    <col min="11782" max="11782" width="9" style="466" customWidth="1"/>
    <col min="11783" max="11783" width="14.140625" style="466" customWidth="1"/>
    <col min="11784" max="11785" width="13.140625" style="466" bestFit="1" customWidth="1"/>
    <col min="11786" max="12033" width="11.5703125" style="466"/>
    <col min="12034" max="12034" width="32.7109375" style="466" customWidth="1"/>
    <col min="12035" max="12035" width="20.5703125" style="466" customWidth="1"/>
    <col min="12036" max="12036" width="17.42578125" style="466" customWidth="1"/>
    <col min="12037" max="12037" width="0" style="466" hidden="1" customWidth="1"/>
    <col min="12038" max="12038" width="9" style="466" customWidth="1"/>
    <col min="12039" max="12039" width="14.140625" style="466" customWidth="1"/>
    <col min="12040" max="12041" width="13.140625" style="466" bestFit="1" customWidth="1"/>
    <col min="12042" max="12289" width="11.5703125" style="466"/>
    <col min="12290" max="12290" width="32.7109375" style="466" customWidth="1"/>
    <col min="12291" max="12291" width="20.5703125" style="466" customWidth="1"/>
    <col min="12292" max="12292" width="17.42578125" style="466" customWidth="1"/>
    <col min="12293" max="12293" width="0" style="466" hidden="1" customWidth="1"/>
    <col min="12294" max="12294" width="9" style="466" customWidth="1"/>
    <col min="12295" max="12295" width="14.140625" style="466" customWidth="1"/>
    <col min="12296" max="12297" width="13.140625" style="466" bestFit="1" customWidth="1"/>
    <col min="12298" max="12545" width="11.5703125" style="466"/>
    <col min="12546" max="12546" width="32.7109375" style="466" customWidth="1"/>
    <col min="12547" max="12547" width="20.5703125" style="466" customWidth="1"/>
    <col min="12548" max="12548" width="17.42578125" style="466" customWidth="1"/>
    <col min="12549" max="12549" width="0" style="466" hidden="1" customWidth="1"/>
    <col min="12550" max="12550" width="9" style="466" customWidth="1"/>
    <col min="12551" max="12551" width="14.140625" style="466" customWidth="1"/>
    <col min="12552" max="12553" width="13.140625" style="466" bestFit="1" customWidth="1"/>
    <col min="12554" max="12801" width="11.5703125" style="466"/>
    <col min="12802" max="12802" width="32.7109375" style="466" customWidth="1"/>
    <col min="12803" max="12803" width="20.5703125" style="466" customWidth="1"/>
    <col min="12804" max="12804" width="17.42578125" style="466" customWidth="1"/>
    <col min="12805" max="12805" width="0" style="466" hidden="1" customWidth="1"/>
    <col min="12806" max="12806" width="9" style="466" customWidth="1"/>
    <col min="12807" max="12807" width="14.140625" style="466" customWidth="1"/>
    <col min="12808" max="12809" width="13.140625" style="466" bestFit="1" customWidth="1"/>
    <col min="12810" max="13057" width="11.5703125" style="466"/>
    <col min="13058" max="13058" width="32.7109375" style="466" customWidth="1"/>
    <col min="13059" max="13059" width="20.5703125" style="466" customWidth="1"/>
    <col min="13060" max="13060" width="17.42578125" style="466" customWidth="1"/>
    <col min="13061" max="13061" width="0" style="466" hidden="1" customWidth="1"/>
    <col min="13062" max="13062" width="9" style="466" customWidth="1"/>
    <col min="13063" max="13063" width="14.140625" style="466" customWidth="1"/>
    <col min="13064" max="13065" width="13.140625" style="466" bestFit="1" customWidth="1"/>
    <col min="13066" max="13313" width="11.5703125" style="466"/>
    <col min="13314" max="13314" width="32.7109375" style="466" customWidth="1"/>
    <col min="13315" max="13315" width="20.5703125" style="466" customWidth="1"/>
    <col min="13316" max="13316" width="17.42578125" style="466" customWidth="1"/>
    <col min="13317" max="13317" width="0" style="466" hidden="1" customWidth="1"/>
    <col min="13318" max="13318" width="9" style="466" customWidth="1"/>
    <col min="13319" max="13319" width="14.140625" style="466" customWidth="1"/>
    <col min="13320" max="13321" width="13.140625" style="466" bestFit="1" customWidth="1"/>
    <col min="13322" max="13569" width="11.5703125" style="466"/>
    <col min="13570" max="13570" width="32.7109375" style="466" customWidth="1"/>
    <col min="13571" max="13571" width="20.5703125" style="466" customWidth="1"/>
    <col min="13572" max="13572" width="17.42578125" style="466" customWidth="1"/>
    <col min="13573" max="13573" width="0" style="466" hidden="1" customWidth="1"/>
    <col min="13574" max="13574" width="9" style="466" customWidth="1"/>
    <col min="13575" max="13575" width="14.140625" style="466" customWidth="1"/>
    <col min="13576" max="13577" width="13.140625" style="466" bestFit="1" customWidth="1"/>
    <col min="13578" max="13825" width="11.5703125" style="466"/>
    <col min="13826" max="13826" width="32.7109375" style="466" customWidth="1"/>
    <col min="13827" max="13827" width="20.5703125" style="466" customWidth="1"/>
    <col min="13828" max="13828" width="17.42578125" style="466" customWidth="1"/>
    <col min="13829" max="13829" width="0" style="466" hidden="1" customWidth="1"/>
    <col min="13830" max="13830" width="9" style="466" customWidth="1"/>
    <col min="13831" max="13831" width="14.140625" style="466" customWidth="1"/>
    <col min="13832" max="13833" width="13.140625" style="466" bestFit="1" customWidth="1"/>
    <col min="13834" max="14081" width="11.5703125" style="466"/>
    <col min="14082" max="14082" width="32.7109375" style="466" customWidth="1"/>
    <col min="14083" max="14083" width="20.5703125" style="466" customWidth="1"/>
    <col min="14084" max="14084" width="17.42578125" style="466" customWidth="1"/>
    <col min="14085" max="14085" width="0" style="466" hidden="1" customWidth="1"/>
    <col min="14086" max="14086" width="9" style="466" customWidth="1"/>
    <col min="14087" max="14087" width="14.140625" style="466" customWidth="1"/>
    <col min="14088" max="14089" width="13.140625" style="466" bestFit="1" customWidth="1"/>
    <col min="14090" max="14337" width="11.5703125" style="466"/>
    <col min="14338" max="14338" width="32.7109375" style="466" customWidth="1"/>
    <col min="14339" max="14339" width="20.5703125" style="466" customWidth="1"/>
    <col min="14340" max="14340" width="17.42578125" style="466" customWidth="1"/>
    <col min="14341" max="14341" width="0" style="466" hidden="1" customWidth="1"/>
    <col min="14342" max="14342" width="9" style="466" customWidth="1"/>
    <col min="14343" max="14343" width="14.140625" style="466" customWidth="1"/>
    <col min="14344" max="14345" width="13.140625" style="466" bestFit="1" customWidth="1"/>
    <col min="14346" max="14593" width="11.5703125" style="466"/>
    <col min="14594" max="14594" width="32.7109375" style="466" customWidth="1"/>
    <col min="14595" max="14595" width="20.5703125" style="466" customWidth="1"/>
    <col min="14596" max="14596" width="17.42578125" style="466" customWidth="1"/>
    <col min="14597" max="14597" width="0" style="466" hidden="1" customWidth="1"/>
    <col min="14598" max="14598" width="9" style="466" customWidth="1"/>
    <col min="14599" max="14599" width="14.140625" style="466" customWidth="1"/>
    <col min="14600" max="14601" width="13.140625" style="466" bestFit="1" customWidth="1"/>
    <col min="14602" max="14849" width="11.5703125" style="466"/>
    <col min="14850" max="14850" width="32.7109375" style="466" customWidth="1"/>
    <col min="14851" max="14851" width="20.5703125" style="466" customWidth="1"/>
    <col min="14852" max="14852" width="17.42578125" style="466" customWidth="1"/>
    <col min="14853" max="14853" width="0" style="466" hidden="1" customWidth="1"/>
    <col min="14854" max="14854" width="9" style="466" customWidth="1"/>
    <col min="14855" max="14855" width="14.140625" style="466" customWidth="1"/>
    <col min="14856" max="14857" width="13.140625" style="466" bestFit="1" customWidth="1"/>
    <col min="14858" max="15105" width="11.5703125" style="466"/>
    <col min="15106" max="15106" width="32.7109375" style="466" customWidth="1"/>
    <col min="15107" max="15107" width="20.5703125" style="466" customWidth="1"/>
    <col min="15108" max="15108" width="17.42578125" style="466" customWidth="1"/>
    <col min="15109" max="15109" width="0" style="466" hidden="1" customWidth="1"/>
    <col min="15110" max="15110" width="9" style="466" customWidth="1"/>
    <col min="15111" max="15111" width="14.140625" style="466" customWidth="1"/>
    <col min="15112" max="15113" width="13.140625" style="466" bestFit="1" customWidth="1"/>
    <col min="15114" max="15361" width="11.5703125" style="466"/>
    <col min="15362" max="15362" width="32.7109375" style="466" customWidth="1"/>
    <col min="15363" max="15363" width="20.5703125" style="466" customWidth="1"/>
    <col min="15364" max="15364" width="17.42578125" style="466" customWidth="1"/>
    <col min="15365" max="15365" width="0" style="466" hidden="1" customWidth="1"/>
    <col min="15366" max="15366" width="9" style="466" customWidth="1"/>
    <col min="15367" max="15367" width="14.140625" style="466" customWidth="1"/>
    <col min="15368" max="15369" width="13.140625" style="466" bestFit="1" customWidth="1"/>
    <col min="15370" max="15617" width="11.5703125" style="466"/>
    <col min="15618" max="15618" width="32.7109375" style="466" customWidth="1"/>
    <col min="15619" max="15619" width="20.5703125" style="466" customWidth="1"/>
    <col min="15620" max="15620" width="17.42578125" style="466" customWidth="1"/>
    <col min="15621" max="15621" width="0" style="466" hidden="1" customWidth="1"/>
    <col min="15622" max="15622" width="9" style="466" customWidth="1"/>
    <col min="15623" max="15623" width="14.140625" style="466" customWidth="1"/>
    <col min="15624" max="15625" width="13.140625" style="466" bestFit="1" customWidth="1"/>
    <col min="15626" max="15873" width="11.5703125" style="466"/>
    <col min="15874" max="15874" width="32.7109375" style="466" customWidth="1"/>
    <col min="15875" max="15875" width="20.5703125" style="466" customWidth="1"/>
    <col min="15876" max="15876" width="17.42578125" style="466" customWidth="1"/>
    <col min="15877" max="15877" width="0" style="466" hidden="1" customWidth="1"/>
    <col min="15878" max="15878" width="9" style="466" customWidth="1"/>
    <col min="15879" max="15879" width="14.140625" style="466" customWidth="1"/>
    <col min="15880" max="15881" width="13.140625" style="466" bestFit="1" customWidth="1"/>
    <col min="15882" max="16129" width="11.5703125" style="466"/>
    <col min="16130" max="16130" width="32.7109375" style="466" customWidth="1"/>
    <col min="16131" max="16131" width="20.5703125" style="466" customWidth="1"/>
    <col min="16132" max="16132" width="17.42578125" style="466" customWidth="1"/>
    <col min="16133" max="16133" width="0" style="466" hidden="1" customWidth="1"/>
    <col min="16134" max="16134" width="9" style="466" customWidth="1"/>
    <col min="16135" max="16135" width="14.140625" style="466" customWidth="1"/>
    <col min="16136" max="16137" width="13.140625" style="466" bestFit="1" customWidth="1"/>
    <col min="16138" max="16384" width="11.5703125" style="466"/>
  </cols>
  <sheetData>
    <row r="1" spans="2:9" ht="15.75">
      <c r="B1" s="1166" t="s">
        <v>1000</v>
      </c>
      <c r="C1" s="1166"/>
      <c r="D1" s="1166"/>
      <c r="E1" s="1166"/>
      <c r="F1" s="1166"/>
      <c r="G1" s="1166"/>
    </row>
    <row r="2" spans="2:9" ht="15.75" customHeight="1">
      <c r="B2" s="1167" t="s">
        <v>1001</v>
      </c>
      <c r="C2" s="1167" t="s">
        <v>1002</v>
      </c>
      <c r="D2" s="1167" t="s">
        <v>1003</v>
      </c>
      <c r="E2" s="1167" t="s">
        <v>1004</v>
      </c>
      <c r="F2" s="1167" t="s">
        <v>1005</v>
      </c>
      <c r="G2" s="1167" t="s">
        <v>1006</v>
      </c>
    </row>
    <row r="3" spans="2:9">
      <c r="B3" s="1168"/>
      <c r="C3" s="1168"/>
      <c r="D3" s="1168"/>
      <c r="E3" s="1168"/>
      <c r="F3" s="1168"/>
      <c r="G3" s="1168"/>
    </row>
    <row r="4" spans="2:9" ht="15.75">
      <c r="B4" s="1159" t="s">
        <v>1007</v>
      </c>
      <c r="C4" s="1159"/>
      <c r="D4" s="1159"/>
      <c r="E4" s="1159"/>
      <c r="F4" s="1159"/>
      <c r="G4" s="1159"/>
    </row>
    <row r="5" spans="2:9">
      <c r="B5" s="480" t="s">
        <v>1008</v>
      </c>
      <c r="C5" s="481" t="s">
        <v>1009</v>
      </c>
      <c r="D5" s="481" t="s">
        <v>1010</v>
      </c>
      <c r="E5" s="481" t="s">
        <v>1011</v>
      </c>
      <c r="F5" s="482" t="s">
        <v>1012</v>
      </c>
      <c r="G5" s="483">
        <v>3600000</v>
      </c>
    </row>
    <row r="6" spans="2:9" ht="35.25" customHeight="1">
      <c r="B6" s="484" t="s">
        <v>1013</v>
      </c>
      <c r="C6" s="485">
        <v>20</v>
      </c>
      <c r="D6" s="486" t="s">
        <v>1014</v>
      </c>
      <c r="E6" s="1169" t="s">
        <v>1015</v>
      </c>
      <c r="F6" s="487" t="s">
        <v>1012</v>
      </c>
      <c r="G6" s="488">
        <v>2200000</v>
      </c>
    </row>
    <row r="7" spans="2:9" ht="34.9" customHeight="1">
      <c r="B7" s="489" t="s">
        <v>1125</v>
      </c>
      <c r="C7" s="490">
        <v>32</v>
      </c>
      <c r="D7" s="1152" t="s">
        <v>1016</v>
      </c>
      <c r="E7" s="1169"/>
      <c r="F7" s="491" t="s">
        <v>1017</v>
      </c>
      <c r="G7" s="492">
        <f t="shared" ref="G7:G12" si="0">+C7*80000</f>
        <v>2560000</v>
      </c>
    </row>
    <row r="8" spans="2:9" ht="15" customHeight="1">
      <c r="B8" s="480" t="s">
        <v>1018</v>
      </c>
      <c r="C8" s="493">
        <v>9.6</v>
      </c>
      <c r="D8" s="1152"/>
      <c r="E8" s="1169"/>
      <c r="F8" s="482" t="s">
        <v>1012</v>
      </c>
      <c r="G8" s="483">
        <f t="shared" si="0"/>
        <v>768000</v>
      </c>
    </row>
    <row r="9" spans="2:9">
      <c r="B9" s="480" t="s">
        <v>1019</v>
      </c>
      <c r="C9" s="493">
        <v>3.35</v>
      </c>
      <c r="D9" s="1152"/>
      <c r="E9" s="1169"/>
      <c r="F9" s="482" t="s">
        <v>1012</v>
      </c>
      <c r="G9" s="483">
        <f t="shared" si="0"/>
        <v>268000</v>
      </c>
    </row>
    <row r="10" spans="2:9">
      <c r="B10" s="480" t="s">
        <v>1020</v>
      </c>
      <c r="C10" s="493">
        <v>16</v>
      </c>
      <c r="D10" s="1152"/>
      <c r="E10" s="1169"/>
      <c r="F10" s="482" t="s">
        <v>1012</v>
      </c>
      <c r="G10" s="483">
        <f t="shared" si="0"/>
        <v>1280000</v>
      </c>
    </row>
    <row r="11" spans="2:9">
      <c r="B11" s="480" t="s">
        <v>1021</v>
      </c>
      <c r="C11" s="493">
        <v>16</v>
      </c>
      <c r="D11" s="1152"/>
      <c r="E11" s="1169"/>
      <c r="F11" s="482" t="s">
        <v>1012</v>
      </c>
      <c r="G11" s="483">
        <f t="shared" si="0"/>
        <v>1280000</v>
      </c>
    </row>
    <row r="12" spans="2:9">
      <c r="B12" s="480" t="s">
        <v>1022</v>
      </c>
      <c r="C12" s="494">
        <v>11</v>
      </c>
      <c r="D12" s="1152"/>
      <c r="E12" s="1169"/>
      <c r="F12" s="482" t="s">
        <v>1012</v>
      </c>
      <c r="G12" s="483">
        <f t="shared" si="0"/>
        <v>880000</v>
      </c>
    </row>
    <row r="13" spans="2:9">
      <c r="B13" s="495" t="s">
        <v>9</v>
      </c>
      <c r="C13" s="496">
        <f>SUM(C6:C12)+42</f>
        <v>149.94999999999999</v>
      </c>
      <c r="D13" s="1156"/>
      <c r="E13" s="1157"/>
      <c r="F13" s="1158"/>
      <c r="G13" s="497">
        <f>SUM(G5:G12)</f>
        <v>12836000</v>
      </c>
    </row>
    <row r="14" spans="2:9" ht="15.6" hidden="1" customHeight="1">
      <c r="B14" s="1159" t="s">
        <v>1023</v>
      </c>
      <c r="C14" s="1159"/>
      <c r="D14" s="1159"/>
      <c r="E14" s="1159"/>
      <c r="F14" s="1159"/>
      <c r="G14" s="1159"/>
    </row>
    <row r="15" spans="2:9" ht="35.25" hidden="1" customHeight="1">
      <c r="B15" s="498" t="s">
        <v>1024</v>
      </c>
      <c r="C15" s="499">
        <v>15</v>
      </c>
      <c r="D15" s="486" t="s">
        <v>1025</v>
      </c>
      <c r="E15" s="1152" t="s">
        <v>1015</v>
      </c>
      <c r="F15" s="498" t="s">
        <v>1012</v>
      </c>
      <c r="G15" s="500">
        <v>2200000</v>
      </c>
      <c r="I15" s="501"/>
    </row>
    <row r="16" spans="2:9" ht="13.5" hidden="1" customHeight="1">
      <c r="B16" s="482" t="s">
        <v>1026</v>
      </c>
      <c r="C16" s="494">
        <v>8.1999999999999993</v>
      </c>
      <c r="D16" s="1163" t="s">
        <v>1016</v>
      </c>
      <c r="E16" s="1152"/>
      <c r="F16" s="482" t="s">
        <v>1012</v>
      </c>
      <c r="G16" s="483">
        <f>+C16*80000</f>
        <v>656000</v>
      </c>
    </row>
    <row r="17" spans="2:7" ht="14.45" hidden="1" customHeight="1">
      <c r="B17" s="482" t="s">
        <v>1027</v>
      </c>
      <c r="C17" s="494">
        <v>19</v>
      </c>
      <c r="D17" s="1164"/>
      <c r="E17" s="1152"/>
      <c r="F17" s="482" t="s">
        <v>1012</v>
      </c>
      <c r="G17" s="483">
        <f t="shared" ref="G17:G22" si="1">+C17*80000</f>
        <v>1520000</v>
      </c>
    </row>
    <row r="18" spans="2:7" ht="14.45" hidden="1" customHeight="1">
      <c r="B18" s="482" t="s">
        <v>1028</v>
      </c>
      <c r="C18" s="494">
        <v>7.8</v>
      </c>
      <c r="D18" s="1164"/>
      <c r="E18" s="1152"/>
      <c r="F18" s="482" t="s">
        <v>1012</v>
      </c>
      <c r="G18" s="483">
        <f t="shared" si="1"/>
        <v>624000</v>
      </c>
    </row>
    <row r="19" spans="2:7" ht="14.45" hidden="1" customHeight="1">
      <c r="B19" s="482" t="s">
        <v>1029</v>
      </c>
      <c r="C19" s="494">
        <v>7.6</v>
      </c>
      <c r="D19" s="1164"/>
      <c r="E19" s="1152"/>
      <c r="F19" s="482" t="s">
        <v>1012</v>
      </c>
      <c r="G19" s="483">
        <f t="shared" si="1"/>
        <v>608000</v>
      </c>
    </row>
    <row r="20" spans="2:7" ht="14.45" hidden="1" customHeight="1">
      <c r="B20" s="482" t="s">
        <v>1030</v>
      </c>
      <c r="C20" s="494">
        <v>15</v>
      </c>
      <c r="D20" s="1164"/>
      <c r="E20" s="1152"/>
      <c r="F20" s="482" t="s">
        <v>1012</v>
      </c>
      <c r="G20" s="483">
        <f t="shared" si="1"/>
        <v>1200000</v>
      </c>
    </row>
    <row r="21" spans="2:7" ht="14.45" hidden="1" customHeight="1">
      <c r="B21" s="482" t="s">
        <v>1031</v>
      </c>
      <c r="C21" s="494">
        <v>6.53</v>
      </c>
      <c r="D21" s="1164"/>
      <c r="E21" s="1152"/>
      <c r="F21" s="482" t="s">
        <v>1012</v>
      </c>
      <c r="G21" s="483">
        <f t="shared" si="1"/>
        <v>522400</v>
      </c>
    </row>
    <row r="22" spans="2:7" ht="14.45" hidden="1" customHeight="1">
      <c r="B22" s="482" t="s">
        <v>1032</v>
      </c>
      <c r="C22" s="494">
        <v>3.1</v>
      </c>
      <c r="D22" s="1165"/>
      <c r="E22" s="1152"/>
      <c r="F22" s="482" t="s">
        <v>1012</v>
      </c>
      <c r="G22" s="483">
        <f t="shared" si="1"/>
        <v>248000</v>
      </c>
    </row>
    <row r="23" spans="2:7" ht="14.45" hidden="1" customHeight="1">
      <c r="B23" s="495" t="s">
        <v>9</v>
      </c>
      <c r="C23" s="502">
        <f>SUM(C16:C22)+42</f>
        <v>109.22999999999999</v>
      </c>
      <c r="D23" s="1156"/>
      <c r="E23" s="1157"/>
      <c r="F23" s="1158"/>
      <c r="G23" s="497">
        <f>SUM(G15:G22)</f>
        <v>7578400</v>
      </c>
    </row>
    <row r="24" spans="2:7" ht="15.6" hidden="1" customHeight="1">
      <c r="B24" s="1159" t="s">
        <v>1033</v>
      </c>
      <c r="C24" s="1159"/>
      <c r="D24" s="1159"/>
      <c r="E24" s="1159"/>
      <c r="F24" s="1159"/>
      <c r="G24" s="1159"/>
    </row>
    <row r="25" spans="2:7" ht="15" hidden="1" customHeight="1">
      <c r="B25" s="482" t="s">
        <v>1034</v>
      </c>
      <c r="C25" s="494">
        <f>2.8+0.2+6.2+2.3+2.3+1.1+3.5</f>
        <v>18.399999999999999</v>
      </c>
      <c r="D25" s="1152" t="s">
        <v>1016</v>
      </c>
      <c r="E25" s="1152" t="s">
        <v>1035</v>
      </c>
      <c r="F25" s="482" t="s">
        <v>1012</v>
      </c>
      <c r="G25" s="483">
        <f>+C25*80000</f>
        <v>1472000</v>
      </c>
    </row>
    <row r="26" spans="2:7" ht="14.45" hidden="1" customHeight="1">
      <c r="B26" s="482" t="s">
        <v>1036</v>
      </c>
      <c r="C26" s="494">
        <f>1+0.5+2+1+0.5</f>
        <v>5</v>
      </c>
      <c r="D26" s="1152"/>
      <c r="E26" s="1152"/>
      <c r="F26" s="482" t="s">
        <v>1012</v>
      </c>
      <c r="G26" s="483">
        <f t="shared" ref="G26:G33" si="2">+C26*80000</f>
        <v>400000</v>
      </c>
    </row>
    <row r="27" spans="2:7" ht="14.45" hidden="1" customHeight="1">
      <c r="B27" s="482" t="s">
        <v>1037</v>
      </c>
      <c r="C27" s="494">
        <v>15</v>
      </c>
      <c r="D27" s="1152"/>
      <c r="E27" s="1152"/>
      <c r="F27" s="482" t="s">
        <v>1012</v>
      </c>
      <c r="G27" s="483">
        <f t="shared" si="2"/>
        <v>1200000</v>
      </c>
    </row>
    <row r="28" spans="2:7" ht="14.45" hidden="1" customHeight="1">
      <c r="B28" s="482" t="s">
        <v>1038</v>
      </c>
      <c r="C28" s="494">
        <v>24</v>
      </c>
      <c r="D28" s="1152"/>
      <c r="E28" s="1152"/>
      <c r="F28" s="482" t="s">
        <v>1012</v>
      </c>
      <c r="G28" s="483">
        <f t="shared" si="2"/>
        <v>1920000</v>
      </c>
    </row>
    <row r="29" spans="2:7" ht="14.45" hidden="1" customHeight="1">
      <c r="B29" s="482" t="s">
        <v>1039</v>
      </c>
      <c r="C29" s="494">
        <f>4+2.5+1+1.5+3</f>
        <v>12</v>
      </c>
      <c r="D29" s="1152"/>
      <c r="E29" s="1152"/>
      <c r="F29" s="482" t="s">
        <v>1012</v>
      </c>
      <c r="G29" s="483">
        <f t="shared" si="2"/>
        <v>960000</v>
      </c>
    </row>
    <row r="30" spans="2:7" ht="14.45" hidden="1" customHeight="1">
      <c r="B30" s="482" t="s">
        <v>1040</v>
      </c>
      <c r="C30" s="494">
        <v>33</v>
      </c>
      <c r="D30" s="1152"/>
      <c r="E30" s="1152"/>
      <c r="F30" s="482" t="s">
        <v>1012</v>
      </c>
      <c r="G30" s="483">
        <f t="shared" si="2"/>
        <v>2640000</v>
      </c>
    </row>
    <row r="31" spans="2:7" ht="14.45" hidden="1" customHeight="1">
      <c r="B31" s="482" t="s">
        <v>1041</v>
      </c>
      <c r="C31" s="494">
        <v>13.2</v>
      </c>
      <c r="D31" s="1152"/>
      <c r="E31" s="1152"/>
      <c r="F31" s="482" t="s">
        <v>1012</v>
      </c>
      <c r="G31" s="483">
        <f t="shared" si="2"/>
        <v>1056000</v>
      </c>
    </row>
    <row r="32" spans="2:7" ht="14.45" hidden="1" customHeight="1">
      <c r="B32" s="482" t="s">
        <v>1042</v>
      </c>
      <c r="C32" s="494">
        <v>12.5</v>
      </c>
      <c r="D32" s="1152"/>
      <c r="E32" s="1152"/>
      <c r="F32" s="482" t="s">
        <v>1012</v>
      </c>
      <c r="G32" s="483">
        <f t="shared" si="2"/>
        <v>1000000</v>
      </c>
    </row>
    <row r="33" spans="2:7" ht="14.45" hidden="1" customHeight="1">
      <c r="B33" s="482" t="s">
        <v>1043</v>
      </c>
      <c r="C33" s="494">
        <v>10.3</v>
      </c>
      <c r="D33" s="1152"/>
      <c r="E33" s="1152"/>
      <c r="F33" s="482" t="s">
        <v>1012</v>
      </c>
      <c r="G33" s="483">
        <f t="shared" si="2"/>
        <v>824000</v>
      </c>
    </row>
    <row r="34" spans="2:7" ht="14.45" hidden="1" customHeight="1">
      <c r="B34" s="495" t="s">
        <v>9</v>
      </c>
      <c r="C34" s="502">
        <f>SUM(C25:C33)</f>
        <v>143.40000000000003</v>
      </c>
      <c r="D34" s="1153"/>
      <c r="E34" s="1154"/>
      <c r="F34" s="1155"/>
      <c r="G34" s="503">
        <f>SUM(G25:G33)</f>
        <v>11472000</v>
      </c>
    </row>
    <row r="35" spans="2:7" ht="17.25" hidden="1" customHeight="1">
      <c r="B35" s="1160" t="s">
        <v>1044</v>
      </c>
      <c r="C35" s="1161"/>
      <c r="D35" s="1161"/>
      <c r="E35" s="1161"/>
      <c r="F35" s="1161"/>
      <c r="G35" s="1162"/>
    </row>
    <row r="36" spans="2:7" ht="15" hidden="1" customHeight="1">
      <c r="B36" s="482" t="s">
        <v>1045</v>
      </c>
      <c r="C36" s="494">
        <v>21</v>
      </c>
      <c r="D36" s="1152" t="s">
        <v>1016</v>
      </c>
      <c r="E36" s="1152" t="s">
        <v>1035</v>
      </c>
      <c r="F36" s="482" t="s">
        <v>1012</v>
      </c>
      <c r="G36" s="483">
        <f>+C36*80000</f>
        <v>1680000</v>
      </c>
    </row>
    <row r="37" spans="2:7" ht="14.45" hidden="1" customHeight="1">
      <c r="B37" s="482" t="s">
        <v>1046</v>
      </c>
      <c r="C37" s="494">
        <v>14.4</v>
      </c>
      <c r="D37" s="1152"/>
      <c r="E37" s="1152"/>
      <c r="F37" s="482" t="s">
        <v>1012</v>
      </c>
      <c r="G37" s="483">
        <f t="shared" ref="G37:G42" si="3">+C37*80000</f>
        <v>1152000</v>
      </c>
    </row>
    <row r="38" spans="2:7" ht="14.45" hidden="1" customHeight="1">
      <c r="B38" s="482" t="s">
        <v>1047</v>
      </c>
      <c r="C38" s="494">
        <v>7.1</v>
      </c>
      <c r="D38" s="1152"/>
      <c r="E38" s="1152"/>
      <c r="F38" s="482" t="s">
        <v>1012</v>
      </c>
      <c r="G38" s="483">
        <f t="shared" si="3"/>
        <v>568000</v>
      </c>
    </row>
    <row r="39" spans="2:7" ht="14.45" hidden="1" customHeight="1">
      <c r="B39" s="482" t="s">
        <v>1048</v>
      </c>
      <c r="C39" s="494">
        <v>9.9</v>
      </c>
      <c r="D39" s="1152"/>
      <c r="E39" s="1152"/>
      <c r="F39" s="482" t="s">
        <v>1012</v>
      </c>
      <c r="G39" s="483">
        <f t="shared" si="3"/>
        <v>792000</v>
      </c>
    </row>
    <row r="40" spans="2:7" ht="14.45" hidden="1" customHeight="1">
      <c r="B40" s="482" t="s">
        <v>1049</v>
      </c>
      <c r="C40" s="494">
        <v>17.5</v>
      </c>
      <c r="D40" s="1152"/>
      <c r="E40" s="1152"/>
      <c r="F40" s="482" t="s">
        <v>1012</v>
      </c>
      <c r="G40" s="483">
        <f t="shared" si="3"/>
        <v>1400000</v>
      </c>
    </row>
    <row r="41" spans="2:7" ht="14.45" hidden="1" customHeight="1">
      <c r="B41" s="482" t="s">
        <v>1050</v>
      </c>
      <c r="C41" s="494">
        <v>6.45</v>
      </c>
      <c r="D41" s="1152"/>
      <c r="E41" s="1152"/>
      <c r="F41" s="482" t="s">
        <v>1012</v>
      </c>
      <c r="G41" s="483">
        <f t="shared" si="3"/>
        <v>516000</v>
      </c>
    </row>
    <row r="42" spans="2:7" ht="14.45" hidden="1" customHeight="1">
      <c r="B42" s="482" t="s">
        <v>1051</v>
      </c>
      <c r="C42" s="494">
        <v>2.9</v>
      </c>
      <c r="D42" s="1152"/>
      <c r="E42" s="1152"/>
      <c r="F42" s="482" t="s">
        <v>1012</v>
      </c>
      <c r="G42" s="483">
        <f t="shared" si="3"/>
        <v>232000</v>
      </c>
    </row>
    <row r="43" spans="2:7" ht="14.45" hidden="1" customHeight="1">
      <c r="B43" s="495" t="s">
        <v>9</v>
      </c>
      <c r="C43" s="502">
        <f>SUM(C36:C42)</f>
        <v>79.250000000000014</v>
      </c>
      <c r="D43" s="1153"/>
      <c r="E43" s="1154"/>
      <c r="F43" s="1155"/>
      <c r="G43" s="503">
        <f>SUM(G36:G42)</f>
        <v>6340000</v>
      </c>
    </row>
    <row r="44" spans="2:7" ht="14.45" hidden="1" customHeight="1">
      <c r="C44" s="504">
        <f>+C13+C23+C34+C43</f>
        <v>481.83</v>
      </c>
    </row>
  </sheetData>
  <mergeCells count="23">
    <mergeCell ref="E15:E22"/>
    <mergeCell ref="D16:D22"/>
    <mergeCell ref="B1:G1"/>
    <mergeCell ref="B2:B3"/>
    <mergeCell ref="C2:C3"/>
    <mergeCell ref="D2:D3"/>
    <mergeCell ref="E2:E3"/>
    <mergeCell ref="F2:F3"/>
    <mergeCell ref="G2:G3"/>
    <mergeCell ref="B4:G4"/>
    <mergeCell ref="E6:E12"/>
    <mergeCell ref="D7:D12"/>
    <mergeCell ref="D13:F13"/>
    <mergeCell ref="B14:G14"/>
    <mergeCell ref="D36:D42"/>
    <mergeCell ref="E36:E42"/>
    <mergeCell ref="D43:F43"/>
    <mergeCell ref="D23:F23"/>
    <mergeCell ref="B24:G24"/>
    <mergeCell ref="D25:D33"/>
    <mergeCell ref="E25:E33"/>
    <mergeCell ref="D34:F34"/>
    <mergeCell ref="B35:G3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890"/>
  <sheetViews>
    <sheetView showGridLines="0" view="pageBreakPreview" topLeftCell="A3" zoomScale="70" zoomScaleNormal="100" zoomScaleSheetLayoutView="70" workbookViewId="0">
      <selection activeCell="A3" sqref="A3:D3"/>
    </sheetView>
  </sheetViews>
  <sheetFormatPr baseColWidth="10" defaultColWidth="11.5703125" defaultRowHeight="15"/>
  <cols>
    <col min="1" max="1" width="21.42578125" style="551" customWidth="1"/>
    <col min="2" max="2" width="20.140625" style="592" customWidth="1"/>
    <col min="3" max="3" width="53" style="553" customWidth="1"/>
    <col min="4" max="4" width="15.5703125" style="551" customWidth="1"/>
    <col min="5" max="5" width="16.28515625" style="551" customWidth="1"/>
    <col min="6" max="6" width="15.85546875" style="551" bestFit="1" customWidth="1"/>
    <col min="7" max="7" width="10.7109375" style="551" customWidth="1"/>
    <col min="8" max="8" width="12.7109375" style="551" bestFit="1" customWidth="1"/>
    <col min="9" max="9" width="5.140625" style="551" customWidth="1"/>
    <col min="10" max="10" width="8.7109375" style="551" customWidth="1"/>
    <col min="11" max="11" width="8.5703125" style="551" customWidth="1"/>
    <col min="12" max="12" width="7.42578125" style="551" customWidth="1"/>
    <col min="13" max="13" width="7.28515625" style="551" customWidth="1"/>
    <col min="14" max="14" width="9.5703125" style="551" customWidth="1"/>
    <col min="15" max="15" width="10.140625" style="551" customWidth="1"/>
    <col min="16" max="16" width="10.5703125" style="551" customWidth="1"/>
    <col min="17" max="17" width="11.7109375" style="551" bestFit="1" customWidth="1"/>
    <col min="18" max="18" width="10.28515625" style="551" customWidth="1"/>
    <col min="19" max="19" width="11.85546875" style="551" bestFit="1" customWidth="1"/>
    <col min="20" max="16384" width="11.5703125" style="551"/>
  </cols>
  <sheetData>
    <row r="1" spans="1:9">
      <c r="B1" s="552"/>
    </row>
    <row r="2" spans="1:9" ht="28.9" customHeight="1">
      <c r="A2" s="995" t="s">
        <v>726</v>
      </c>
      <c r="B2" s="995"/>
      <c r="C2" s="995"/>
      <c r="D2" s="995"/>
    </row>
    <row r="3" spans="1:9" ht="28.5">
      <c r="A3" s="995" t="s">
        <v>814</v>
      </c>
      <c r="B3" s="995"/>
      <c r="C3" s="995"/>
      <c r="D3" s="995"/>
    </row>
    <row r="4" spans="1:9" ht="18.75">
      <c r="A4" s="996" t="s">
        <v>1085</v>
      </c>
      <c r="B4" s="996"/>
      <c r="C4" s="996"/>
      <c r="D4" s="996"/>
    </row>
    <row r="5" spans="1:9">
      <c r="A5" s="997" t="s">
        <v>1086</v>
      </c>
      <c r="B5" s="998"/>
      <c r="C5" s="998"/>
      <c r="D5" s="998"/>
    </row>
    <row r="6" spans="1:9" ht="39" customHeight="1">
      <c r="A6" s="997"/>
      <c r="B6" s="998"/>
      <c r="C6" s="998"/>
      <c r="D6" s="998"/>
    </row>
    <row r="7" spans="1:9" ht="39" hidden="1" thickTop="1">
      <c r="A7" s="554" t="s">
        <v>667</v>
      </c>
      <c r="B7" s="555"/>
      <c r="C7" s="555"/>
      <c r="D7" s="556"/>
      <c r="E7" s="557"/>
      <c r="F7" s="557"/>
      <c r="G7" s="557"/>
      <c r="H7" s="557"/>
      <c r="I7" s="557"/>
    </row>
    <row r="8" spans="1:9" s="562" customFormat="1">
      <c r="A8" s="558" t="s">
        <v>146</v>
      </c>
      <c r="B8" s="559" t="s">
        <v>147</v>
      </c>
      <c r="C8" s="560" t="s">
        <v>812</v>
      </c>
      <c r="D8" s="561" t="s">
        <v>163</v>
      </c>
      <c r="E8" s="557"/>
      <c r="F8" s="557"/>
      <c r="G8" s="557"/>
      <c r="H8" s="557"/>
      <c r="I8" s="557"/>
    </row>
    <row r="9" spans="1:9" ht="25.5">
      <c r="A9" s="999" t="s">
        <v>575</v>
      </c>
      <c r="B9" s="563" t="s">
        <v>295</v>
      </c>
      <c r="C9" s="564" t="s">
        <v>294</v>
      </c>
      <c r="D9" s="565">
        <v>883751.79999999993</v>
      </c>
      <c r="E9" s="557"/>
      <c r="F9" s="557"/>
      <c r="G9" s="557"/>
      <c r="H9" s="557"/>
      <c r="I9" s="557"/>
    </row>
    <row r="10" spans="1:9">
      <c r="A10" s="999" t="s">
        <v>575</v>
      </c>
      <c r="B10" s="1000" t="s">
        <v>1087</v>
      </c>
      <c r="C10" s="994"/>
      <c r="D10" s="565">
        <v>883751.79999999993</v>
      </c>
      <c r="E10" s="557"/>
      <c r="F10" s="557"/>
      <c r="G10" s="557"/>
      <c r="H10" s="557"/>
      <c r="I10" s="557"/>
    </row>
    <row r="11" spans="1:9">
      <c r="A11" s="999"/>
      <c r="B11" s="1001"/>
      <c r="C11" s="1001"/>
      <c r="D11" s="565"/>
      <c r="E11" s="557"/>
      <c r="F11" s="557"/>
      <c r="G11" s="557"/>
      <c r="H11" s="557"/>
      <c r="I11" s="557"/>
    </row>
    <row r="12" spans="1:9">
      <c r="A12" s="992" t="s">
        <v>1088</v>
      </c>
      <c r="B12" s="993"/>
      <c r="C12" s="994"/>
      <c r="D12" s="565">
        <v>883751.79999999993</v>
      </c>
      <c r="E12" s="557"/>
      <c r="F12" s="557"/>
      <c r="G12" s="557"/>
      <c r="H12" s="557"/>
      <c r="I12" s="557"/>
    </row>
    <row r="13" spans="1:9">
      <c r="A13" s="1002"/>
      <c r="B13" s="1001"/>
      <c r="C13" s="1001"/>
      <c r="D13" s="565"/>
      <c r="E13" s="557"/>
      <c r="F13" s="557"/>
      <c r="G13" s="557"/>
      <c r="H13" s="557"/>
      <c r="I13" s="557"/>
    </row>
    <row r="14" spans="1:9" ht="25.5">
      <c r="A14" s="999" t="s">
        <v>604</v>
      </c>
      <c r="B14" s="563" t="s">
        <v>306</v>
      </c>
      <c r="C14" s="564" t="s">
        <v>305</v>
      </c>
      <c r="D14" s="565">
        <v>590470.46</v>
      </c>
      <c r="E14" s="557"/>
      <c r="F14" s="557"/>
      <c r="G14" s="557"/>
      <c r="H14" s="557"/>
      <c r="I14" s="557"/>
    </row>
    <row r="15" spans="1:9">
      <c r="A15" s="999" t="s">
        <v>604</v>
      </c>
      <c r="B15" s="1000" t="s">
        <v>1089</v>
      </c>
      <c r="C15" s="994"/>
      <c r="D15" s="565">
        <v>590470.46</v>
      </c>
      <c r="E15" s="557"/>
      <c r="F15" s="557"/>
      <c r="G15" s="557"/>
      <c r="H15" s="557"/>
      <c r="I15" s="557"/>
    </row>
    <row r="16" spans="1:9">
      <c r="A16" s="999"/>
      <c r="B16" s="1001"/>
      <c r="C16" s="1001"/>
      <c r="D16" s="565"/>
      <c r="E16" s="557"/>
      <c r="F16" s="557"/>
      <c r="G16" s="557"/>
      <c r="H16" s="557"/>
      <c r="I16" s="557"/>
    </row>
    <row r="17" spans="1:9">
      <c r="A17" s="992" t="s">
        <v>1090</v>
      </c>
      <c r="B17" s="993"/>
      <c r="C17" s="994"/>
      <c r="D17" s="565">
        <v>590470.46</v>
      </c>
      <c r="E17" s="557"/>
      <c r="F17" s="557"/>
      <c r="G17" s="557"/>
      <c r="H17" s="557"/>
      <c r="I17" s="557"/>
    </row>
    <row r="18" spans="1:9">
      <c r="A18" s="1002"/>
      <c r="B18" s="1001"/>
      <c r="C18" s="1001"/>
      <c r="D18" s="565"/>
      <c r="E18" s="557"/>
      <c r="F18" s="557"/>
      <c r="G18" s="557"/>
      <c r="H18" s="557"/>
      <c r="I18" s="557"/>
    </row>
    <row r="19" spans="1:9" ht="15.75" hidden="1" thickBot="1">
      <c r="A19" s="1006" t="s">
        <v>665</v>
      </c>
      <c r="B19" s="1007"/>
      <c r="C19" s="1008"/>
      <c r="D19" s="566">
        <v>1474222.2599999998</v>
      </c>
      <c r="E19" s="557"/>
      <c r="F19" s="557"/>
      <c r="G19" s="557"/>
      <c r="H19" s="557"/>
      <c r="I19" s="557"/>
    </row>
    <row r="20" spans="1:9">
      <c r="A20" s="557"/>
      <c r="B20" s="557"/>
      <c r="C20" s="557"/>
      <c r="D20" s="557"/>
      <c r="E20" s="557"/>
      <c r="F20" s="557"/>
      <c r="G20" s="557"/>
      <c r="H20" s="557"/>
      <c r="I20" s="557"/>
    </row>
    <row r="21" spans="1:9">
      <c r="A21" s="557"/>
      <c r="B21" s="557"/>
      <c r="C21" s="567" t="s">
        <v>1091</v>
      </c>
      <c r="D21" s="568">
        <f>+GETPIVOTDATA("MONTO INVERSION GPL / VIALSUR",$A$7,"Cantón","MACARA")+GETPIVOTDATA("MONTO INVERSION GPL / VIALSUR",$A$7,"Cantón","CELICA")</f>
        <v>1474222.2599999998</v>
      </c>
      <c r="E21" s="557"/>
      <c r="F21" s="557"/>
      <c r="G21" s="557"/>
      <c r="H21" s="557"/>
      <c r="I21" s="557"/>
    </row>
    <row r="22" spans="1:9">
      <c r="A22" s="557"/>
      <c r="B22" s="557"/>
      <c r="C22" s="567" t="s">
        <v>1092</v>
      </c>
      <c r="D22" s="568">
        <v>619333.03</v>
      </c>
      <c r="E22" s="557"/>
      <c r="F22" s="557"/>
      <c r="G22" s="557"/>
      <c r="H22" s="557"/>
      <c r="I22" s="557"/>
    </row>
    <row r="23" spans="1:9">
      <c r="A23" s="557"/>
      <c r="B23" s="557"/>
      <c r="C23" s="570" t="s">
        <v>1093</v>
      </c>
      <c r="D23" s="568">
        <v>120000</v>
      </c>
      <c r="E23" s="557"/>
      <c r="F23" s="557"/>
      <c r="G23" s="557"/>
      <c r="H23" s="557"/>
      <c r="I23" s="557"/>
    </row>
    <row r="24" spans="1:9">
      <c r="A24" s="557"/>
      <c r="B24" s="557"/>
      <c r="C24" s="551"/>
      <c r="E24" s="557"/>
      <c r="F24" s="557"/>
      <c r="G24" s="557"/>
      <c r="H24" s="557"/>
      <c r="I24" s="557"/>
    </row>
    <row r="25" spans="1:9" ht="15.75">
      <c r="A25" s="557"/>
      <c r="B25" s="557"/>
      <c r="C25" s="567" t="s">
        <v>1094</v>
      </c>
      <c r="D25" s="569">
        <f>+D21-D22-D23</f>
        <v>734889.22999999975</v>
      </c>
      <c r="E25" s="715">
        <f>+D25/D21</f>
        <v>0.49849283241727732</v>
      </c>
      <c r="F25" s="557"/>
      <c r="G25" s="557"/>
      <c r="H25" s="557"/>
      <c r="I25" s="557"/>
    </row>
    <row r="26" spans="1:9">
      <c r="A26" s="557"/>
      <c r="B26" s="557"/>
      <c r="C26" s="557"/>
      <c r="D26" s="557"/>
      <c r="E26" s="557"/>
      <c r="F26" s="557"/>
      <c r="G26" s="557"/>
      <c r="H26" s="557"/>
      <c r="I26" s="557"/>
    </row>
    <row r="27" spans="1:9">
      <c r="A27" s="557"/>
      <c r="B27" s="557"/>
      <c r="C27" s="557"/>
      <c r="D27" s="557"/>
      <c r="E27" s="557"/>
      <c r="F27" s="557"/>
      <c r="G27" s="557"/>
      <c r="H27" s="557"/>
      <c r="I27" s="557"/>
    </row>
    <row r="28" spans="1:9" hidden="1">
      <c r="A28" s="557"/>
      <c r="B28" s="557"/>
      <c r="C28" s="557"/>
      <c r="D28" s="557"/>
      <c r="E28" s="557"/>
      <c r="F28" s="557"/>
      <c r="G28" s="557"/>
      <c r="H28" s="557"/>
      <c r="I28" s="557"/>
    </row>
    <row r="29" spans="1:9" hidden="1">
      <c r="A29" s="557"/>
      <c r="B29" s="557"/>
      <c r="C29" s="557"/>
      <c r="D29" s="557"/>
      <c r="E29" s="557"/>
      <c r="F29" s="557"/>
      <c r="G29" s="557"/>
      <c r="H29" s="557"/>
      <c r="I29" s="557"/>
    </row>
    <row r="30" spans="1:9" hidden="1">
      <c r="A30" s="557"/>
      <c r="B30" s="557"/>
      <c r="C30" s="557"/>
      <c r="D30" s="557"/>
      <c r="E30" s="557"/>
      <c r="F30" s="557"/>
      <c r="G30" s="557"/>
      <c r="H30" s="557"/>
      <c r="I30" s="557"/>
    </row>
    <row r="31" spans="1:9" ht="15.75" hidden="1" thickBot="1">
      <c r="A31" s="557"/>
      <c r="B31" s="557"/>
      <c r="C31" s="557"/>
      <c r="D31" s="557"/>
      <c r="E31" s="557"/>
      <c r="F31" s="557"/>
      <c r="G31" s="557"/>
      <c r="H31" s="557"/>
      <c r="I31" s="557"/>
    </row>
    <row r="32" spans="1:9" ht="18.75" hidden="1" thickTop="1">
      <c r="A32" s="1009" t="s">
        <v>813</v>
      </c>
      <c r="B32" s="1010"/>
      <c r="C32" s="1010"/>
      <c r="D32" s="1011"/>
      <c r="E32" s="557"/>
      <c r="F32" s="557"/>
      <c r="G32" s="557"/>
      <c r="H32" s="557"/>
      <c r="I32" s="557"/>
    </row>
    <row r="33" spans="1:9" hidden="1">
      <c r="A33" s="571"/>
      <c r="B33" s="572"/>
      <c r="C33" s="572"/>
      <c r="D33" s="573"/>
      <c r="E33" s="557"/>
      <c r="F33" s="557"/>
      <c r="G33" s="557"/>
      <c r="H33" s="557"/>
      <c r="I33" s="557"/>
    </row>
    <row r="34" spans="1:9" hidden="1">
      <c r="A34" s="574" t="s">
        <v>545</v>
      </c>
      <c r="B34" s="574" t="s">
        <v>546</v>
      </c>
      <c r="C34" s="574" t="s">
        <v>666</v>
      </c>
      <c r="D34" s="574" t="s">
        <v>673</v>
      </c>
      <c r="E34" s="557"/>
      <c r="F34" s="557"/>
      <c r="G34" s="557"/>
      <c r="H34" s="557"/>
      <c r="I34" s="557"/>
    </row>
    <row r="35" spans="1:9" ht="45.6" hidden="1" customHeight="1">
      <c r="A35" s="574" t="s">
        <v>232</v>
      </c>
      <c r="B35" s="574" t="s">
        <v>239</v>
      </c>
      <c r="C35" s="575" t="s">
        <v>1095</v>
      </c>
      <c r="D35" s="576">
        <v>19065</v>
      </c>
      <c r="E35" s="557"/>
      <c r="F35" s="557"/>
      <c r="G35" s="557"/>
      <c r="H35" s="557"/>
      <c r="I35" s="557"/>
    </row>
    <row r="36" spans="1:9" ht="25.5" hidden="1">
      <c r="A36" s="574" t="s">
        <v>232</v>
      </c>
      <c r="B36" s="574" t="s">
        <v>228</v>
      </c>
      <c r="C36" s="575" t="s">
        <v>1096</v>
      </c>
      <c r="D36" s="576">
        <v>14832</v>
      </c>
      <c r="E36" s="557"/>
      <c r="F36" s="557"/>
      <c r="G36" s="557"/>
      <c r="H36" s="557"/>
      <c r="I36" s="557"/>
    </row>
    <row r="37" spans="1:9" hidden="1">
      <c r="A37" s="557"/>
      <c r="B37" s="557"/>
      <c r="C37" s="557"/>
      <c r="D37" s="577">
        <f>SUM(D35:D36)</f>
        <v>33897</v>
      </c>
      <c r="E37" s="557"/>
      <c r="F37" s="557"/>
      <c r="G37" s="557"/>
      <c r="H37" s="557"/>
      <c r="I37" s="557"/>
    </row>
    <row r="38" spans="1:9" ht="15.75" hidden="1" thickBot="1">
      <c r="A38" s="557"/>
      <c r="B38" s="557"/>
      <c r="C38" s="557"/>
      <c r="D38" s="557"/>
      <c r="E38" s="557"/>
      <c r="F38" s="557"/>
      <c r="G38" s="557"/>
      <c r="H38" s="557"/>
      <c r="I38" s="557"/>
    </row>
    <row r="39" spans="1:9" ht="18.75" hidden="1" thickTop="1">
      <c r="A39" s="1009" t="s">
        <v>986</v>
      </c>
      <c r="B39" s="1010"/>
      <c r="C39" s="1010"/>
      <c r="D39" s="1011"/>
      <c r="E39" s="557"/>
      <c r="F39" s="557"/>
      <c r="G39" s="557"/>
      <c r="H39" s="557"/>
      <c r="I39" s="557"/>
    </row>
    <row r="40" spans="1:9" hidden="1">
      <c r="A40" s="1012" t="str">
        <f>+[3]CONSOLIDADO!B8</f>
        <v>MANTENIMIENTO VIAL 2015 PRESUPUESTO PARTICIPATIVO</v>
      </c>
      <c r="B40" s="1013"/>
      <c r="C40" s="1013"/>
      <c r="D40" s="1014"/>
      <c r="E40" s="557"/>
      <c r="F40" s="557"/>
      <c r="G40" s="557"/>
      <c r="H40" s="557"/>
      <c r="I40" s="557"/>
    </row>
    <row r="41" spans="1:9" hidden="1">
      <c r="A41" s="578" t="s">
        <v>545</v>
      </c>
      <c r="B41" s="574" t="s">
        <v>546</v>
      </c>
      <c r="C41" s="574" t="s">
        <v>666</v>
      </c>
      <c r="D41" s="579" t="s">
        <v>673</v>
      </c>
      <c r="E41" s="557"/>
      <c r="F41" s="557"/>
      <c r="G41" s="557"/>
      <c r="H41" s="557"/>
      <c r="I41" s="557"/>
    </row>
    <row r="42" spans="1:9" ht="25.5" hidden="1">
      <c r="A42" s="580" t="s">
        <v>232</v>
      </c>
      <c r="B42" s="581" t="s">
        <v>587</v>
      </c>
      <c r="C42" s="582" t="str">
        <f>CONCATENATE("MANTENIMIENTO DE LA VIA ",[3]CONSOLIDADO!D27," - ",[3]CONSOLIDADO!E27,", L= ",[3]CONSOLIDADO!F27," KM")</f>
        <v>MANTENIMIENTO DE LA VIA LAS VEGAS - RIO VOLCANCOCHA, L= 5 KM</v>
      </c>
      <c r="D42" s="1003">
        <v>30650.799999999999</v>
      </c>
      <c r="E42" s="557"/>
      <c r="F42" s="557"/>
      <c r="G42" s="557"/>
      <c r="H42" s="557"/>
      <c r="I42" s="557"/>
    </row>
    <row r="43" spans="1:9" ht="25.5" hidden="1">
      <c r="A43" s="580" t="s">
        <v>232</v>
      </c>
      <c r="B43" s="581" t="s">
        <v>587</v>
      </c>
      <c r="C43" s="582" t="str">
        <f>CONCATENATE("MANTENIMIENTO DE LA VIA ",[3]CONSOLIDADO!D28," - ",[3]CONSOLIDADO!E28,", L= ",[3]CONSOLIDADO!F28," KM")</f>
        <v>MANTENIMIENTO DE LA VIA YEE BATALLADEROS - EL PINDO, L= 5 KM</v>
      </c>
      <c r="D43" s="1005"/>
      <c r="E43" s="557"/>
      <c r="F43" s="557"/>
      <c r="G43" s="557"/>
      <c r="H43" s="557"/>
      <c r="I43" s="557"/>
    </row>
    <row r="44" spans="1:9" ht="25.5" hidden="1">
      <c r="A44" s="580" t="s">
        <v>232</v>
      </c>
      <c r="B44" s="581" t="s">
        <v>866</v>
      </c>
      <c r="C44" s="582" t="str">
        <f>CONCATENATE("MANTENIMIENTO DE LA VIA ",[3]CONSOLIDADO!D29," - ",[3]CONSOLIDADO!E29,", L= ",[3]CONSOLIDADO!F29," KM")</f>
        <v>MANTENIMIENTO DE LA VIA AMALUZA ( LIMIT URBANO)- CONSAPAMBA - GUALACHE - MARCOLA, L= 8 KM</v>
      </c>
      <c r="D44" s="1003">
        <v>30650.799999999999</v>
      </c>
      <c r="E44" s="557"/>
      <c r="F44" s="557"/>
      <c r="G44" s="557"/>
      <c r="H44" s="557"/>
      <c r="I44" s="557"/>
    </row>
    <row r="45" spans="1:9" ht="25.5" hidden="1">
      <c r="A45" s="580" t="s">
        <v>232</v>
      </c>
      <c r="B45" s="581" t="s">
        <v>866</v>
      </c>
      <c r="C45" s="582" t="str">
        <f>CONCATENATE("MANTENIMIENTO DE LA VIA ",[3]CONSOLIDADO!D30," - ",[3]CONSOLIDADO!E30,", L= ",[3]CONSOLIDADO!F30," KM")</f>
        <v>MANTENIMIENTO DE LA VIA GUAYABAL COFRADIA - GUACUPAMBA, L= 5 KM</v>
      </c>
      <c r="D45" s="1004"/>
      <c r="E45" s="557"/>
      <c r="F45" s="557"/>
      <c r="G45" s="557"/>
      <c r="H45" s="557"/>
      <c r="I45" s="557"/>
    </row>
    <row r="46" spans="1:9" ht="25.5" hidden="1">
      <c r="A46" s="580" t="s">
        <v>232</v>
      </c>
      <c r="B46" s="581" t="s">
        <v>866</v>
      </c>
      <c r="C46" s="582" t="str">
        <f>CONCATENATE("MANTENIMIENTO DE LA VIA ",[3]CONSOLIDADO!D31," - ",[3]CONSOLIDADO!E31,", L= ",[3]CONSOLIDADO!F31," KM")</f>
        <v>MANTENIMIENTO DE LA VIA YEE DE LLANO - EL LLANO, L= 1.5 KM</v>
      </c>
      <c r="D46" s="1005"/>
      <c r="E46" s="557"/>
      <c r="F46" s="557"/>
      <c r="G46" s="557"/>
      <c r="H46" s="557"/>
      <c r="I46" s="557"/>
    </row>
    <row r="47" spans="1:9" ht="25.5" hidden="1">
      <c r="A47" s="580" t="s">
        <v>232</v>
      </c>
      <c r="B47" s="581" t="s">
        <v>236</v>
      </c>
      <c r="C47" s="582" t="str">
        <f>CONCATENATE("MANTENIMIENTO DE LA VIA ",[3]CONSOLIDADO!D32," - ",[3]CONSOLIDADO!E32,", L= ",[3]CONSOLIDADO!F32," KM")</f>
        <v>MANTENIMIENTO DE LA VIA LLAMACANCHI  - JIBIRUCHE, L= 5 KM</v>
      </c>
      <c r="D47" s="1003">
        <v>36780.959999999999</v>
      </c>
      <c r="E47" s="557"/>
      <c r="F47" s="557"/>
      <c r="G47" s="557"/>
      <c r="H47" s="557"/>
      <c r="I47" s="557"/>
    </row>
    <row r="48" spans="1:9" ht="25.5" hidden="1">
      <c r="A48" s="580" t="s">
        <v>232</v>
      </c>
      <c r="B48" s="581" t="s">
        <v>236</v>
      </c>
      <c r="C48" s="582" t="str">
        <f>CONCATENATE("MANTENIMIENTO DE LA VIA ",[3]CONSOLIDADO!D33," - ",[3]CONSOLIDADO!E33,", L= ",[3]CONSOLIDADO!F33," KM")</f>
        <v>MANTENIMIENTO DE LA VIA JIBIRUCHE - PIEDRA BLANCA, L= 6.5 KM</v>
      </c>
      <c r="D48" s="1005"/>
      <c r="E48" s="557"/>
      <c r="F48" s="557"/>
      <c r="G48" s="557"/>
      <c r="H48" s="557"/>
      <c r="I48" s="557"/>
    </row>
    <row r="49" spans="1:9" ht="25.5" hidden="1">
      <c r="A49" s="580" t="s">
        <v>232</v>
      </c>
      <c r="B49" s="581" t="s">
        <v>588</v>
      </c>
      <c r="C49" s="582" t="str">
        <f>CONCATENATE("MANTENIMIENTO DE LA VIA ",[3]CONSOLIDADO!D34," - ",[3]CONSOLIDADO!E34,", L= ",[3]CONSOLIDADO!F34," KM")</f>
        <v>MANTENIMIENTO DE LA VIA QUEBRADA TOROLINGA EL TAMBO LA TEJERIA - RIO EL AIRO, L= 1.5 KM</v>
      </c>
      <c r="D49" s="1003">
        <v>30650.799999999999</v>
      </c>
      <c r="E49" s="557"/>
      <c r="F49" s="557"/>
      <c r="G49" s="557"/>
      <c r="H49" s="557"/>
      <c r="I49" s="557"/>
    </row>
    <row r="50" spans="1:9" ht="25.5" hidden="1">
      <c r="A50" s="580" t="s">
        <v>232</v>
      </c>
      <c r="B50" s="581" t="s">
        <v>588</v>
      </c>
      <c r="C50" s="582" t="str">
        <f>CONCATENATE("MANTENIMIENTO DE LA VIA ",[3]CONSOLIDADO!D35," - ",[3]CONSOLIDADO!E35,", L= ",[3]CONSOLIDADO!F35," KM")</f>
        <v>MANTENIMIENTO DE LA VIA SAN FRANCISCO - EL BATAN, L= 2.5 KM</v>
      </c>
      <c r="D50" s="1004"/>
      <c r="E50" s="557"/>
      <c r="F50" s="557"/>
      <c r="G50" s="557"/>
      <c r="H50" s="557"/>
      <c r="I50" s="557"/>
    </row>
    <row r="51" spans="1:9" ht="25.5" hidden="1">
      <c r="A51" s="580" t="s">
        <v>232</v>
      </c>
      <c r="B51" s="581" t="s">
        <v>588</v>
      </c>
      <c r="C51" s="582" t="str">
        <f>CONCATENATE("MANTENIMIENTO DE LA VIA ",[3]CONSOLIDADO!D36," - ",[3]CONSOLIDADO!E36,", L= ",[3]CONSOLIDADO!F36," KM")</f>
        <v>MANTENIMIENTO DE LA VIA EL LAUREL - Q. GRANADILLO, L= 2.5 KM</v>
      </c>
      <c r="D51" s="1005"/>
      <c r="E51" s="557"/>
      <c r="F51" s="557"/>
      <c r="G51" s="557"/>
      <c r="H51" s="557"/>
      <c r="I51" s="557"/>
    </row>
    <row r="52" spans="1:9" ht="25.5" hidden="1">
      <c r="A52" s="580" t="s">
        <v>232</v>
      </c>
      <c r="B52" s="581" t="s">
        <v>223</v>
      </c>
      <c r="C52" s="582" t="str">
        <f>CONCATENATE("MANTENIMIENTO DE LA VIA ",[3]CONSOLIDADO!D37," - ",[3]CONSOLIDADO!E37,", L= ",[3]CONSOLIDADO!F37," KM")</f>
        <v>MANTENIMIENTO DE LA VIA LA FLORIDA CONSAGUANA LA CHAMANA  - AMARILLOS, L= 5 KM</v>
      </c>
      <c r="D52" s="1003">
        <v>33715.879999999997</v>
      </c>
      <c r="E52" s="557"/>
      <c r="F52" s="557"/>
      <c r="G52" s="557"/>
      <c r="H52" s="557"/>
      <c r="I52" s="557"/>
    </row>
    <row r="53" spans="1:9" ht="25.5" hidden="1">
      <c r="A53" s="580" t="s">
        <v>232</v>
      </c>
      <c r="B53" s="581" t="s">
        <v>223</v>
      </c>
      <c r="C53" s="582" t="str">
        <f>CONCATENATE("MANTENIMIENTO DE LA VIA ",[3]CONSOLIDADO!D38," - ",[3]CONSOLIDADO!E38,", L= ",[3]CONSOLIDADO!F38," KM")</f>
        <v>MANTENIMIENTO DE LA VIA SIFON EL GUABO - EL BATAN, L= 8 KM</v>
      </c>
      <c r="D53" s="1005"/>
      <c r="E53" s="557"/>
      <c r="F53" s="557"/>
      <c r="G53" s="557"/>
      <c r="H53" s="557"/>
      <c r="I53" s="557"/>
    </row>
    <row r="54" spans="1:9" ht="25.5" hidden="1">
      <c r="A54" s="580" t="s">
        <v>232</v>
      </c>
      <c r="B54" s="581" t="s">
        <v>239</v>
      </c>
      <c r="C54" s="582" t="str">
        <f>CONCATENATE("MANTENIMIENTO DE LA VIA ",[3]CONSOLIDADO!D39," - ",[3]CONSOLIDADO!E39,", L= ",[3]CONSOLIDADO!F39," KM")</f>
        <v>MANTENIMIENTO DE LA VIA RIO SANANBAY - JIMBURA, L= 16 KM</v>
      </c>
      <c r="D54" s="583">
        <v>42911.119999999995</v>
      </c>
      <c r="E54" s="557"/>
      <c r="F54" s="557"/>
      <c r="G54" s="557"/>
      <c r="H54" s="557"/>
      <c r="I54" s="557"/>
    </row>
    <row r="55" spans="1:9" ht="25.5" hidden="1">
      <c r="A55" s="580" t="s">
        <v>232</v>
      </c>
      <c r="B55" s="581" t="s">
        <v>885</v>
      </c>
      <c r="C55" s="582" t="str">
        <f>CONCATENATE("MANTENIMIENTO DE LA VIA ",[3]CONSOLIDADO!D40," - ",[3]CONSOLIDADO!E40,", L= ",[3]CONSOLIDADO!F40," KM")</f>
        <v>MANTENIMIENTO DE LA VIA CANGOCHARA COLLINGORA TUNDURAMA EL SANGO - EL TINGO, L= 20 KM</v>
      </c>
      <c r="D55" s="583">
        <v>42911.119999999995</v>
      </c>
      <c r="E55" s="557"/>
      <c r="F55" s="557"/>
      <c r="G55" s="557"/>
      <c r="H55" s="557"/>
      <c r="I55" s="557"/>
    </row>
    <row r="56" spans="1:9" hidden="1">
      <c r="A56" s="571"/>
      <c r="B56" s="572"/>
      <c r="C56" s="572"/>
      <c r="D56" s="573"/>
      <c r="E56" s="557"/>
      <c r="F56" s="557"/>
      <c r="G56" s="557"/>
      <c r="H56" s="557"/>
      <c r="I56" s="557"/>
    </row>
    <row r="57" spans="1:9" ht="16.5" hidden="1" thickBot="1">
      <c r="A57" s="584"/>
      <c r="B57" s="585"/>
      <c r="C57" s="586" t="s">
        <v>987</v>
      </c>
      <c r="D57" s="587">
        <f>SUM(D42:D55)</f>
        <v>248271.47999999998</v>
      </c>
      <c r="E57" s="557"/>
      <c r="F57" s="557"/>
      <c r="G57" s="557"/>
      <c r="H57" s="557"/>
      <c r="I57" s="557"/>
    </row>
    <row r="58" spans="1:9" ht="15.75" hidden="1" thickTop="1">
      <c r="A58" s="557"/>
      <c r="B58" s="557"/>
      <c r="C58" s="557"/>
      <c r="D58" s="557"/>
      <c r="E58" s="557"/>
      <c r="F58" s="557"/>
      <c r="G58" s="557"/>
      <c r="H58" s="557"/>
      <c r="I58" s="557"/>
    </row>
    <row r="59" spans="1:9" hidden="1">
      <c r="A59" s="557" t="s">
        <v>1097</v>
      </c>
      <c r="B59" s="588">
        <v>41960</v>
      </c>
      <c r="C59" s="557"/>
      <c r="D59" s="557"/>
      <c r="E59" s="557"/>
      <c r="F59" s="557"/>
      <c r="G59" s="557"/>
      <c r="H59" s="557"/>
      <c r="I59" s="557"/>
    </row>
    <row r="60" spans="1:9" hidden="1">
      <c r="A60" s="557"/>
      <c r="B60" s="557"/>
      <c r="C60" s="557"/>
      <c r="D60" s="557"/>
      <c r="E60" s="557"/>
      <c r="F60" s="557"/>
      <c r="G60" s="557"/>
      <c r="H60" s="557"/>
      <c r="I60" s="557"/>
    </row>
    <row r="61" spans="1:9" hidden="1">
      <c r="A61" s="557" t="s">
        <v>1098</v>
      </c>
      <c r="B61" s="557" t="s">
        <v>733</v>
      </c>
      <c r="C61" s="557"/>
      <c r="D61" s="557"/>
      <c r="E61" s="557"/>
      <c r="F61" s="557"/>
      <c r="G61" s="557"/>
      <c r="H61" s="557"/>
      <c r="I61" s="557"/>
    </row>
    <row r="62" spans="1:9" hidden="1">
      <c r="A62" s="557"/>
      <c r="B62" s="557"/>
      <c r="C62" s="557"/>
      <c r="D62" s="557"/>
      <c r="E62" s="557"/>
      <c r="F62" s="557"/>
      <c r="G62" s="557"/>
      <c r="H62" s="557"/>
      <c r="I62" s="557"/>
    </row>
    <row r="63" spans="1:9" hidden="1">
      <c r="A63" s="557"/>
      <c r="B63" s="557"/>
      <c r="C63" s="557"/>
      <c r="D63" s="557"/>
      <c r="E63" s="557"/>
      <c r="F63" s="557"/>
      <c r="G63" s="557"/>
      <c r="H63" s="557"/>
      <c r="I63" s="557"/>
    </row>
    <row r="64" spans="1:9" hidden="1">
      <c r="A64" s="557"/>
      <c r="B64" s="557"/>
      <c r="C64" s="557"/>
      <c r="D64" s="557"/>
      <c r="E64" s="557"/>
      <c r="F64" s="557"/>
      <c r="G64" s="557"/>
      <c r="H64" s="557"/>
      <c r="I64" s="557"/>
    </row>
    <row r="65" spans="1:9" hidden="1">
      <c r="A65" s="557"/>
      <c r="B65" s="557"/>
      <c r="C65" s="557"/>
      <c r="D65" s="557"/>
      <c r="E65" s="557"/>
      <c r="F65" s="557"/>
      <c r="G65" s="557"/>
      <c r="H65" s="557"/>
      <c r="I65" s="557"/>
    </row>
    <row r="66" spans="1:9" hidden="1">
      <c r="A66" s="557"/>
      <c r="B66" s="557"/>
      <c r="C66" s="589" t="s">
        <v>1099</v>
      </c>
      <c r="D66" s="557"/>
      <c r="E66" s="557"/>
      <c r="F66" s="557"/>
      <c r="G66" s="557"/>
      <c r="H66" s="557"/>
      <c r="I66" s="557"/>
    </row>
    <row r="67" spans="1:9" ht="18" hidden="1">
      <c r="A67" s="557"/>
      <c r="B67" s="557"/>
      <c r="C67" s="590" t="s">
        <v>1100</v>
      </c>
      <c r="D67" s="557"/>
      <c r="E67" s="557"/>
      <c r="F67" s="557"/>
      <c r="G67" s="557"/>
      <c r="H67" s="557"/>
      <c r="I67" s="557"/>
    </row>
    <row r="68" spans="1:9" hidden="1">
      <c r="A68" s="557"/>
      <c r="B68" s="557"/>
      <c r="C68" s="557"/>
      <c r="D68" s="557"/>
      <c r="E68" s="557"/>
      <c r="F68" s="557"/>
      <c r="G68" s="557"/>
      <c r="H68" s="557"/>
      <c r="I68" s="557"/>
    </row>
    <row r="69" spans="1:9" hidden="1">
      <c r="A69" s="557"/>
      <c r="B69" s="557"/>
      <c r="C69" s="557"/>
      <c r="D69" s="557"/>
      <c r="E69" s="557"/>
      <c r="F69" s="557"/>
      <c r="G69" s="557"/>
      <c r="H69" s="557"/>
      <c r="I69" s="557"/>
    </row>
    <row r="70" spans="1:9" hidden="1">
      <c r="A70" s="557"/>
      <c r="B70" s="557"/>
      <c r="C70" s="557"/>
      <c r="D70" s="557"/>
      <c r="E70" s="557"/>
      <c r="F70" s="557"/>
      <c r="G70" s="557"/>
      <c r="H70" s="557"/>
      <c r="I70" s="557"/>
    </row>
    <row r="71" spans="1:9" hidden="1">
      <c r="A71" s="557"/>
      <c r="B71" s="557"/>
      <c r="C71" s="557"/>
      <c r="D71" s="557"/>
      <c r="E71" s="557"/>
      <c r="F71" s="557"/>
      <c r="G71" s="557"/>
      <c r="H71" s="557"/>
      <c r="I71" s="557"/>
    </row>
    <row r="72" spans="1:9" hidden="1">
      <c r="A72" s="557"/>
      <c r="B72" s="557"/>
      <c r="C72" s="557"/>
      <c r="D72" s="557"/>
      <c r="E72" s="557"/>
      <c r="F72" s="557"/>
      <c r="G72" s="557"/>
      <c r="H72" s="557"/>
      <c r="I72" s="557"/>
    </row>
    <row r="73" spans="1:9" hidden="1">
      <c r="A73" s="557"/>
      <c r="B73" s="557"/>
      <c r="C73" s="557"/>
      <c r="D73" s="557"/>
      <c r="E73" s="557"/>
      <c r="F73" s="557"/>
      <c r="G73" s="557"/>
      <c r="H73" s="557"/>
      <c r="I73" s="557"/>
    </row>
    <row r="74" spans="1:9" hidden="1">
      <c r="A74" s="557"/>
      <c r="B74" s="557"/>
      <c r="C74" s="557"/>
      <c r="D74" s="557"/>
      <c r="E74" s="557"/>
      <c r="F74" s="557"/>
      <c r="G74" s="557"/>
      <c r="H74" s="557"/>
      <c r="I74" s="557"/>
    </row>
    <row r="75" spans="1:9" hidden="1">
      <c r="A75" s="557"/>
      <c r="B75" s="557"/>
      <c r="C75" s="557"/>
      <c r="D75" s="557"/>
      <c r="E75" s="557"/>
      <c r="F75" s="557"/>
      <c r="G75" s="557"/>
      <c r="H75" s="557"/>
      <c r="I75" s="557"/>
    </row>
    <row r="76" spans="1:9" hidden="1">
      <c r="A76" s="557"/>
      <c r="B76" s="557"/>
      <c r="C76" s="557"/>
      <c r="D76" s="557"/>
      <c r="E76" s="557"/>
      <c r="F76" s="557"/>
      <c r="G76" s="557"/>
      <c r="H76" s="557"/>
      <c r="I76" s="557"/>
    </row>
    <row r="77" spans="1:9" hidden="1">
      <c r="A77" s="557"/>
      <c r="B77" s="557"/>
      <c r="C77" s="557"/>
      <c r="D77" s="557"/>
      <c r="E77" s="557"/>
      <c r="F77" s="557"/>
      <c r="G77" s="557"/>
      <c r="H77" s="557"/>
      <c r="I77" s="557"/>
    </row>
    <row r="78" spans="1:9" hidden="1">
      <c r="A78" s="557"/>
      <c r="B78" s="557"/>
      <c r="C78" s="557"/>
      <c r="D78" s="557"/>
      <c r="E78" s="557"/>
      <c r="F78" s="557"/>
      <c r="G78" s="557"/>
      <c r="H78" s="557"/>
      <c r="I78" s="557"/>
    </row>
    <row r="79" spans="1:9" hidden="1">
      <c r="A79" s="557"/>
      <c r="B79" s="557"/>
      <c r="C79" s="557"/>
      <c r="D79" s="557"/>
      <c r="E79" s="557"/>
      <c r="F79" s="557"/>
      <c r="G79" s="557"/>
      <c r="H79" s="557"/>
      <c r="I79" s="557"/>
    </row>
    <row r="80" spans="1:9" hidden="1">
      <c r="A80" s="557"/>
      <c r="B80" s="557"/>
      <c r="C80" s="557"/>
      <c r="D80" s="557"/>
      <c r="E80" s="557"/>
      <c r="F80" s="557"/>
      <c r="G80" s="557"/>
      <c r="H80" s="557"/>
      <c r="I80" s="557"/>
    </row>
    <row r="81" spans="1:9" hidden="1">
      <c r="A81" s="557"/>
      <c r="B81" s="557"/>
      <c r="C81" s="557"/>
      <c r="D81" s="557"/>
      <c r="E81" s="557"/>
      <c r="F81" s="557"/>
      <c r="G81" s="557"/>
      <c r="H81" s="557"/>
      <c r="I81" s="557"/>
    </row>
    <row r="82" spans="1:9" hidden="1">
      <c r="A82" s="557"/>
      <c r="B82" s="557"/>
      <c r="C82" s="557"/>
      <c r="D82" s="557"/>
      <c r="E82" s="557"/>
      <c r="F82" s="557"/>
      <c r="G82" s="557"/>
      <c r="H82" s="557"/>
      <c r="I82" s="557"/>
    </row>
    <row r="83" spans="1:9" hidden="1">
      <c r="A83" s="557"/>
      <c r="B83" s="557"/>
      <c r="C83" s="557"/>
      <c r="D83" s="557"/>
      <c r="E83" s="557"/>
      <c r="F83" s="557"/>
      <c r="G83" s="557"/>
      <c r="H83" s="557"/>
      <c r="I83" s="557"/>
    </row>
    <row r="84" spans="1:9" hidden="1">
      <c r="A84" s="557"/>
      <c r="B84" s="557"/>
      <c r="C84" s="557"/>
      <c r="D84" s="557"/>
      <c r="E84" s="557"/>
      <c r="F84" s="557"/>
      <c r="G84" s="557"/>
      <c r="H84" s="557"/>
      <c r="I84" s="557"/>
    </row>
    <row r="85" spans="1:9" hidden="1">
      <c r="A85" s="557"/>
      <c r="B85" s="557"/>
      <c r="C85" s="557"/>
      <c r="D85" s="557"/>
      <c r="E85" s="557"/>
      <c r="F85" s="557"/>
      <c r="G85" s="557"/>
      <c r="H85" s="557"/>
      <c r="I85" s="557"/>
    </row>
    <row r="86" spans="1:9" hidden="1">
      <c r="A86" s="557"/>
      <c r="B86" s="557"/>
      <c r="C86" s="557"/>
      <c r="D86" s="557"/>
      <c r="E86" s="557"/>
      <c r="F86" s="557"/>
      <c r="G86" s="557"/>
      <c r="H86" s="557"/>
      <c r="I86" s="557"/>
    </row>
    <row r="87" spans="1:9" hidden="1">
      <c r="A87" s="557"/>
      <c r="B87" s="557"/>
      <c r="C87" s="557"/>
      <c r="D87" s="557"/>
      <c r="E87" s="557"/>
      <c r="F87" s="557"/>
      <c r="G87" s="557"/>
      <c r="H87" s="557"/>
      <c r="I87" s="557"/>
    </row>
    <row r="88" spans="1:9" hidden="1">
      <c r="A88" s="557"/>
      <c r="B88" s="557"/>
      <c r="C88" s="557"/>
      <c r="D88" s="557"/>
      <c r="E88" s="557"/>
      <c r="F88" s="557"/>
      <c r="G88" s="557"/>
      <c r="H88" s="557"/>
      <c r="I88" s="557"/>
    </row>
    <row r="89" spans="1:9" hidden="1">
      <c r="A89" s="557"/>
      <c r="B89" s="557"/>
      <c r="C89" s="557"/>
      <c r="D89" s="557"/>
      <c r="E89" s="557"/>
      <c r="F89" s="557"/>
      <c r="G89" s="557"/>
      <c r="H89" s="557"/>
      <c r="I89" s="557"/>
    </row>
    <row r="90" spans="1:9" hidden="1">
      <c r="A90" s="557"/>
      <c r="B90" s="557"/>
      <c r="C90" s="557"/>
      <c r="D90" s="557"/>
      <c r="E90" s="557"/>
      <c r="F90" s="557"/>
      <c r="G90" s="557"/>
      <c r="H90" s="557"/>
      <c r="I90" s="557"/>
    </row>
    <row r="91" spans="1:9" hidden="1">
      <c r="A91" s="557"/>
      <c r="B91" s="557"/>
      <c r="C91" s="557"/>
      <c r="D91" s="557"/>
      <c r="E91" s="557"/>
      <c r="F91" s="557"/>
      <c r="G91" s="557"/>
      <c r="H91" s="557"/>
      <c r="I91" s="557"/>
    </row>
    <row r="92" spans="1:9" hidden="1">
      <c r="A92" s="557"/>
      <c r="B92" s="557"/>
      <c r="C92" s="557"/>
      <c r="D92" s="557"/>
      <c r="E92" s="557"/>
      <c r="F92" s="557"/>
      <c r="G92" s="557"/>
      <c r="H92" s="557"/>
      <c r="I92" s="557"/>
    </row>
    <row r="93" spans="1:9" hidden="1">
      <c r="A93" s="557"/>
      <c r="B93" s="557"/>
      <c r="C93" s="557"/>
      <c r="D93" s="557"/>
      <c r="E93" s="557"/>
      <c r="F93" s="557"/>
      <c r="G93" s="557"/>
      <c r="H93" s="557"/>
      <c r="I93" s="557"/>
    </row>
    <row r="94" spans="1:9" hidden="1">
      <c r="A94" s="557"/>
      <c r="B94" s="557"/>
      <c r="C94" s="557"/>
      <c r="D94" s="557"/>
      <c r="E94" s="557"/>
      <c r="F94" s="557"/>
      <c r="G94" s="557"/>
      <c r="H94" s="557"/>
      <c r="I94" s="557"/>
    </row>
    <row r="95" spans="1:9" hidden="1">
      <c r="A95" s="557"/>
      <c r="B95" s="557"/>
      <c r="C95" s="557"/>
      <c r="D95" s="557"/>
      <c r="E95" s="557"/>
      <c r="F95" s="557"/>
      <c r="G95" s="557"/>
      <c r="H95" s="557"/>
      <c r="I95" s="557"/>
    </row>
    <row r="96" spans="1:9" hidden="1">
      <c r="A96" s="557"/>
      <c r="B96" s="557"/>
      <c r="C96" s="557"/>
      <c r="D96" s="557"/>
      <c r="E96" s="557"/>
      <c r="F96" s="557"/>
      <c r="G96" s="557"/>
      <c r="H96" s="557"/>
      <c r="I96" s="557"/>
    </row>
    <row r="97" spans="1:9" hidden="1">
      <c r="A97" s="557"/>
      <c r="B97" s="557"/>
      <c r="C97" s="557"/>
      <c r="D97" s="557"/>
      <c r="E97" s="557"/>
      <c r="F97" s="557"/>
      <c r="G97" s="557"/>
      <c r="H97" s="557"/>
      <c r="I97" s="557"/>
    </row>
    <row r="98" spans="1:9" hidden="1">
      <c r="A98" s="557"/>
      <c r="B98" s="557"/>
      <c r="C98" s="557"/>
      <c r="D98" s="557"/>
      <c r="E98" s="557"/>
      <c r="F98" s="557"/>
      <c r="G98" s="557"/>
      <c r="H98" s="557"/>
      <c r="I98" s="557"/>
    </row>
    <row r="99" spans="1:9" hidden="1">
      <c r="A99" s="557"/>
      <c r="B99" s="557"/>
      <c r="C99" s="557"/>
      <c r="D99" s="557"/>
      <c r="E99" s="557"/>
      <c r="F99" s="557"/>
      <c r="G99" s="557"/>
      <c r="H99" s="557"/>
      <c r="I99" s="557"/>
    </row>
    <row r="100" spans="1:9" hidden="1">
      <c r="A100" s="557"/>
      <c r="B100" s="557"/>
      <c r="C100" s="557"/>
      <c r="D100" s="557"/>
      <c r="E100" s="557"/>
      <c r="F100" s="557"/>
      <c r="G100" s="557"/>
      <c r="H100" s="557"/>
      <c r="I100" s="557"/>
    </row>
    <row r="101" spans="1:9" hidden="1">
      <c r="A101" s="557"/>
      <c r="B101" s="557"/>
      <c r="C101" s="557"/>
      <c r="D101" s="557"/>
      <c r="E101" s="557"/>
      <c r="F101" s="557"/>
      <c r="G101" s="557"/>
      <c r="H101" s="557"/>
      <c r="I101" s="557"/>
    </row>
    <row r="102" spans="1:9" hidden="1">
      <c r="A102" s="557"/>
      <c r="B102" s="557"/>
      <c r="C102" s="557"/>
      <c r="D102" s="557"/>
      <c r="E102" s="557"/>
      <c r="F102" s="557"/>
      <c r="G102" s="557"/>
      <c r="H102" s="557"/>
      <c r="I102" s="557"/>
    </row>
    <row r="103" spans="1:9" hidden="1">
      <c r="A103" s="557"/>
      <c r="B103" s="557"/>
      <c r="C103" s="557"/>
      <c r="D103" s="557"/>
      <c r="E103" s="557"/>
      <c r="F103" s="557"/>
      <c r="G103" s="557"/>
      <c r="H103" s="557"/>
      <c r="I103" s="557"/>
    </row>
    <row r="104" spans="1:9" hidden="1">
      <c r="A104" s="557"/>
      <c r="B104" s="557"/>
      <c r="C104" s="557"/>
      <c r="D104" s="557"/>
      <c r="E104" s="557"/>
      <c r="F104" s="557"/>
      <c r="G104" s="557"/>
      <c r="H104" s="557"/>
      <c r="I104" s="557"/>
    </row>
    <row r="105" spans="1:9" hidden="1">
      <c r="A105" s="557"/>
      <c r="B105" s="557"/>
      <c r="C105" s="557"/>
      <c r="D105" s="557"/>
      <c r="E105" s="557"/>
      <c r="F105" s="557"/>
      <c r="G105" s="557"/>
      <c r="H105" s="557"/>
      <c r="I105" s="557"/>
    </row>
    <row r="106" spans="1:9" hidden="1">
      <c r="A106" s="557"/>
      <c r="B106" s="557"/>
      <c r="C106" s="557"/>
      <c r="D106" s="557"/>
      <c r="E106" s="557"/>
      <c r="F106" s="557"/>
      <c r="G106" s="557"/>
      <c r="H106" s="557"/>
      <c r="I106" s="557"/>
    </row>
    <row r="107" spans="1:9" hidden="1">
      <c r="A107" s="557"/>
      <c r="B107" s="557"/>
      <c r="C107" s="557"/>
      <c r="D107" s="557"/>
      <c r="E107" s="557"/>
      <c r="F107" s="557"/>
      <c r="G107" s="557"/>
      <c r="H107" s="557"/>
      <c r="I107" s="557"/>
    </row>
    <row r="108" spans="1:9" hidden="1">
      <c r="A108" s="557"/>
      <c r="B108" s="557"/>
      <c r="C108" s="557"/>
      <c r="D108" s="557"/>
      <c r="E108" s="557"/>
      <c r="F108" s="557"/>
      <c r="G108" s="557"/>
      <c r="H108" s="557"/>
      <c r="I108" s="557"/>
    </row>
    <row r="109" spans="1:9" hidden="1">
      <c r="A109" s="557"/>
      <c r="B109" s="557"/>
      <c r="C109" s="557"/>
      <c r="D109" s="557"/>
      <c r="E109" s="557"/>
      <c r="F109" s="557"/>
      <c r="G109" s="557"/>
      <c r="H109" s="557"/>
      <c r="I109" s="557"/>
    </row>
    <row r="110" spans="1:9" hidden="1">
      <c r="A110" s="557"/>
      <c r="B110" s="557"/>
      <c r="C110" s="557"/>
      <c r="D110" s="557"/>
      <c r="E110" s="557"/>
      <c r="F110" s="557"/>
      <c r="G110" s="557"/>
      <c r="H110" s="557"/>
      <c r="I110" s="557"/>
    </row>
    <row r="111" spans="1:9" hidden="1">
      <c r="A111" s="557"/>
      <c r="B111" s="557"/>
      <c r="C111" s="557"/>
      <c r="D111" s="557"/>
      <c r="E111" s="557"/>
      <c r="F111" s="557"/>
      <c r="G111" s="557"/>
      <c r="H111" s="557"/>
      <c r="I111" s="557"/>
    </row>
    <row r="112" spans="1:9" hidden="1">
      <c r="A112" s="557"/>
      <c r="B112" s="557"/>
      <c r="C112" s="557"/>
      <c r="D112" s="557"/>
      <c r="E112" s="557"/>
      <c r="F112" s="557"/>
      <c r="G112" s="557"/>
      <c r="H112" s="557"/>
      <c r="I112" s="557"/>
    </row>
    <row r="113" spans="1:9" hidden="1">
      <c r="A113" s="557"/>
      <c r="B113" s="557"/>
      <c r="C113" s="557"/>
      <c r="D113" s="557"/>
      <c r="E113" s="557"/>
      <c r="F113" s="557"/>
      <c r="G113" s="557"/>
      <c r="H113" s="557"/>
      <c r="I113" s="557"/>
    </row>
    <row r="114" spans="1:9" hidden="1">
      <c r="A114" s="557"/>
      <c r="B114" s="557"/>
      <c r="C114" s="557"/>
      <c r="D114" s="557"/>
      <c r="E114" s="557"/>
      <c r="F114" s="557"/>
      <c r="G114" s="557"/>
      <c r="H114" s="557"/>
      <c r="I114" s="557"/>
    </row>
    <row r="115" spans="1:9" hidden="1">
      <c r="A115" s="557"/>
      <c r="B115" s="557"/>
      <c r="C115" s="557"/>
      <c r="D115" s="557"/>
      <c r="E115" s="557"/>
      <c r="F115" s="557"/>
      <c r="G115" s="557"/>
      <c r="H115" s="557"/>
      <c r="I115" s="557"/>
    </row>
    <row r="116" spans="1:9" hidden="1">
      <c r="A116" s="557"/>
      <c r="B116" s="557"/>
      <c r="C116" s="557"/>
      <c r="D116" s="557"/>
      <c r="E116" s="557"/>
      <c r="F116" s="557"/>
      <c r="G116" s="557"/>
      <c r="H116" s="557"/>
      <c r="I116" s="557"/>
    </row>
    <row r="117" spans="1:9" hidden="1">
      <c r="A117" s="557"/>
      <c r="B117" s="557"/>
      <c r="C117" s="557"/>
      <c r="D117" s="557"/>
      <c r="E117" s="557"/>
      <c r="F117" s="557"/>
      <c r="G117" s="557"/>
      <c r="H117" s="557"/>
      <c r="I117" s="557"/>
    </row>
    <row r="118" spans="1:9" hidden="1">
      <c r="A118" s="557"/>
      <c r="B118" s="557"/>
      <c r="C118" s="557"/>
      <c r="D118" s="557"/>
      <c r="E118" s="557"/>
      <c r="F118" s="557"/>
      <c r="G118" s="557"/>
      <c r="H118" s="557"/>
      <c r="I118" s="557"/>
    </row>
    <row r="119" spans="1:9" hidden="1">
      <c r="A119" s="557"/>
      <c r="B119" s="557"/>
      <c r="C119" s="557"/>
      <c r="D119" s="557"/>
      <c r="E119" s="557"/>
      <c r="F119" s="557"/>
      <c r="G119" s="557"/>
      <c r="H119" s="557"/>
      <c r="I119" s="557"/>
    </row>
    <row r="120" spans="1:9" hidden="1">
      <c r="A120" s="557"/>
      <c r="B120" s="557"/>
      <c r="C120" s="557"/>
      <c r="D120" s="557"/>
      <c r="E120" s="557"/>
      <c r="F120" s="557"/>
      <c r="G120" s="557"/>
      <c r="H120" s="557"/>
      <c r="I120" s="557"/>
    </row>
    <row r="121" spans="1:9" hidden="1">
      <c r="A121" s="557"/>
      <c r="B121" s="557"/>
      <c r="C121" s="557"/>
      <c r="D121" s="557"/>
      <c r="E121" s="557"/>
      <c r="F121" s="557"/>
      <c r="G121" s="557"/>
      <c r="H121" s="557"/>
      <c r="I121" s="557"/>
    </row>
    <row r="122" spans="1:9" hidden="1">
      <c r="A122" s="557"/>
      <c r="B122" s="557"/>
      <c r="C122" s="557"/>
      <c r="D122" s="557"/>
      <c r="E122" s="557"/>
      <c r="F122" s="557"/>
      <c r="G122" s="557"/>
      <c r="H122" s="557"/>
      <c r="I122" s="557"/>
    </row>
    <row r="123" spans="1:9" hidden="1">
      <c r="A123" s="557"/>
      <c r="B123" s="557"/>
      <c r="C123" s="557"/>
      <c r="D123" s="557"/>
      <c r="E123" s="557"/>
      <c r="F123" s="557"/>
      <c r="G123" s="557"/>
      <c r="H123" s="557"/>
      <c r="I123" s="557"/>
    </row>
    <row r="124" spans="1:9" hidden="1">
      <c r="A124" s="557"/>
      <c r="B124" s="557"/>
      <c r="C124" s="557"/>
      <c r="D124" s="557"/>
      <c r="E124" s="557"/>
      <c r="F124" s="557"/>
      <c r="G124" s="557"/>
      <c r="H124" s="557"/>
      <c r="I124" s="557"/>
    </row>
    <row r="125" spans="1:9" hidden="1">
      <c r="A125" s="557"/>
      <c r="B125" s="557"/>
      <c r="C125" s="557"/>
      <c r="D125" s="557"/>
      <c r="E125" s="557"/>
      <c r="F125" s="557"/>
      <c r="G125" s="557"/>
      <c r="H125" s="557"/>
      <c r="I125" s="557"/>
    </row>
    <row r="126" spans="1:9" hidden="1">
      <c r="A126" s="557"/>
      <c r="B126" s="557"/>
      <c r="C126" s="557"/>
      <c r="D126" s="557"/>
      <c r="E126" s="557"/>
      <c r="F126" s="557"/>
      <c r="G126" s="557"/>
      <c r="H126" s="557"/>
      <c r="I126" s="557"/>
    </row>
    <row r="127" spans="1:9" hidden="1">
      <c r="A127" s="557"/>
      <c r="B127" s="557"/>
      <c r="C127" s="557"/>
      <c r="D127" s="557"/>
      <c r="E127" s="557"/>
      <c r="F127" s="557"/>
      <c r="G127" s="557"/>
      <c r="H127" s="557"/>
      <c r="I127" s="557"/>
    </row>
    <row r="128" spans="1:9" hidden="1">
      <c r="A128" s="557"/>
      <c r="B128" s="557"/>
      <c r="C128" s="557"/>
      <c r="D128" s="557"/>
      <c r="E128" s="557"/>
      <c r="F128" s="557"/>
      <c r="G128" s="557"/>
      <c r="H128" s="557"/>
      <c r="I128" s="557"/>
    </row>
    <row r="129" spans="1:9" hidden="1">
      <c r="A129" s="557"/>
      <c r="B129" s="557"/>
      <c r="C129" s="557"/>
      <c r="D129" s="557"/>
      <c r="E129" s="557"/>
      <c r="F129" s="557"/>
      <c r="G129" s="557"/>
      <c r="H129" s="557"/>
      <c r="I129" s="557"/>
    </row>
    <row r="130" spans="1:9" hidden="1">
      <c r="A130" s="557"/>
      <c r="B130" s="557"/>
      <c r="C130" s="557"/>
      <c r="D130" s="557"/>
      <c r="E130" s="557"/>
      <c r="F130" s="557"/>
      <c r="G130" s="557"/>
      <c r="H130" s="557"/>
      <c r="I130" s="557"/>
    </row>
    <row r="131" spans="1:9" hidden="1">
      <c r="A131" s="557"/>
      <c r="B131" s="557"/>
      <c r="C131" s="557"/>
      <c r="D131" s="557"/>
      <c r="E131" s="557"/>
      <c r="F131" s="557"/>
      <c r="G131" s="557"/>
      <c r="H131" s="557"/>
      <c r="I131" s="557"/>
    </row>
    <row r="132" spans="1:9" hidden="1">
      <c r="A132" s="557"/>
      <c r="B132" s="557"/>
      <c r="C132" s="557"/>
      <c r="D132" s="557"/>
      <c r="E132" s="557"/>
      <c r="F132" s="557"/>
      <c r="G132" s="557"/>
      <c r="H132" s="557"/>
      <c r="I132" s="557"/>
    </row>
    <row r="133" spans="1:9" hidden="1">
      <c r="A133" s="557"/>
      <c r="B133" s="557"/>
      <c r="C133" s="557"/>
      <c r="D133" s="557"/>
      <c r="E133" s="557"/>
      <c r="F133" s="557"/>
      <c r="G133" s="557"/>
      <c r="H133" s="557"/>
      <c r="I133" s="557"/>
    </row>
    <row r="134" spans="1:9" hidden="1">
      <c r="A134" s="557"/>
      <c r="B134" s="557"/>
      <c r="C134" s="557"/>
      <c r="D134" s="557"/>
      <c r="E134" s="557"/>
      <c r="F134" s="557"/>
      <c r="G134" s="557"/>
      <c r="H134" s="557"/>
      <c r="I134" s="557"/>
    </row>
    <row r="135" spans="1:9" hidden="1">
      <c r="A135" s="557"/>
      <c r="B135" s="557"/>
      <c r="C135" s="557"/>
      <c r="D135" s="557"/>
      <c r="E135" s="557"/>
      <c r="F135" s="557"/>
      <c r="G135" s="557"/>
      <c r="H135" s="557"/>
      <c r="I135" s="557"/>
    </row>
    <row r="136" spans="1:9" hidden="1">
      <c r="A136" s="557"/>
      <c r="B136" s="557"/>
      <c r="C136" s="557"/>
      <c r="D136" s="557"/>
      <c r="E136" s="557"/>
      <c r="F136" s="557"/>
      <c r="G136" s="557"/>
      <c r="H136" s="557"/>
      <c r="I136" s="557"/>
    </row>
    <row r="137" spans="1:9" hidden="1">
      <c r="A137" s="557"/>
      <c r="B137" s="557"/>
      <c r="C137" s="557"/>
      <c r="D137" s="557"/>
      <c r="E137" s="557"/>
      <c r="F137" s="557"/>
      <c r="G137" s="557"/>
      <c r="H137" s="557"/>
      <c r="I137" s="557"/>
    </row>
    <row r="138" spans="1:9" hidden="1">
      <c r="A138" s="557"/>
      <c r="B138" s="557"/>
      <c r="C138" s="557"/>
      <c r="D138" s="557"/>
      <c r="E138" s="557"/>
      <c r="F138" s="557"/>
      <c r="G138" s="557"/>
      <c r="H138" s="557"/>
      <c r="I138" s="557"/>
    </row>
    <row r="139" spans="1:9" hidden="1">
      <c r="A139" s="557"/>
      <c r="B139" s="557"/>
      <c r="C139" s="557"/>
      <c r="D139" s="557"/>
      <c r="E139" s="557"/>
      <c r="F139" s="557"/>
      <c r="G139" s="557"/>
      <c r="H139" s="557"/>
      <c r="I139" s="557"/>
    </row>
    <row r="140" spans="1:9" hidden="1">
      <c r="A140" s="557"/>
      <c r="B140" s="557"/>
      <c r="C140" s="557"/>
      <c r="D140" s="557"/>
      <c r="E140" s="557"/>
      <c r="F140" s="557"/>
      <c r="G140" s="557"/>
      <c r="H140" s="557"/>
      <c r="I140" s="557"/>
    </row>
    <row r="141" spans="1:9" hidden="1">
      <c r="A141" s="557"/>
      <c r="B141" s="557"/>
      <c r="C141" s="557"/>
      <c r="D141" s="557"/>
      <c r="E141" s="557"/>
      <c r="F141" s="557"/>
      <c r="G141" s="557"/>
      <c r="H141" s="557"/>
      <c r="I141" s="557"/>
    </row>
    <row r="142" spans="1:9" hidden="1">
      <c r="A142" s="557"/>
      <c r="B142" s="557"/>
      <c r="C142" s="557"/>
      <c r="D142" s="557"/>
      <c r="E142" s="557"/>
      <c r="F142" s="557"/>
      <c r="G142" s="557"/>
      <c r="H142" s="557"/>
      <c r="I142" s="557"/>
    </row>
    <row r="143" spans="1:9" hidden="1">
      <c r="A143" s="557"/>
      <c r="B143" s="557"/>
      <c r="C143" s="557"/>
      <c r="D143" s="557"/>
      <c r="E143" s="557"/>
      <c r="F143" s="557"/>
      <c r="G143" s="557"/>
      <c r="H143" s="557"/>
      <c r="I143" s="557"/>
    </row>
    <row r="144" spans="1:9" hidden="1">
      <c r="A144" s="557"/>
      <c r="B144" s="557"/>
      <c r="C144" s="557"/>
      <c r="D144" s="557"/>
      <c r="E144" s="557"/>
      <c r="F144" s="557"/>
      <c r="G144" s="557"/>
      <c r="H144" s="557"/>
      <c r="I144" s="557"/>
    </row>
    <row r="145" spans="1:9" hidden="1">
      <c r="A145" s="557"/>
      <c r="B145" s="557"/>
      <c r="C145" s="557"/>
      <c r="D145" s="557"/>
      <c r="E145" s="557"/>
      <c r="F145" s="557"/>
      <c r="G145" s="557"/>
      <c r="H145" s="557"/>
      <c r="I145" s="557"/>
    </row>
    <row r="146" spans="1:9" hidden="1">
      <c r="A146" s="557"/>
      <c r="B146" s="557"/>
      <c r="C146" s="557"/>
      <c r="D146" s="557"/>
      <c r="E146" s="557"/>
      <c r="F146" s="557"/>
      <c r="G146" s="557"/>
      <c r="H146" s="557"/>
      <c r="I146" s="557"/>
    </row>
    <row r="147" spans="1:9" hidden="1">
      <c r="A147" s="557"/>
      <c r="B147" s="557"/>
      <c r="C147" s="557"/>
      <c r="D147" s="557"/>
      <c r="E147" s="557"/>
      <c r="F147" s="557"/>
      <c r="G147" s="557"/>
      <c r="H147" s="557"/>
      <c r="I147" s="557"/>
    </row>
    <row r="148" spans="1:9" hidden="1">
      <c r="A148" s="557"/>
      <c r="B148" s="557"/>
      <c r="C148" s="557"/>
      <c r="D148" s="557"/>
      <c r="E148" s="557"/>
      <c r="F148" s="557"/>
      <c r="G148" s="557"/>
      <c r="H148" s="557"/>
      <c r="I148" s="557"/>
    </row>
    <row r="149" spans="1:9" hidden="1">
      <c r="A149" s="557"/>
      <c r="B149" s="557"/>
      <c r="C149" s="557"/>
      <c r="D149" s="557"/>
      <c r="E149" s="557"/>
      <c r="F149" s="557"/>
      <c r="G149" s="557"/>
      <c r="H149" s="557"/>
      <c r="I149" s="557"/>
    </row>
    <row r="150" spans="1:9" hidden="1">
      <c r="A150" s="557"/>
      <c r="B150" s="557"/>
      <c r="C150" s="557"/>
      <c r="D150" s="557"/>
      <c r="E150" s="557"/>
      <c r="F150" s="557"/>
      <c r="G150" s="557"/>
      <c r="H150" s="557"/>
      <c r="I150" s="557"/>
    </row>
    <row r="151" spans="1:9" hidden="1">
      <c r="A151" s="557"/>
      <c r="B151" s="557"/>
      <c r="C151" s="557"/>
      <c r="D151" s="557"/>
      <c r="E151" s="557"/>
      <c r="F151" s="557"/>
      <c r="G151" s="557"/>
      <c r="H151" s="557"/>
      <c r="I151" s="557"/>
    </row>
    <row r="152" spans="1:9" hidden="1">
      <c r="A152" s="557"/>
      <c r="B152" s="557"/>
      <c r="C152" s="557"/>
      <c r="D152" s="557"/>
      <c r="E152" s="557"/>
      <c r="F152" s="557"/>
      <c r="G152" s="557"/>
      <c r="H152" s="557"/>
      <c r="I152" s="557"/>
    </row>
    <row r="153" spans="1:9" hidden="1">
      <c r="A153" s="557"/>
      <c r="B153" s="557"/>
      <c r="C153" s="557"/>
      <c r="D153" s="557"/>
      <c r="E153" s="557"/>
      <c r="F153" s="557"/>
      <c r="G153" s="557"/>
      <c r="H153" s="557"/>
      <c r="I153" s="557"/>
    </row>
    <row r="154" spans="1:9" hidden="1">
      <c r="A154" s="557"/>
      <c r="B154" s="557"/>
      <c r="C154" s="557"/>
      <c r="D154" s="557"/>
      <c r="E154" s="557"/>
      <c r="F154" s="557"/>
      <c r="G154" s="557"/>
      <c r="H154" s="557"/>
      <c r="I154" s="557"/>
    </row>
    <row r="155" spans="1:9" hidden="1">
      <c r="A155" s="557"/>
      <c r="B155" s="557"/>
      <c r="C155" s="557"/>
      <c r="D155" s="557"/>
      <c r="E155" s="557"/>
      <c r="F155" s="557"/>
      <c r="G155" s="557"/>
      <c r="H155" s="557"/>
      <c r="I155" s="557"/>
    </row>
    <row r="156" spans="1:9" hidden="1">
      <c r="A156" s="557"/>
      <c r="B156" s="557"/>
      <c r="C156" s="557"/>
      <c r="D156" s="557"/>
      <c r="E156" s="557"/>
      <c r="F156" s="557"/>
      <c r="G156" s="557"/>
      <c r="H156" s="557"/>
      <c r="I156" s="557"/>
    </row>
    <row r="157" spans="1:9" hidden="1">
      <c r="A157" s="557"/>
      <c r="B157" s="557"/>
      <c r="C157" s="557"/>
      <c r="D157" s="557"/>
      <c r="E157" s="557"/>
      <c r="F157" s="557"/>
      <c r="G157" s="557"/>
      <c r="H157" s="557"/>
      <c r="I157" s="557"/>
    </row>
    <row r="158" spans="1:9" hidden="1">
      <c r="A158" s="557"/>
      <c r="B158" s="557"/>
      <c r="C158" s="557"/>
      <c r="D158" s="557"/>
      <c r="E158" s="557"/>
      <c r="F158" s="557"/>
      <c r="G158" s="557"/>
      <c r="H158" s="557"/>
      <c r="I158" s="557"/>
    </row>
    <row r="159" spans="1:9" hidden="1">
      <c r="A159" s="557"/>
      <c r="B159" s="557"/>
      <c r="C159" s="557"/>
      <c r="D159" s="557"/>
      <c r="E159" s="557"/>
      <c r="F159" s="557"/>
      <c r="G159" s="557"/>
      <c r="H159" s="557"/>
      <c r="I159" s="557"/>
    </row>
    <row r="160" spans="1:9" hidden="1">
      <c r="A160" s="557"/>
      <c r="B160" s="557"/>
      <c r="C160" s="557"/>
      <c r="D160" s="557"/>
      <c r="E160" s="557"/>
      <c r="F160" s="557"/>
      <c r="G160" s="557"/>
      <c r="H160" s="557"/>
      <c r="I160" s="557"/>
    </row>
    <row r="161" spans="1:9" hidden="1">
      <c r="A161" s="557"/>
      <c r="B161" s="557"/>
      <c r="C161" s="557"/>
      <c r="D161" s="557"/>
      <c r="E161" s="557"/>
      <c r="F161" s="557"/>
      <c r="G161" s="557"/>
      <c r="H161" s="557"/>
      <c r="I161" s="557"/>
    </row>
    <row r="162" spans="1:9" hidden="1">
      <c r="A162" s="557"/>
      <c r="B162" s="557"/>
      <c r="C162" s="557"/>
      <c r="D162" s="557"/>
      <c r="E162" s="557"/>
      <c r="F162" s="557"/>
      <c r="G162" s="557"/>
      <c r="H162" s="557"/>
      <c r="I162" s="557"/>
    </row>
    <row r="163" spans="1:9" hidden="1">
      <c r="A163" s="557"/>
      <c r="B163" s="557"/>
      <c r="C163" s="557"/>
      <c r="D163" s="557"/>
      <c r="E163" s="557"/>
      <c r="F163" s="557"/>
      <c r="G163" s="557"/>
      <c r="H163" s="557"/>
      <c r="I163" s="557"/>
    </row>
    <row r="164" spans="1:9" hidden="1">
      <c r="A164" s="557"/>
      <c r="B164" s="557"/>
      <c r="C164" s="557"/>
      <c r="D164" s="557"/>
      <c r="E164" s="557"/>
      <c r="F164" s="557"/>
      <c r="G164" s="557"/>
      <c r="H164" s="557"/>
      <c r="I164" s="557"/>
    </row>
    <row r="165" spans="1:9" hidden="1">
      <c r="A165" s="557"/>
      <c r="B165" s="557"/>
      <c r="C165" s="557"/>
      <c r="D165" s="557"/>
      <c r="E165" s="557"/>
      <c r="F165" s="557"/>
      <c r="G165" s="557"/>
      <c r="H165" s="557"/>
      <c r="I165" s="557"/>
    </row>
    <row r="166" spans="1:9" hidden="1">
      <c r="A166" s="557"/>
      <c r="B166" s="557"/>
      <c r="C166" s="557"/>
      <c r="D166" s="557"/>
      <c r="E166" s="557"/>
      <c r="F166" s="557"/>
      <c r="G166" s="557"/>
      <c r="H166" s="557"/>
      <c r="I166" s="557"/>
    </row>
    <row r="167" spans="1:9" hidden="1">
      <c r="A167" s="557"/>
      <c r="B167" s="557"/>
      <c r="C167" s="557"/>
      <c r="D167" s="557"/>
      <c r="E167" s="557"/>
      <c r="F167" s="557"/>
      <c r="G167" s="557"/>
      <c r="H167" s="557"/>
      <c r="I167" s="557"/>
    </row>
    <row r="168" spans="1:9" hidden="1">
      <c r="A168" s="557"/>
      <c r="B168" s="557"/>
      <c r="C168" s="557"/>
      <c r="D168" s="557"/>
      <c r="E168" s="557"/>
      <c r="F168" s="557"/>
      <c r="G168" s="557"/>
      <c r="H168" s="557"/>
      <c r="I168" s="557"/>
    </row>
    <row r="169" spans="1:9" hidden="1">
      <c r="A169" s="557"/>
      <c r="B169" s="557"/>
      <c r="C169" s="557"/>
      <c r="D169" s="557"/>
      <c r="E169" s="557"/>
      <c r="F169" s="557"/>
      <c r="G169" s="557"/>
      <c r="H169" s="557"/>
      <c r="I169" s="557"/>
    </row>
    <row r="170" spans="1:9" hidden="1">
      <c r="A170" s="557"/>
      <c r="B170" s="557"/>
      <c r="C170" s="557"/>
      <c r="D170" s="557"/>
      <c r="E170" s="557"/>
      <c r="F170" s="557"/>
      <c r="G170" s="557"/>
      <c r="H170" s="557"/>
      <c r="I170" s="557"/>
    </row>
    <row r="171" spans="1:9" hidden="1">
      <c r="A171" s="557"/>
      <c r="B171" s="557"/>
      <c r="C171" s="557"/>
      <c r="D171" s="557"/>
      <c r="E171" s="557"/>
      <c r="F171" s="557"/>
      <c r="G171" s="557"/>
      <c r="H171" s="557"/>
      <c r="I171" s="557"/>
    </row>
    <row r="172" spans="1:9" hidden="1">
      <c r="A172" s="557"/>
      <c r="B172" s="557"/>
      <c r="C172" s="557"/>
      <c r="D172" s="557"/>
      <c r="E172" s="557"/>
      <c r="F172" s="557"/>
      <c r="G172" s="557"/>
      <c r="H172" s="557"/>
      <c r="I172" s="557"/>
    </row>
    <row r="173" spans="1:9" hidden="1">
      <c r="A173" s="557"/>
      <c r="B173" s="557"/>
      <c r="C173" s="557"/>
      <c r="D173" s="557"/>
      <c r="E173" s="557"/>
      <c r="F173" s="557"/>
      <c r="G173" s="557"/>
      <c r="H173" s="557"/>
      <c r="I173" s="557"/>
    </row>
    <row r="174" spans="1:9" hidden="1">
      <c r="A174" s="557"/>
      <c r="B174" s="557"/>
      <c r="C174" s="557"/>
      <c r="D174" s="557"/>
      <c r="E174" s="557"/>
      <c r="F174" s="557"/>
      <c r="G174" s="557"/>
      <c r="H174" s="557"/>
      <c r="I174" s="557"/>
    </row>
    <row r="175" spans="1:9" hidden="1">
      <c r="A175" s="557"/>
      <c r="B175" s="557"/>
      <c r="E175" s="557"/>
      <c r="F175" s="557"/>
      <c r="G175" s="557"/>
      <c r="H175" s="557"/>
      <c r="I175" s="557"/>
    </row>
    <row r="176" spans="1:9" hidden="1">
      <c r="A176" s="557"/>
      <c r="B176" s="557"/>
      <c r="E176" s="557"/>
      <c r="F176" s="557"/>
      <c r="G176" s="557"/>
      <c r="H176" s="557"/>
      <c r="I176" s="557"/>
    </row>
    <row r="177" spans="1:9" hidden="1">
      <c r="A177" s="557"/>
      <c r="B177" s="557"/>
      <c r="E177" s="557"/>
      <c r="F177" s="557"/>
      <c r="G177" s="557"/>
      <c r="H177" s="557"/>
      <c r="I177" s="557"/>
    </row>
    <row r="178" spans="1:9" hidden="1">
      <c r="A178" s="557"/>
      <c r="B178" s="557"/>
      <c r="C178" s="557"/>
      <c r="D178" s="557"/>
      <c r="E178" s="557"/>
      <c r="F178" s="557"/>
      <c r="G178" s="557"/>
      <c r="H178" s="557"/>
      <c r="I178" s="557"/>
    </row>
    <row r="179" spans="1:9" hidden="1">
      <c r="A179" s="557"/>
      <c r="B179" s="557"/>
      <c r="C179" s="557"/>
      <c r="D179" s="557"/>
      <c r="E179" s="557"/>
      <c r="F179" s="557"/>
      <c r="G179" s="557"/>
      <c r="H179" s="557"/>
      <c r="I179" s="557"/>
    </row>
    <row r="180" spans="1:9" hidden="1">
      <c r="A180" s="557"/>
      <c r="B180" s="557"/>
      <c r="C180" s="557"/>
      <c r="D180" s="557"/>
      <c r="E180" s="557"/>
      <c r="F180" s="557"/>
      <c r="G180" s="557"/>
      <c r="H180" s="557"/>
      <c r="I180" s="557"/>
    </row>
    <row r="181" spans="1:9" hidden="1">
      <c r="A181" s="557"/>
      <c r="B181" s="557"/>
      <c r="C181" s="557"/>
      <c r="D181" s="557"/>
      <c r="E181" s="557"/>
      <c r="F181" s="557"/>
      <c r="G181" s="557"/>
      <c r="H181" s="557"/>
      <c r="I181" s="557"/>
    </row>
    <row r="182" spans="1:9">
      <c r="A182" s="557"/>
      <c r="B182" s="557"/>
      <c r="C182" s="557"/>
      <c r="D182" s="557"/>
      <c r="E182" s="557"/>
      <c r="F182" s="557"/>
      <c r="G182" s="557"/>
      <c r="H182" s="557"/>
      <c r="I182" s="557"/>
    </row>
    <row r="183" spans="1:9">
      <c r="A183" s="557"/>
      <c r="B183" s="557"/>
      <c r="C183" s="557"/>
      <c r="D183" s="557"/>
      <c r="E183" s="557"/>
      <c r="F183" s="557"/>
      <c r="G183" s="557"/>
      <c r="H183" s="557"/>
      <c r="I183" s="557"/>
    </row>
    <row r="184" spans="1:9">
      <c r="A184" s="557"/>
      <c r="B184" s="557"/>
      <c r="C184" s="557"/>
      <c r="D184" s="557"/>
      <c r="E184" s="557"/>
      <c r="F184" s="557"/>
      <c r="G184" s="557"/>
      <c r="H184" s="557"/>
      <c r="I184" s="557"/>
    </row>
    <row r="185" spans="1:9">
      <c r="A185" s="557"/>
      <c r="B185" s="557"/>
      <c r="C185" s="557"/>
      <c r="D185" s="557"/>
      <c r="E185" s="557"/>
      <c r="F185" s="557"/>
      <c r="G185" s="557"/>
      <c r="H185" s="557"/>
      <c r="I185" s="557"/>
    </row>
    <row r="186" spans="1:9">
      <c r="A186" s="557"/>
      <c r="B186" s="557"/>
      <c r="C186" s="557"/>
      <c r="D186" s="557"/>
      <c r="E186" s="557"/>
      <c r="F186" s="557"/>
      <c r="G186" s="557"/>
      <c r="H186" s="557"/>
      <c r="I186" s="557"/>
    </row>
    <row r="187" spans="1:9">
      <c r="A187" s="557"/>
      <c r="B187" s="557"/>
      <c r="C187" s="557"/>
      <c r="D187" s="557"/>
      <c r="E187" s="557"/>
      <c r="F187" s="557"/>
      <c r="G187" s="557"/>
      <c r="H187" s="557"/>
      <c r="I187" s="557"/>
    </row>
    <row r="188" spans="1:9">
      <c r="A188" s="557"/>
      <c r="B188" s="557"/>
      <c r="C188" s="557"/>
      <c r="D188" s="557"/>
      <c r="E188" s="557"/>
      <c r="F188" s="557"/>
      <c r="G188" s="557"/>
      <c r="H188" s="557"/>
      <c r="I188" s="557"/>
    </row>
    <row r="189" spans="1:9">
      <c r="A189" s="557"/>
      <c r="B189" s="557"/>
      <c r="C189" s="557"/>
      <c r="D189" s="557"/>
      <c r="E189" s="557"/>
      <c r="F189" s="557"/>
      <c r="G189" s="557"/>
      <c r="H189" s="557"/>
      <c r="I189" s="557"/>
    </row>
    <row r="190" spans="1:9">
      <c r="A190" s="557"/>
      <c r="B190" s="557"/>
      <c r="C190" s="557"/>
      <c r="D190" s="557"/>
      <c r="E190" s="557"/>
      <c r="F190" s="557"/>
      <c r="G190" s="557"/>
      <c r="H190" s="557"/>
      <c r="I190" s="557"/>
    </row>
    <row r="191" spans="1:9">
      <c r="A191" s="557"/>
      <c r="B191" s="557"/>
      <c r="C191" s="557"/>
      <c r="D191" s="557"/>
      <c r="E191" s="557"/>
      <c r="F191" s="557"/>
      <c r="G191" s="557"/>
      <c r="H191" s="557"/>
      <c r="I191" s="557"/>
    </row>
    <row r="192" spans="1:9">
      <c r="A192" s="557"/>
      <c r="B192" s="557"/>
      <c r="C192" s="557"/>
      <c r="D192" s="557"/>
      <c r="E192" s="557"/>
      <c r="F192" s="557"/>
      <c r="G192" s="557"/>
      <c r="H192" s="557"/>
      <c r="I192" s="557"/>
    </row>
    <row r="193" spans="1:9">
      <c r="A193" s="557"/>
      <c r="B193" s="557"/>
      <c r="C193" s="557"/>
      <c r="D193" s="557"/>
      <c r="E193" s="557"/>
      <c r="F193" s="557"/>
      <c r="G193" s="557"/>
      <c r="H193" s="557"/>
      <c r="I193" s="557"/>
    </row>
    <row r="194" spans="1:9">
      <c r="A194" s="557"/>
      <c r="B194" s="557"/>
      <c r="C194" s="557"/>
      <c r="D194" s="557"/>
      <c r="E194" s="557"/>
      <c r="F194" s="557"/>
      <c r="G194" s="557"/>
      <c r="H194" s="557"/>
      <c r="I194" s="557"/>
    </row>
    <row r="195" spans="1:9">
      <c r="A195" s="557"/>
      <c r="B195" s="557"/>
      <c r="C195" s="557"/>
      <c r="D195" s="557"/>
      <c r="E195" s="557"/>
      <c r="F195" s="557"/>
      <c r="G195" s="557"/>
      <c r="H195" s="557"/>
      <c r="I195" s="557"/>
    </row>
    <row r="196" spans="1:9">
      <c r="A196" s="557"/>
      <c r="B196" s="557"/>
      <c r="C196" s="557"/>
      <c r="D196" s="557"/>
      <c r="E196" s="557"/>
      <c r="F196" s="557"/>
      <c r="G196" s="557"/>
      <c r="H196" s="557"/>
      <c r="I196" s="557"/>
    </row>
    <row r="197" spans="1:9">
      <c r="A197" s="557"/>
      <c r="B197" s="557"/>
      <c r="C197" s="557"/>
      <c r="D197" s="557"/>
      <c r="E197" s="557"/>
      <c r="F197" s="557"/>
      <c r="G197" s="557"/>
      <c r="H197" s="557"/>
      <c r="I197" s="557"/>
    </row>
    <row r="198" spans="1:9">
      <c r="A198" s="557"/>
      <c r="B198" s="557"/>
      <c r="C198" s="557"/>
      <c r="D198" s="557"/>
      <c r="E198" s="557"/>
      <c r="F198" s="557"/>
      <c r="G198" s="557"/>
      <c r="H198" s="557"/>
      <c r="I198" s="557"/>
    </row>
    <row r="199" spans="1:9">
      <c r="A199" s="557"/>
      <c r="B199" s="557"/>
      <c r="C199" s="557"/>
      <c r="D199" s="557"/>
      <c r="E199" s="557"/>
      <c r="F199" s="557"/>
      <c r="G199" s="557"/>
      <c r="H199" s="557"/>
      <c r="I199" s="557"/>
    </row>
    <row r="200" spans="1:9">
      <c r="A200" s="557"/>
      <c r="B200" s="557"/>
      <c r="C200" s="557"/>
      <c r="D200" s="557"/>
      <c r="E200" s="557"/>
      <c r="F200" s="557"/>
      <c r="G200" s="557"/>
      <c r="H200" s="557"/>
      <c r="I200" s="557"/>
    </row>
    <row r="201" spans="1:9">
      <c r="A201" s="557"/>
      <c r="B201" s="557"/>
      <c r="C201" s="557"/>
      <c r="D201" s="557"/>
      <c r="E201" s="557"/>
      <c r="F201" s="557"/>
      <c r="G201" s="557"/>
      <c r="H201" s="557"/>
      <c r="I201" s="557"/>
    </row>
    <row r="202" spans="1:9">
      <c r="A202" s="557"/>
      <c r="B202" s="557"/>
      <c r="C202" s="557"/>
      <c r="D202" s="557"/>
      <c r="E202" s="557"/>
      <c r="F202" s="557"/>
      <c r="G202" s="557"/>
      <c r="H202" s="557"/>
      <c r="I202" s="557"/>
    </row>
    <row r="203" spans="1:9">
      <c r="A203" s="557"/>
      <c r="B203" s="557"/>
      <c r="C203" s="557"/>
      <c r="D203" s="557"/>
      <c r="E203" s="557"/>
      <c r="F203" s="557"/>
      <c r="G203" s="557"/>
      <c r="H203" s="557"/>
      <c r="I203" s="557"/>
    </row>
    <row r="204" spans="1:9">
      <c r="A204" s="557"/>
      <c r="B204" s="557"/>
      <c r="C204" s="557"/>
      <c r="D204" s="557"/>
      <c r="E204" s="557"/>
      <c r="F204" s="557"/>
      <c r="G204" s="557"/>
      <c r="H204" s="557"/>
      <c r="I204" s="557"/>
    </row>
    <row r="205" spans="1:9">
      <c r="A205" s="557"/>
      <c r="B205" s="557"/>
      <c r="C205" s="557"/>
      <c r="D205" s="557"/>
      <c r="E205" s="557"/>
      <c r="F205" s="557"/>
      <c r="G205" s="557"/>
      <c r="H205" s="557"/>
      <c r="I205" s="557"/>
    </row>
    <row r="206" spans="1:9">
      <c r="A206" s="557"/>
      <c r="B206" s="557"/>
      <c r="C206" s="557"/>
      <c r="D206" s="557"/>
      <c r="E206" s="557"/>
      <c r="F206" s="557"/>
      <c r="G206" s="557"/>
      <c r="H206" s="557"/>
      <c r="I206" s="557"/>
    </row>
    <row r="207" spans="1:9">
      <c r="A207" s="557"/>
      <c r="B207" s="557"/>
      <c r="C207" s="557"/>
      <c r="D207" s="557"/>
      <c r="E207" s="557"/>
      <c r="F207" s="557"/>
      <c r="G207" s="557"/>
      <c r="H207" s="557"/>
      <c r="I207" s="557"/>
    </row>
    <row r="208" spans="1:9">
      <c r="A208" s="557"/>
      <c r="B208" s="557"/>
      <c r="C208" s="557"/>
      <c r="D208" s="557"/>
      <c r="E208" s="557"/>
      <c r="F208" s="557"/>
      <c r="G208" s="557"/>
      <c r="H208" s="557"/>
      <c r="I208" s="557"/>
    </row>
    <row r="209" spans="1:9">
      <c r="A209" s="557"/>
      <c r="B209" s="557"/>
      <c r="C209" s="557"/>
      <c r="D209" s="557"/>
      <c r="E209" s="557"/>
      <c r="F209" s="557"/>
      <c r="G209" s="557"/>
      <c r="H209" s="557"/>
      <c r="I209" s="557"/>
    </row>
    <row r="210" spans="1:9">
      <c r="A210" s="557"/>
      <c r="B210" s="557"/>
      <c r="C210" s="557"/>
      <c r="D210" s="557"/>
      <c r="E210" s="557"/>
      <c r="F210" s="557"/>
      <c r="G210" s="557"/>
      <c r="H210" s="557"/>
      <c r="I210" s="557"/>
    </row>
    <row r="211" spans="1:9">
      <c r="A211" s="557"/>
      <c r="B211" s="557"/>
      <c r="C211" s="557"/>
      <c r="D211" s="557"/>
      <c r="E211" s="557"/>
      <c r="F211" s="557"/>
      <c r="G211" s="557"/>
      <c r="H211" s="557"/>
      <c r="I211" s="557"/>
    </row>
    <row r="212" spans="1:9">
      <c r="A212" s="557"/>
      <c r="B212" s="557"/>
      <c r="C212" s="557"/>
      <c r="D212" s="557"/>
      <c r="E212" s="557"/>
      <c r="F212" s="557"/>
      <c r="G212" s="557"/>
      <c r="H212" s="557"/>
      <c r="I212" s="557"/>
    </row>
    <row r="213" spans="1:9">
      <c r="A213" s="557"/>
      <c r="B213" s="557"/>
      <c r="C213" s="557"/>
      <c r="D213" s="557"/>
      <c r="E213" s="557"/>
      <c r="F213" s="557"/>
      <c r="G213" s="557"/>
      <c r="H213" s="557"/>
      <c r="I213" s="557"/>
    </row>
    <row r="214" spans="1:9">
      <c r="A214" s="557"/>
      <c r="B214" s="557"/>
      <c r="C214" s="557"/>
      <c r="D214" s="557"/>
      <c r="E214" s="557"/>
      <c r="F214" s="557"/>
      <c r="G214" s="557"/>
      <c r="H214" s="557"/>
      <c r="I214" s="557"/>
    </row>
    <row r="215" spans="1:9">
      <c r="A215" s="557"/>
      <c r="B215" s="557"/>
      <c r="C215" s="557"/>
      <c r="D215" s="557"/>
      <c r="E215" s="557"/>
      <c r="F215" s="557"/>
      <c r="G215" s="557"/>
      <c r="H215" s="557"/>
      <c r="I215" s="557"/>
    </row>
    <row r="216" spans="1:9">
      <c r="A216" s="557"/>
      <c r="B216" s="557"/>
      <c r="C216" s="557"/>
      <c r="D216" s="557"/>
      <c r="E216" s="557"/>
      <c r="F216" s="557"/>
      <c r="G216" s="557"/>
      <c r="H216" s="557"/>
      <c r="I216" s="557"/>
    </row>
    <row r="217" spans="1:9">
      <c r="A217" s="557"/>
      <c r="B217" s="557"/>
      <c r="C217" s="557"/>
      <c r="D217" s="557"/>
      <c r="E217" s="557"/>
      <c r="F217" s="557"/>
      <c r="G217" s="557"/>
      <c r="H217" s="557"/>
      <c r="I217" s="557"/>
    </row>
    <row r="218" spans="1:9">
      <c r="A218" s="557"/>
      <c r="B218" s="557"/>
      <c r="C218" s="557"/>
      <c r="D218" s="557"/>
      <c r="E218" s="557"/>
      <c r="F218" s="557"/>
      <c r="G218" s="557"/>
      <c r="H218" s="557"/>
      <c r="I218" s="557"/>
    </row>
    <row r="219" spans="1:9">
      <c r="A219" s="557"/>
      <c r="B219" s="557"/>
      <c r="C219" s="557"/>
      <c r="D219" s="557"/>
      <c r="E219" s="557"/>
      <c r="F219" s="557"/>
      <c r="G219" s="557"/>
      <c r="H219" s="557"/>
      <c r="I219" s="557"/>
    </row>
    <row r="220" spans="1:9">
      <c r="A220" s="557"/>
      <c r="B220" s="557"/>
      <c r="C220" s="557"/>
      <c r="D220" s="557"/>
      <c r="E220" s="557"/>
      <c r="F220" s="557"/>
      <c r="G220" s="557"/>
      <c r="H220" s="557"/>
      <c r="I220" s="557"/>
    </row>
    <row r="221" spans="1:9">
      <c r="A221" s="557"/>
      <c r="B221" s="557"/>
      <c r="C221" s="557"/>
      <c r="D221" s="557"/>
      <c r="E221" s="557"/>
      <c r="F221" s="557"/>
      <c r="G221" s="557"/>
      <c r="H221" s="557"/>
      <c r="I221" s="557"/>
    </row>
    <row r="222" spans="1:9">
      <c r="A222" s="557"/>
      <c r="B222" s="557"/>
      <c r="C222" s="557"/>
      <c r="D222" s="557"/>
      <c r="E222" s="557"/>
      <c r="F222" s="557"/>
      <c r="G222" s="557"/>
      <c r="H222" s="557"/>
      <c r="I222" s="557"/>
    </row>
    <row r="223" spans="1:9">
      <c r="A223" s="557"/>
      <c r="B223" s="557"/>
      <c r="C223" s="557"/>
      <c r="D223" s="557"/>
      <c r="E223" s="557"/>
      <c r="F223" s="557"/>
      <c r="G223" s="557"/>
      <c r="H223" s="557"/>
      <c r="I223" s="557"/>
    </row>
    <row r="224" spans="1:9">
      <c r="A224" s="557"/>
      <c r="B224" s="557"/>
      <c r="C224" s="557"/>
      <c r="D224" s="557"/>
      <c r="E224" s="557"/>
      <c r="F224" s="557"/>
      <c r="G224" s="557"/>
      <c r="H224" s="557"/>
      <c r="I224" s="557"/>
    </row>
    <row r="225" spans="1:9">
      <c r="A225" s="557"/>
      <c r="B225" s="557"/>
      <c r="C225" s="557"/>
      <c r="D225" s="557"/>
      <c r="E225" s="557"/>
      <c r="F225" s="557"/>
      <c r="G225" s="557"/>
      <c r="H225" s="557"/>
      <c r="I225" s="557"/>
    </row>
    <row r="226" spans="1:9">
      <c r="A226" s="557"/>
      <c r="B226" s="557"/>
      <c r="C226" s="557"/>
      <c r="D226" s="557"/>
      <c r="E226" s="557"/>
      <c r="F226" s="557"/>
      <c r="G226" s="557"/>
      <c r="H226" s="557"/>
      <c r="I226" s="557"/>
    </row>
    <row r="227" spans="1:9">
      <c r="A227" s="557"/>
      <c r="B227" s="557"/>
      <c r="C227" s="557"/>
      <c r="D227" s="557"/>
      <c r="E227" s="557"/>
      <c r="F227" s="557"/>
      <c r="G227" s="557"/>
      <c r="H227" s="557"/>
      <c r="I227" s="557"/>
    </row>
    <row r="228" spans="1:9">
      <c r="A228" s="557"/>
      <c r="B228" s="557"/>
      <c r="C228" s="557"/>
      <c r="D228" s="557"/>
      <c r="E228" s="557"/>
      <c r="F228" s="557"/>
      <c r="G228" s="557"/>
      <c r="H228" s="557"/>
      <c r="I228" s="557"/>
    </row>
    <row r="229" spans="1:9">
      <c r="A229" s="557"/>
      <c r="B229" s="557"/>
      <c r="C229" s="557"/>
      <c r="D229" s="557"/>
      <c r="E229" s="557"/>
      <c r="F229" s="557"/>
      <c r="G229" s="557"/>
      <c r="H229" s="557"/>
      <c r="I229" s="557"/>
    </row>
    <row r="230" spans="1:9">
      <c r="A230" s="557"/>
      <c r="B230" s="557"/>
      <c r="C230" s="557"/>
      <c r="D230" s="557"/>
      <c r="E230" s="557"/>
      <c r="F230" s="557"/>
      <c r="G230" s="557"/>
      <c r="H230" s="557"/>
      <c r="I230" s="557"/>
    </row>
    <row r="231" spans="1:9">
      <c r="A231" s="557"/>
      <c r="B231" s="557"/>
      <c r="C231" s="557"/>
      <c r="D231" s="557"/>
      <c r="E231" s="557"/>
      <c r="F231" s="557"/>
      <c r="G231" s="557"/>
      <c r="H231" s="557"/>
      <c r="I231" s="557"/>
    </row>
    <row r="232" spans="1:9">
      <c r="A232" s="557"/>
      <c r="B232" s="557"/>
      <c r="C232" s="557"/>
      <c r="D232" s="557"/>
      <c r="E232" s="557"/>
      <c r="F232" s="557"/>
      <c r="G232" s="557"/>
      <c r="H232" s="557"/>
      <c r="I232" s="557"/>
    </row>
    <row r="233" spans="1:9">
      <c r="A233" s="557"/>
      <c r="B233" s="557"/>
      <c r="C233" s="557"/>
      <c r="D233" s="557"/>
      <c r="E233" s="557"/>
      <c r="F233" s="557"/>
      <c r="G233" s="557"/>
      <c r="H233" s="557"/>
      <c r="I233" s="557"/>
    </row>
    <row r="234" spans="1:9">
      <c r="A234" s="557"/>
      <c r="B234" s="557"/>
      <c r="C234" s="557"/>
      <c r="D234" s="557"/>
      <c r="E234" s="557"/>
      <c r="F234" s="557"/>
      <c r="G234" s="557"/>
      <c r="H234" s="557"/>
      <c r="I234" s="557"/>
    </row>
    <row r="235" spans="1:9">
      <c r="A235" s="557"/>
      <c r="B235" s="557"/>
      <c r="C235" s="557"/>
      <c r="D235" s="557"/>
      <c r="E235" s="557"/>
      <c r="F235" s="557"/>
      <c r="G235" s="557"/>
      <c r="H235" s="557"/>
      <c r="I235" s="557"/>
    </row>
    <row r="236" spans="1:9">
      <c r="A236" s="557"/>
      <c r="B236" s="557"/>
      <c r="C236" s="557"/>
      <c r="D236" s="557"/>
      <c r="E236" s="557"/>
      <c r="F236" s="557"/>
      <c r="G236" s="557"/>
      <c r="H236" s="557"/>
      <c r="I236" s="557"/>
    </row>
    <row r="237" spans="1:9">
      <c r="A237" s="557"/>
      <c r="B237" s="557"/>
      <c r="C237" s="557"/>
      <c r="D237" s="557"/>
      <c r="E237" s="557"/>
      <c r="F237" s="557"/>
      <c r="G237" s="557"/>
      <c r="H237" s="557"/>
      <c r="I237" s="557"/>
    </row>
    <row r="238" spans="1:9">
      <c r="A238" s="557"/>
      <c r="B238" s="557"/>
      <c r="C238" s="557"/>
      <c r="D238" s="557"/>
      <c r="E238" s="557"/>
      <c r="F238" s="557"/>
      <c r="G238" s="557"/>
      <c r="H238" s="557"/>
      <c r="I238" s="557"/>
    </row>
    <row r="239" spans="1:9">
      <c r="A239" s="557"/>
      <c r="B239" s="557"/>
      <c r="C239" s="557"/>
      <c r="D239" s="557"/>
      <c r="E239" s="557"/>
      <c r="F239" s="557"/>
      <c r="G239" s="557"/>
      <c r="H239" s="557"/>
      <c r="I239" s="557"/>
    </row>
    <row r="240" spans="1:9">
      <c r="A240" s="557"/>
      <c r="B240" s="557"/>
      <c r="C240" s="557"/>
      <c r="D240" s="557"/>
      <c r="E240" s="557"/>
      <c r="F240" s="557"/>
      <c r="G240" s="557"/>
      <c r="H240" s="557"/>
      <c r="I240" s="557"/>
    </row>
    <row r="241" spans="1:9">
      <c r="A241" s="557"/>
      <c r="B241" s="557"/>
      <c r="C241" s="557"/>
      <c r="D241" s="557"/>
      <c r="E241" s="557"/>
      <c r="F241" s="557"/>
      <c r="G241" s="557"/>
      <c r="H241" s="557"/>
      <c r="I241" s="557"/>
    </row>
    <row r="242" spans="1:9">
      <c r="A242" s="557"/>
      <c r="B242" s="557"/>
      <c r="C242" s="557"/>
      <c r="D242" s="557"/>
      <c r="E242" s="557"/>
      <c r="F242" s="557"/>
    </row>
    <row r="243" spans="1:9">
      <c r="A243" s="557"/>
      <c r="B243" s="557"/>
      <c r="C243" s="557"/>
      <c r="D243" s="557"/>
      <c r="E243" s="557"/>
      <c r="F243" s="557"/>
    </row>
    <row r="244" spans="1:9">
      <c r="A244" s="557"/>
      <c r="B244" s="557"/>
      <c r="C244" s="557"/>
      <c r="D244" s="557"/>
      <c r="E244" s="557"/>
      <c r="F244" s="557"/>
    </row>
    <row r="245" spans="1:9">
      <c r="A245" s="557"/>
      <c r="B245" s="557"/>
      <c r="C245" s="557"/>
      <c r="D245" s="557"/>
      <c r="E245" s="557"/>
      <c r="F245" s="557"/>
    </row>
    <row r="246" spans="1:9">
      <c r="A246" s="557"/>
      <c r="B246" s="557"/>
      <c r="C246" s="557"/>
      <c r="D246" s="557"/>
      <c r="E246" s="557"/>
      <c r="F246" s="557"/>
    </row>
    <row r="247" spans="1:9">
      <c r="A247" s="557"/>
      <c r="B247" s="557"/>
      <c r="C247" s="557"/>
      <c r="D247" s="557"/>
      <c r="E247" s="557"/>
      <c r="F247" s="557"/>
    </row>
    <row r="248" spans="1:9">
      <c r="A248" s="557"/>
      <c r="B248" s="557"/>
      <c r="C248" s="557"/>
      <c r="D248" s="557"/>
      <c r="E248" s="557"/>
      <c r="F248" s="557"/>
    </row>
    <row r="249" spans="1:9">
      <c r="A249" s="557"/>
      <c r="B249" s="557"/>
      <c r="C249" s="557"/>
      <c r="D249" s="557"/>
      <c r="E249" s="557"/>
      <c r="F249" s="557"/>
    </row>
    <row r="250" spans="1:9">
      <c r="A250" s="557"/>
      <c r="B250" s="557"/>
      <c r="C250" s="557"/>
      <c r="D250" s="557"/>
      <c r="E250" s="557"/>
      <c r="F250" s="557"/>
    </row>
    <row r="251" spans="1:9">
      <c r="A251" s="557"/>
      <c r="B251" s="557"/>
      <c r="C251" s="557"/>
      <c r="D251" s="557"/>
      <c r="E251" s="557"/>
      <c r="F251" s="557"/>
    </row>
    <row r="252" spans="1:9">
      <c r="A252" s="557"/>
      <c r="B252" s="557"/>
      <c r="C252" s="557"/>
      <c r="D252" s="557"/>
      <c r="E252" s="557"/>
      <c r="F252" s="557"/>
    </row>
    <row r="253" spans="1:9">
      <c r="A253" s="557"/>
      <c r="B253" s="557"/>
      <c r="C253" s="557"/>
      <c r="D253" s="557"/>
      <c r="E253" s="557"/>
      <c r="F253" s="557"/>
    </row>
    <row r="254" spans="1:9">
      <c r="A254" s="557"/>
      <c r="B254" s="557"/>
      <c r="C254" s="557"/>
      <c r="D254" s="557"/>
      <c r="E254" s="557"/>
      <c r="F254" s="557"/>
    </row>
    <row r="255" spans="1:9">
      <c r="A255" s="557"/>
      <c r="B255" s="557"/>
      <c r="C255" s="557"/>
      <c r="D255" s="557"/>
      <c r="E255" s="557"/>
      <c r="F255" s="557"/>
    </row>
    <row r="256" spans="1:9">
      <c r="A256" s="557"/>
      <c r="B256" s="557"/>
      <c r="C256" s="557"/>
      <c r="D256" s="557"/>
      <c r="E256" s="557"/>
      <c r="F256" s="557"/>
    </row>
    <row r="257" spans="1:6">
      <c r="A257" s="557"/>
      <c r="B257" s="557"/>
      <c r="C257" s="557"/>
      <c r="D257" s="557"/>
      <c r="E257" s="557"/>
      <c r="F257" s="557"/>
    </row>
    <row r="258" spans="1:6">
      <c r="A258" s="557"/>
      <c r="B258" s="557"/>
      <c r="C258" s="557"/>
      <c r="D258" s="557"/>
      <c r="E258" s="557"/>
      <c r="F258" s="557"/>
    </row>
    <row r="259" spans="1:6">
      <c r="A259" s="557"/>
      <c r="B259" s="557"/>
      <c r="C259" s="557"/>
      <c r="D259" s="557"/>
      <c r="E259" s="557"/>
      <c r="F259" s="557"/>
    </row>
    <row r="260" spans="1:6">
      <c r="A260" s="557"/>
      <c r="B260" s="557"/>
      <c r="C260" s="557"/>
      <c r="D260" s="557"/>
      <c r="E260" s="557"/>
      <c r="F260" s="557"/>
    </row>
    <row r="261" spans="1:6">
      <c r="A261" s="557"/>
      <c r="B261" s="557"/>
      <c r="C261" s="557"/>
      <c r="D261" s="557"/>
      <c r="E261" s="557"/>
      <c r="F261" s="557"/>
    </row>
    <row r="262" spans="1:6">
      <c r="A262" s="557"/>
      <c r="B262" s="557"/>
      <c r="C262" s="557"/>
      <c r="D262" s="557"/>
      <c r="E262" s="557"/>
      <c r="F262" s="557"/>
    </row>
    <row r="263" spans="1:6">
      <c r="A263" s="557"/>
      <c r="B263" s="557"/>
      <c r="C263" s="557"/>
      <c r="D263" s="557"/>
      <c r="E263" s="557"/>
      <c r="F263" s="557"/>
    </row>
    <row r="264" spans="1:6">
      <c r="A264" s="557"/>
      <c r="B264" s="557"/>
      <c r="C264" s="557"/>
      <c r="D264" s="557"/>
      <c r="E264" s="557"/>
      <c r="F264" s="557"/>
    </row>
    <row r="265" spans="1:6">
      <c r="A265" s="557"/>
      <c r="B265" s="557"/>
      <c r="C265" s="557"/>
      <c r="D265" s="557"/>
      <c r="E265" s="557"/>
      <c r="F265" s="557"/>
    </row>
    <row r="266" spans="1:6">
      <c r="A266" s="557"/>
      <c r="B266" s="557"/>
      <c r="C266" s="557"/>
      <c r="D266" s="557"/>
      <c r="E266" s="557"/>
      <c r="F266" s="557"/>
    </row>
    <row r="267" spans="1:6">
      <c r="A267" s="557"/>
      <c r="B267" s="557"/>
      <c r="C267" s="557"/>
      <c r="D267" s="557"/>
      <c r="E267" s="557"/>
      <c r="F267" s="557"/>
    </row>
    <row r="268" spans="1:6">
      <c r="A268" s="557"/>
      <c r="B268" s="557"/>
      <c r="C268" s="557"/>
      <c r="D268" s="557"/>
      <c r="E268" s="557"/>
      <c r="F268" s="557"/>
    </row>
    <row r="269" spans="1:6">
      <c r="A269" s="557"/>
      <c r="B269" s="557"/>
      <c r="C269" s="557"/>
      <c r="D269" s="557"/>
      <c r="E269" s="557"/>
      <c r="F269" s="557"/>
    </row>
    <row r="270" spans="1:6">
      <c r="A270" s="557"/>
      <c r="B270" s="557"/>
      <c r="C270" s="557"/>
      <c r="D270" s="557"/>
      <c r="E270" s="557"/>
      <c r="F270" s="557"/>
    </row>
    <row r="271" spans="1:6">
      <c r="A271" s="557"/>
      <c r="B271" s="557"/>
      <c r="C271" s="557"/>
      <c r="D271" s="557"/>
      <c r="E271" s="557"/>
      <c r="F271" s="557"/>
    </row>
    <row r="272" spans="1:6">
      <c r="A272" s="557"/>
      <c r="B272" s="557"/>
      <c r="C272" s="557"/>
      <c r="D272" s="557"/>
      <c r="E272" s="557"/>
      <c r="F272" s="557"/>
    </row>
    <row r="273" spans="1:6">
      <c r="A273" s="557"/>
      <c r="B273" s="557"/>
      <c r="C273" s="557"/>
      <c r="D273" s="557"/>
      <c r="E273" s="557"/>
      <c r="F273" s="557"/>
    </row>
    <row r="274" spans="1:6">
      <c r="A274" s="557"/>
      <c r="B274" s="557"/>
      <c r="C274" s="557"/>
      <c r="D274" s="557"/>
      <c r="E274" s="557"/>
      <c r="F274" s="557"/>
    </row>
    <row r="275" spans="1:6">
      <c r="A275" s="557"/>
      <c r="B275" s="557"/>
      <c r="C275" s="557"/>
      <c r="D275" s="557"/>
      <c r="E275" s="557"/>
      <c r="F275" s="557"/>
    </row>
    <row r="276" spans="1:6">
      <c r="A276" s="557"/>
      <c r="B276" s="557"/>
      <c r="C276" s="557"/>
      <c r="D276" s="557"/>
      <c r="E276" s="557"/>
      <c r="F276" s="557"/>
    </row>
    <row r="277" spans="1:6">
      <c r="A277" s="557"/>
      <c r="B277" s="557"/>
      <c r="C277" s="557"/>
      <c r="D277" s="557"/>
      <c r="E277" s="557"/>
      <c r="F277" s="557"/>
    </row>
    <row r="278" spans="1:6">
      <c r="A278" s="557"/>
      <c r="B278" s="557"/>
      <c r="C278" s="557"/>
      <c r="D278" s="557"/>
      <c r="E278" s="557"/>
      <c r="F278" s="557"/>
    </row>
    <row r="279" spans="1:6">
      <c r="A279" s="557"/>
      <c r="B279" s="557"/>
      <c r="C279" s="557"/>
      <c r="D279" s="557"/>
      <c r="E279" s="557"/>
      <c r="F279" s="557"/>
    </row>
    <row r="280" spans="1:6">
      <c r="A280" s="557"/>
      <c r="B280" s="557"/>
      <c r="C280" s="557"/>
      <c r="D280" s="557"/>
      <c r="E280" s="557"/>
      <c r="F280" s="557"/>
    </row>
    <row r="281" spans="1:6">
      <c r="A281" s="557"/>
      <c r="B281" s="557"/>
      <c r="C281" s="557"/>
      <c r="D281" s="557"/>
      <c r="E281" s="557"/>
      <c r="F281" s="557"/>
    </row>
    <row r="282" spans="1:6">
      <c r="A282" s="557"/>
      <c r="B282" s="557"/>
      <c r="C282" s="557"/>
      <c r="D282" s="557"/>
      <c r="E282" s="557"/>
      <c r="F282" s="557"/>
    </row>
    <row r="283" spans="1:6">
      <c r="A283" s="557"/>
      <c r="B283" s="557"/>
      <c r="C283" s="557"/>
      <c r="D283" s="557"/>
      <c r="E283" s="557"/>
      <c r="F283" s="557"/>
    </row>
    <row r="284" spans="1:6">
      <c r="A284" s="557"/>
      <c r="B284" s="557"/>
      <c r="C284" s="557"/>
      <c r="D284" s="557"/>
      <c r="E284" s="557"/>
      <c r="F284" s="557"/>
    </row>
    <row r="285" spans="1:6">
      <c r="A285" s="557"/>
      <c r="B285" s="557"/>
      <c r="C285" s="557"/>
      <c r="D285" s="557"/>
      <c r="E285" s="557"/>
      <c r="F285" s="557"/>
    </row>
    <row r="286" spans="1:6">
      <c r="A286" s="557"/>
      <c r="B286" s="557"/>
      <c r="C286" s="557"/>
      <c r="D286" s="557"/>
      <c r="E286" s="557"/>
      <c r="F286" s="557"/>
    </row>
    <row r="287" spans="1:6">
      <c r="A287" s="557"/>
      <c r="B287" s="557"/>
      <c r="C287" s="557"/>
      <c r="D287" s="557"/>
      <c r="E287" s="557"/>
      <c r="F287" s="557"/>
    </row>
    <row r="288" spans="1:6">
      <c r="A288" s="557"/>
      <c r="B288" s="557"/>
      <c r="C288" s="557"/>
      <c r="D288" s="557"/>
      <c r="E288" s="557"/>
      <c r="F288" s="557"/>
    </row>
    <row r="289" spans="1:6">
      <c r="A289" s="557"/>
      <c r="B289" s="557"/>
      <c r="C289" s="557"/>
      <c r="D289" s="557"/>
      <c r="E289" s="557"/>
      <c r="F289" s="557"/>
    </row>
    <row r="290" spans="1:6">
      <c r="A290" s="557"/>
      <c r="B290" s="557"/>
      <c r="C290" s="557"/>
      <c r="D290" s="557"/>
      <c r="E290" s="557"/>
      <c r="F290" s="557"/>
    </row>
    <row r="291" spans="1:6">
      <c r="A291" s="557"/>
      <c r="B291" s="557"/>
      <c r="C291" s="557"/>
      <c r="D291" s="557"/>
      <c r="E291" s="557"/>
      <c r="F291" s="557"/>
    </row>
    <row r="292" spans="1:6">
      <c r="A292" s="557"/>
      <c r="B292" s="557"/>
      <c r="C292" s="557"/>
      <c r="D292" s="557"/>
      <c r="E292" s="557"/>
      <c r="F292" s="557"/>
    </row>
    <row r="293" spans="1:6">
      <c r="A293" s="557"/>
      <c r="B293" s="557"/>
      <c r="C293" s="557"/>
      <c r="D293" s="557"/>
      <c r="E293" s="557"/>
      <c r="F293" s="557"/>
    </row>
    <row r="294" spans="1:6">
      <c r="A294" s="557"/>
      <c r="B294" s="557"/>
      <c r="C294" s="557"/>
      <c r="D294" s="557"/>
      <c r="E294" s="557"/>
      <c r="F294" s="557"/>
    </row>
    <row r="295" spans="1:6">
      <c r="A295" s="557"/>
      <c r="B295" s="557"/>
      <c r="C295" s="557"/>
      <c r="D295" s="557"/>
      <c r="E295" s="557"/>
      <c r="F295" s="557"/>
    </row>
    <row r="296" spans="1:6">
      <c r="A296" s="557"/>
      <c r="B296" s="557"/>
      <c r="C296" s="557"/>
      <c r="D296" s="557"/>
      <c r="E296" s="557"/>
      <c r="F296" s="557"/>
    </row>
    <row r="297" spans="1:6">
      <c r="A297" s="557"/>
      <c r="B297" s="557"/>
      <c r="C297" s="557"/>
      <c r="D297" s="557"/>
      <c r="E297" s="557"/>
      <c r="F297" s="557"/>
    </row>
    <row r="298" spans="1:6">
      <c r="A298" s="557"/>
      <c r="B298" s="557"/>
      <c r="C298" s="557"/>
      <c r="D298" s="557"/>
      <c r="E298" s="557"/>
      <c r="F298" s="557"/>
    </row>
    <row r="299" spans="1:6">
      <c r="A299" s="557"/>
      <c r="B299" s="557"/>
      <c r="C299" s="557"/>
      <c r="D299" s="557"/>
      <c r="E299" s="557"/>
      <c r="F299" s="557"/>
    </row>
    <row r="300" spans="1:6">
      <c r="A300" s="557"/>
      <c r="B300" s="557"/>
      <c r="C300" s="557"/>
      <c r="D300" s="557"/>
      <c r="E300" s="557"/>
      <c r="F300" s="557"/>
    </row>
    <row r="301" spans="1:6">
      <c r="A301" s="557"/>
      <c r="B301" s="557"/>
      <c r="C301" s="557"/>
      <c r="D301" s="557"/>
      <c r="E301" s="557"/>
      <c r="F301" s="557"/>
    </row>
    <row r="302" spans="1:6">
      <c r="A302" s="557"/>
      <c r="B302" s="557"/>
      <c r="C302" s="557"/>
      <c r="D302" s="557"/>
      <c r="E302" s="557"/>
      <c r="F302" s="557"/>
    </row>
    <row r="303" spans="1:6">
      <c r="A303" s="557"/>
      <c r="B303" s="557"/>
      <c r="C303" s="557"/>
      <c r="D303" s="557"/>
      <c r="E303" s="557"/>
      <c r="F303" s="557"/>
    </row>
    <row r="304" spans="1:6">
      <c r="A304" s="557"/>
      <c r="B304" s="557"/>
      <c r="C304" s="557"/>
      <c r="D304" s="557"/>
      <c r="E304" s="557"/>
      <c r="F304" s="557"/>
    </row>
    <row r="305" spans="1:6">
      <c r="A305" s="557"/>
      <c r="B305" s="557"/>
      <c r="C305" s="557"/>
      <c r="D305" s="557"/>
      <c r="E305" s="557"/>
      <c r="F305" s="557"/>
    </row>
    <row r="306" spans="1:6">
      <c r="A306" s="557"/>
      <c r="B306" s="557"/>
      <c r="C306" s="557"/>
      <c r="D306" s="557"/>
      <c r="E306" s="557"/>
      <c r="F306" s="557"/>
    </row>
    <row r="307" spans="1:6">
      <c r="A307" s="557"/>
      <c r="B307" s="557"/>
      <c r="C307" s="557"/>
      <c r="D307" s="557"/>
      <c r="E307" s="557"/>
      <c r="F307" s="557"/>
    </row>
    <row r="308" spans="1:6">
      <c r="A308" s="557"/>
      <c r="B308" s="557"/>
      <c r="C308" s="557"/>
      <c r="D308" s="557"/>
      <c r="E308" s="557"/>
      <c r="F308" s="557"/>
    </row>
    <row r="309" spans="1:6">
      <c r="A309" s="557"/>
      <c r="B309" s="557"/>
      <c r="C309" s="557"/>
      <c r="D309" s="557"/>
      <c r="E309" s="557"/>
      <c r="F309" s="557"/>
    </row>
    <row r="310" spans="1:6">
      <c r="A310" s="557"/>
      <c r="B310" s="557"/>
      <c r="C310" s="557"/>
      <c r="D310" s="557"/>
      <c r="E310" s="557"/>
      <c r="F310" s="557"/>
    </row>
    <row r="311" spans="1:6">
      <c r="A311" s="557"/>
      <c r="B311" s="557"/>
      <c r="C311" s="557"/>
      <c r="D311" s="557"/>
      <c r="E311" s="557"/>
      <c r="F311" s="557"/>
    </row>
    <row r="312" spans="1:6">
      <c r="A312" s="557"/>
      <c r="B312" s="557"/>
      <c r="C312" s="557"/>
      <c r="D312" s="557"/>
      <c r="E312" s="557"/>
      <c r="F312" s="557"/>
    </row>
    <row r="313" spans="1:6">
      <c r="A313" s="557"/>
      <c r="B313" s="557"/>
      <c r="C313" s="557"/>
      <c r="D313" s="557"/>
      <c r="E313" s="557"/>
      <c r="F313" s="557"/>
    </row>
    <row r="314" spans="1:6">
      <c r="A314" s="557"/>
      <c r="B314" s="557"/>
      <c r="C314" s="557"/>
      <c r="D314" s="557"/>
      <c r="E314" s="557"/>
      <c r="F314" s="557"/>
    </row>
    <row r="315" spans="1:6">
      <c r="A315" s="557"/>
      <c r="B315" s="557"/>
      <c r="C315" s="557"/>
      <c r="D315" s="557"/>
      <c r="E315" s="557"/>
      <c r="F315" s="557"/>
    </row>
    <row r="316" spans="1:6">
      <c r="A316" s="557"/>
      <c r="B316" s="557"/>
      <c r="C316" s="557"/>
      <c r="D316" s="557"/>
      <c r="E316" s="557"/>
      <c r="F316" s="557"/>
    </row>
    <row r="317" spans="1:6">
      <c r="A317" s="557"/>
      <c r="B317" s="557"/>
      <c r="C317" s="557"/>
      <c r="D317" s="557"/>
      <c r="E317" s="557"/>
      <c r="F317" s="557"/>
    </row>
    <row r="318" spans="1:6">
      <c r="A318" s="557"/>
      <c r="B318" s="557"/>
      <c r="C318" s="557"/>
      <c r="D318" s="557"/>
      <c r="E318" s="557"/>
      <c r="F318" s="557"/>
    </row>
    <row r="319" spans="1:6">
      <c r="A319" s="557"/>
      <c r="B319" s="557"/>
      <c r="C319" s="557"/>
      <c r="D319" s="557"/>
      <c r="E319" s="557"/>
      <c r="F319" s="557"/>
    </row>
    <row r="320" spans="1:6">
      <c r="A320" s="557"/>
      <c r="B320" s="557"/>
      <c r="C320" s="557"/>
      <c r="D320" s="557"/>
      <c r="E320" s="557"/>
      <c r="F320" s="557"/>
    </row>
    <row r="321" spans="1:6">
      <c r="A321" s="557"/>
      <c r="B321" s="557"/>
      <c r="C321" s="557"/>
      <c r="D321" s="557"/>
      <c r="E321" s="557"/>
      <c r="F321" s="557"/>
    </row>
    <row r="322" spans="1:6">
      <c r="A322" s="557"/>
      <c r="B322" s="557"/>
      <c r="C322" s="557"/>
      <c r="D322" s="557"/>
      <c r="E322" s="557"/>
      <c r="F322" s="557"/>
    </row>
    <row r="323" spans="1:6">
      <c r="A323" s="557"/>
      <c r="B323" s="557"/>
      <c r="C323" s="557"/>
      <c r="D323" s="557"/>
      <c r="E323" s="557"/>
      <c r="F323" s="557"/>
    </row>
    <row r="324" spans="1:6">
      <c r="A324" s="557"/>
      <c r="B324" s="557"/>
      <c r="C324" s="557"/>
      <c r="D324" s="557"/>
      <c r="E324" s="557"/>
      <c r="F324" s="557"/>
    </row>
    <row r="325" spans="1:6">
      <c r="A325" s="557"/>
      <c r="B325" s="557"/>
      <c r="C325" s="557"/>
      <c r="D325" s="557"/>
      <c r="E325" s="557"/>
      <c r="F325" s="557"/>
    </row>
    <row r="326" spans="1:6">
      <c r="A326" s="557"/>
      <c r="B326" s="557"/>
      <c r="C326" s="557"/>
      <c r="D326" s="557"/>
      <c r="E326" s="557"/>
      <c r="F326" s="557"/>
    </row>
    <row r="327" spans="1:6">
      <c r="A327" s="557"/>
      <c r="B327" s="557"/>
      <c r="C327" s="557"/>
      <c r="D327" s="557"/>
    </row>
    <row r="328" spans="1:6">
      <c r="A328" s="557"/>
      <c r="B328" s="557"/>
      <c r="C328" s="557"/>
      <c r="D328" s="557"/>
    </row>
    <row r="329" spans="1:6">
      <c r="A329" s="557"/>
      <c r="B329" s="557"/>
      <c r="C329" s="557"/>
      <c r="D329" s="557"/>
    </row>
    <row r="330" spans="1:6">
      <c r="A330" s="557"/>
      <c r="B330" s="557"/>
      <c r="C330" s="557"/>
      <c r="D330" s="557"/>
    </row>
    <row r="331" spans="1:6" ht="15.75" thickBot="1">
      <c r="A331" s="557"/>
      <c r="B331" s="557"/>
      <c r="C331" s="557"/>
      <c r="D331" s="557"/>
    </row>
    <row r="332" spans="1:6" ht="15.75" thickTop="1">
      <c r="B332" s="591"/>
    </row>
    <row r="333" spans="1:6">
      <c r="B333" s="552"/>
    </row>
    <row r="334" spans="1:6">
      <c r="B334" s="552"/>
    </row>
    <row r="335" spans="1:6">
      <c r="B335" s="552"/>
    </row>
    <row r="336" spans="1:6">
      <c r="B336" s="552"/>
    </row>
    <row r="337" spans="2:2">
      <c r="B337" s="552"/>
    </row>
    <row r="338" spans="2:2">
      <c r="B338" s="552"/>
    </row>
    <row r="339" spans="2:2">
      <c r="B339" s="552"/>
    </row>
    <row r="340" spans="2:2">
      <c r="B340" s="552"/>
    </row>
    <row r="341" spans="2:2">
      <c r="B341" s="552"/>
    </row>
    <row r="342" spans="2:2">
      <c r="B342" s="552"/>
    </row>
    <row r="343" spans="2:2">
      <c r="B343" s="552"/>
    </row>
    <row r="344" spans="2:2">
      <c r="B344" s="552"/>
    </row>
    <row r="345" spans="2:2">
      <c r="B345" s="552"/>
    </row>
    <row r="346" spans="2:2">
      <c r="B346" s="552"/>
    </row>
    <row r="347" spans="2:2">
      <c r="B347" s="552"/>
    </row>
    <row r="348" spans="2:2">
      <c r="B348" s="552"/>
    </row>
    <row r="349" spans="2:2">
      <c r="B349" s="552"/>
    </row>
    <row r="350" spans="2:2">
      <c r="B350" s="552"/>
    </row>
    <row r="351" spans="2:2">
      <c r="B351" s="552"/>
    </row>
    <row r="352" spans="2:2">
      <c r="B352" s="552"/>
    </row>
    <row r="353" spans="2:2">
      <c r="B353" s="552"/>
    </row>
    <row r="354" spans="2:2">
      <c r="B354" s="552"/>
    </row>
    <row r="355" spans="2:2">
      <c r="B355" s="552"/>
    </row>
    <row r="356" spans="2:2">
      <c r="B356" s="552"/>
    </row>
    <row r="357" spans="2:2">
      <c r="B357" s="552"/>
    </row>
    <row r="358" spans="2:2">
      <c r="B358" s="552"/>
    </row>
    <row r="359" spans="2:2">
      <c r="B359" s="552"/>
    </row>
    <row r="360" spans="2:2">
      <c r="B360" s="552"/>
    </row>
    <row r="361" spans="2:2">
      <c r="B361" s="552"/>
    </row>
    <row r="362" spans="2:2">
      <c r="B362" s="552"/>
    </row>
    <row r="363" spans="2:2">
      <c r="B363" s="552"/>
    </row>
    <row r="364" spans="2:2">
      <c r="B364" s="552"/>
    </row>
    <row r="365" spans="2:2">
      <c r="B365" s="552"/>
    </row>
    <row r="366" spans="2:2">
      <c r="B366" s="552"/>
    </row>
    <row r="367" spans="2:2">
      <c r="B367" s="552"/>
    </row>
    <row r="368" spans="2:2">
      <c r="B368" s="552"/>
    </row>
    <row r="369" spans="2:2">
      <c r="B369" s="552"/>
    </row>
    <row r="370" spans="2:2">
      <c r="B370" s="552"/>
    </row>
    <row r="371" spans="2:2">
      <c r="B371" s="552"/>
    </row>
    <row r="372" spans="2:2">
      <c r="B372" s="552"/>
    </row>
    <row r="373" spans="2:2">
      <c r="B373" s="552"/>
    </row>
    <row r="374" spans="2:2">
      <c r="B374" s="552"/>
    </row>
    <row r="375" spans="2:2">
      <c r="B375" s="552"/>
    </row>
    <row r="376" spans="2:2">
      <c r="B376" s="552"/>
    </row>
    <row r="377" spans="2:2">
      <c r="B377" s="552"/>
    </row>
    <row r="378" spans="2:2">
      <c r="B378" s="552"/>
    </row>
    <row r="379" spans="2:2">
      <c r="B379" s="552"/>
    </row>
    <row r="380" spans="2:2">
      <c r="B380" s="552"/>
    </row>
    <row r="381" spans="2:2">
      <c r="B381" s="552"/>
    </row>
    <row r="382" spans="2:2">
      <c r="B382" s="552"/>
    </row>
    <row r="383" spans="2:2">
      <c r="B383" s="552"/>
    </row>
    <row r="384" spans="2:2">
      <c r="B384" s="552"/>
    </row>
    <row r="385" spans="2:2">
      <c r="B385" s="552"/>
    </row>
    <row r="386" spans="2:2">
      <c r="B386" s="552"/>
    </row>
    <row r="387" spans="2:2">
      <c r="B387" s="552"/>
    </row>
    <row r="388" spans="2:2">
      <c r="B388" s="552"/>
    </row>
    <row r="389" spans="2:2">
      <c r="B389" s="552"/>
    </row>
    <row r="390" spans="2:2">
      <c r="B390" s="552"/>
    </row>
    <row r="391" spans="2:2">
      <c r="B391" s="552"/>
    </row>
    <row r="392" spans="2:2">
      <c r="B392" s="552"/>
    </row>
    <row r="393" spans="2:2">
      <c r="B393" s="552"/>
    </row>
    <row r="394" spans="2:2">
      <c r="B394" s="552"/>
    </row>
    <row r="395" spans="2:2">
      <c r="B395" s="552"/>
    </row>
    <row r="396" spans="2:2">
      <c r="B396" s="552"/>
    </row>
    <row r="397" spans="2:2">
      <c r="B397" s="552"/>
    </row>
    <row r="398" spans="2:2">
      <c r="B398" s="552"/>
    </row>
    <row r="399" spans="2:2">
      <c r="B399" s="552"/>
    </row>
    <row r="400" spans="2:2">
      <c r="B400" s="552"/>
    </row>
    <row r="401" spans="2:2">
      <c r="B401" s="552"/>
    </row>
    <row r="402" spans="2:2">
      <c r="B402" s="552"/>
    </row>
    <row r="403" spans="2:2">
      <c r="B403" s="552"/>
    </row>
    <row r="404" spans="2:2">
      <c r="B404" s="552"/>
    </row>
    <row r="405" spans="2:2">
      <c r="B405" s="552"/>
    </row>
    <row r="406" spans="2:2">
      <c r="B406" s="552"/>
    </row>
    <row r="407" spans="2:2">
      <c r="B407" s="552"/>
    </row>
    <row r="408" spans="2:2">
      <c r="B408" s="552"/>
    </row>
    <row r="409" spans="2:2">
      <c r="B409" s="552"/>
    </row>
    <row r="410" spans="2:2">
      <c r="B410" s="552"/>
    </row>
    <row r="411" spans="2:2">
      <c r="B411" s="552"/>
    </row>
    <row r="412" spans="2:2">
      <c r="B412" s="552"/>
    </row>
    <row r="413" spans="2:2">
      <c r="B413" s="552"/>
    </row>
    <row r="414" spans="2:2">
      <c r="B414" s="552"/>
    </row>
    <row r="415" spans="2:2">
      <c r="B415" s="552"/>
    </row>
    <row r="416" spans="2:2">
      <c r="B416" s="552"/>
    </row>
    <row r="417" spans="2:2">
      <c r="B417" s="552"/>
    </row>
    <row r="418" spans="2:2">
      <c r="B418" s="552"/>
    </row>
    <row r="419" spans="2:2">
      <c r="B419" s="552"/>
    </row>
    <row r="420" spans="2:2">
      <c r="B420" s="552"/>
    </row>
    <row r="421" spans="2:2">
      <c r="B421" s="552"/>
    </row>
    <row r="422" spans="2:2">
      <c r="B422" s="552"/>
    </row>
    <row r="423" spans="2:2">
      <c r="B423" s="552"/>
    </row>
    <row r="424" spans="2:2">
      <c r="B424" s="552"/>
    </row>
    <row r="425" spans="2:2">
      <c r="B425" s="552"/>
    </row>
    <row r="426" spans="2:2">
      <c r="B426" s="552"/>
    </row>
    <row r="427" spans="2:2">
      <c r="B427" s="552"/>
    </row>
    <row r="428" spans="2:2">
      <c r="B428" s="552"/>
    </row>
    <row r="429" spans="2:2">
      <c r="B429" s="552"/>
    </row>
    <row r="430" spans="2:2">
      <c r="B430" s="552"/>
    </row>
    <row r="431" spans="2:2">
      <c r="B431" s="552"/>
    </row>
    <row r="432" spans="2:2">
      <c r="B432" s="552"/>
    </row>
    <row r="433" spans="2:2">
      <c r="B433" s="552"/>
    </row>
    <row r="434" spans="2:2">
      <c r="B434" s="552"/>
    </row>
    <row r="435" spans="2:2">
      <c r="B435" s="552"/>
    </row>
    <row r="436" spans="2:2">
      <c r="B436" s="552"/>
    </row>
    <row r="437" spans="2:2">
      <c r="B437" s="552"/>
    </row>
    <row r="438" spans="2:2">
      <c r="B438" s="552"/>
    </row>
    <row r="439" spans="2:2">
      <c r="B439" s="552"/>
    </row>
    <row r="440" spans="2:2">
      <c r="B440" s="552"/>
    </row>
    <row r="441" spans="2:2">
      <c r="B441" s="552"/>
    </row>
    <row r="442" spans="2:2">
      <c r="B442" s="552"/>
    </row>
    <row r="443" spans="2:2">
      <c r="B443" s="552"/>
    </row>
    <row r="444" spans="2:2">
      <c r="B444" s="552"/>
    </row>
    <row r="445" spans="2:2">
      <c r="B445" s="552"/>
    </row>
    <row r="446" spans="2:2">
      <c r="B446" s="552"/>
    </row>
    <row r="447" spans="2:2">
      <c r="B447" s="552"/>
    </row>
    <row r="448" spans="2:2">
      <c r="B448" s="552"/>
    </row>
    <row r="449" spans="2:2">
      <c r="B449" s="552"/>
    </row>
    <row r="450" spans="2:2">
      <c r="B450" s="552"/>
    </row>
    <row r="451" spans="2:2">
      <c r="B451" s="552"/>
    </row>
    <row r="452" spans="2:2">
      <c r="B452" s="552"/>
    </row>
    <row r="453" spans="2:2">
      <c r="B453" s="552"/>
    </row>
    <row r="454" spans="2:2">
      <c r="B454" s="552"/>
    </row>
    <row r="455" spans="2:2">
      <c r="B455" s="552"/>
    </row>
    <row r="456" spans="2:2">
      <c r="B456" s="552"/>
    </row>
    <row r="457" spans="2:2">
      <c r="B457" s="552"/>
    </row>
    <row r="458" spans="2:2">
      <c r="B458" s="552"/>
    </row>
    <row r="459" spans="2:2">
      <c r="B459" s="552"/>
    </row>
    <row r="460" spans="2:2">
      <c r="B460" s="552"/>
    </row>
    <row r="461" spans="2:2">
      <c r="B461" s="552"/>
    </row>
    <row r="462" spans="2:2">
      <c r="B462" s="552"/>
    </row>
    <row r="463" spans="2:2">
      <c r="B463" s="552"/>
    </row>
    <row r="464" spans="2:2">
      <c r="B464" s="552"/>
    </row>
    <row r="465" spans="2:2">
      <c r="B465" s="552"/>
    </row>
    <row r="466" spans="2:2">
      <c r="B466" s="552"/>
    </row>
    <row r="467" spans="2:2">
      <c r="B467" s="552"/>
    </row>
    <row r="468" spans="2:2">
      <c r="B468" s="552"/>
    </row>
    <row r="469" spans="2:2">
      <c r="B469" s="552"/>
    </row>
    <row r="470" spans="2:2">
      <c r="B470" s="552"/>
    </row>
    <row r="471" spans="2:2">
      <c r="B471" s="552"/>
    </row>
    <row r="472" spans="2:2">
      <c r="B472" s="552"/>
    </row>
    <row r="473" spans="2:2">
      <c r="B473" s="552"/>
    </row>
    <row r="474" spans="2:2">
      <c r="B474" s="552"/>
    </row>
    <row r="475" spans="2:2">
      <c r="B475" s="552"/>
    </row>
    <row r="476" spans="2:2">
      <c r="B476" s="552"/>
    </row>
    <row r="477" spans="2:2">
      <c r="B477" s="552"/>
    </row>
    <row r="478" spans="2:2">
      <c r="B478" s="552"/>
    </row>
    <row r="479" spans="2:2">
      <c r="B479" s="552"/>
    </row>
    <row r="480" spans="2:2">
      <c r="B480" s="552"/>
    </row>
    <row r="481" spans="2:2">
      <c r="B481" s="552"/>
    </row>
    <row r="482" spans="2:2">
      <c r="B482" s="552"/>
    </row>
    <row r="483" spans="2:2">
      <c r="B483" s="552"/>
    </row>
    <row r="484" spans="2:2">
      <c r="B484" s="552"/>
    </row>
    <row r="485" spans="2:2">
      <c r="B485" s="552"/>
    </row>
    <row r="486" spans="2:2">
      <c r="B486" s="552"/>
    </row>
    <row r="487" spans="2:2">
      <c r="B487" s="552"/>
    </row>
    <row r="488" spans="2:2">
      <c r="B488" s="552"/>
    </row>
    <row r="489" spans="2:2">
      <c r="B489" s="552"/>
    </row>
    <row r="490" spans="2:2">
      <c r="B490" s="552"/>
    </row>
    <row r="491" spans="2:2">
      <c r="B491" s="552"/>
    </row>
    <row r="492" spans="2:2">
      <c r="B492" s="552"/>
    </row>
    <row r="493" spans="2:2">
      <c r="B493" s="552"/>
    </row>
    <row r="494" spans="2:2">
      <c r="B494" s="552"/>
    </row>
    <row r="495" spans="2:2">
      <c r="B495" s="552"/>
    </row>
    <row r="496" spans="2:2">
      <c r="B496" s="552"/>
    </row>
    <row r="497" spans="2:2">
      <c r="B497" s="552"/>
    </row>
    <row r="498" spans="2:2">
      <c r="B498" s="552"/>
    </row>
    <row r="499" spans="2:2">
      <c r="B499" s="552"/>
    </row>
    <row r="500" spans="2:2">
      <c r="B500" s="552"/>
    </row>
    <row r="501" spans="2:2">
      <c r="B501" s="552"/>
    </row>
    <row r="502" spans="2:2">
      <c r="B502" s="552"/>
    </row>
    <row r="503" spans="2:2">
      <c r="B503" s="552"/>
    </row>
    <row r="504" spans="2:2">
      <c r="B504" s="552"/>
    </row>
    <row r="505" spans="2:2">
      <c r="B505" s="552"/>
    </row>
    <row r="506" spans="2:2">
      <c r="B506" s="552"/>
    </row>
    <row r="507" spans="2:2">
      <c r="B507" s="552"/>
    </row>
    <row r="508" spans="2:2">
      <c r="B508" s="552"/>
    </row>
    <row r="509" spans="2:2">
      <c r="B509" s="552"/>
    </row>
    <row r="510" spans="2:2">
      <c r="B510" s="552"/>
    </row>
    <row r="511" spans="2:2">
      <c r="B511" s="552"/>
    </row>
    <row r="512" spans="2:2">
      <c r="B512" s="552"/>
    </row>
    <row r="513" spans="2:2">
      <c r="B513" s="552"/>
    </row>
    <row r="514" spans="2:2">
      <c r="B514" s="552"/>
    </row>
    <row r="515" spans="2:2">
      <c r="B515" s="552"/>
    </row>
    <row r="516" spans="2:2">
      <c r="B516" s="552"/>
    </row>
    <row r="517" spans="2:2">
      <c r="B517" s="552"/>
    </row>
    <row r="518" spans="2:2">
      <c r="B518" s="552"/>
    </row>
    <row r="519" spans="2:2">
      <c r="B519" s="552"/>
    </row>
    <row r="520" spans="2:2">
      <c r="B520" s="552"/>
    </row>
    <row r="521" spans="2:2">
      <c r="B521" s="552"/>
    </row>
    <row r="522" spans="2:2">
      <c r="B522" s="552"/>
    </row>
    <row r="523" spans="2:2">
      <c r="B523" s="552"/>
    </row>
    <row r="524" spans="2:2">
      <c r="B524" s="552"/>
    </row>
    <row r="525" spans="2:2">
      <c r="B525" s="552"/>
    </row>
    <row r="526" spans="2:2">
      <c r="B526" s="552"/>
    </row>
    <row r="527" spans="2:2">
      <c r="B527" s="552"/>
    </row>
    <row r="528" spans="2:2">
      <c r="B528" s="552"/>
    </row>
    <row r="529" spans="2:2">
      <c r="B529" s="552"/>
    </row>
    <row r="530" spans="2:2">
      <c r="B530" s="552"/>
    </row>
    <row r="531" spans="2:2">
      <c r="B531" s="552"/>
    </row>
    <row r="532" spans="2:2">
      <c r="B532" s="552"/>
    </row>
    <row r="533" spans="2:2">
      <c r="B533" s="552"/>
    </row>
    <row r="534" spans="2:2">
      <c r="B534" s="552"/>
    </row>
    <row r="535" spans="2:2">
      <c r="B535" s="552"/>
    </row>
    <row r="536" spans="2:2">
      <c r="B536" s="552"/>
    </row>
    <row r="537" spans="2:2">
      <c r="B537" s="552"/>
    </row>
    <row r="538" spans="2:2">
      <c r="B538" s="552"/>
    </row>
    <row r="539" spans="2:2">
      <c r="B539" s="552"/>
    </row>
    <row r="540" spans="2:2">
      <c r="B540" s="552"/>
    </row>
    <row r="541" spans="2:2">
      <c r="B541" s="552"/>
    </row>
    <row r="542" spans="2:2">
      <c r="B542" s="552"/>
    </row>
    <row r="543" spans="2:2">
      <c r="B543" s="552"/>
    </row>
    <row r="544" spans="2:2">
      <c r="B544" s="552"/>
    </row>
    <row r="545" spans="2:2">
      <c r="B545" s="552"/>
    </row>
    <row r="546" spans="2:2">
      <c r="B546" s="552"/>
    </row>
    <row r="547" spans="2:2">
      <c r="B547" s="552"/>
    </row>
    <row r="548" spans="2:2">
      <c r="B548" s="552"/>
    </row>
    <row r="549" spans="2:2">
      <c r="B549" s="552"/>
    </row>
    <row r="550" spans="2:2">
      <c r="B550" s="552"/>
    </row>
    <row r="551" spans="2:2">
      <c r="B551" s="552"/>
    </row>
    <row r="552" spans="2:2">
      <c r="B552" s="552"/>
    </row>
    <row r="553" spans="2:2">
      <c r="B553" s="552"/>
    </row>
    <row r="554" spans="2:2">
      <c r="B554" s="552"/>
    </row>
    <row r="555" spans="2:2">
      <c r="B555" s="552"/>
    </row>
    <row r="556" spans="2:2">
      <c r="B556" s="552"/>
    </row>
    <row r="557" spans="2:2">
      <c r="B557" s="552"/>
    </row>
    <row r="558" spans="2:2">
      <c r="B558" s="552"/>
    </row>
    <row r="559" spans="2:2">
      <c r="B559" s="552"/>
    </row>
    <row r="560" spans="2:2">
      <c r="B560" s="552"/>
    </row>
    <row r="561" spans="2:2">
      <c r="B561" s="552"/>
    </row>
    <row r="562" spans="2:2">
      <c r="B562" s="552"/>
    </row>
    <row r="563" spans="2:2">
      <c r="B563" s="552"/>
    </row>
    <row r="564" spans="2:2">
      <c r="B564" s="552"/>
    </row>
    <row r="565" spans="2:2">
      <c r="B565" s="552"/>
    </row>
    <row r="566" spans="2:2">
      <c r="B566" s="552"/>
    </row>
    <row r="567" spans="2:2">
      <c r="B567" s="552"/>
    </row>
    <row r="568" spans="2:2">
      <c r="B568" s="552"/>
    </row>
    <row r="569" spans="2:2">
      <c r="B569" s="552"/>
    </row>
    <row r="570" spans="2:2">
      <c r="B570" s="552"/>
    </row>
    <row r="571" spans="2:2">
      <c r="B571" s="552"/>
    </row>
    <row r="572" spans="2:2">
      <c r="B572" s="552"/>
    </row>
    <row r="573" spans="2:2">
      <c r="B573" s="552"/>
    </row>
    <row r="574" spans="2:2">
      <c r="B574" s="552"/>
    </row>
    <row r="575" spans="2:2">
      <c r="B575" s="552"/>
    </row>
    <row r="576" spans="2:2">
      <c r="B576" s="552"/>
    </row>
    <row r="577" spans="2:2">
      <c r="B577" s="552"/>
    </row>
    <row r="578" spans="2:2">
      <c r="B578" s="552"/>
    </row>
    <row r="579" spans="2:2">
      <c r="B579" s="552"/>
    </row>
    <row r="580" spans="2:2">
      <c r="B580" s="552"/>
    </row>
    <row r="581" spans="2:2">
      <c r="B581" s="552"/>
    </row>
    <row r="582" spans="2:2">
      <c r="B582" s="552"/>
    </row>
    <row r="583" spans="2:2">
      <c r="B583" s="552"/>
    </row>
    <row r="584" spans="2:2">
      <c r="B584" s="552"/>
    </row>
    <row r="585" spans="2:2">
      <c r="B585" s="552"/>
    </row>
    <row r="586" spans="2:2">
      <c r="B586" s="552"/>
    </row>
    <row r="587" spans="2:2">
      <c r="B587" s="552"/>
    </row>
    <row r="588" spans="2:2">
      <c r="B588" s="552"/>
    </row>
    <row r="589" spans="2:2">
      <c r="B589" s="552"/>
    </row>
    <row r="590" spans="2:2">
      <c r="B590" s="552"/>
    </row>
    <row r="591" spans="2:2">
      <c r="B591" s="552"/>
    </row>
    <row r="592" spans="2:2">
      <c r="B592" s="552"/>
    </row>
    <row r="593" spans="2:2">
      <c r="B593" s="552"/>
    </row>
    <row r="594" spans="2:2">
      <c r="B594" s="552"/>
    </row>
    <row r="595" spans="2:2">
      <c r="B595" s="552"/>
    </row>
    <row r="596" spans="2:2">
      <c r="B596" s="552"/>
    </row>
    <row r="597" spans="2:2">
      <c r="B597" s="552"/>
    </row>
    <row r="598" spans="2:2">
      <c r="B598" s="552"/>
    </row>
    <row r="599" spans="2:2">
      <c r="B599" s="552"/>
    </row>
    <row r="600" spans="2:2">
      <c r="B600" s="552"/>
    </row>
    <row r="601" spans="2:2">
      <c r="B601" s="552"/>
    </row>
    <row r="602" spans="2:2">
      <c r="B602" s="552"/>
    </row>
    <row r="603" spans="2:2">
      <c r="B603" s="552"/>
    </row>
    <row r="604" spans="2:2">
      <c r="B604" s="552"/>
    </row>
    <row r="605" spans="2:2">
      <c r="B605" s="552"/>
    </row>
    <row r="606" spans="2:2">
      <c r="B606" s="552"/>
    </row>
    <row r="607" spans="2:2">
      <c r="B607" s="552"/>
    </row>
    <row r="608" spans="2:2">
      <c r="B608" s="552"/>
    </row>
    <row r="609" spans="2:2">
      <c r="B609" s="552"/>
    </row>
    <row r="610" spans="2:2">
      <c r="B610" s="552"/>
    </row>
    <row r="611" spans="2:2">
      <c r="B611" s="552"/>
    </row>
    <row r="612" spans="2:2">
      <c r="B612" s="552"/>
    </row>
    <row r="613" spans="2:2">
      <c r="B613" s="552"/>
    </row>
    <row r="614" spans="2:2">
      <c r="B614" s="552"/>
    </row>
    <row r="615" spans="2:2">
      <c r="B615" s="552"/>
    </row>
    <row r="616" spans="2:2">
      <c r="B616" s="552"/>
    </row>
    <row r="617" spans="2:2">
      <c r="B617" s="552"/>
    </row>
    <row r="618" spans="2:2">
      <c r="B618" s="552"/>
    </row>
    <row r="619" spans="2:2">
      <c r="B619" s="552"/>
    </row>
    <row r="620" spans="2:2">
      <c r="B620" s="552"/>
    </row>
    <row r="621" spans="2:2">
      <c r="B621" s="552"/>
    </row>
    <row r="622" spans="2:2">
      <c r="B622" s="552"/>
    </row>
    <row r="623" spans="2:2">
      <c r="B623" s="552"/>
    </row>
    <row r="624" spans="2:2">
      <c r="B624" s="552"/>
    </row>
    <row r="625" spans="2:2">
      <c r="B625" s="552"/>
    </row>
    <row r="626" spans="2:2">
      <c r="B626" s="552"/>
    </row>
    <row r="627" spans="2:2">
      <c r="B627" s="552"/>
    </row>
    <row r="628" spans="2:2">
      <c r="B628" s="552"/>
    </row>
    <row r="629" spans="2:2">
      <c r="B629" s="552"/>
    </row>
    <row r="630" spans="2:2">
      <c r="B630" s="552"/>
    </row>
    <row r="631" spans="2:2">
      <c r="B631" s="552"/>
    </row>
    <row r="632" spans="2:2">
      <c r="B632" s="552"/>
    </row>
    <row r="633" spans="2:2">
      <c r="B633" s="552"/>
    </row>
    <row r="634" spans="2:2">
      <c r="B634" s="552"/>
    </row>
    <row r="635" spans="2:2">
      <c r="B635" s="552"/>
    </row>
    <row r="636" spans="2:2">
      <c r="B636" s="552"/>
    </row>
    <row r="637" spans="2:2">
      <c r="B637" s="552"/>
    </row>
    <row r="638" spans="2:2">
      <c r="B638" s="552"/>
    </row>
    <row r="639" spans="2:2">
      <c r="B639" s="552"/>
    </row>
    <row r="640" spans="2:2">
      <c r="B640" s="552"/>
    </row>
    <row r="641" spans="2:2">
      <c r="B641" s="552"/>
    </row>
    <row r="642" spans="2:2">
      <c r="B642" s="552"/>
    </row>
    <row r="643" spans="2:2">
      <c r="B643" s="552"/>
    </row>
    <row r="644" spans="2:2">
      <c r="B644" s="552"/>
    </row>
    <row r="645" spans="2:2">
      <c r="B645" s="552"/>
    </row>
    <row r="646" spans="2:2">
      <c r="B646" s="552"/>
    </row>
    <row r="647" spans="2:2">
      <c r="B647" s="552"/>
    </row>
    <row r="648" spans="2:2">
      <c r="B648" s="552"/>
    </row>
    <row r="649" spans="2:2">
      <c r="B649" s="552"/>
    </row>
    <row r="650" spans="2:2">
      <c r="B650" s="552"/>
    </row>
    <row r="651" spans="2:2">
      <c r="B651" s="552"/>
    </row>
    <row r="652" spans="2:2">
      <c r="B652" s="552"/>
    </row>
    <row r="653" spans="2:2">
      <c r="B653" s="552"/>
    </row>
    <row r="654" spans="2:2">
      <c r="B654" s="552"/>
    </row>
    <row r="655" spans="2:2">
      <c r="B655" s="552"/>
    </row>
    <row r="656" spans="2:2">
      <c r="B656" s="552"/>
    </row>
    <row r="657" spans="2:2">
      <c r="B657" s="552"/>
    </row>
    <row r="658" spans="2:2">
      <c r="B658" s="552"/>
    </row>
    <row r="659" spans="2:2">
      <c r="B659" s="552"/>
    </row>
    <row r="660" spans="2:2">
      <c r="B660" s="552"/>
    </row>
    <row r="661" spans="2:2">
      <c r="B661" s="552"/>
    </row>
    <row r="662" spans="2:2">
      <c r="B662" s="552"/>
    </row>
    <row r="663" spans="2:2">
      <c r="B663" s="552"/>
    </row>
    <row r="664" spans="2:2">
      <c r="B664" s="552"/>
    </row>
    <row r="665" spans="2:2">
      <c r="B665" s="552"/>
    </row>
    <row r="666" spans="2:2">
      <c r="B666" s="552"/>
    </row>
    <row r="667" spans="2:2">
      <c r="B667" s="552"/>
    </row>
    <row r="668" spans="2:2">
      <c r="B668" s="552"/>
    </row>
    <row r="669" spans="2:2">
      <c r="B669" s="552"/>
    </row>
    <row r="670" spans="2:2">
      <c r="B670" s="552"/>
    </row>
    <row r="671" spans="2:2">
      <c r="B671" s="552"/>
    </row>
    <row r="672" spans="2:2">
      <c r="B672" s="552"/>
    </row>
    <row r="673" spans="2:2">
      <c r="B673" s="552"/>
    </row>
    <row r="674" spans="2:2">
      <c r="B674" s="552"/>
    </row>
    <row r="675" spans="2:2">
      <c r="B675" s="552"/>
    </row>
    <row r="676" spans="2:2">
      <c r="B676" s="552"/>
    </row>
    <row r="677" spans="2:2">
      <c r="B677" s="552"/>
    </row>
    <row r="678" spans="2:2">
      <c r="B678" s="552"/>
    </row>
    <row r="679" spans="2:2">
      <c r="B679" s="552"/>
    </row>
    <row r="680" spans="2:2">
      <c r="B680" s="552"/>
    </row>
    <row r="681" spans="2:2">
      <c r="B681" s="552"/>
    </row>
    <row r="682" spans="2:2">
      <c r="B682" s="552"/>
    </row>
    <row r="683" spans="2:2">
      <c r="B683" s="552"/>
    </row>
    <row r="684" spans="2:2">
      <c r="B684" s="552"/>
    </row>
    <row r="685" spans="2:2">
      <c r="B685" s="552"/>
    </row>
    <row r="686" spans="2:2">
      <c r="B686" s="552"/>
    </row>
    <row r="687" spans="2:2">
      <c r="B687" s="552"/>
    </row>
    <row r="688" spans="2:2">
      <c r="B688" s="552"/>
    </row>
    <row r="689" spans="2:2">
      <c r="B689" s="552"/>
    </row>
    <row r="690" spans="2:2">
      <c r="B690" s="552"/>
    </row>
    <row r="691" spans="2:2">
      <c r="B691" s="552"/>
    </row>
    <row r="692" spans="2:2">
      <c r="B692" s="552"/>
    </row>
    <row r="693" spans="2:2">
      <c r="B693" s="552"/>
    </row>
    <row r="694" spans="2:2">
      <c r="B694" s="552"/>
    </row>
    <row r="695" spans="2:2">
      <c r="B695" s="552"/>
    </row>
    <row r="696" spans="2:2">
      <c r="B696" s="552"/>
    </row>
    <row r="697" spans="2:2">
      <c r="B697" s="552"/>
    </row>
    <row r="698" spans="2:2">
      <c r="B698" s="552"/>
    </row>
    <row r="699" spans="2:2">
      <c r="B699" s="552"/>
    </row>
    <row r="700" spans="2:2">
      <c r="B700" s="552"/>
    </row>
    <row r="701" spans="2:2">
      <c r="B701" s="552"/>
    </row>
    <row r="702" spans="2:2">
      <c r="B702" s="552"/>
    </row>
    <row r="703" spans="2:2">
      <c r="B703" s="552"/>
    </row>
    <row r="704" spans="2:2">
      <c r="B704" s="552"/>
    </row>
    <row r="705" spans="2:2">
      <c r="B705" s="552"/>
    </row>
    <row r="706" spans="2:2">
      <c r="B706" s="552"/>
    </row>
    <row r="707" spans="2:2">
      <c r="B707" s="552"/>
    </row>
    <row r="708" spans="2:2">
      <c r="B708" s="552"/>
    </row>
    <row r="709" spans="2:2">
      <c r="B709" s="552"/>
    </row>
    <row r="710" spans="2:2">
      <c r="B710" s="552"/>
    </row>
    <row r="711" spans="2:2">
      <c r="B711" s="552"/>
    </row>
    <row r="712" spans="2:2">
      <c r="B712" s="552"/>
    </row>
    <row r="713" spans="2:2">
      <c r="B713" s="552"/>
    </row>
    <row r="714" spans="2:2">
      <c r="B714" s="552"/>
    </row>
    <row r="715" spans="2:2">
      <c r="B715" s="552"/>
    </row>
    <row r="716" spans="2:2">
      <c r="B716" s="552"/>
    </row>
    <row r="717" spans="2:2">
      <c r="B717" s="552"/>
    </row>
    <row r="718" spans="2:2">
      <c r="B718" s="552"/>
    </row>
    <row r="719" spans="2:2">
      <c r="B719" s="552"/>
    </row>
    <row r="720" spans="2:2">
      <c r="B720" s="552"/>
    </row>
    <row r="721" spans="2:2">
      <c r="B721" s="552"/>
    </row>
    <row r="722" spans="2:2">
      <c r="B722" s="552"/>
    </row>
    <row r="723" spans="2:2">
      <c r="B723" s="552"/>
    </row>
    <row r="724" spans="2:2">
      <c r="B724" s="552"/>
    </row>
    <row r="725" spans="2:2">
      <c r="B725" s="552"/>
    </row>
    <row r="726" spans="2:2">
      <c r="B726" s="552"/>
    </row>
    <row r="727" spans="2:2">
      <c r="B727" s="552"/>
    </row>
    <row r="728" spans="2:2">
      <c r="B728" s="552"/>
    </row>
    <row r="729" spans="2:2">
      <c r="B729" s="552"/>
    </row>
    <row r="730" spans="2:2">
      <c r="B730" s="552"/>
    </row>
    <row r="731" spans="2:2">
      <c r="B731" s="552"/>
    </row>
    <row r="732" spans="2:2">
      <c r="B732" s="552"/>
    </row>
    <row r="733" spans="2:2">
      <c r="B733" s="552"/>
    </row>
    <row r="734" spans="2:2">
      <c r="B734" s="552"/>
    </row>
    <row r="735" spans="2:2">
      <c r="B735" s="552"/>
    </row>
    <row r="736" spans="2:2">
      <c r="B736" s="552"/>
    </row>
    <row r="737" spans="2:2">
      <c r="B737" s="552"/>
    </row>
    <row r="738" spans="2:2">
      <c r="B738" s="552"/>
    </row>
    <row r="739" spans="2:2">
      <c r="B739" s="552"/>
    </row>
    <row r="740" spans="2:2">
      <c r="B740" s="552"/>
    </row>
    <row r="741" spans="2:2">
      <c r="B741" s="552"/>
    </row>
    <row r="742" spans="2:2">
      <c r="B742" s="552"/>
    </row>
    <row r="743" spans="2:2">
      <c r="B743" s="552"/>
    </row>
    <row r="744" spans="2:2">
      <c r="B744" s="552"/>
    </row>
    <row r="745" spans="2:2">
      <c r="B745" s="552"/>
    </row>
    <row r="746" spans="2:2">
      <c r="B746" s="552"/>
    </row>
    <row r="747" spans="2:2">
      <c r="B747" s="552"/>
    </row>
    <row r="748" spans="2:2">
      <c r="B748" s="552"/>
    </row>
    <row r="749" spans="2:2">
      <c r="B749" s="552"/>
    </row>
    <row r="750" spans="2:2">
      <c r="B750" s="552"/>
    </row>
    <row r="751" spans="2:2">
      <c r="B751" s="552"/>
    </row>
    <row r="752" spans="2:2">
      <c r="B752" s="552"/>
    </row>
    <row r="753" spans="2:2">
      <c r="B753" s="552"/>
    </row>
    <row r="754" spans="2:2">
      <c r="B754" s="552"/>
    </row>
    <row r="755" spans="2:2">
      <c r="B755" s="552"/>
    </row>
    <row r="756" spans="2:2">
      <c r="B756" s="552"/>
    </row>
    <row r="757" spans="2:2">
      <c r="B757" s="552"/>
    </row>
    <row r="758" spans="2:2">
      <c r="B758" s="552"/>
    </row>
    <row r="759" spans="2:2">
      <c r="B759" s="552"/>
    </row>
    <row r="760" spans="2:2">
      <c r="B760" s="552"/>
    </row>
    <row r="761" spans="2:2">
      <c r="B761" s="552"/>
    </row>
    <row r="762" spans="2:2">
      <c r="B762" s="552"/>
    </row>
    <row r="763" spans="2:2">
      <c r="B763" s="552"/>
    </row>
    <row r="764" spans="2:2">
      <c r="B764" s="552"/>
    </row>
    <row r="765" spans="2:2">
      <c r="B765" s="552"/>
    </row>
    <row r="766" spans="2:2">
      <c r="B766" s="552"/>
    </row>
    <row r="767" spans="2:2">
      <c r="B767" s="552"/>
    </row>
    <row r="768" spans="2:2">
      <c r="B768" s="552"/>
    </row>
    <row r="769" spans="2:2">
      <c r="B769" s="552"/>
    </row>
    <row r="770" spans="2:2">
      <c r="B770" s="552"/>
    </row>
    <row r="771" spans="2:2">
      <c r="B771" s="552"/>
    </row>
    <row r="772" spans="2:2">
      <c r="B772" s="552"/>
    </row>
    <row r="773" spans="2:2">
      <c r="B773" s="552"/>
    </row>
    <row r="774" spans="2:2">
      <c r="B774" s="552"/>
    </row>
    <row r="775" spans="2:2">
      <c r="B775" s="552"/>
    </row>
    <row r="776" spans="2:2">
      <c r="B776" s="552"/>
    </row>
    <row r="777" spans="2:2">
      <c r="B777" s="552"/>
    </row>
    <row r="778" spans="2:2">
      <c r="B778" s="552"/>
    </row>
    <row r="779" spans="2:2">
      <c r="B779" s="552"/>
    </row>
    <row r="780" spans="2:2">
      <c r="B780" s="552"/>
    </row>
    <row r="781" spans="2:2">
      <c r="B781" s="552"/>
    </row>
    <row r="782" spans="2:2">
      <c r="B782" s="552"/>
    </row>
    <row r="783" spans="2:2">
      <c r="B783" s="552"/>
    </row>
    <row r="784" spans="2:2">
      <c r="B784" s="552"/>
    </row>
    <row r="785" spans="2:2">
      <c r="B785" s="552"/>
    </row>
    <row r="786" spans="2:2">
      <c r="B786" s="552"/>
    </row>
    <row r="787" spans="2:2">
      <c r="B787" s="552"/>
    </row>
    <row r="788" spans="2:2">
      <c r="B788" s="552"/>
    </row>
    <row r="789" spans="2:2">
      <c r="B789" s="552"/>
    </row>
    <row r="790" spans="2:2">
      <c r="B790" s="552"/>
    </row>
    <row r="791" spans="2:2">
      <c r="B791" s="552"/>
    </row>
    <row r="792" spans="2:2">
      <c r="B792" s="552"/>
    </row>
    <row r="793" spans="2:2">
      <c r="B793" s="552"/>
    </row>
    <row r="794" spans="2:2">
      <c r="B794" s="552"/>
    </row>
    <row r="795" spans="2:2">
      <c r="B795" s="552"/>
    </row>
    <row r="796" spans="2:2">
      <c r="B796" s="552"/>
    </row>
    <row r="797" spans="2:2">
      <c r="B797" s="552"/>
    </row>
    <row r="798" spans="2:2">
      <c r="B798" s="552"/>
    </row>
    <row r="799" spans="2:2">
      <c r="B799" s="552"/>
    </row>
    <row r="800" spans="2:2">
      <c r="B800" s="552"/>
    </row>
    <row r="801" spans="2:2">
      <c r="B801" s="552"/>
    </row>
    <row r="802" spans="2:2">
      <c r="B802" s="552"/>
    </row>
    <row r="803" spans="2:2">
      <c r="B803" s="552"/>
    </row>
    <row r="804" spans="2:2">
      <c r="B804" s="552"/>
    </row>
    <row r="805" spans="2:2">
      <c r="B805" s="552"/>
    </row>
    <row r="806" spans="2:2">
      <c r="B806" s="552"/>
    </row>
    <row r="807" spans="2:2">
      <c r="B807" s="552"/>
    </row>
    <row r="808" spans="2:2">
      <c r="B808" s="552"/>
    </row>
    <row r="809" spans="2:2">
      <c r="B809" s="552"/>
    </row>
    <row r="810" spans="2:2">
      <c r="B810" s="552"/>
    </row>
    <row r="811" spans="2:2">
      <c r="B811" s="552"/>
    </row>
    <row r="812" spans="2:2">
      <c r="B812" s="552"/>
    </row>
    <row r="813" spans="2:2">
      <c r="B813" s="552"/>
    </row>
    <row r="814" spans="2:2">
      <c r="B814" s="552"/>
    </row>
    <row r="815" spans="2:2">
      <c r="B815" s="552"/>
    </row>
    <row r="816" spans="2:2">
      <c r="B816" s="552"/>
    </row>
    <row r="817" spans="2:2">
      <c r="B817" s="552"/>
    </row>
    <row r="818" spans="2:2">
      <c r="B818" s="552"/>
    </row>
    <row r="819" spans="2:2">
      <c r="B819" s="552"/>
    </row>
    <row r="820" spans="2:2">
      <c r="B820" s="552"/>
    </row>
    <row r="821" spans="2:2">
      <c r="B821" s="552"/>
    </row>
    <row r="822" spans="2:2">
      <c r="B822" s="552"/>
    </row>
    <row r="823" spans="2:2">
      <c r="B823" s="552"/>
    </row>
    <row r="824" spans="2:2">
      <c r="B824" s="552"/>
    </row>
    <row r="825" spans="2:2">
      <c r="B825" s="552"/>
    </row>
    <row r="826" spans="2:2">
      <c r="B826" s="552"/>
    </row>
    <row r="827" spans="2:2">
      <c r="B827" s="552"/>
    </row>
    <row r="828" spans="2:2">
      <c r="B828" s="552"/>
    </row>
    <row r="829" spans="2:2">
      <c r="B829" s="552"/>
    </row>
    <row r="830" spans="2:2">
      <c r="B830" s="552"/>
    </row>
    <row r="831" spans="2:2">
      <c r="B831" s="552"/>
    </row>
    <row r="832" spans="2:2">
      <c r="B832" s="552"/>
    </row>
    <row r="833" spans="2:2">
      <c r="B833" s="552"/>
    </row>
    <row r="834" spans="2:2">
      <c r="B834" s="552"/>
    </row>
    <row r="835" spans="2:2">
      <c r="B835" s="552"/>
    </row>
    <row r="836" spans="2:2">
      <c r="B836" s="552"/>
    </row>
    <row r="837" spans="2:2">
      <c r="B837" s="552"/>
    </row>
    <row r="838" spans="2:2">
      <c r="B838" s="552"/>
    </row>
    <row r="839" spans="2:2">
      <c r="B839" s="552"/>
    </row>
    <row r="840" spans="2:2">
      <c r="B840" s="552"/>
    </row>
    <row r="841" spans="2:2">
      <c r="B841" s="552"/>
    </row>
    <row r="842" spans="2:2">
      <c r="B842" s="552"/>
    </row>
    <row r="843" spans="2:2">
      <c r="B843" s="552"/>
    </row>
    <row r="844" spans="2:2">
      <c r="B844" s="552"/>
    </row>
    <row r="845" spans="2:2">
      <c r="B845" s="552"/>
    </row>
    <row r="846" spans="2:2">
      <c r="B846" s="552"/>
    </row>
    <row r="847" spans="2:2">
      <c r="B847" s="552"/>
    </row>
    <row r="848" spans="2:2">
      <c r="B848" s="552"/>
    </row>
    <row r="849" spans="2:2">
      <c r="B849" s="552"/>
    </row>
    <row r="850" spans="2:2">
      <c r="B850" s="552"/>
    </row>
    <row r="851" spans="2:2">
      <c r="B851" s="552"/>
    </row>
    <row r="852" spans="2:2">
      <c r="B852" s="552"/>
    </row>
    <row r="853" spans="2:2">
      <c r="B853" s="552"/>
    </row>
    <row r="854" spans="2:2">
      <c r="B854" s="552"/>
    </row>
    <row r="855" spans="2:2">
      <c r="B855" s="552"/>
    </row>
    <row r="856" spans="2:2">
      <c r="B856" s="552"/>
    </row>
    <row r="857" spans="2:2">
      <c r="B857" s="552"/>
    </row>
    <row r="858" spans="2:2">
      <c r="B858" s="552"/>
    </row>
    <row r="859" spans="2:2">
      <c r="B859" s="552"/>
    </row>
    <row r="860" spans="2:2">
      <c r="B860" s="552"/>
    </row>
    <row r="861" spans="2:2">
      <c r="B861" s="552"/>
    </row>
    <row r="862" spans="2:2">
      <c r="B862" s="552"/>
    </row>
    <row r="863" spans="2:2">
      <c r="B863" s="552"/>
    </row>
    <row r="864" spans="2:2">
      <c r="B864" s="552"/>
    </row>
    <row r="865" spans="2:2">
      <c r="B865" s="552"/>
    </row>
    <row r="866" spans="2:2">
      <c r="B866" s="552"/>
    </row>
    <row r="867" spans="2:2">
      <c r="B867" s="552"/>
    </row>
    <row r="868" spans="2:2">
      <c r="B868" s="552"/>
    </row>
    <row r="869" spans="2:2">
      <c r="B869" s="552"/>
    </row>
    <row r="870" spans="2:2">
      <c r="B870" s="552"/>
    </row>
    <row r="871" spans="2:2">
      <c r="B871" s="552"/>
    </row>
    <row r="872" spans="2:2">
      <c r="B872" s="552"/>
    </row>
    <row r="873" spans="2:2">
      <c r="B873" s="552"/>
    </row>
    <row r="874" spans="2:2">
      <c r="B874" s="552"/>
    </row>
    <row r="875" spans="2:2">
      <c r="B875" s="552"/>
    </row>
    <row r="876" spans="2:2">
      <c r="B876" s="552"/>
    </row>
    <row r="877" spans="2:2">
      <c r="B877" s="552"/>
    </row>
    <row r="878" spans="2:2">
      <c r="B878" s="552"/>
    </row>
    <row r="879" spans="2:2">
      <c r="B879" s="552"/>
    </row>
    <row r="880" spans="2:2">
      <c r="B880" s="552"/>
    </row>
    <row r="881" spans="2:2">
      <c r="B881" s="552"/>
    </row>
    <row r="882" spans="2:2">
      <c r="B882" s="552"/>
    </row>
    <row r="883" spans="2:2">
      <c r="B883" s="552"/>
    </row>
    <row r="884" spans="2:2">
      <c r="B884" s="552"/>
    </row>
    <row r="885" spans="2:2">
      <c r="B885" s="552"/>
    </row>
    <row r="886" spans="2:2">
      <c r="B886" s="552"/>
    </row>
    <row r="887" spans="2:2">
      <c r="B887" s="552"/>
    </row>
    <row r="888" spans="2:2">
      <c r="B888" s="552"/>
    </row>
    <row r="889" spans="2:2">
      <c r="B889" s="552"/>
    </row>
    <row r="890" spans="2:2">
      <c r="B890" s="552"/>
    </row>
  </sheetData>
  <mergeCells count="24">
    <mergeCell ref="D44:D46"/>
    <mergeCell ref="D47:D48"/>
    <mergeCell ref="D49:D51"/>
    <mergeCell ref="D52:D53"/>
    <mergeCell ref="A18:C18"/>
    <mergeCell ref="A19:C19"/>
    <mergeCell ref="A32:D32"/>
    <mergeCell ref="A39:D39"/>
    <mergeCell ref="A40:D40"/>
    <mergeCell ref="D42:D43"/>
    <mergeCell ref="A17:C17"/>
    <mergeCell ref="A2:D2"/>
    <mergeCell ref="A3:D3"/>
    <mergeCell ref="A4:D4"/>
    <mergeCell ref="A5:D5"/>
    <mergeCell ref="A6:D6"/>
    <mergeCell ref="A9:A11"/>
    <mergeCell ref="B10:C10"/>
    <mergeCell ref="B11:C11"/>
    <mergeCell ref="A12:C12"/>
    <mergeCell ref="A13:C13"/>
    <mergeCell ref="A14:A16"/>
    <mergeCell ref="B15:C15"/>
    <mergeCell ref="B16:C16"/>
  </mergeCells>
  <pageMargins left="0.7" right="0.7" top="0.75" bottom="0.75" header="0.3" footer="0.3"/>
  <pageSetup paperSize="9" scale="81" fitToHeight="0" orientation="portrait" horizontalDpi="300" verticalDpi="300" r:id="rId2"/>
  <headerFooter>
    <oddFooter>&amp;R&amp;P de &amp;N</oddFooter>
  </headerFooter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184"/>
  <sheetViews>
    <sheetView topLeftCell="A7" zoomScale="70" zoomScaleNormal="70" workbookViewId="0">
      <pane xSplit="2" ySplit="3" topLeftCell="C10" activePane="bottomRight" state="frozen"/>
      <selection activeCell="A7" sqref="A7"/>
      <selection pane="topRight" activeCell="C7" sqref="C7"/>
      <selection pane="bottomLeft" activeCell="A8" sqref="A8"/>
      <selection pane="bottomRight" activeCell="A13" sqref="A13"/>
    </sheetView>
  </sheetViews>
  <sheetFormatPr baseColWidth="10" defaultColWidth="11.5703125" defaultRowHeight="15"/>
  <cols>
    <col min="1" max="1" width="9" style="414" customWidth="1"/>
    <col min="2" max="2" width="22.140625" style="414" bestFit="1" customWidth="1"/>
    <col min="3" max="3" width="24" style="448" customWidth="1"/>
    <col min="4" max="4" width="44.28515625" style="448" bestFit="1" customWidth="1"/>
    <col min="5" max="5" width="26.85546875" style="448" bestFit="1" customWidth="1"/>
    <col min="6" max="6" width="18.7109375" style="442" customWidth="1"/>
    <col min="7" max="7" width="10.85546875" style="414" customWidth="1"/>
    <col min="8" max="8" width="11.5703125" style="414" customWidth="1"/>
    <col min="9" max="9" width="12.7109375" style="414" customWidth="1"/>
    <col min="10" max="10" width="76" style="414" customWidth="1"/>
    <col min="11" max="11" width="23.140625" style="414" customWidth="1"/>
    <col min="12" max="12" width="21.140625" style="414" customWidth="1"/>
    <col min="13" max="13" width="22.140625" style="414" customWidth="1"/>
    <col min="14" max="14" width="23.5703125" style="414" bestFit="1" customWidth="1"/>
    <col min="15" max="15" width="11.5703125" style="414"/>
    <col min="16" max="16" width="11.7109375" style="414" hidden="1" customWidth="1"/>
    <col min="17" max="17" width="13.42578125" style="414" hidden="1" customWidth="1"/>
    <col min="18" max="19" width="11.7109375" style="414" hidden="1" customWidth="1"/>
    <col min="20" max="20" width="0" style="414" hidden="1" customWidth="1"/>
    <col min="21" max="16384" width="11.5703125" style="414"/>
  </cols>
  <sheetData>
    <row r="2" spans="1:14" ht="23.25">
      <c r="A2" s="1178" t="s">
        <v>726</v>
      </c>
      <c r="B2" s="1178"/>
      <c r="C2" s="1178"/>
      <c r="D2" s="1178"/>
      <c r="E2" s="1178"/>
      <c r="F2" s="1179"/>
      <c r="G2" s="1178"/>
      <c r="H2" s="1178"/>
      <c r="I2" s="1178"/>
    </row>
    <row r="3" spans="1:14" ht="18.75">
      <c r="A3" s="1180" t="s">
        <v>814</v>
      </c>
      <c r="B3" s="1180"/>
      <c r="C3" s="1180"/>
      <c r="D3" s="1180"/>
      <c r="E3" s="1180"/>
      <c r="F3" s="1181"/>
      <c r="G3" s="1180"/>
      <c r="H3" s="1180"/>
      <c r="I3" s="1180"/>
    </row>
    <row r="4" spans="1:14" ht="18.75">
      <c r="A4" s="1182" t="s">
        <v>815</v>
      </c>
      <c r="B4" s="1182"/>
      <c r="C4" s="1182"/>
      <c r="D4" s="1182"/>
      <c r="E4" s="1182"/>
      <c r="F4" s="1183"/>
      <c r="G4" s="1182"/>
      <c r="H4" s="1182"/>
      <c r="I4" s="1182"/>
    </row>
    <row r="5" spans="1:14" ht="26.45" customHeight="1">
      <c r="A5" s="1184" t="s">
        <v>816</v>
      </c>
      <c r="B5" s="1184"/>
      <c r="C5" s="1184"/>
      <c r="D5" s="1184"/>
      <c r="E5" s="1184"/>
      <c r="F5" s="1184"/>
      <c r="G5" s="1184"/>
      <c r="H5" s="1184"/>
      <c r="I5" s="1184"/>
    </row>
    <row r="6" spans="1:14" ht="26.45" customHeight="1">
      <c r="A6" s="415"/>
      <c r="B6" s="415"/>
      <c r="C6" s="415"/>
      <c r="D6" s="416" t="s">
        <v>817</v>
      </c>
      <c r="E6" s="416"/>
      <c r="F6" s="415"/>
      <c r="G6" s="415"/>
      <c r="H6" s="415"/>
      <c r="I6" s="415"/>
      <c r="K6" s="416" t="s">
        <v>818</v>
      </c>
      <c r="L6" s="416"/>
      <c r="M6" s="416"/>
      <c r="N6" s="416"/>
    </row>
    <row r="7" spans="1:14" ht="26.45" customHeight="1">
      <c r="A7" s="415"/>
      <c r="B7" s="415"/>
      <c r="C7" s="415"/>
      <c r="D7" s="416"/>
      <c r="E7" s="416"/>
      <c r="F7" s="415"/>
      <c r="G7" s="415"/>
      <c r="H7" s="415"/>
      <c r="I7" s="415"/>
      <c r="K7" s="456"/>
      <c r="L7" s="456"/>
      <c r="M7" s="456"/>
      <c r="N7" s="456"/>
    </row>
    <row r="8" spans="1:14" ht="26.45" customHeight="1">
      <c r="A8" s="415"/>
      <c r="B8" s="1172" t="s">
        <v>985</v>
      </c>
      <c r="C8" s="1172"/>
      <c r="D8" s="1172"/>
      <c r="E8" s="1172"/>
      <c r="F8" s="1172"/>
      <c r="G8" s="415"/>
      <c r="H8" s="415"/>
      <c r="I8" s="415"/>
      <c r="K8" s="456"/>
      <c r="L8" s="456"/>
      <c r="M8" s="456"/>
      <c r="N8" s="456"/>
    </row>
    <row r="9" spans="1:14" s="420" customFormat="1" ht="44.45" customHeight="1">
      <c r="A9" s="416" t="s">
        <v>145</v>
      </c>
      <c r="B9" s="416" t="s">
        <v>545</v>
      </c>
      <c r="C9" s="417" t="s">
        <v>546</v>
      </c>
      <c r="D9" s="418" t="s">
        <v>819</v>
      </c>
      <c r="E9" s="418" t="s">
        <v>820</v>
      </c>
      <c r="F9" s="416" t="s">
        <v>273</v>
      </c>
      <c r="G9" s="417" t="s">
        <v>821</v>
      </c>
      <c r="H9" s="417" t="s">
        <v>822</v>
      </c>
      <c r="I9" s="416" t="s">
        <v>823</v>
      </c>
      <c r="J9" s="416" t="s">
        <v>824</v>
      </c>
      <c r="K9" s="419" t="s">
        <v>825</v>
      </c>
      <c r="L9" s="419" t="s">
        <v>826</v>
      </c>
      <c r="M9" s="419" t="s">
        <v>827</v>
      </c>
      <c r="N9" s="419" t="s">
        <v>9</v>
      </c>
    </row>
    <row r="10" spans="1:14" s="426" customFormat="1" ht="64.900000000000006" customHeight="1">
      <c r="A10" s="421">
        <v>1</v>
      </c>
      <c r="B10" s="421" t="s">
        <v>654</v>
      </c>
      <c r="C10" s="422" t="s">
        <v>247</v>
      </c>
      <c r="D10" s="422" t="s">
        <v>828</v>
      </c>
      <c r="E10" s="422" t="s">
        <v>829</v>
      </c>
      <c r="F10" s="423">
        <v>10</v>
      </c>
      <c r="G10" s="423">
        <f>+F10</f>
        <v>10</v>
      </c>
      <c r="H10" s="423">
        <v>20</v>
      </c>
      <c r="I10" s="423">
        <v>4</v>
      </c>
      <c r="J10" s="424" t="str">
        <f>VLOOKUP(I10,[6]RRESUMEN!A11:V18,3)</f>
        <v>RETROEXCAVADORA, CARGADORA, MOTONIVELADORA, RODILLO LISO, TANQUERO DE AGUA, PLATAFORMA, 2 VOLQUETES 8 M3, CAMIONETA DE ABASTO</v>
      </c>
      <c r="K10" s="425">
        <v>50341.599999999999</v>
      </c>
      <c r="L10" s="425">
        <v>5827.6</v>
      </c>
      <c r="M10" s="425">
        <v>5132.3999999999996</v>
      </c>
      <c r="N10" s="425">
        <f>SUM(K10:M10)</f>
        <v>61301.599999999999</v>
      </c>
    </row>
    <row r="11" spans="1:14" ht="45" customHeight="1">
      <c r="A11" s="421">
        <v>1</v>
      </c>
      <c r="B11" s="421" t="s">
        <v>654</v>
      </c>
      <c r="C11" s="422" t="s">
        <v>830</v>
      </c>
      <c r="D11" s="422" t="s">
        <v>831</v>
      </c>
      <c r="E11" s="422" t="s">
        <v>832</v>
      </c>
      <c r="F11" s="423">
        <v>10</v>
      </c>
      <c r="G11" s="423">
        <f>+F11</f>
        <v>10</v>
      </c>
      <c r="H11" s="423">
        <v>19</v>
      </c>
      <c r="I11" s="423">
        <v>4</v>
      </c>
      <c r="J11" s="424" t="str">
        <f>VLOOKUP(I11,[6]RRESUMEN!A12:V19,3)</f>
        <v>RETROEXCAVADORA, CARGADORA, MOTONIVELADORA, RODILLO LISO, TANQUERO DE AGUA, PLATAFORMA, 2 VOLQUETES 8 M3, CAMIONETA DE ABASTO</v>
      </c>
      <c r="K11" s="425">
        <v>47824.52</v>
      </c>
      <c r="L11" s="425">
        <v>10412</v>
      </c>
      <c r="M11" s="425"/>
      <c r="N11" s="425">
        <f>SUM(K11:M11)</f>
        <v>58236.52</v>
      </c>
    </row>
    <row r="12" spans="1:14" ht="45" customHeight="1">
      <c r="A12" s="421">
        <v>1</v>
      </c>
      <c r="B12" s="421" t="s">
        <v>654</v>
      </c>
      <c r="C12" s="422" t="s">
        <v>656</v>
      </c>
      <c r="D12" s="422" t="s">
        <v>828</v>
      </c>
      <c r="E12" s="422" t="s">
        <v>833</v>
      </c>
      <c r="F12" s="423">
        <v>10</v>
      </c>
      <c r="G12" s="423">
        <f>+F12</f>
        <v>10</v>
      </c>
      <c r="H12" s="423">
        <v>10</v>
      </c>
      <c r="I12" s="423">
        <v>4</v>
      </c>
      <c r="J12" s="424" t="str">
        <f>VLOOKUP(I12,[6]RRESUMEN!A13:V20,3)</f>
        <v>RETROEXCAVADORA, CARGADORA, MOTONIVELADORA, RODILLO LISO, TANQUERO DE AGUA, PLATAFORMA, 2 VOLQUETES 8 M3, CAMIONETA DE ABASTO</v>
      </c>
      <c r="K12" s="425">
        <v>25170.799999999999</v>
      </c>
      <c r="L12" s="425">
        <v>2913.8</v>
      </c>
      <c r="M12" s="425">
        <v>2566.1999999999998</v>
      </c>
      <c r="N12" s="425">
        <f>SUM(K12:M12)</f>
        <v>30650.799999999999</v>
      </c>
    </row>
    <row r="13" spans="1:14" ht="45" customHeight="1">
      <c r="A13" s="421">
        <v>1</v>
      </c>
      <c r="B13" s="421" t="s">
        <v>590</v>
      </c>
      <c r="C13" s="422" t="s">
        <v>189</v>
      </c>
      <c r="D13" s="422" t="s">
        <v>834</v>
      </c>
      <c r="E13" s="422" t="s">
        <v>835</v>
      </c>
      <c r="F13" s="423">
        <v>3</v>
      </c>
      <c r="G13" s="1174">
        <f>SUM(F13:F19)</f>
        <v>26.6</v>
      </c>
      <c r="H13" s="1174">
        <v>36</v>
      </c>
      <c r="I13" s="1174">
        <v>4</v>
      </c>
      <c r="J13" s="1175" t="str">
        <f>VLOOKUP(I13,[6]RRESUMEN!$A$11:$V$18,3)</f>
        <v>RETROEXCAVADORA, CARGADORA, MOTONIVELADORA, RODILLO LISO, TANQUERO DE AGUA, PLATAFORMA, 2 VOLQUETES 8 M3, CAMIONETA DE ABASTO</v>
      </c>
      <c r="K13" s="1173">
        <v>90614.88</v>
      </c>
      <c r="L13" s="1173">
        <v>10489.68</v>
      </c>
      <c r="M13" s="1173">
        <v>9238.32</v>
      </c>
      <c r="N13" s="1173">
        <f>SUM(K13:M13)</f>
        <v>110342.88</v>
      </c>
    </row>
    <row r="14" spans="1:14" ht="45" customHeight="1">
      <c r="A14" s="421">
        <v>1</v>
      </c>
      <c r="B14" s="421" t="s">
        <v>590</v>
      </c>
      <c r="C14" s="422" t="s">
        <v>189</v>
      </c>
      <c r="D14" s="422" t="s">
        <v>836</v>
      </c>
      <c r="E14" s="422" t="s">
        <v>837</v>
      </c>
      <c r="F14" s="423">
        <v>4.5999999999999996</v>
      </c>
      <c r="G14" s="1174"/>
      <c r="H14" s="1174"/>
      <c r="I14" s="1174"/>
      <c r="J14" s="1175"/>
      <c r="K14" s="1173"/>
      <c r="L14" s="1173"/>
      <c r="M14" s="1173"/>
      <c r="N14" s="1173"/>
    </row>
    <row r="15" spans="1:14" ht="45" customHeight="1">
      <c r="A15" s="421">
        <v>1</v>
      </c>
      <c r="B15" s="421" t="s">
        <v>590</v>
      </c>
      <c r="C15" s="422" t="s">
        <v>189</v>
      </c>
      <c r="D15" s="422" t="s">
        <v>838</v>
      </c>
      <c r="E15" s="422" t="s">
        <v>839</v>
      </c>
      <c r="F15" s="423">
        <v>7</v>
      </c>
      <c r="G15" s="1174"/>
      <c r="H15" s="1174"/>
      <c r="I15" s="1174"/>
      <c r="J15" s="1175"/>
      <c r="K15" s="1173"/>
      <c r="L15" s="1173"/>
      <c r="M15" s="1173"/>
      <c r="N15" s="1173"/>
    </row>
    <row r="16" spans="1:14" ht="45" customHeight="1">
      <c r="A16" s="421">
        <v>1</v>
      </c>
      <c r="B16" s="421" t="s">
        <v>590</v>
      </c>
      <c r="C16" s="422" t="s">
        <v>207</v>
      </c>
      <c r="D16" s="422" t="s">
        <v>840</v>
      </c>
      <c r="E16" s="422" t="s">
        <v>841</v>
      </c>
      <c r="F16" s="423">
        <v>5</v>
      </c>
      <c r="G16" s="1174">
        <f>SUM(F16:F19)</f>
        <v>12</v>
      </c>
      <c r="H16" s="1174">
        <v>31</v>
      </c>
      <c r="I16" s="1174">
        <v>4</v>
      </c>
      <c r="J16" s="1175" t="str">
        <f>VLOOKUP(I16,[6]RRESUMEN!$A$11:$V$18,3)</f>
        <v>RETROEXCAVADORA, CARGADORA, MOTONIVELADORA, RODILLO LISO, TANQUERO DE AGUA, PLATAFORMA, 2 VOLQUETES 8 M3, CAMIONETA DE ABASTO</v>
      </c>
      <c r="K16" s="1173">
        <v>78029.48</v>
      </c>
      <c r="L16" s="1173">
        <v>9032.7800000000007</v>
      </c>
      <c r="M16" s="1173">
        <v>7955.22</v>
      </c>
      <c r="N16" s="1173">
        <f>SUM(K16:M19)</f>
        <v>95017.48</v>
      </c>
    </row>
    <row r="17" spans="1:14" ht="45" customHeight="1">
      <c r="A17" s="421">
        <v>1</v>
      </c>
      <c r="B17" s="421" t="s">
        <v>590</v>
      </c>
      <c r="C17" s="422" t="s">
        <v>207</v>
      </c>
      <c r="D17" s="422" t="s">
        <v>842</v>
      </c>
      <c r="E17" s="422" t="s">
        <v>843</v>
      </c>
      <c r="F17" s="423">
        <v>2</v>
      </c>
      <c r="G17" s="1174"/>
      <c r="H17" s="1174"/>
      <c r="I17" s="1174"/>
      <c r="J17" s="1175"/>
      <c r="K17" s="1173"/>
      <c r="L17" s="1173"/>
      <c r="M17" s="1173"/>
      <c r="N17" s="1173"/>
    </row>
    <row r="18" spans="1:14" ht="45" customHeight="1">
      <c r="A18" s="421">
        <v>1</v>
      </c>
      <c r="B18" s="421" t="s">
        <v>590</v>
      </c>
      <c r="C18" s="422" t="s">
        <v>207</v>
      </c>
      <c r="D18" s="422" t="s">
        <v>844</v>
      </c>
      <c r="E18" s="422" t="s">
        <v>845</v>
      </c>
      <c r="F18" s="423">
        <v>3</v>
      </c>
      <c r="G18" s="1174"/>
      <c r="H18" s="1174"/>
      <c r="I18" s="1174"/>
      <c r="J18" s="1175"/>
      <c r="K18" s="1173"/>
      <c r="L18" s="1173"/>
      <c r="M18" s="1173"/>
      <c r="N18" s="1173"/>
    </row>
    <row r="19" spans="1:14" ht="45" customHeight="1">
      <c r="A19" s="421">
        <v>1</v>
      </c>
      <c r="B19" s="421" t="s">
        <v>590</v>
      </c>
      <c r="C19" s="422" t="s">
        <v>207</v>
      </c>
      <c r="D19" s="422" t="s">
        <v>846</v>
      </c>
      <c r="E19" s="422" t="s">
        <v>847</v>
      </c>
      <c r="F19" s="423">
        <v>2</v>
      </c>
      <c r="G19" s="1174"/>
      <c r="H19" s="1174"/>
      <c r="I19" s="1174"/>
      <c r="J19" s="1175"/>
      <c r="K19" s="1173"/>
      <c r="L19" s="1173"/>
      <c r="M19" s="1173"/>
      <c r="N19" s="1173"/>
    </row>
    <row r="20" spans="1:14" ht="45" customHeight="1">
      <c r="A20" s="421">
        <v>1</v>
      </c>
      <c r="B20" s="421" t="s">
        <v>590</v>
      </c>
      <c r="C20" s="422" t="s">
        <v>172</v>
      </c>
      <c r="D20" s="422" t="s">
        <v>848</v>
      </c>
      <c r="E20" s="422" t="s">
        <v>849</v>
      </c>
      <c r="F20" s="423">
        <v>10</v>
      </c>
      <c r="G20" s="423">
        <f>+F20</f>
        <v>10</v>
      </c>
      <c r="H20" s="423">
        <v>21</v>
      </c>
      <c r="I20" s="423">
        <v>4</v>
      </c>
      <c r="J20" s="427" t="str">
        <f>VLOOKUP(I20,[6]RRESUMEN!$A$11:$V$18,3)</f>
        <v>RETROEXCAVADORA, CARGADORA, MOTONIVELADORA, RODILLO LISO, TANQUERO DE AGUA, PLATAFORMA, 2 VOLQUETES 8 M3, CAMIONETA DE ABASTO</v>
      </c>
      <c r="K20" s="425">
        <v>52858.68</v>
      </c>
      <c r="L20" s="425">
        <v>6118.98</v>
      </c>
      <c r="M20" s="425">
        <v>5389.02</v>
      </c>
      <c r="N20" s="425">
        <f>SUM(K20:M20)</f>
        <v>64366.680000000008</v>
      </c>
    </row>
    <row r="21" spans="1:14" ht="45" customHeight="1">
      <c r="A21" s="421">
        <v>1</v>
      </c>
      <c r="B21" s="421" t="s">
        <v>590</v>
      </c>
      <c r="C21" s="422" t="s">
        <v>205</v>
      </c>
      <c r="D21" s="422" t="s">
        <v>205</v>
      </c>
      <c r="E21" s="422" t="s">
        <v>850</v>
      </c>
      <c r="F21" s="423">
        <v>12</v>
      </c>
      <c r="G21" s="423">
        <f>+F21</f>
        <v>12</v>
      </c>
      <c r="H21" s="423">
        <v>25</v>
      </c>
      <c r="I21" s="423">
        <v>4</v>
      </c>
      <c r="J21" s="427" t="str">
        <f>VLOOKUP(I21,[6]RRESUMEN!$A$11:$V$18,3)</f>
        <v>RETROEXCAVADORA, CARGADORA, MOTONIVELADORA, RODILLO LISO, TANQUERO DE AGUA, PLATAFORMA, 2 VOLQUETES 8 M3, CAMIONETA DE ABASTO</v>
      </c>
      <c r="K21" s="425">
        <v>62927</v>
      </c>
      <c r="L21" s="425">
        <v>7284.5</v>
      </c>
      <c r="M21" s="425">
        <v>6415.5</v>
      </c>
      <c r="N21" s="425">
        <f>SUM(K21:M21)</f>
        <v>76627</v>
      </c>
    </row>
    <row r="22" spans="1:14" ht="45" customHeight="1">
      <c r="A22" s="421">
        <v>1</v>
      </c>
      <c r="B22" s="421" t="s">
        <v>199</v>
      </c>
      <c r="C22" s="422" t="s">
        <v>636</v>
      </c>
      <c r="D22" s="421" t="s">
        <v>851</v>
      </c>
      <c r="E22" s="421" t="s">
        <v>852</v>
      </c>
      <c r="F22" s="423">
        <v>10</v>
      </c>
      <c r="G22" s="1174">
        <f>SUM(F22:F23)</f>
        <v>15</v>
      </c>
      <c r="H22" s="1174">
        <v>5</v>
      </c>
      <c r="I22" s="1174">
        <v>4</v>
      </c>
      <c r="J22" s="1175" t="str">
        <f>VLOOKUP(I22,[6]RRESUMEN!$A$11:$V$18,3)</f>
        <v>RETROEXCAVADORA, CARGADORA, MOTONIVELADORA, RODILLO LISO, TANQUERO DE AGUA, PLATAFORMA, 2 VOLQUETES 8 M3, CAMIONETA DE ABASTO</v>
      </c>
      <c r="K22" s="1173">
        <v>12585.4</v>
      </c>
      <c r="L22" s="1173">
        <v>1456.9</v>
      </c>
      <c r="M22" s="1173">
        <v>1283.0999999999999</v>
      </c>
      <c r="N22" s="1173">
        <f>SUM(K22:M22)</f>
        <v>15325.4</v>
      </c>
    </row>
    <row r="23" spans="1:14" ht="45" customHeight="1">
      <c r="A23" s="421">
        <v>1</v>
      </c>
      <c r="B23" s="421" t="s">
        <v>199</v>
      </c>
      <c r="C23" s="422" t="s">
        <v>636</v>
      </c>
      <c r="D23" s="421" t="s">
        <v>853</v>
      </c>
      <c r="E23" s="421" t="s">
        <v>854</v>
      </c>
      <c r="F23" s="423">
        <v>5</v>
      </c>
      <c r="G23" s="1174"/>
      <c r="H23" s="1174"/>
      <c r="I23" s="1174"/>
      <c r="J23" s="1175"/>
      <c r="K23" s="1173"/>
      <c r="L23" s="1173"/>
      <c r="M23" s="1173"/>
      <c r="N23" s="1173"/>
    </row>
    <row r="24" spans="1:14" ht="45" customHeight="1">
      <c r="A24" s="421">
        <v>1</v>
      </c>
      <c r="B24" s="421" t="s">
        <v>199</v>
      </c>
      <c r="C24" s="422" t="s">
        <v>637</v>
      </c>
      <c r="D24" s="422" t="s">
        <v>855</v>
      </c>
      <c r="E24" s="422" t="s">
        <v>856</v>
      </c>
      <c r="F24" s="423">
        <v>13</v>
      </c>
      <c r="G24" s="423">
        <f>+F24</f>
        <v>13</v>
      </c>
      <c r="H24" s="423">
        <v>9</v>
      </c>
      <c r="I24" s="423">
        <v>4</v>
      </c>
      <c r="J24" s="427" t="str">
        <f>VLOOKUP(I24,[6]RRESUMEN!$A$11:$V$18,3)</f>
        <v>RETROEXCAVADORA, CARGADORA, MOTONIVELADORA, RODILLO LISO, TANQUERO DE AGUA, PLATAFORMA, 2 VOLQUETES 8 M3, CAMIONETA DE ABASTO</v>
      </c>
      <c r="K24" s="425">
        <v>22653.72</v>
      </c>
      <c r="L24" s="425">
        <v>2622.42</v>
      </c>
      <c r="M24" s="425">
        <v>2309.58</v>
      </c>
      <c r="N24" s="425">
        <f>SUM(K24:M24)</f>
        <v>27585.72</v>
      </c>
    </row>
    <row r="25" spans="1:14" ht="45" customHeight="1">
      <c r="A25" s="421">
        <v>1</v>
      </c>
      <c r="B25" s="421" t="s">
        <v>199</v>
      </c>
      <c r="C25" s="457" t="s">
        <v>857</v>
      </c>
      <c r="D25" s="422" t="s">
        <v>858</v>
      </c>
      <c r="E25" s="422" t="s">
        <v>859</v>
      </c>
      <c r="F25" s="423">
        <v>12</v>
      </c>
      <c r="G25" s="1177">
        <f>SUM(F25:F26)</f>
        <v>19</v>
      </c>
      <c r="H25" s="1174">
        <v>5</v>
      </c>
      <c r="I25" s="1174">
        <v>4</v>
      </c>
      <c r="J25" s="1175" t="str">
        <f>VLOOKUP(I25,[6]RRESUMEN!$A$11:$V$18,3)</f>
        <v>RETROEXCAVADORA, CARGADORA, MOTONIVELADORA, RODILLO LISO, TANQUERO DE AGUA, PLATAFORMA, 2 VOLQUETES 8 M3, CAMIONETA DE ABASTO</v>
      </c>
      <c r="K25" s="1173">
        <v>12585.4</v>
      </c>
      <c r="L25" s="1173">
        <v>2740</v>
      </c>
      <c r="M25" s="1173"/>
      <c r="N25" s="1173">
        <f>SUM(K25:M25)</f>
        <v>15325.4</v>
      </c>
    </row>
    <row r="26" spans="1:14" ht="45" customHeight="1">
      <c r="A26" s="421">
        <v>1</v>
      </c>
      <c r="B26" s="421" t="s">
        <v>199</v>
      </c>
      <c r="C26" s="457" t="s">
        <v>857</v>
      </c>
      <c r="D26" s="422" t="s">
        <v>860</v>
      </c>
      <c r="E26" s="422" t="s">
        <v>861</v>
      </c>
      <c r="F26" s="423">
        <v>7</v>
      </c>
      <c r="G26" s="1177"/>
      <c r="H26" s="1174"/>
      <c r="I26" s="1174"/>
      <c r="J26" s="1175"/>
      <c r="K26" s="1173"/>
      <c r="L26" s="1173"/>
      <c r="M26" s="1173"/>
      <c r="N26" s="1173"/>
    </row>
    <row r="27" spans="1:14" ht="45" customHeight="1">
      <c r="A27" s="421">
        <v>1</v>
      </c>
      <c r="B27" s="421" t="s">
        <v>232</v>
      </c>
      <c r="C27" s="1176" t="s">
        <v>587</v>
      </c>
      <c r="D27" s="422" t="s">
        <v>862</v>
      </c>
      <c r="E27" s="422" t="s">
        <v>863</v>
      </c>
      <c r="F27" s="423">
        <v>5</v>
      </c>
      <c r="G27" s="1174">
        <f>SUM(F27:F28)</f>
        <v>10</v>
      </c>
      <c r="H27" s="1174">
        <v>10</v>
      </c>
      <c r="I27" s="1174">
        <v>4</v>
      </c>
      <c r="J27" s="1175" t="str">
        <f>VLOOKUP(I27,[6]RRESUMEN!$A$11:$V$18,3)</f>
        <v>RETROEXCAVADORA, CARGADORA, MOTONIVELADORA, RODILLO LISO, TANQUERO DE AGUA, PLATAFORMA, 2 VOLQUETES 8 M3, CAMIONETA DE ABASTO</v>
      </c>
      <c r="K27" s="1173">
        <v>25170.799999999999</v>
      </c>
      <c r="L27" s="1173">
        <v>2913.8</v>
      </c>
      <c r="M27" s="1173">
        <v>2566.1999999999998</v>
      </c>
      <c r="N27" s="1173">
        <f>SUM(K27:M27)</f>
        <v>30650.799999999999</v>
      </c>
    </row>
    <row r="28" spans="1:14" ht="45" customHeight="1">
      <c r="A28" s="421">
        <v>1</v>
      </c>
      <c r="B28" s="421" t="s">
        <v>232</v>
      </c>
      <c r="C28" s="1176"/>
      <c r="D28" s="422" t="s">
        <v>864</v>
      </c>
      <c r="E28" s="422" t="s">
        <v>865</v>
      </c>
      <c r="F28" s="423">
        <v>5</v>
      </c>
      <c r="G28" s="1174"/>
      <c r="H28" s="1174"/>
      <c r="I28" s="1174"/>
      <c r="J28" s="1175"/>
      <c r="K28" s="1173"/>
      <c r="L28" s="1173"/>
      <c r="M28" s="1173"/>
      <c r="N28" s="1173">
        <f>SUM(K28:M28)</f>
        <v>0</v>
      </c>
    </row>
    <row r="29" spans="1:14" ht="45" customHeight="1">
      <c r="A29" s="421">
        <v>1</v>
      </c>
      <c r="B29" s="421" t="s">
        <v>232</v>
      </c>
      <c r="C29" s="1176" t="s">
        <v>866</v>
      </c>
      <c r="D29" s="422" t="s">
        <v>867</v>
      </c>
      <c r="E29" s="422" t="s">
        <v>868</v>
      </c>
      <c r="F29" s="423">
        <v>8</v>
      </c>
      <c r="G29" s="1174">
        <f>SUM(F29:F31)</f>
        <v>14.5</v>
      </c>
      <c r="H29" s="1174">
        <v>10</v>
      </c>
      <c r="I29" s="1174">
        <v>4</v>
      </c>
      <c r="J29" s="1175" t="str">
        <f>VLOOKUP(I27,[6]RRESUMEN!$A$11:$V$18,3)</f>
        <v>RETROEXCAVADORA, CARGADORA, MOTONIVELADORA, RODILLO LISO, TANQUERO DE AGUA, PLATAFORMA, 2 VOLQUETES 8 M3, CAMIONETA DE ABASTO</v>
      </c>
      <c r="K29" s="1173">
        <v>25170.799999999999</v>
      </c>
      <c r="L29" s="1173">
        <v>5480</v>
      </c>
      <c r="M29" s="1173"/>
      <c r="N29" s="1173">
        <f>SUM(K29:L29)</f>
        <v>30650.799999999999</v>
      </c>
    </row>
    <row r="30" spans="1:14" ht="45" customHeight="1">
      <c r="A30" s="421">
        <v>1</v>
      </c>
      <c r="B30" s="421" t="s">
        <v>232</v>
      </c>
      <c r="C30" s="1176"/>
      <c r="D30" s="422" t="s">
        <v>869</v>
      </c>
      <c r="E30" s="422" t="s">
        <v>870</v>
      </c>
      <c r="F30" s="423">
        <v>5</v>
      </c>
      <c r="G30" s="1174"/>
      <c r="H30" s="1174"/>
      <c r="I30" s="1174"/>
      <c r="J30" s="1175"/>
      <c r="K30" s="1173"/>
      <c r="L30" s="1173"/>
      <c r="M30" s="1173"/>
      <c r="N30" s="1173"/>
    </row>
    <row r="31" spans="1:14" ht="45" customHeight="1">
      <c r="A31" s="421">
        <v>1</v>
      </c>
      <c r="B31" s="421" t="s">
        <v>232</v>
      </c>
      <c r="C31" s="1176"/>
      <c r="D31" s="422" t="s">
        <v>871</v>
      </c>
      <c r="E31" s="422" t="s">
        <v>872</v>
      </c>
      <c r="F31" s="423">
        <v>1.5</v>
      </c>
      <c r="G31" s="1174"/>
      <c r="H31" s="1174"/>
      <c r="I31" s="1174"/>
      <c r="J31" s="1175"/>
      <c r="K31" s="1173"/>
      <c r="L31" s="1173"/>
      <c r="M31" s="1173"/>
      <c r="N31" s="1173"/>
    </row>
    <row r="32" spans="1:14" ht="45" customHeight="1">
      <c r="A32" s="421">
        <v>1</v>
      </c>
      <c r="B32" s="421" t="s">
        <v>232</v>
      </c>
      <c r="C32" s="422" t="s">
        <v>236</v>
      </c>
      <c r="D32" s="422" t="s">
        <v>873</v>
      </c>
      <c r="E32" s="422" t="s">
        <v>874</v>
      </c>
      <c r="F32" s="423">
        <v>5</v>
      </c>
      <c r="G32" s="1174">
        <f>SUM(F32:F33)</f>
        <v>11.5</v>
      </c>
      <c r="H32" s="1174">
        <v>12</v>
      </c>
      <c r="I32" s="1174">
        <v>4</v>
      </c>
      <c r="J32" s="1175" t="str">
        <f>VLOOKUP(I27,[6]RRESUMEN!$A$11:$V$18,3)</f>
        <v>RETROEXCAVADORA, CARGADORA, MOTONIVELADORA, RODILLO LISO, TANQUERO DE AGUA, PLATAFORMA, 2 VOLQUETES 8 M3, CAMIONETA DE ABASTO</v>
      </c>
      <c r="K32" s="1173">
        <v>30204.959999999999</v>
      </c>
      <c r="L32" s="1173">
        <v>3496.56</v>
      </c>
      <c r="M32" s="1173">
        <v>3079.44</v>
      </c>
      <c r="N32" s="1173">
        <f>SUM(K32:M32)</f>
        <v>36780.959999999999</v>
      </c>
    </row>
    <row r="33" spans="1:14" ht="45" customHeight="1">
      <c r="A33" s="421">
        <v>1</v>
      </c>
      <c r="B33" s="421" t="s">
        <v>232</v>
      </c>
      <c r="C33" s="422" t="s">
        <v>236</v>
      </c>
      <c r="D33" s="422" t="s">
        <v>874</v>
      </c>
      <c r="E33" s="422" t="s">
        <v>875</v>
      </c>
      <c r="F33" s="423">
        <v>6.5</v>
      </c>
      <c r="G33" s="1174"/>
      <c r="H33" s="1174"/>
      <c r="I33" s="1174"/>
      <c r="J33" s="1175"/>
      <c r="K33" s="1173"/>
      <c r="L33" s="1173"/>
      <c r="M33" s="1173"/>
      <c r="N33" s="1173"/>
    </row>
    <row r="34" spans="1:14" ht="45" customHeight="1">
      <c r="A34" s="421">
        <v>1</v>
      </c>
      <c r="B34" s="421" t="s">
        <v>232</v>
      </c>
      <c r="C34" s="422" t="s">
        <v>588</v>
      </c>
      <c r="D34" s="422" t="s">
        <v>876</v>
      </c>
      <c r="E34" s="422" t="s">
        <v>877</v>
      </c>
      <c r="F34" s="423">
        <v>1.5</v>
      </c>
      <c r="G34" s="1174">
        <f>SUM(F34:F36)</f>
        <v>6.5</v>
      </c>
      <c r="H34" s="1174">
        <v>10</v>
      </c>
      <c r="I34" s="1174">
        <v>4</v>
      </c>
      <c r="J34" s="1175" t="str">
        <f>VLOOKUP(I27,[6]RRESUMEN!$A$11:$V$18,3)</f>
        <v>RETROEXCAVADORA, CARGADORA, MOTONIVELADORA, RODILLO LISO, TANQUERO DE AGUA, PLATAFORMA, 2 VOLQUETES 8 M3, CAMIONETA DE ABASTO</v>
      </c>
      <c r="K34" s="1173">
        <v>25170.799999999999</v>
      </c>
      <c r="L34" s="1173">
        <v>2913.8</v>
      </c>
      <c r="M34" s="1173">
        <v>2566.1999999999998</v>
      </c>
      <c r="N34" s="1173">
        <f>SUM(K34:M36)</f>
        <v>30650.799999999999</v>
      </c>
    </row>
    <row r="35" spans="1:14" ht="45" customHeight="1">
      <c r="A35" s="421">
        <v>1</v>
      </c>
      <c r="B35" s="421" t="s">
        <v>232</v>
      </c>
      <c r="C35" s="422" t="s">
        <v>588</v>
      </c>
      <c r="D35" s="422" t="s">
        <v>878</v>
      </c>
      <c r="E35" s="422" t="s">
        <v>879</v>
      </c>
      <c r="F35" s="423">
        <v>2.5</v>
      </c>
      <c r="G35" s="1174"/>
      <c r="H35" s="1174"/>
      <c r="I35" s="1174"/>
      <c r="J35" s="1175"/>
      <c r="K35" s="1173"/>
      <c r="L35" s="1173"/>
      <c r="M35" s="1173"/>
      <c r="N35" s="1173"/>
    </row>
    <row r="36" spans="1:14" ht="45" customHeight="1">
      <c r="A36" s="421">
        <v>1</v>
      </c>
      <c r="B36" s="421" t="s">
        <v>232</v>
      </c>
      <c r="C36" s="422" t="s">
        <v>588</v>
      </c>
      <c r="D36" s="422" t="s">
        <v>880</v>
      </c>
      <c r="E36" s="422" t="s">
        <v>881</v>
      </c>
      <c r="F36" s="423">
        <v>2.5</v>
      </c>
      <c r="G36" s="1174"/>
      <c r="H36" s="1174"/>
      <c r="I36" s="1174"/>
      <c r="J36" s="1175"/>
      <c r="K36" s="1173"/>
      <c r="L36" s="1173"/>
      <c r="M36" s="1173"/>
      <c r="N36" s="1173"/>
    </row>
    <row r="37" spans="1:14" ht="45" customHeight="1">
      <c r="A37" s="421">
        <v>1</v>
      </c>
      <c r="B37" s="421" t="s">
        <v>232</v>
      </c>
      <c r="C37" s="422" t="s">
        <v>223</v>
      </c>
      <c r="D37" s="422" t="s">
        <v>882</v>
      </c>
      <c r="E37" s="422" t="s">
        <v>381</v>
      </c>
      <c r="F37" s="423">
        <v>5</v>
      </c>
      <c r="G37" s="1174">
        <f>SUM(F37:F38)</f>
        <v>13</v>
      </c>
      <c r="H37" s="1174">
        <v>11</v>
      </c>
      <c r="I37" s="1174">
        <v>4</v>
      </c>
      <c r="J37" s="1175" t="str">
        <f>VLOOKUP(I27,[6]RRESUMEN!$A$11:$V$18,3)</f>
        <v>RETROEXCAVADORA, CARGADORA, MOTONIVELADORA, RODILLO LISO, TANQUERO DE AGUA, PLATAFORMA, 2 VOLQUETES 8 M3, CAMIONETA DE ABASTO</v>
      </c>
      <c r="K37" s="1173">
        <v>27687.879999999997</v>
      </c>
      <c r="L37" s="1173">
        <v>3205.18</v>
      </c>
      <c r="M37" s="1173">
        <v>2822.82</v>
      </c>
      <c r="N37" s="1173">
        <f>SUM(K37:M37)</f>
        <v>33715.879999999997</v>
      </c>
    </row>
    <row r="38" spans="1:14" ht="45" customHeight="1">
      <c r="A38" s="421">
        <v>1</v>
      </c>
      <c r="B38" s="421" t="s">
        <v>232</v>
      </c>
      <c r="C38" s="422" t="s">
        <v>223</v>
      </c>
      <c r="D38" s="422" t="s">
        <v>883</v>
      </c>
      <c r="E38" s="422" t="s">
        <v>879</v>
      </c>
      <c r="F38" s="423">
        <v>8</v>
      </c>
      <c r="G38" s="1174"/>
      <c r="H38" s="1174"/>
      <c r="I38" s="1174"/>
      <c r="J38" s="1175"/>
      <c r="K38" s="1173"/>
      <c r="L38" s="1173"/>
      <c r="M38" s="1173"/>
      <c r="N38" s="1173"/>
    </row>
    <row r="39" spans="1:14" ht="45" customHeight="1">
      <c r="A39" s="421">
        <v>1</v>
      </c>
      <c r="B39" s="421" t="s">
        <v>232</v>
      </c>
      <c r="C39" s="422" t="s">
        <v>239</v>
      </c>
      <c r="D39" s="422" t="s">
        <v>884</v>
      </c>
      <c r="E39" s="422" t="s">
        <v>239</v>
      </c>
      <c r="F39" s="423">
        <v>16</v>
      </c>
      <c r="G39" s="423">
        <f>+F39</f>
        <v>16</v>
      </c>
      <c r="H39" s="423">
        <v>14</v>
      </c>
      <c r="I39" s="423">
        <v>4</v>
      </c>
      <c r="J39" s="428" t="str">
        <f>VLOOKUP(I27,[6]RRESUMEN!$A$11:$V$18,3)</f>
        <v>RETROEXCAVADORA, CARGADORA, MOTONIVELADORA, RODILLO LISO, TANQUERO DE AGUA, PLATAFORMA, 2 VOLQUETES 8 M3, CAMIONETA DE ABASTO</v>
      </c>
      <c r="K39" s="425">
        <v>35239.119999999995</v>
      </c>
      <c r="L39" s="425">
        <v>4079.3199999999997</v>
      </c>
      <c r="M39" s="425">
        <v>3592.6800000000003</v>
      </c>
      <c r="N39" s="425">
        <f>SUM(K39:M39)</f>
        <v>42911.119999999995</v>
      </c>
    </row>
    <row r="40" spans="1:14" ht="45" customHeight="1">
      <c r="A40" s="421">
        <v>1</v>
      </c>
      <c r="B40" s="421" t="s">
        <v>232</v>
      </c>
      <c r="C40" s="422" t="s">
        <v>885</v>
      </c>
      <c r="D40" s="422" t="s">
        <v>886</v>
      </c>
      <c r="E40" s="422" t="s">
        <v>887</v>
      </c>
      <c r="F40" s="423">
        <v>20</v>
      </c>
      <c r="G40" s="423">
        <f>SUM(F40:F40)</f>
        <v>20</v>
      </c>
      <c r="H40" s="423">
        <v>14</v>
      </c>
      <c r="I40" s="423">
        <v>4</v>
      </c>
      <c r="J40" s="428" t="str">
        <f>VLOOKUP(I27,[6]RRESUMEN!$A$11:$V$18,3)</f>
        <v>RETROEXCAVADORA, CARGADORA, MOTONIVELADORA, RODILLO LISO, TANQUERO DE AGUA, PLATAFORMA, 2 VOLQUETES 8 M3, CAMIONETA DE ABASTO</v>
      </c>
      <c r="K40" s="425">
        <v>35239.119999999995</v>
      </c>
      <c r="L40" s="425">
        <v>4079.3199999999997</v>
      </c>
      <c r="M40" s="425">
        <v>3592.6800000000003</v>
      </c>
      <c r="N40" s="425">
        <f>SUM(K40:M40)</f>
        <v>42911.119999999995</v>
      </c>
    </row>
    <row r="41" spans="1:14" ht="45" customHeight="1">
      <c r="A41" s="421">
        <v>1</v>
      </c>
      <c r="B41" s="421" t="s">
        <v>272</v>
      </c>
      <c r="C41" s="422" t="s">
        <v>888</v>
      </c>
      <c r="D41" s="422" t="s">
        <v>889</v>
      </c>
      <c r="E41" s="422" t="s">
        <v>890</v>
      </c>
      <c r="F41" s="423">
        <v>8</v>
      </c>
      <c r="G41" s="423">
        <f>+F41</f>
        <v>8</v>
      </c>
      <c r="H41" s="423">
        <v>15</v>
      </c>
      <c r="I41" s="423">
        <v>4</v>
      </c>
      <c r="J41" s="428" t="str">
        <f>VLOOKUP(I41,[6]RRESUMEN!$A$11:$V$18,3)</f>
        <v>RETROEXCAVADORA, CARGADORA, MOTONIVELADORA, RODILLO LISO, TANQUERO DE AGUA, PLATAFORMA, 2 VOLQUETES 8 M3, CAMIONETA DE ABASTO</v>
      </c>
      <c r="K41" s="425">
        <v>37756.199999999997</v>
      </c>
      <c r="L41" s="425">
        <v>8220</v>
      </c>
      <c r="M41" s="425"/>
      <c r="N41" s="425">
        <f>SUM(K41:L41)</f>
        <v>45976.2</v>
      </c>
    </row>
    <row r="42" spans="1:14" ht="45" customHeight="1">
      <c r="A42" s="421">
        <v>1</v>
      </c>
      <c r="B42" s="421" t="s">
        <v>272</v>
      </c>
      <c r="C42" s="422" t="s">
        <v>891</v>
      </c>
      <c r="D42" s="422" t="s">
        <v>892</v>
      </c>
      <c r="E42" s="422" t="s">
        <v>893</v>
      </c>
      <c r="F42" s="423">
        <v>10</v>
      </c>
      <c r="G42" s="1174">
        <f>SUM(F42:F43)</f>
        <v>21</v>
      </c>
      <c r="H42" s="1174">
        <v>31</v>
      </c>
      <c r="I42" s="1174">
        <v>4</v>
      </c>
      <c r="J42" s="1175" t="str">
        <f>VLOOKUP(I42,[6]RRESUMEN!$A$11:$V$18,3)</f>
        <v>RETROEXCAVADORA, CARGADORA, MOTONIVELADORA, RODILLO LISO, TANQUERO DE AGUA, PLATAFORMA, 2 VOLQUETES 8 M3, CAMIONETA DE ABASTO</v>
      </c>
      <c r="K42" s="1173">
        <v>80546.559999999998</v>
      </c>
      <c r="L42" s="1173">
        <v>9324.16</v>
      </c>
      <c r="M42" s="1173">
        <v>8211.84</v>
      </c>
      <c r="N42" s="1173">
        <f>SUM(K42:M42)</f>
        <v>98082.559999999998</v>
      </c>
    </row>
    <row r="43" spans="1:14" ht="45" customHeight="1">
      <c r="A43" s="421">
        <v>1</v>
      </c>
      <c r="B43" s="421" t="s">
        <v>272</v>
      </c>
      <c r="C43" s="422" t="s">
        <v>891</v>
      </c>
      <c r="D43" s="422" t="s">
        <v>894</v>
      </c>
      <c r="E43" s="422" t="s">
        <v>895</v>
      </c>
      <c r="F43" s="423">
        <v>11</v>
      </c>
      <c r="G43" s="1174"/>
      <c r="H43" s="1174"/>
      <c r="I43" s="1174"/>
      <c r="J43" s="1175"/>
      <c r="K43" s="1173"/>
      <c r="L43" s="1173"/>
      <c r="M43" s="1173"/>
      <c r="N43" s="1173"/>
    </row>
    <row r="44" spans="1:14" ht="45" customHeight="1">
      <c r="A44" s="421">
        <v>1</v>
      </c>
      <c r="B44" s="421" t="s">
        <v>272</v>
      </c>
      <c r="C44" s="422" t="s">
        <v>243</v>
      </c>
      <c r="D44" s="422" t="s">
        <v>896</v>
      </c>
      <c r="E44" s="422" t="s">
        <v>897</v>
      </c>
      <c r="F44" s="423">
        <v>10</v>
      </c>
      <c r="G44" s="423">
        <f>SUM(F44:F44)</f>
        <v>10</v>
      </c>
      <c r="H44" s="423">
        <v>20</v>
      </c>
      <c r="I44" s="423">
        <v>4</v>
      </c>
      <c r="J44" s="428" t="str">
        <f>VLOOKUP(I44,[6]RRESUMEN!$A$11:$V$18,3)</f>
        <v>RETROEXCAVADORA, CARGADORA, MOTONIVELADORA, RODILLO LISO, TANQUERO DE AGUA, PLATAFORMA, 2 VOLQUETES 8 M3, CAMIONETA DE ABASTO</v>
      </c>
      <c r="K44" s="425">
        <v>50341.599999999999</v>
      </c>
      <c r="L44" s="425">
        <v>5827.6</v>
      </c>
      <c r="M44" s="425">
        <v>5132.3999999999996</v>
      </c>
      <c r="N44" s="425">
        <f t="shared" ref="N44:N57" si="0">SUM(K44:M44)</f>
        <v>61301.599999999999</v>
      </c>
    </row>
    <row r="45" spans="1:14" ht="45" customHeight="1">
      <c r="A45" s="421">
        <v>1</v>
      </c>
      <c r="B45" s="421" t="s">
        <v>272</v>
      </c>
      <c r="C45" s="422" t="s">
        <v>567</v>
      </c>
      <c r="D45" s="422" t="s">
        <v>898</v>
      </c>
      <c r="E45" s="422" t="s">
        <v>899</v>
      </c>
      <c r="F45" s="423">
        <v>13</v>
      </c>
      <c r="G45" s="423">
        <f>+F45</f>
        <v>13</v>
      </c>
      <c r="H45" s="423">
        <v>18</v>
      </c>
      <c r="I45" s="423">
        <v>4</v>
      </c>
      <c r="J45" s="428" t="str">
        <f>VLOOKUP(I45,[6]RRESUMEN!$A$11:$V$18,3)</f>
        <v>RETROEXCAVADORA, CARGADORA, MOTONIVELADORA, RODILLO LISO, TANQUERO DE AGUA, PLATAFORMA, 2 VOLQUETES 8 M3, CAMIONETA DE ABASTO</v>
      </c>
      <c r="K45" s="425">
        <v>45307.44</v>
      </c>
      <c r="L45" s="425">
        <v>5244.84</v>
      </c>
      <c r="M45" s="425">
        <v>4619.16</v>
      </c>
      <c r="N45" s="425">
        <f t="shared" si="0"/>
        <v>55171.44</v>
      </c>
    </row>
    <row r="46" spans="1:14" ht="45" customHeight="1">
      <c r="A46" s="421">
        <v>1</v>
      </c>
      <c r="B46" s="421" t="s">
        <v>272</v>
      </c>
      <c r="C46" s="422" t="s">
        <v>570</v>
      </c>
      <c r="D46" s="422" t="s">
        <v>900</v>
      </c>
      <c r="E46" s="422" t="s">
        <v>901</v>
      </c>
      <c r="F46" s="423">
        <v>15</v>
      </c>
      <c r="G46" s="423">
        <f>+F46</f>
        <v>15</v>
      </c>
      <c r="H46" s="423">
        <v>16</v>
      </c>
      <c r="I46" s="423">
        <v>4</v>
      </c>
      <c r="J46" s="428" t="str">
        <f>VLOOKUP(I46,[6]RRESUMEN!$A$11:$V$18,3)</f>
        <v>RETROEXCAVADORA, CARGADORA, MOTONIVELADORA, RODILLO LISO, TANQUERO DE AGUA, PLATAFORMA, 2 VOLQUETES 8 M3, CAMIONETA DE ABASTO</v>
      </c>
      <c r="K46" s="425">
        <v>40273.279999999999</v>
      </c>
      <c r="L46" s="425">
        <v>4662.08</v>
      </c>
      <c r="M46" s="425">
        <v>4105.92</v>
      </c>
      <c r="N46" s="425">
        <f t="shared" si="0"/>
        <v>49041.279999999999</v>
      </c>
    </row>
    <row r="47" spans="1:14" ht="70.900000000000006" customHeight="1">
      <c r="A47" s="421">
        <v>2</v>
      </c>
      <c r="B47" s="421" t="s">
        <v>604</v>
      </c>
      <c r="C47" s="422" t="s">
        <v>606</v>
      </c>
      <c r="D47" s="422" t="s">
        <v>902</v>
      </c>
      <c r="E47" s="422" t="s">
        <v>606</v>
      </c>
      <c r="F47" s="423">
        <v>15</v>
      </c>
      <c r="G47" s="423">
        <f>+F47</f>
        <v>15</v>
      </c>
      <c r="H47" s="423">
        <v>18</v>
      </c>
      <c r="I47" s="423">
        <v>3</v>
      </c>
      <c r="J47" s="428" t="str">
        <f>VLOOKUP(I47,[6]RRESUMEN!$A$11:$V$18,3)</f>
        <v>EXCAVADORA, CARGADORA, MOTONIVELADORA, RODILLO LISO, TANQUERO DE AGUA, PLATAFORMA, 4 VOLQUETES 8 M3, CAMIONETA DE ABASTO</v>
      </c>
      <c r="K47" s="425">
        <v>34458.71</v>
      </c>
      <c r="L47" s="425">
        <v>3857.7000000000007</v>
      </c>
      <c r="M47" s="425">
        <v>4083.31</v>
      </c>
      <c r="N47" s="425">
        <f t="shared" si="0"/>
        <v>42399.72</v>
      </c>
    </row>
    <row r="48" spans="1:14" ht="69" customHeight="1">
      <c r="A48" s="421">
        <v>2</v>
      </c>
      <c r="B48" s="421" t="s">
        <v>604</v>
      </c>
      <c r="C48" s="422" t="s">
        <v>607</v>
      </c>
      <c r="D48" s="422" t="s">
        <v>903</v>
      </c>
      <c r="E48" s="421" t="s">
        <v>904</v>
      </c>
      <c r="F48" s="423">
        <v>5</v>
      </c>
      <c r="G48" s="1174">
        <f>SUM(F48:F50)</f>
        <v>8.5</v>
      </c>
      <c r="H48" s="1174">
        <v>11</v>
      </c>
      <c r="I48" s="1174">
        <v>3</v>
      </c>
      <c r="J48" s="1175" t="str">
        <f>VLOOKUP(I48,[6]RRESUMEN!$A$11:$V$18,3)</f>
        <v>EXCAVADORA, CARGADORA, MOTONIVELADORA, RODILLO LISO, TANQUERO DE AGUA, PLATAFORMA, 4 VOLQUETES 8 M3, CAMIONETA DE ABASTO</v>
      </c>
      <c r="K48" s="1173">
        <v>34458.71</v>
      </c>
      <c r="L48" s="1173">
        <v>3857.7000000000007</v>
      </c>
      <c r="M48" s="1173">
        <v>4083.31</v>
      </c>
      <c r="N48" s="1173">
        <f t="shared" si="0"/>
        <v>42399.72</v>
      </c>
    </row>
    <row r="49" spans="1:14" ht="45" customHeight="1">
      <c r="A49" s="421">
        <v>2</v>
      </c>
      <c r="B49" s="421" t="s">
        <v>604</v>
      </c>
      <c r="C49" s="422" t="s">
        <v>607</v>
      </c>
      <c r="D49" s="421" t="s">
        <v>905</v>
      </c>
      <c r="E49" s="421" t="s">
        <v>906</v>
      </c>
      <c r="F49" s="423">
        <v>2</v>
      </c>
      <c r="G49" s="1174"/>
      <c r="H49" s="1174"/>
      <c r="I49" s="1174"/>
      <c r="J49" s="1175"/>
      <c r="K49" s="1173"/>
      <c r="L49" s="1173"/>
      <c r="M49" s="1173"/>
      <c r="N49" s="1173">
        <f t="shared" si="0"/>
        <v>0</v>
      </c>
    </row>
    <row r="50" spans="1:14" ht="45" customHeight="1">
      <c r="A50" s="421">
        <v>2</v>
      </c>
      <c r="B50" s="421" t="s">
        <v>604</v>
      </c>
      <c r="C50" s="422" t="s">
        <v>607</v>
      </c>
      <c r="D50" s="421" t="s">
        <v>905</v>
      </c>
      <c r="E50" s="421" t="s">
        <v>907</v>
      </c>
      <c r="F50" s="423">
        <v>1.5</v>
      </c>
      <c r="G50" s="1174"/>
      <c r="H50" s="1174"/>
      <c r="I50" s="1174"/>
      <c r="J50" s="1175"/>
      <c r="K50" s="1173"/>
      <c r="L50" s="1173"/>
      <c r="M50" s="1173"/>
      <c r="N50" s="1173">
        <f t="shared" si="0"/>
        <v>0</v>
      </c>
    </row>
    <row r="51" spans="1:14" ht="66" customHeight="1">
      <c r="A51" s="421">
        <v>2</v>
      </c>
      <c r="B51" s="421" t="s">
        <v>604</v>
      </c>
      <c r="C51" s="422" t="s">
        <v>609</v>
      </c>
      <c r="D51" s="422" t="s">
        <v>908</v>
      </c>
      <c r="E51" s="422" t="s">
        <v>909</v>
      </c>
      <c r="F51" s="423">
        <v>10</v>
      </c>
      <c r="G51" s="423">
        <f>+F51</f>
        <v>10</v>
      </c>
      <c r="H51" s="423">
        <v>11</v>
      </c>
      <c r="I51" s="423">
        <v>3</v>
      </c>
      <c r="J51" s="428" t="str">
        <f>VLOOKUP(I51,[6]RRESUMEN!$A$11:$V$18,3)</f>
        <v>EXCAVADORA, CARGADORA, MOTONIVELADORA, RODILLO LISO, TANQUERO DE AGUA, PLATAFORMA, 4 VOLQUETES 8 M3, CAMIONETA DE ABASTO</v>
      </c>
      <c r="K51" s="425">
        <v>34458.71</v>
      </c>
      <c r="L51" s="425">
        <v>3857.7000000000007</v>
      </c>
      <c r="M51" s="425">
        <v>4083.31</v>
      </c>
      <c r="N51" s="425">
        <f t="shared" si="0"/>
        <v>42399.72</v>
      </c>
    </row>
    <row r="52" spans="1:14" ht="45" customHeight="1">
      <c r="A52" s="421">
        <v>2</v>
      </c>
      <c r="B52" s="421" t="s">
        <v>321</v>
      </c>
      <c r="C52" s="422" t="s">
        <v>658</v>
      </c>
      <c r="D52" s="422" t="s">
        <v>658</v>
      </c>
      <c r="E52" s="422" t="s">
        <v>910</v>
      </c>
      <c r="F52" s="423">
        <v>14</v>
      </c>
      <c r="G52" s="1174">
        <f>SUM(F52:F55)</f>
        <v>40</v>
      </c>
      <c r="H52" s="1174">
        <v>27</v>
      </c>
      <c r="I52" s="1174">
        <v>4</v>
      </c>
      <c r="J52" s="1175" t="str">
        <f>VLOOKUP(I52,[6]RRESUMEN!$A$11:$V$18,3)</f>
        <v>RETROEXCAVADORA, CARGADORA, MOTONIVELADORA, RODILLO LISO, TANQUERO DE AGUA, PLATAFORMA, 2 VOLQUETES 8 M3, CAMIONETA DE ABASTO</v>
      </c>
      <c r="K52" s="1173">
        <v>67961.16</v>
      </c>
      <c r="L52" s="1173">
        <v>7867.26</v>
      </c>
      <c r="M52" s="1173">
        <v>6928.74</v>
      </c>
      <c r="N52" s="1173">
        <f t="shared" si="0"/>
        <v>82757.16</v>
      </c>
    </row>
    <row r="53" spans="1:14" ht="45" customHeight="1">
      <c r="A53" s="421">
        <v>2</v>
      </c>
      <c r="B53" s="421" t="s">
        <v>321</v>
      </c>
      <c r="C53" s="422" t="s">
        <v>658</v>
      </c>
      <c r="D53" s="422" t="s">
        <v>658</v>
      </c>
      <c r="E53" s="422" t="s">
        <v>911</v>
      </c>
      <c r="F53" s="423">
        <v>12</v>
      </c>
      <c r="G53" s="1174"/>
      <c r="H53" s="1174"/>
      <c r="I53" s="1174"/>
      <c r="J53" s="1175"/>
      <c r="K53" s="1173"/>
      <c r="L53" s="1173"/>
      <c r="M53" s="1173"/>
      <c r="N53" s="1173">
        <f t="shared" si="0"/>
        <v>0</v>
      </c>
    </row>
    <row r="54" spans="1:14" ht="45" customHeight="1">
      <c r="A54" s="421">
        <v>2</v>
      </c>
      <c r="B54" s="421" t="s">
        <v>321</v>
      </c>
      <c r="C54" s="422" t="s">
        <v>658</v>
      </c>
      <c r="D54" s="422" t="s">
        <v>912</v>
      </c>
      <c r="E54" s="422" t="s">
        <v>913</v>
      </c>
      <c r="F54" s="423">
        <v>7</v>
      </c>
      <c r="G54" s="1174"/>
      <c r="H54" s="1174"/>
      <c r="I54" s="1174"/>
      <c r="J54" s="1175"/>
      <c r="K54" s="1173"/>
      <c r="L54" s="1173"/>
      <c r="M54" s="1173"/>
      <c r="N54" s="1173">
        <f t="shared" si="0"/>
        <v>0</v>
      </c>
    </row>
    <row r="55" spans="1:14" ht="45" customHeight="1">
      <c r="A55" s="421">
        <v>2</v>
      </c>
      <c r="B55" s="421" t="s">
        <v>321</v>
      </c>
      <c r="C55" s="422" t="s">
        <v>658</v>
      </c>
      <c r="D55" s="422" t="s">
        <v>675</v>
      </c>
      <c r="E55" s="422" t="s">
        <v>658</v>
      </c>
      <c r="F55" s="423">
        <v>7</v>
      </c>
      <c r="G55" s="1174"/>
      <c r="H55" s="1174"/>
      <c r="I55" s="1174"/>
      <c r="J55" s="1175"/>
      <c r="K55" s="1173"/>
      <c r="L55" s="1173"/>
      <c r="M55" s="1173"/>
      <c r="N55" s="1173">
        <f t="shared" si="0"/>
        <v>0</v>
      </c>
    </row>
    <row r="56" spans="1:14" ht="64.900000000000006" customHeight="1">
      <c r="A56" s="421">
        <v>2</v>
      </c>
      <c r="B56" s="421" t="s">
        <v>321</v>
      </c>
      <c r="C56" s="422" t="s">
        <v>315</v>
      </c>
      <c r="D56" s="422" t="s">
        <v>914</v>
      </c>
      <c r="E56" s="422" t="s">
        <v>915</v>
      </c>
      <c r="F56" s="423">
        <v>28</v>
      </c>
      <c r="G56" s="423">
        <f>+F56</f>
        <v>28</v>
      </c>
      <c r="H56" s="423">
        <v>10</v>
      </c>
      <c r="I56" s="423">
        <v>4</v>
      </c>
      <c r="J56" s="428" t="str">
        <f>VLOOKUP(I56,[6]RRESUMEN!$A$11:$V$18,3)</f>
        <v>RETROEXCAVADORA, CARGADORA, MOTONIVELADORA, RODILLO LISO, TANQUERO DE AGUA, PLATAFORMA, 2 VOLQUETES 8 M3, CAMIONETA DE ABASTO</v>
      </c>
      <c r="K56" s="425">
        <v>25170.799999999999</v>
      </c>
      <c r="L56" s="425">
        <v>2913.8</v>
      </c>
      <c r="M56" s="425">
        <v>2566.1999999999998</v>
      </c>
      <c r="N56" s="425">
        <f t="shared" si="0"/>
        <v>30650.799999999999</v>
      </c>
    </row>
    <row r="57" spans="1:14" ht="66" customHeight="1">
      <c r="A57" s="421">
        <v>2</v>
      </c>
      <c r="B57" s="421" t="s">
        <v>321</v>
      </c>
      <c r="C57" s="422" t="s">
        <v>916</v>
      </c>
      <c r="D57" s="422" t="s">
        <v>917</v>
      </c>
      <c r="E57" s="422" t="s">
        <v>918</v>
      </c>
      <c r="F57" s="423">
        <v>14</v>
      </c>
      <c r="G57" s="423">
        <f>+F57</f>
        <v>14</v>
      </c>
      <c r="H57" s="423">
        <v>32</v>
      </c>
      <c r="I57" s="423">
        <v>3</v>
      </c>
      <c r="J57" s="428" t="str">
        <f>VLOOKUP(I57,[6]RRESUMEN!$A$11:$V$18,3)</f>
        <v>EXCAVADORA, CARGADORA, MOTONIVELADORA, RODILLO LISO, TANQUERO DE AGUA, PLATAFORMA, 4 VOLQUETES 8 M3, CAMIONETA DE ABASTO</v>
      </c>
      <c r="K57" s="425">
        <v>100243.52</v>
      </c>
      <c r="L57" s="425">
        <v>11222.400000000001</v>
      </c>
      <c r="M57" s="425">
        <v>11878.72</v>
      </c>
      <c r="N57" s="425">
        <f t="shared" si="0"/>
        <v>123344.64000000001</v>
      </c>
    </row>
    <row r="58" spans="1:14" ht="45" customHeight="1">
      <c r="A58" s="421">
        <v>2</v>
      </c>
      <c r="B58" s="421" t="s">
        <v>321</v>
      </c>
      <c r="C58" s="422" t="s">
        <v>919</v>
      </c>
      <c r="D58" s="422" t="s">
        <v>920</v>
      </c>
      <c r="E58" s="422" t="s">
        <v>919</v>
      </c>
      <c r="F58" s="423">
        <v>32</v>
      </c>
      <c r="G58" s="1174">
        <f>SUM(F58:F59)</f>
        <v>38</v>
      </c>
      <c r="H58" s="1174">
        <v>18</v>
      </c>
      <c r="I58" s="1174">
        <v>4</v>
      </c>
      <c r="J58" s="1175" t="str">
        <f>VLOOKUP(I58,[6]RRESUMEN!$A$11:$V$18,3)</f>
        <v>RETROEXCAVADORA, CARGADORA, MOTONIVELADORA, RODILLO LISO, TANQUERO DE AGUA, PLATAFORMA, 2 VOLQUETES 8 M3, CAMIONETA DE ABASTO</v>
      </c>
      <c r="K58" s="1173">
        <v>45307.44</v>
      </c>
      <c r="L58" s="1173">
        <v>5244.84</v>
      </c>
      <c r="M58" s="1173">
        <v>4619.16</v>
      </c>
      <c r="N58" s="1173">
        <f>SUM(K58:M59)</f>
        <v>55171.44</v>
      </c>
    </row>
    <row r="59" spans="1:14" ht="45" customHeight="1">
      <c r="A59" s="421">
        <v>2</v>
      </c>
      <c r="B59" s="421" t="s">
        <v>321</v>
      </c>
      <c r="C59" s="422" t="s">
        <v>919</v>
      </c>
      <c r="D59" s="422" t="s">
        <v>921</v>
      </c>
      <c r="E59" s="422" t="s">
        <v>919</v>
      </c>
      <c r="F59" s="423">
        <v>6</v>
      </c>
      <c r="G59" s="1174"/>
      <c r="H59" s="1174"/>
      <c r="I59" s="1174"/>
      <c r="J59" s="1175"/>
      <c r="K59" s="1173"/>
      <c r="L59" s="1173"/>
      <c r="M59" s="1173"/>
      <c r="N59" s="1173">
        <f>SUM(K59:M59)</f>
        <v>0</v>
      </c>
    </row>
    <row r="60" spans="1:14" ht="45" customHeight="1">
      <c r="A60" s="421">
        <v>2</v>
      </c>
      <c r="B60" s="421" t="s">
        <v>321</v>
      </c>
      <c r="C60" s="422" t="s">
        <v>659</v>
      </c>
      <c r="D60" s="422" t="s">
        <v>922</v>
      </c>
      <c r="E60" s="422" t="s">
        <v>923</v>
      </c>
      <c r="F60" s="423">
        <v>10</v>
      </c>
      <c r="G60" s="1174">
        <f>SUM(F60:F61)</f>
        <v>24</v>
      </c>
      <c r="H60" s="1174">
        <v>29</v>
      </c>
      <c r="I60" s="1174">
        <v>4</v>
      </c>
      <c r="J60" s="1175" t="str">
        <f>VLOOKUP(I60,[6]RRESUMEN!$A$11:$V$18,3)</f>
        <v>RETROEXCAVADORA, CARGADORA, MOTONIVELADORA, RODILLO LISO, TANQUERO DE AGUA, PLATAFORMA, 2 VOLQUETES 8 M3, CAMIONETA DE ABASTO</v>
      </c>
      <c r="K60" s="1173">
        <v>72995.319999999992</v>
      </c>
      <c r="L60" s="1173">
        <v>8450.02</v>
      </c>
      <c r="M60" s="1173">
        <v>7441.9800000000005</v>
      </c>
      <c r="N60" s="1173">
        <f>SUM(K60:M60)</f>
        <v>88887.319999999992</v>
      </c>
    </row>
    <row r="61" spans="1:14" ht="45" customHeight="1">
      <c r="A61" s="421">
        <v>2</v>
      </c>
      <c r="B61" s="421" t="s">
        <v>321</v>
      </c>
      <c r="C61" s="422" t="s">
        <v>659</v>
      </c>
      <c r="D61" s="422" t="s">
        <v>924</v>
      </c>
      <c r="E61" s="422" t="s">
        <v>659</v>
      </c>
      <c r="F61" s="423">
        <v>14</v>
      </c>
      <c r="G61" s="1174"/>
      <c r="H61" s="1174"/>
      <c r="I61" s="1174"/>
      <c r="J61" s="1175"/>
      <c r="K61" s="1173"/>
      <c r="L61" s="1173"/>
      <c r="M61" s="1173"/>
      <c r="N61" s="1173"/>
    </row>
    <row r="62" spans="1:14" ht="66" customHeight="1">
      <c r="A62" s="421">
        <v>2</v>
      </c>
      <c r="B62" s="421" t="s">
        <v>321</v>
      </c>
      <c r="C62" s="422" t="s">
        <v>317</v>
      </c>
      <c r="D62" s="422" t="s">
        <v>925</v>
      </c>
      <c r="E62" s="422" t="s">
        <v>317</v>
      </c>
      <c r="F62" s="423">
        <v>10</v>
      </c>
      <c r="G62" s="423">
        <f>+F62</f>
        <v>10</v>
      </c>
      <c r="H62" s="423">
        <v>10</v>
      </c>
      <c r="I62" s="423">
        <v>4</v>
      </c>
      <c r="J62" s="428" t="str">
        <f>VLOOKUP(I62,[6]RRESUMEN!$A$11:$V$18,3)</f>
        <v>RETROEXCAVADORA, CARGADORA, MOTONIVELADORA, RODILLO LISO, TANQUERO DE AGUA, PLATAFORMA, 2 VOLQUETES 8 M3, CAMIONETA DE ABASTO</v>
      </c>
      <c r="K62" s="425">
        <v>25170.799999999999</v>
      </c>
      <c r="L62" s="425">
        <v>2913.8</v>
      </c>
      <c r="M62" s="425">
        <v>2566.1999999999998</v>
      </c>
      <c r="N62" s="425">
        <f>SUM(K62:M62)</f>
        <v>30650.799999999999</v>
      </c>
    </row>
    <row r="63" spans="1:14" ht="70.900000000000006" customHeight="1">
      <c r="A63" s="429">
        <v>2</v>
      </c>
      <c r="B63" s="429" t="s">
        <v>630</v>
      </c>
      <c r="C63" s="427" t="s">
        <v>290</v>
      </c>
      <c r="D63" s="1171" t="s">
        <v>926</v>
      </c>
      <c r="E63" s="1171"/>
      <c r="F63" s="423"/>
      <c r="G63" s="423">
        <f>ROUND(H63*0.4,2)</f>
        <v>6</v>
      </c>
      <c r="H63" s="430">
        <v>15</v>
      </c>
      <c r="I63" s="430">
        <v>3</v>
      </c>
      <c r="J63" s="428" t="str">
        <f>VLOOKUP(I63,[6]RRESUMEN!$A$11:$V$18,3)</f>
        <v>EXCAVADORA, CARGADORA, MOTONIVELADORA, RODILLO LISO, TANQUERO DE AGUA, PLATAFORMA, 4 VOLQUETES 8 M3, CAMIONETA DE ABASTO</v>
      </c>
      <c r="K63" s="425">
        <v>46989.15</v>
      </c>
      <c r="L63" s="425">
        <v>5260.5</v>
      </c>
      <c r="M63" s="425">
        <v>5568.15</v>
      </c>
      <c r="N63" s="425">
        <f t="shared" ref="N63:N110" si="1">SUM(K63:M63)</f>
        <v>57817.8</v>
      </c>
    </row>
    <row r="64" spans="1:14" ht="52.9" customHeight="1">
      <c r="A64" s="429">
        <v>2</v>
      </c>
      <c r="B64" s="429" t="s">
        <v>630</v>
      </c>
      <c r="C64" s="427" t="s">
        <v>632</v>
      </c>
      <c r="D64" s="1171" t="s">
        <v>927</v>
      </c>
      <c r="E64" s="1171"/>
      <c r="F64" s="423"/>
      <c r="G64" s="423">
        <f>ROUND(H64*0.4,2)</f>
        <v>4</v>
      </c>
      <c r="H64" s="430">
        <v>10</v>
      </c>
      <c r="I64" s="430">
        <v>3</v>
      </c>
      <c r="J64" s="428" t="str">
        <f>VLOOKUP(I64,[6]RRESUMEN!$A$11:$V$18,3)</f>
        <v>EXCAVADORA, CARGADORA, MOTONIVELADORA, RODILLO LISO, TANQUERO DE AGUA, PLATAFORMA, 4 VOLQUETES 8 M3, CAMIONETA DE ABASTO</v>
      </c>
      <c r="K64" s="425">
        <v>31326.1</v>
      </c>
      <c r="L64" s="425">
        <v>3507</v>
      </c>
      <c r="M64" s="425">
        <v>3712.1</v>
      </c>
      <c r="N64" s="425">
        <f t="shared" si="1"/>
        <v>38545.199999999997</v>
      </c>
    </row>
    <row r="65" spans="1:14" ht="64.900000000000006" customHeight="1">
      <c r="A65" s="429">
        <v>2</v>
      </c>
      <c r="B65" s="429" t="s">
        <v>630</v>
      </c>
      <c r="C65" s="427" t="s">
        <v>928</v>
      </c>
      <c r="D65" s="1171" t="s">
        <v>929</v>
      </c>
      <c r="E65" s="1171"/>
      <c r="F65" s="423"/>
      <c r="G65" s="423">
        <f>ROUND(H65*0.4,2)</f>
        <v>13.2</v>
      </c>
      <c r="H65" s="430">
        <v>33</v>
      </c>
      <c r="I65" s="430">
        <v>1</v>
      </c>
      <c r="J65" s="428" t="str">
        <f>VLOOKUP(I65,[6]RRESUMEN!$A$11:$V$18,3)</f>
        <v>EXCAVADORA, CARGADORA, MOTONIVELADORA, 
RODILLO LISO, TANQUERO DE AGUA, PLATAFORMA, 
2 VOLQUETES, CAMIONETA DE ABASTO</v>
      </c>
      <c r="K65" s="425">
        <v>83327.64</v>
      </c>
      <c r="L65" s="425">
        <v>9615.5400000000009</v>
      </c>
      <c r="M65" s="425">
        <v>9854.4599999999991</v>
      </c>
      <c r="N65" s="425">
        <f t="shared" si="1"/>
        <v>102797.63999999998</v>
      </c>
    </row>
    <row r="66" spans="1:14" ht="45" customHeight="1">
      <c r="A66" s="429">
        <v>2</v>
      </c>
      <c r="B66" s="429" t="s">
        <v>630</v>
      </c>
      <c r="C66" s="427" t="s">
        <v>634</v>
      </c>
      <c r="D66" s="1171" t="s">
        <v>930</v>
      </c>
      <c r="E66" s="1171"/>
      <c r="F66" s="423"/>
      <c r="G66" s="423">
        <f t="shared" ref="G66:G70" si="2">ROUND(H66*0.4,2)</f>
        <v>4</v>
      </c>
      <c r="H66" s="430">
        <v>10</v>
      </c>
      <c r="I66" s="430">
        <v>3</v>
      </c>
      <c r="J66" s="428" t="str">
        <f>VLOOKUP(I66,[6]RRESUMEN!$A$11:$V$18,3)</f>
        <v>EXCAVADORA, CARGADORA, MOTONIVELADORA, RODILLO LISO, TANQUERO DE AGUA, PLATAFORMA, 4 VOLQUETES 8 M3, CAMIONETA DE ABASTO</v>
      </c>
      <c r="K66" s="425">
        <v>31326.1</v>
      </c>
      <c r="L66" s="425">
        <v>3507</v>
      </c>
      <c r="M66" s="425">
        <v>3712.1</v>
      </c>
      <c r="N66" s="425">
        <f t="shared" si="1"/>
        <v>38545.199999999997</v>
      </c>
    </row>
    <row r="67" spans="1:14" ht="45" customHeight="1">
      <c r="A67" s="429">
        <v>2</v>
      </c>
      <c r="B67" s="429" t="s">
        <v>630</v>
      </c>
      <c r="C67" s="427" t="s">
        <v>284</v>
      </c>
      <c r="D67" s="1171" t="s">
        <v>931</v>
      </c>
      <c r="E67" s="1171"/>
      <c r="F67" s="423"/>
      <c r="G67" s="423">
        <f t="shared" si="2"/>
        <v>4</v>
      </c>
      <c r="H67" s="430">
        <v>10</v>
      </c>
      <c r="I67" s="430">
        <v>3</v>
      </c>
      <c r="J67" s="428" t="str">
        <f>VLOOKUP(I67,[6]RRESUMEN!$A$11:$V$18,3)</f>
        <v>EXCAVADORA, CARGADORA, MOTONIVELADORA, RODILLO LISO, TANQUERO DE AGUA, PLATAFORMA, 4 VOLQUETES 8 M3, CAMIONETA DE ABASTO</v>
      </c>
      <c r="K67" s="425">
        <v>31326.1</v>
      </c>
      <c r="L67" s="425">
        <v>3507</v>
      </c>
      <c r="M67" s="425">
        <v>3712.1</v>
      </c>
      <c r="N67" s="425">
        <f t="shared" si="1"/>
        <v>38545.199999999997</v>
      </c>
    </row>
    <row r="68" spans="1:14" ht="45" customHeight="1">
      <c r="A68" s="429">
        <v>2</v>
      </c>
      <c r="B68" s="429" t="s">
        <v>575</v>
      </c>
      <c r="C68" s="431" t="s">
        <v>932</v>
      </c>
      <c r="D68" s="1171" t="s">
        <v>933</v>
      </c>
      <c r="E68" s="1171"/>
      <c r="F68" s="423"/>
      <c r="G68" s="423">
        <f t="shared" si="2"/>
        <v>4</v>
      </c>
      <c r="H68" s="432">
        <v>10</v>
      </c>
      <c r="I68" s="430">
        <v>3</v>
      </c>
      <c r="J68" s="428" t="str">
        <f>VLOOKUP(I68,[6]RRESUMEN!$A$11:$V$18,3)</f>
        <v>EXCAVADORA, CARGADORA, MOTONIVELADORA, RODILLO LISO, TANQUERO DE AGUA, PLATAFORMA, 4 VOLQUETES 8 M3, CAMIONETA DE ABASTO</v>
      </c>
      <c r="K68" s="425">
        <v>31326.100000000002</v>
      </c>
      <c r="L68" s="425">
        <v>3507.0000000000005</v>
      </c>
      <c r="M68" s="425">
        <v>3712.1</v>
      </c>
      <c r="N68" s="425">
        <f t="shared" si="1"/>
        <v>38545.200000000004</v>
      </c>
    </row>
    <row r="69" spans="1:14" ht="45" customHeight="1">
      <c r="A69" s="429">
        <v>2</v>
      </c>
      <c r="B69" s="429" t="s">
        <v>575</v>
      </c>
      <c r="C69" s="431" t="s">
        <v>578</v>
      </c>
      <c r="D69" s="1171" t="s">
        <v>934</v>
      </c>
      <c r="E69" s="1171"/>
      <c r="F69" s="423"/>
      <c r="G69" s="423">
        <f t="shared" si="2"/>
        <v>6.13</v>
      </c>
      <c r="H69" s="432">
        <v>15.314993700125996</v>
      </c>
      <c r="I69" s="430">
        <v>3</v>
      </c>
      <c r="J69" s="428" t="str">
        <f>VLOOKUP(I69,[6]RRESUMEN!$A$11:$V$18,3)</f>
        <v>EXCAVADORA, CARGADORA, MOTONIVELADORA, RODILLO LISO, TANQUERO DE AGUA, PLATAFORMA, 4 VOLQUETES 8 M3, CAMIONETA DE ABASTO</v>
      </c>
      <c r="K69" s="425">
        <v>46989.15</v>
      </c>
      <c r="L69" s="425">
        <v>5260.5000000000009</v>
      </c>
      <c r="M69" s="425">
        <v>5568.15</v>
      </c>
      <c r="N69" s="425">
        <f t="shared" si="1"/>
        <v>57817.8</v>
      </c>
    </row>
    <row r="70" spans="1:14" ht="45" customHeight="1">
      <c r="A70" s="429">
        <v>2</v>
      </c>
      <c r="B70" s="429" t="s">
        <v>575</v>
      </c>
      <c r="C70" s="431" t="s">
        <v>580</v>
      </c>
      <c r="D70" s="1171" t="s">
        <v>935</v>
      </c>
      <c r="E70" s="1171"/>
      <c r="F70" s="423"/>
      <c r="G70" s="423">
        <f t="shared" si="2"/>
        <v>5.41</v>
      </c>
      <c r="H70" s="432">
        <v>13.513229735405291</v>
      </c>
      <c r="I70" s="430">
        <v>3</v>
      </c>
      <c r="J70" s="428" t="str">
        <f>VLOOKUP(I70,[6]RRESUMEN!$A$11:$V$18,3)</f>
        <v>EXCAVADORA, CARGADORA, MOTONIVELADORA, RODILLO LISO, TANQUERO DE AGUA, PLATAFORMA, 4 VOLQUETES 8 M3, CAMIONETA DE ABASTO</v>
      </c>
      <c r="K70" s="425">
        <v>43856.54</v>
      </c>
      <c r="L70" s="425">
        <v>4909.8000000000011</v>
      </c>
      <c r="M70" s="425">
        <v>5196.9399999999996</v>
      </c>
      <c r="N70" s="425">
        <f t="shared" si="1"/>
        <v>53963.280000000006</v>
      </c>
    </row>
    <row r="71" spans="1:14" ht="63" customHeight="1">
      <c r="A71" s="429">
        <v>2</v>
      </c>
      <c r="B71" s="429" t="s">
        <v>575</v>
      </c>
      <c r="C71" s="431" t="s">
        <v>936</v>
      </c>
      <c r="D71" s="1171" t="s">
        <v>937</v>
      </c>
      <c r="E71" s="1171"/>
      <c r="F71" s="423"/>
      <c r="G71" s="423">
        <f>ROUND(H71*0.4,2)</f>
        <v>10.31</v>
      </c>
      <c r="H71" s="432">
        <v>25.770684586308274</v>
      </c>
      <c r="I71" s="430">
        <v>1</v>
      </c>
      <c r="J71" s="428" t="str">
        <f>VLOOKUP(I71,[6]RRESUMEN!$A$11:$V$18,3)</f>
        <v>EXCAVADORA, CARGADORA, MOTONIVELADORA, 
RODILLO LISO, TANQUERO DE AGUA, PLATAFORMA, 
2 VOLQUETES, CAMIONETA DE ABASTO</v>
      </c>
      <c r="K71" s="425">
        <v>65652.08</v>
      </c>
      <c r="L71" s="425">
        <v>7575.88</v>
      </c>
      <c r="M71" s="425">
        <v>7764.12</v>
      </c>
      <c r="N71" s="425">
        <f t="shared" si="1"/>
        <v>80992.08</v>
      </c>
    </row>
    <row r="72" spans="1:14" ht="69" customHeight="1">
      <c r="A72" s="429">
        <v>3</v>
      </c>
      <c r="B72" s="429" t="s">
        <v>614</v>
      </c>
      <c r="C72" s="431" t="s">
        <v>618</v>
      </c>
      <c r="D72" s="1171" t="s">
        <v>938</v>
      </c>
      <c r="E72" s="1171"/>
      <c r="F72" s="423"/>
      <c r="G72" s="423">
        <f t="shared" ref="G72:G87" si="3">ROUND(H72*0.4,2)</f>
        <v>6.31</v>
      </c>
      <c r="H72" s="433">
        <v>15.777931034482759</v>
      </c>
      <c r="I72" s="430">
        <v>3</v>
      </c>
      <c r="J72" s="428" t="str">
        <f>VLOOKUP(I72,[6]RRESUMEN!$A$11:$V$18,3)</f>
        <v>EXCAVADORA, CARGADORA, MOTONIVELADORA, RODILLO LISO, TANQUERO DE AGUA, PLATAFORMA, 4 VOLQUETES 8 M3, CAMIONETA DE ABASTO</v>
      </c>
      <c r="K72" s="425">
        <v>50121.760000000002</v>
      </c>
      <c r="L72" s="425">
        <v>5611.2000000000007</v>
      </c>
      <c r="M72" s="425">
        <v>5939.36</v>
      </c>
      <c r="N72" s="425">
        <f t="shared" si="1"/>
        <v>61672.320000000007</v>
      </c>
    </row>
    <row r="73" spans="1:14" ht="45" customHeight="1">
      <c r="A73" s="429">
        <v>3</v>
      </c>
      <c r="B73" s="429" t="s">
        <v>614</v>
      </c>
      <c r="C73" s="431" t="s">
        <v>619</v>
      </c>
      <c r="D73" s="1171" t="s">
        <v>939</v>
      </c>
      <c r="E73" s="1171"/>
      <c r="F73" s="423"/>
      <c r="G73" s="423">
        <f t="shared" si="3"/>
        <v>5.42</v>
      </c>
      <c r="H73" s="433">
        <v>13.55448275862069</v>
      </c>
      <c r="I73" s="430">
        <v>3</v>
      </c>
      <c r="J73" s="428" t="str">
        <f>VLOOKUP(I73,[6]RRESUMEN!$A$11:$V$18,3)</f>
        <v>EXCAVADORA, CARGADORA, MOTONIVELADORA, RODILLO LISO, TANQUERO DE AGUA, PLATAFORMA, 4 VOLQUETES 8 M3, CAMIONETA DE ABASTO</v>
      </c>
      <c r="K73" s="425">
        <v>43856.54</v>
      </c>
      <c r="L73" s="425">
        <v>4909.8000000000011</v>
      </c>
      <c r="M73" s="425">
        <v>5196.9399999999996</v>
      </c>
      <c r="N73" s="425">
        <f t="shared" si="1"/>
        <v>53963.280000000006</v>
      </c>
    </row>
    <row r="74" spans="1:14" ht="45" customHeight="1">
      <c r="A74" s="429">
        <v>3</v>
      </c>
      <c r="B74" s="429" t="s">
        <v>614</v>
      </c>
      <c r="C74" s="431" t="s">
        <v>622</v>
      </c>
      <c r="D74" s="1171" t="s">
        <v>940</v>
      </c>
      <c r="E74" s="1171"/>
      <c r="F74" s="423"/>
      <c r="G74" s="423">
        <f t="shared" si="3"/>
        <v>19</v>
      </c>
      <c r="H74" s="433">
        <v>47.504827586206893</v>
      </c>
      <c r="I74" s="430">
        <v>3</v>
      </c>
      <c r="J74" s="428" t="str">
        <f>VLOOKUP(I74,[6]RRESUMEN!$A$11:$V$18,3)</f>
        <v>EXCAVADORA, CARGADORA, MOTONIVELADORA, RODILLO LISO, TANQUERO DE AGUA, PLATAFORMA, 4 VOLQUETES 8 M3, CAMIONETA DE ABASTO</v>
      </c>
      <c r="K74" s="425">
        <v>150365.28</v>
      </c>
      <c r="L74" s="425">
        <v>16833.600000000002</v>
      </c>
      <c r="M74" s="425">
        <v>17818.079999999998</v>
      </c>
      <c r="N74" s="425">
        <f t="shared" si="1"/>
        <v>185016.95999999999</v>
      </c>
    </row>
    <row r="75" spans="1:14" ht="64.900000000000006" customHeight="1">
      <c r="A75" s="429">
        <v>3</v>
      </c>
      <c r="B75" s="429" t="s">
        <v>614</v>
      </c>
      <c r="C75" s="431" t="s">
        <v>623</v>
      </c>
      <c r="D75" s="1171" t="s">
        <v>941</v>
      </c>
      <c r="E75" s="1171"/>
      <c r="F75" s="423"/>
      <c r="G75" s="423">
        <f t="shared" si="3"/>
        <v>6.76</v>
      </c>
      <c r="H75" s="433">
        <v>16.889655172413793</v>
      </c>
      <c r="I75" s="430">
        <v>3</v>
      </c>
      <c r="J75" s="428" t="str">
        <f>VLOOKUP(I75,[6]RRESUMEN!$A$11:$V$18,3)</f>
        <v>EXCAVADORA, CARGADORA, MOTONIVELADORA, RODILLO LISO, TANQUERO DE AGUA, PLATAFORMA, 4 VOLQUETES 8 M3, CAMIONETA DE ABASTO</v>
      </c>
      <c r="K75" s="425">
        <v>53254.37</v>
      </c>
      <c r="L75" s="425">
        <v>5961.9000000000005</v>
      </c>
      <c r="M75" s="425">
        <v>6310.57</v>
      </c>
      <c r="N75" s="425">
        <f t="shared" si="1"/>
        <v>65526.840000000004</v>
      </c>
    </row>
    <row r="76" spans="1:14" ht="57" customHeight="1">
      <c r="A76" s="429">
        <v>3</v>
      </c>
      <c r="B76" s="429" t="s">
        <v>614</v>
      </c>
      <c r="C76" s="431" t="s">
        <v>389</v>
      </c>
      <c r="D76" s="1171" t="s">
        <v>942</v>
      </c>
      <c r="E76" s="1171"/>
      <c r="F76" s="423"/>
      <c r="G76" s="423">
        <f t="shared" si="3"/>
        <v>13.94</v>
      </c>
      <c r="H76" s="433">
        <v>34.848275862068967</v>
      </c>
      <c r="I76" s="430">
        <v>3</v>
      </c>
      <c r="J76" s="428" t="str">
        <f>VLOOKUP(I76,[6]RRESUMEN!$A$11:$V$18,3)</f>
        <v>EXCAVADORA, CARGADORA, MOTONIVELADORA, RODILLO LISO, TANQUERO DE AGUA, PLATAFORMA, 4 VOLQUETES 8 M3, CAMIONETA DE ABASTO</v>
      </c>
      <c r="K76" s="425">
        <v>109641.35</v>
      </c>
      <c r="L76" s="425">
        <v>12274.500000000002</v>
      </c>
      <c r="M76" s="425">
        <v>12992.349999999999</v>
      </c>
      <c r="N76" s="425">
        <f t="shared" si="1"/>
        <v>134908.20000000001</v>
      </c>
    </row>
    <row r="77" spans="1:14" ht="45" customHeight="1">
      <c r="A77" s="429">
        <v>3</v>
      </c>
      <c r="B77" s="429" t="s">
        <v>614</v>
      </c>
      <c r="C77" s="431" t="s">
        <v>624</v>
      </c>
      <c r="D77" s="1171" t="s">
        <v>943</v>
      </c>
      <c r="E77" s="1171"/>
      <c r="F77" s="423"/>
      <c r="G77" s="423">
        <f t="shared" si="3"/>
        <v>5.61</v>
      </c>
      <c r="H77" s="433">
        <v>14.024827586206895</v>
      </c>
      <c r="I77" s="430">
        <v>3</v>
      </c>
      <c r="J77" s="428" t="str">
        <f>VLOOKUP(I77,[6]RRESUMEN!$A$11:$V$18,3)</f>
        <v>EXCAVADORA, CARGADORA, MOTONIVELADORA, RODILLO LISO, TANQUERO DE AGUA, PLATAFORMA, 4 VOLQUETES 8 M3, CAMIONETA DE ABASTO</v>
      </c>
      <c r="K77" s="425">
        <v>43856.54</v>
      </c>
      <c r="L77" s="425">
        <v>4909.8000000000011</v>
      </c>
      <c r="M77" s="425">
        <v>5196.9399999999996</v>
      </c>
      <c r="N77" s="425">
        <f t="shared" si="1"/>
        <v>53963.280000000006</v>
      </c>
    </row>
    <row r="78" spans="1:14" ht="45" customHeight="1">
      <c r="A78" s="429">
        <v>3</v>
      </c>
      <c r="B78" s="429" t="s">
        <v>614</v>
      </c>
      <c r="C78" s="431" t="s">
        <v>403</v>
      </c>
      <c r="D78" s="1171" t="s">
        <v>944</v>
      </c>
      <c r="E78" s="1171"/>
      <c r="F78" s="423"/>
      <c r="G78" s="423">
        <f t="shared" si="3"/>
        <v>4.96</v>
      </c>
      <c r="H78" s="433">
        <v>12.4</v>
      </c>
      <c r="I78" s="430">
        <v>2</v>
      </c>
      <c r="J78" s="428" t="str">
        <f>VLOOKUP(I78,[6]RRESUMEN!$A$11:$V$18,3)</f>
        <v>EXCAVADORA, CARGADORA, MOTONIVELADORA, RODILLO LISO, TANQUERO DE AGUA, PLATAFORMA, 3 VOLQUETES 8 M3, CAMIONETA DE ABASTO</v>
      </c>
      <c r="K78" s="425">
        <v>34077.600000000006</v>
      </c>
      <c r="L78" s="425">
        <v>3923.2799999999997</v>
      </c>
      <c r="M78" s="425">
        <v>4018.92</v>
      </c>
      <c r="N78" s="425">
        <f t="shared" si="1"/>
        <v>42019.8</v>
      </c>
    </row>
    <row r="79" spans="1:14" ht="45" customHeight="1">
      <c r="A79" s="429">
        <v>3</v>
      </c>
      <c r="B79" s="429" t="s">
        <v>583</v>
      </c>
      <c r="C79" s="431" t="s">
        <v>381</v>
      </c>
      <c r="D79" s="769" t="s">
        <v>945</v>
      </c>
      <c r="E79" s="770"/>
      <c r="F79" s="423"/>
      <c r="G79" s="423">
        <f t="shared" si="3"/>
        <v>4</v>
      </c>
      <c r="H79" s="433">
        <v>10.003853564547205</v>
      </c>
      <c r="I79" s="430">
        <v>2</v>
      </c>
      <c r="J79" s="428" t="str">
        <f>VLOOKUP(I79,[6]RRESUMEN!$A$11:$V$18,3)</f>
        <v>EXCAVADORA, CARGADORA, MOTONIVELADORA, RODILLO LISO, TANQUERO DE AGUA, PLATAFORMA, 3 VOLQUETES 8 M3, CAMIONETA DE ABASTO</v>
      </c>
      <c r="K79" s="425">
        <v>28398</v>
      </c>
      <c r="L79" s="425">
        <v>3269.4</v>
      </c>
      <c r="M79" s="425">
        <v>3349.1000000000004</v>
      </c>
      <c r="N79" s="425">
        <f t="shared" si="1"/>
        <v>35016.5</v>
      </c>
    </row>
    <row r="80" spans="1:14" ht="45" customHeight="1">
      <c r="A80" s="429">
        <v>3</v>
      </c>
      <c r="B80" s="429" t="s">
        <v>583</v>
      </c>
      <c r="C80" s="431" t="s">
        <v>946</v>
      </c>
      <c r="D80" s="769" t="s">
        <v>947</v>
      </c>
      <c r="E80" s="770"/>
      <c r="F80" s="423"/>
      <c r="G80" s="423">
        <f t="shared" si="3"/>
        <v>4.93</v>
      </c>
      <c r="H80" s="433">
        <v>12.335260115606935</v>
      </c>
      <c r="I80" s="430">
        <v>3</v>
      </c>
      <c r="J80" s="428" t="str">
        <f>VLOOKUP(I80,[6]RRESUMEN!$A$11:$V$18,3)</f>
        <v>EXCAVADORA, CARGADORA, MOTONIVELADORA, RODILLO LISO, TANQUERO DE AGUA, PLATAFORMA, 4 VOLQUETES 8 M3, CAMIONETA DE ABASTO</v>
      </c>
      <c r="K80" s="425">
        <v>37591.32</v>
      </c>
      <c r="L80" s="425">
        <v>4208.4000000000005</v>
      </c>
      <c r="M80" s="425">
        <v>4454.5199999999995</v>
      </c>
      <c r="N80" s="425">
        <f t="shared" si="1"/>
        <v>46254.239999999998</v>
      </c>
    </row>
    <row r="81" spans="1:14" ht="45" customHeight="1">
      <c r="A81" s="429">
        <v>3</v>
      </c>
      <c r="B81" s="429" t="s">
        <v>583</v>
      </c>
      <c r="C81" s="431" t="s">
        <v>342</v>
      </c>
      <c r="D81" s="769" t="s">
        <v>948</v>
      </c>
      <c r="E81" s="770"/>
      <c r="F81" s="423"/>
      <c r="G81" s="423">
        <f t="shared" si="3"/>
        <v>5</v>
      </c>
      <c r="H81" s="433">
        <v>12.504816955684007</v>
      </c>
      <c r="I81" s="430">
        <v>3</v>
      </c>
      <c r="J81" s="428" t="str">
        <f>VLOOKUP(I81,[6]RRESUMEN!$A$11:$V$18,3)</f>
        <v>EXCAVADORA, CARGADORA, MOTONIVELADORA, RODILLO LISO, TANQUERO DE AGUA, PLATAFORMA, 4 VOLQUETES 8 M3, CAMIONETA DE ABASTO</v>
      </c>
      <c r="K81" s="425">
        <v>40723.93</v>
      </c>
      <c r="L81" s="425">
        <v>4559.1000000000004</v>
      </c>
      <c r="M81" s="425">
        <v>4825.7299999999996</v>
      </c>
      <c r="N81" s="425">
        <f t="shared" si="1"/>
        <v>50108.759999999995</v>
      </c>
    </row>
    <row r="82" spans="1:14" ht="45" customHeight="1">
      <c r="A82" s="429">
        <v>3</v>
      </c>
      <c r="B82" s="429" t="s">
        <v>583</v>
      </c>
      <c r="C82" s="431" t="s">
        <v>949</v>
      </c>
      <c r="D82" s="769" t="s">
        <v>950</v>
      </c>
      <c r="E82" s="770"/>
      <c r="F82" s="423"/>
      <c r="G82" s="423">
        <f t="shared" si="3"/>
        <v>4</v>
      </c>
      <c r="H82" s="433">
        <v>10</v>
      </c>
      <c r="I82" s="430">
        <v>3</v>
      </c>
      <c r="J82" s="428" t="str">
        <f>VLOOKUP(I82,[6]RRESUMEN!$A$11:$V$18,3)</f>
        <v>EXCAVADORA, CARGADORA, MOTONIVELADORA, RODILLO LISO, TANQUERO DE AGUA, PLATAFORMA, 4 VOLQUETES 8 M3, CAMIONETA DE ABASTO</v>
      </c>
      <c r="K82" s="425">
        <v>31326.100000000002</v>
      </c>
      <c r="L82" s="425">
        <v>3507.0000000000005</v>
      </c>
      <c r="M82" s="425">
        <v>3712.1</v>
      </c>
      <c r="N82" s="425">
        <f t="shared" si="1"/>
        <v>38545.200000000004</v>
      </c>
    </row>
    <row r="83" spans="1:14" ht="61.9" customHeight="1">
      <c r="A83" s="429">
        <v>3</v>
      </c>
      <c r="B83" s="428" t="s">
        <v>611</v>
      </c>
      <c r="C83" s="431" t="s">
        <v>411</v>
      </c>
      <c r="D83" s="1171" t="s">
        <v>951</v>
      </c>
      <c r="E83" s="1171"/>
      <c r="F83" s="423"/>
      <c r="G83" s="423">
        <f t="shared" si="3"/>
        <v>4.8</v>
      </c>
      <c r="H83" s="423">
        <v>12</v>
      </c>
      <c r="I83" s="423">
        <v>3</v>
      </c>
      <c r="J83" s="428" t="str">
        <f>VLOOKUP(I83,[6]RRESUMEN!$A$11:$V$18,3)</f>
        <v>EXCAVADORA, CARGADORA, MOTONIVELADORA, RODILLO LISO, TANQUERO DE AGUA, PLATAFORMA, 4 VOLQUETES 8 M3, CAMIONETA DE ABASTO</v>
      </c>
      <c r="K83" s="425">
        <v>37591.32</v>
      </c>
      <c r="L83" s="425">
        <v>4208.4000000000005</v>
      </c>
      <c r="M83" s="425">
        <v>4454.5199999999995</v>
      </c>
      <c r="N83" s="425">
        <f t="shared" si="1"/>
        <v>46254.239999999998</v>
      </c>
    </row>
    <row r="84" spans="1:14" ht="97.9" customHeight="1">
      <c r="A84" s="429">
        <v>3</v>
      </c>
      <c r="B84" s="429" t="s">
        <v>571</v>
      </c>
      <c r="C84" s="429" t="s">
        <v>355</v>
      </c>
      <c r="D84" s="1170" t="s">
        <v>952</v>
      </c>
      <c r="E84" s="1170"/>
      <c r="F84" s="423"/>
      <c r="G84" s="423">
        <f t="shared" si="3"/>
        <v>26.46</v>
      </c>
      <c r="H84" s="433">
        <v>66.141873278236915</v>
      </c>
      <c r="I84" s="423">
        <v>3</v>
      </c>
      <c r="J84" s="428" t="str">
        <f>VLOOKUP(I84,[6]RRESUMEN!$A$11:$V$18,3)</f>
        <v>EXCAVADORA, CARGADORA, MOTONIVELADORA, RODILLO LISO, TANQUERO DE AGUA, PLATAFORMA, 4 VOLQUETES 8 M3, CAMIONETA DE ABASTO</v>
      </c>
      <c r="K84" s="425">
        <v>206752.26</v>
      </c>
      <c r="L84" s="425">
        <v>23146.200000000004</v>
      </c>
      <c r="M84" s="425">
        <v>24499.859999999997</v>
      </c>
      <c r="N84" s="425">
        <f t="shared" si="1"/>
        <v>254398.32</v>
      </c>
    </row>
    <row r="85" spans="1:14" ht="45" customHeight="1">
      <c r="A85" s="429">
        <v>3</v>
      </c>
      <c r="B85" s="429" t="s">
        <v>571</v>
      </c>
      <c r="C85" s="429" t="s">
        <v>338</v>
      </c>
      <c r="D85" s="1170" t="s">
        <v>953</v>
      </c>
      <c r="E85" s="1170"/>
      <c r="F85" s="423"/>
      <c r="G85" s="423">
        <f t="shared" si="3"/>
        <v>6.27</v>
      </c>
      <c r="H85" s="433">
        <v>15.670798898071624</v>
      </c>
      <c r="I85" s="423">
        <v>3</v>
      </c>
      <c r="J85" s="428" t="str">
        <f>VLOOKUP(I85,[6]RRESUMEN!$A$11:$V$18,3)</f>
        <v>EXCAVADORA, CARGADORA, MOTONIVELADORA, RODILLO LISO, TANQUERO DE AGUA, PLATAFORMA, 4 VOLQUETES 8 M3, CAMIONETA DE ABASTO</v>
      </c>
      <c r="K85" s="425">
        <v>50121.760000000002</v>
      </c>
      <c r="L85" s="425">
        <v>5611.2000000000007</v>
      </c>
      <c r="M85" s="425">
        <v>5939.36</v>
      </c>
      <c r="N85" s="425">
        <f t="shared" si="1"/>
        <v>61672.320000000007</v>
      </c>
    </row>
    <row r="86" spans="1:14" ht="45" customHeight="1">
      <c r="A86" s="429">
        <v>3</v>
      </c>
      <c r="B86" s="429" t="s">
        <v>571</v>
      </c>
      <c r="C86" s="429" t="s">
        <v>954</v>
      </c>
      <c r="D86" s="1170" t="s">
        <v>955</v>
      </c>
      <c r="E86" s="1170"/>
      <c r="F86" s="423"/>
      <c r="G86" s="423">
        <f t="shared" si="3"/>
        <v>11.02</v>
      </c>
      <c r="H86" s="433">
        <v>27.541322314049584</v>
      </c>
      <c r="I86" s="423">
        <v>3</v>
      </c>
      <c r="J86" s="428" t="str">
        <f>VLOOKUP(I86,[6]RRESUMEN!$A$11:$V$18,3)</f>
        <v>EXCAVADORA, CARGADORA, MOTONIVELADORA, RODILLO LISO, TANQUERO DE AGUA, PLATAFORMA, 4 VOLQUETES 8 M3, CAMIONETA DE ABASTO</v>
      </c>
      <c r="K86" s="425">
        <v>87713.08</v>
      </c>
      <c r="L86" s="425">
        <v>9819.6000000000022</v>
      </c>
      <c r="M86" s="425">
        <v>10393.879999999999</v>
      </c>
      <c r="N86" s="425">
        <f t="shared" si="1"/>
        <v>107926.56000000001</v>
      </c>
    </row>
    <row r="87" spans="1:14" ht="45" customHeight="1">
      <c r="A87" s="429">
        <v>3</v>
      </c>
      <c r="B87" s="429" t="s">
        <v>571</v>
      </c>
      <c r="C87" s="434" t="s">
        <v>331</v>
      </c>
      <c r="D87" s="1170" t="s">
        <v>956</v>
      </c>
      <c r="E87" s="1170"/>
      <c r="F87" s="423"/>
      <c r="G87" s="423">
        <f t="shared" si="3"/>
        <v>5.86</v>
      </c>
      <c r="H87" s="433">
        <v>14.646005509641871</v>
      </c>
      <c r="I87" s="430">
        <v>3</v>
      </c>
      <c r="J87" s="428" t="str">
        <f>VLOOKUP(I87,[6]RRESUMEN!$A$11:$V$18,3)</f>
        <v>EXCAVADORA, CARGADORA, MOTONIVELADORA, RODILLO LISO, TANQUERO DE AGUA, PLATAFORMA, 4 VOLQUETES 8 M3, CAMIONETA DE ABASTO</v>
      </c>
      <c r="K87" s="425">
        <v>46989.15</v>
      </c>
      <c r="L87" s="425">
        <v>5260.5000000000009</v>
      </c>
      <c r="M87" s="425">
        <v>5568.15</v>
      </c>
      <c r="N87" s="425">
        <f t="shared" si="1"/>
        <v>57817.8</v>
      </c>
    </row>
    <row r="88" spans="1:14" ht="45" customHeight="1">
      <c r="A88" s="429">
        <v>4</v>
      </c>
      <c r="B88" s="429" t="s">
        <v>468</v>
      </c>
      <c r="C88" s="431" t="s">
        <v>639</v>
      </c>
      <c r="D88" s="1170" t="s">
        <v>957</v>
      </c>
      <c r="E88" s="1170"/>
      <c r="F88" s="423"/>
      <c r="G88" s="423">
        <f>ROUND(H88*0.4,2)</f>
        <v>4.04</v>
      </c>
      <c r="H88" s="433">
        <v>10.087551532151812</v>
      </c>
      <c r="I88" s="423">
        <v>2</v>
      </c>
      <c r="J88" s="428" t="str">
        <f>VLOOKUP(I88,[6]RRESUMEN!$A$11:$V$18,3)</f>
        <v>EXCAVADORA, CARGADORA, MOTONIVELADORA, RODILLO LISO, TANQUERO DE AGUA, PLATAFORMA, 3 VOLQUETES 8 M3, CAMIONETA DE ABASTO</v>
      </c>
      <c r="K88" s="425">
        <v>28398</v>
      </c>
      <c r="L88" s="425">
        <v>3269.4</v>
      </c>
      <c r="M88" s="425">
        <v>3349.1000000000004</v>
      </c>
      <c r="N88" s="425">
        <f t="shared" si="1"/>
        <v>35016.5</v>
      </c>
    </row>
    <row r="89" spans="1:14" ht="45" customHeight="1">
      <c r="A89" s="429">
        <v>4</v>
      </c>
      <c r="B89" s="429" t="s">
        <v>468</v>
      </c>
      <c r="C89" s="431" t="s">
        <v>640</v>
      </c>
      <c r="D89" s="1170" t="s">
        <v>958</v>
      </c>
      <c r="E89" s="1170"/>
      <c r="F89" s="423"/>
      <c r="G89" s="423">
        <f t="shared" ref="G89:G91" si="4">ROUND(H89*0.4,2)</f>
        <v>6.9</v>
      </c>
      <c r="H89" s="433">
        <v>17.256151982659695</v>
      </c>
      <c r="I89" s="423">
        <v>3</v>
      </c>
      <c r="J89" s="428" t="str">
        <f>VLOOKUP(I89,[6]RRESUMEN!$A$11:$V$18,3)</f>
        <v>EXCAVADORA, CARGADORA, MOTONIVELADORA, RODILLO LISO, TANQUERO DE AGUA, PLATAFORMA, 4 VOLQUETES 8 M3, CAMIONETA DE ABASTO</v>
      </c>
      <c r="K89" s="425">
        <v>53254.37</v>
      </c>
      <c r="L89" s="425">
        <v>5961.9000000000005</v>
      </c>
      <c r="M89" s="425">
        <v>6310.57</v>
      </c>
      <c r="N89" s="425">
        <f t="shared" si="1"/>
        <v>65526.840000000004</v>
      </c>
    </row>
    <row r="90" spans="1:14" ht="45" customHeight="1">
      <c r="A90" s="429">
        <v>4</v>
      </c>
      <c r="B90" s="429" t="s">
        <v>468</v>
      </c>
      <c r="C90" s="431" t="s">
        <v>450</v>
      </c>
      <c r="D90" s="1170" t="s">
        <v>959</v>
      </c>
      <c r="E90" s="1170"/>
      <c r="F90" s="423"/>
      <c r="G90" s="423">
        <f t="shared" si="4"/>
        <v>4.5999999999999996</v>
      </c>
      <c r="H90" s="433">
        <v>11.504101321773129</v>
      </c>
      <c r="I90" s="423">
        <v>3</v>
      </c>
      <c r="J90" s="428" t="str">
        <f>VLOOKUP(I90,[6]RRESUMEN!$A$11:$V$18,3)</f>
        <v>EXCAVADORA, CARGADORA, MOTONIVELADORA, RODILLO LISO, TANQUERO DE AGUA, PLATAFORMA, 4 VOLQUETES 8 M3, CAMIONETA DE ABASTO</v>
      </c>
      <c r="K90" s="425">
        <v>37591.32</v>
      </c>
      <c r="L90" s="425">
        <v>4208.4000000000005</v>
      </c>
      <c r="M90" s="425">
        <v>4454.5199999999995</v>
      </c>
      <c r="N90" s="425">
        <f t="shared" si="1"/>
        <v>46254.239999999998</v>
      </c>
    </row>
    <row r="91" spans="1:14" ht="45" customHeight="1">
      <c r="A91" s="429">
        <v>4</v>
      </c>
      <c r="B91" s="429" t="s">
        <v>468</v>
      </c>
      <c r="C91" s="431" t="s">
        <v>641</v>
      </c>
      <c r="D91" s="1170" t="s">
        <v>960</v>
      </c>
      <c r="E91" s="1170"/>
      <c r="F91" s="423"/>
      <c r="G91" s="423">
        <f t="shared" si="4"/>
        <v>13.14</v>
      </c>
      <c r="H91" s="433">
        <v>32.838199668494198</v>
      </c>
      <c r="I91" s="423">
        <v>3</v>
      </c>
      <c r="J91" s="428" t="str">
        <f>VLOOKUP(I91,[6]RRESUMEN!$A$11:$V$18,3)</f>
        <v>EXCAVADORA, CARGADORA, MOTONIVELADORA, RODILLO LISO, TANQUERO DE AGUA, PLATAFORMA, 4 VOLQUETES 8 M3, CAMIONETA DE ABASTO</v>
      </c>
      <c r="K91" s="425">
        <v>103376.13</v>
      </c>
      <c r="L91" s="425">
        <v>11573.100000000002</v>
      </c>
      <c r="M91" s="425">
        <v>12249.929999999998</v>
      </c>
      <c r="N91" s="425">
        <f t="shared" si="1"/>
        <v>127199.16</v>
      </c>
    </row>
    <row r="92" spans="1:14" ht="45" customHeight="1">
      <c r="A92" s="429">
        <v>4</v>
      </c>
      <c r="B92" s="429" t="s">
        <v>468</v>
      </c>
      <c r="C92" s="431" t="s">
        <v>961</v>
      </c>
      <c r="D92" s="1170" t="s">
        <v>962</v>
      </c>
      <c r="E92" s="1170"/>
      <c r="F92" s="423"/>
      <c r="G92" s="423">
        <f>+ROUND(H92*1.5,2)</f>
        <v>19.510000000000002</v>
      </c>
      <c r="H92" s="433">
        <v>13.006502613795742</v>
      </c>
      <c r="I92" s="423">
        <v>7</v>
      </c>
      <c r="J92" s="428" t="str">
        <f>VLOOKUP(I92,[6]RRESUMEN!$A$11:$V$18,3)</f>
        <v xml:space="preserve"> MOTONIVELADORA, RODILLO LISO, TANQUERO DE AGUA, PLATAFORMA,  CAMIONETA DE ABASTO</v>
      </c>
      <c r="K92" s="425">
        <v>15221.570000000002</v>
      </c>
      <c r="L92" s="425">
        <v>2265.12</v>
      </c>
      <c r="M92" s="425">
        <v>1556.62</v>
      </c>
      <c r="N92" s="425">
        <f t="shared" si="1"/>
        <v>19043.310000000001</v>
      </c>
    </row>
    <row r="93" spans="1:14" ht="75" customHeight="1">
      <c r="A93" s="429">
        <v>4</v>
      </c>
      <c r="B93" s="429" t="s">
        <v>468</v>
      </c>
      <c r="C93" s="431" t="s">
        <v>645</v>
      </c>
      <c r="D93" s="1170" t="s">
        <v>963</v>
      </c>
      <c r="E93" s="1170"/>
      <c r="F93" s="423"/>
      <c r="G93" s="423">
        <f t="shared" ref="G93:G100" si="5">ROUND(H93*0.4,2)</f>
        <v>15.89</v>
      </c>
      <c r="H93" s="433">
        <v>39.719197585957751</v>
      </c>
      <c r="I93" s="423">
        <v>3</v>
      </c>
      <c r="J93" s="428" t="str">
        <f>VLOOKUP(I93,[6]RRESUMEN!$A$11:$V$18,3)</f>
        <v>EXCAVADORA, CARGADORA, MOTONIVELADORA, RODILLO LISO, TANQUERO DE AGUA, PLATAFORMA, 4 VOLQUETES 8 M3, CAMIONETA DE ABASTO</v>
      </c>
      <c r="K93" s="425">
        <v>125304.40000000001</v>
      </c>
      <c r="L93" s="425">
        <v>14028.000000000002</v>
      </c>
      <c r="M93" s="425">
        <v>14848.4</v>
      </c>
      <c r="N93" s="425">
        <f t="shared" si="1"/>
        <v>154180.80000000002</v>
      </c>
    </row>
    <row r="94" spans="1:14" ht="45" customHeight="1">
      <c r="A94" s="429">
        <v>4</v>
      </c>
      <c r="B94" s="429" t="s">
        <v>468</v>
      </c>
      <c r="C94" s="431" t="s">
        <v>647</v>
      </c>
      <c r="D94" s="1170" t="s">
        <v>964</v>
      </c>
      <c r="E94" s="1170"/>
      <c r="F94" s="423"/>
      <c r="G94" s="423">
        <f t="shared" si="5"/>
        <v>8.67</v>
      </c>
      <c r="H94" s="433">
        <v>21.677504356326232</v>
      </c>
      <c r="I94" s="423">
        <v>3</v>
      </c>
      <c r="J94" s="428" t="str">
        <f>VLOOKUP(I94,[6]RRESUMEN!$A$11:$V$18,3)</f>
        <v>EXCAVADORA, CARGADORA, MOTONIVELADORA, RODILLO LISO, TANQUERO DE AGUA, PLATAFORMA, 4 VOLQUETES 8 M3, CAMIONETA DE ABASTO</v>
      </c>
      <c r="K94" s="425">
        <v>68917.42</v>
      </c>
      <c r="L94" s="425">
        <v>7715.4000000000015</v>
      </c>
      <c r="M94" s="425">
        <v>8166.62</v>
      </c>
      <c r="N94" s="425">
        <f t="shared" si="1"/>
        <v>84799.44</v>
      </c>
    </row>
    <row r="95" spans="1:14" ht="45" customHeight="1">
      <c r="A95" s="429">
        <v>4</v>
      </c>
      <c r="B95" s="429" t="s">
        <v>468</v>
      </c>
      <c r="C95" s="431" t="s">
        <v>650</v>
      </c>
      <c r="D95" s="1170" t="s">
        <v>965</v>
      </c>
      <c r="E95" s="1170"/>
      <c r="F95" s="423"/>
      <c r="G95" s="423">
        <f t="shared" si="5"/>
        <v>4.38</v>
      </c>
      <c r="H95" s="433">
        <v>10.946066556164732</v>
      </c>
      <c r="I95" s="423">
        <v>3</v>
      </c>
      <c r="J95" s="428" t="str">
        <f>VLOOKUP(I95,[6]RRESUMEN!$A$11:$V$18,3)</f>
        <v>EXCAVADORA, CARGADORA, MOTONIVELADORA, RODILLO LISO, TANQUERO DE AGUA, PLATAFORMA, 4 VOLQUETES 8 M3, CAMIONETA DE ABASTO</v>
      </c>
      <c r="K95" s="425">
        <v>34458.71</v>
      </c>
      <c r="L95" s="425">
        <v>3857.7000000000007</v>
      </c>
      <c r="M95" s="425">
        <v>4083.31</v>
      </c>
      <c r="N95" s="425">
        <f t="shared" si="1"/>
        <v>42399.72</v>
      </c>
    </row>
    <row r="96" spans="1:14" ht="45" customHeight="1">
      <c r="A96" s="429">
        <v>4</v>
      </c>
      <c r="B96" s="429" t="s">
        <v>468</v>
      </c>
      <c r="C96" s="431" t="s">
        <v>651</v>
      </c>
      <c r="D96" s="1170" t="s">
        <v>966</v>
      </c>
      <c r="E96" s="1170"/>
      <c r="F96" s="423"/>
      <c r="G96" s="423">
        <f t="shared" si="5"/>
        <v>7.78</v>
      </c>
      <c r="H96" s="433">
        <v>19.445365293892639</v>
      </c>
      <c r="I96" s="423">
        <v>3</v>
      </c>
      <c r="J96" s="428" t="str">
        <f>VLOOKUP(I96,[6]RRESUMEN!$A$11:$V$18,3)</f>
        <v>EXCAVADORA, CARGADORA, MOTONIVELADORA, RODILLO LISO, TANQUERO DE AGUA, PLATAFORMA, 4 VOLQUETES 8 M3, CAMIONETA DE ABASTO</v>
      </c>
      <c r="K96" s="425">
        <v>59519.590000000004</v>
      </c>
      <c r="L96" s="425">
        <v>6663.3000000000011</v>
      </c>
      <c r="M96" s="425">
        <v>7052.99</v>
      </c>
      <c r="N96" s="425">
        <f t="shared" si="1"/>
        <v>73235.88</v>
      </c>
    </row>
    <row r="97" spans="1:14" ht="45" customHeight="1">
      <c r="A97" s="429">
        <v>4</v>
      </c>
      <c r="B97" s="429" t="s">
        <v>468</v>
      </c>
      <c r="C97" s="431" t="s">
        <v>652</v>
      </c>
      <c r="D97" s="1170" t="s">
        <v>967</v>
      </c>
      <c r="E97" s="1170"/>
      <c r="F97" s="423"/>
      <c r="G97" s="423">
        <f t="shared" si="5"/>
        <v>10.210000000000001</v>
      </c>
      <c r="H97" s="433">
        <v>25.519359088784054</v>
      </c>
      <c r="I97" s="430">
        <v>3</v>
      </c>
      <c r="J97" s="428" t="str">
        <f>VLOOKUP(I97,[6]RRESUMEN!$A$11:$V$18,3)</f>
        <v>EXCAVADORA, CARGADORA, MOTONIVELADORA, RODILLO LISO, TANQUERO DE AGUA, PLATAFORMA, 4 VOLQUETES 8 M3, CAMIONETA DE ABASTO</v>
      </c>
      <c r="K97" s="425">
        <v>81447.86</v>
      </c>
      <c r="L97" s="425">
        <v>9118.2000000000007</v>
      </c>
      <c r="M97" s="425">
        <v>9651.4599999999991</v>
      </c>
      <c r="N97" s="425">
        <f t="shared" si="1"/>
        <v>100217.51999999999</v>
      </c>
    </row>
    <row r="98" spans="1:14" ht="45" customHeight="1">
      <c r="A98" s="429">
        <v>4</v>
      </c>
      <c r="B98" s="429" t="s">
        <v>968</v>
      </c>
      <c r="C98" s="431" t="s">
        <v>478</v>
      </c>
      <c r="D98" s="1170" t="s">
        <v>969</v>
      </c>
      <c r="E98" s="1170"/>
      <c r="F98" s="435"/>
      <c r="G98" s="423">
        <f t="shared" si="5"/>
        <v>4</v>
      </c>
      <c r="H98" s="436">
        <v>10</v>
      </c>
      <c r="I98" s="437">
        <v>3</v>
      </c>
      <c r="J98" s="438" t="str">
        <f>VLOOKUP(I98,[7]RRESUMEN!$A$11:$V$18,3)</f>
        <v>EXCAVADORA, CARGADORA, MOTONIVELADORA, RODILLO LISO, TANQUERO DE AGUA, PLATAFORMA, 4 VOLQUETES 8 M3, CAMIONETA DE ABASTO</v>
      </c>
      <c r="K98" s="439">
        <v>31326.100000000002</v>
      </c>
      <c r="L98" s="439">
        <v>3507.0000000000005</v>
      </c>
      <c r="M98" s="440">
        <v>3712.1</v>
      </c>
      <c r="N98" s="441">
        <f t="shared" si="1"/>
        <v>38545.200000000004</v>
      </c>
    </row>
    <row r="99" spans="1:14" ht="67.900000000000006" customHeight="1">
      <c r="A99" s="429">
        <v>4</v>
      </c>
      <c r="B99" s="429" t="s">
        <v>968</v>
      </c>
      <c r="C99" s="431" t="s">
        <v>480</v>
      </c>
      <c r="D99" s="1170" t="s">
        <v>970</v>
      </c>
      <c r="E99" s="1170"/>
      <c r="F99" s="423"/>
      <c r="G99" s="423">
        <f t="shared" si="5"/>
        <v>13.61</v>
      </c>
      <c r="H99" s="433">
        <v>34.0194205666985</v>
      </c>
      <c r="I99" s="423">
        <v>3</v>
      </c>
      <c r="J99" s="428" t="str">
        <f>VLOOKUP(I99,[6]RRESUMEN!$A$11:$V$18,3)</f>
        <v>EXCAVADORA, CARGADORA, MOTONIVELADORA, RODILLO LISO, TANQUERO DE AGUA, PLATAFORMA, 4 VOLQUETES 8 M3, CAMIONETA DE ABASTO</v>
      </c>
      <c r="K99" s="425">
        <v>106508.74</v>
      </c>
      <c r="L99" s="425">
        <v>11923.800000000001</v>
      </c>
      <c r="M99" s="425">
        <v>12621.14</v>
      </c>
      <c r="N99" s="425">
        <f t="shared" si="1"/>
        <v>131053.68000000001</v>
      </c>
    </row>
    <row r="100" spans="1:14" ht="64.900000000000006" customHeight="1">
      <c r="A100" s="429">
        <v>4</v>
      </c>
      <c r="B100" s="429" t="s">
        <v>968</v>
      </c>
      <c r="C100" s="431" t="s">
        <v>484</v>
      </c>
      <c r="D100" s="1170" t="s">
        <v>971</v>
      </c>
      <c r="E100" s="1170"/>
      <c r="F100" s="423"/>
      <c r="G100" s="423">
        <f t="shared" si="5"/>
        <v>15.88</v>
      </c>
      <c r="H100" s="433">
        <v>39.700732250875511</v>
      </c>
      <c r="I100" s="423">
        <v>3</v>
      </c>
      <c r="J100" s="428" t="str">
        <f>VLOOKUP(I100,[6]RRESUMEN!$A$11:$V$18,3)</f>
        <v>EXCAVADORA, CARGADORA, MOTONIVELADORA, RODILLO LISO, TANQUERO DE AGUA, PLATAFORMA, 4 VOLQUETES 8 M3, CAMIONETA DE ABASTO</v>
      </c>
      <c r="K100" s="425">
        <v>125304.40000000001</v>
      </c>
      <c r="L100" s="425">
        <v>14028.000000000002</v>
      </c>
      <c r="M100" s="425">
        <v>14848.4</v>
      </c>
      <c r="N100" s="425">
        <f t="shared" si="1"/>
        <v>154180.80000000002</v>
      </c>
    </row>
    <row r="101" spans="1:14" ht="45" customHeight="1">
      <c r="A101" s="429">
        <v>4</v>
      </c>
      <c r="B101" s="429" t="s">
        <v>968</v>
      </c>
      <c r="C101" s="431" t="s">
        <v>595</v>
      </c>
      <c r="D101" s="1170"/>
      <c r="E101" s="1170"/>
      <c r="F101" s="423"/>
      <c r="G101" s="423"/>
      <c r="H101" s="433">
        <v>15.743393823623048</v>
      </c>
      <c r="I101" s="423"/>
      <c r="J101" s="428"/>
      <c r="K101" s="425"/>
      <c r="L101" s="425"/>
      <c r="M101" s="425"/>
      <c r="N101" s="425">
        <f t="shared" si="1"/>
        <v>0</v>
      </c>
    </row>
    <row r="102" spans="1:14" ht="85.9" customHeight="1">
      <c r="A102" s="429">
        <v>4</v>
      </c>
      <c r="B102" s="429" t="s">
        <v>968</v>
      </c>
      <c r="C102" s="431" t="s">
        <v>498</v>
      </c>
      <c r="D102" s="1170" t="s">
        <v>972</v>
      </c>
      <c r="E102" s="1170"/>
      <c r="F102" s="423"/>
      <c r="G102" s="423">
        <v>8</v>
      </c>
      <c r="H102" s="433">
        <v>23.272843043616678</v>
      </c>
      <c r="I102" s="423">
        <v>4</v>
      </c>
      <c r="J102" s="428" t="str">
        <f>VLOOKUP(I102,[6]RRESUMEN!$A$11:$V$18,3)</f>
        <v>RETROEXCAVADORA, CARGADORA, MOTONIVELADORA, RODILLO LISO, TANQUERO DE AGUA, PLATAFORMA, 2 VOLQUETES 8 M3, CAMIONETA DE ABASTO</v>
      </c>
      <c r="K102" s="425">
        <v>57892.84</v>
      </c>
      <c r="L102" s="425">
        <v>6701.74</v>
      </c>
      <c r="M102" s="425">
        <v>5902.26</v>
      </c>
      <c r="N102" s="425">
        <f t="shared" si="1"/>
        <v>70496.84</v>
      </c>
    </row>
    <row r="103" spans="1:14" ht="45" customHeight="1">
      <c r="A103" s="429">
        <v>4</v>
      </c>
      <c r="B103" s="429" t="s">
        <v>968</v>
      </c>
      <c r="C103" s="431" t="s">
        <v>488</v>
      </c>
      <c r="D103" s="1170"/>
      <c r="E103" s="1170"/>
      <c r="F103" s="423"/>
      <c r="G103" s="423"/>
      <c r="H103" s="433">
        <v>17.112384590894617</v>
      </c>
      <c r="I103" s="423"/>
      <c r="J103" s="428"/>
      <c r="K103" s="425"/>
      <c r="L103" s="425"/>
      <c r="M103" s="425"/>
      <c r="N103" s="425">
        <f t="shared" si="1"/>
        <v>0</v>
      </c>
    </row>
    <row r="104" spans="1:14" ht="45" customHeight="1">
      <c r="A104" s="429">
        <v>4</v>
      </c>
      <c r="B104" s="429" t="s">
        <v>968</v>
      </c>
      <c r="C104" s="431" t="s">
        <v>600</v>
      </c>
      <c r="D104" s="1170" t="s">
        <v>973</v>
      </c>
      <c r="E104" s="1170"/>
      <c r="F104" s="423"/>
      <c r="G104" s="423">
        <f>ROUND(H104*0.4,2)</f>
        <v>9.31</v>
      </c>
      <c r="H104" s="433">
        <v>23.272843043616678</v>
      </c>
      <c r="I104" s="423">
        <v>3</v>
      </c>
      <c r="J104" s="428" t="str">
        <f>VLOOKUP(I104,[6]RRESUMEN!$A$11:$V$18,3)</f>
        <v>EXCAVADORA, CARGADORA, MOTONIVELADORA, RODILLO LISO, TANQUERO DE AGUA, PLATAFORMA, 4 VOLQUETES 8 M3, CAMIONETA DE ABASTO</v>
      </c>
      <c r="K104" s="425">
        <v>72050.03</v>
      </c>
      <c r="L104" s="425">
        <v>8066.1000000000013</v>
      </c>
      <c r="M104" s="425">
        <v>8537.83</v>
      </c>
      <c r="N104" s="425">
        <f t="shared" si="1"/>
        <v>88653.96</v>
      </c>
    </row>
    <row r="105" spans="1:14" ht="45" customHeight="1">
      <c r="A105" s="429">
        <v>4</v>
      </c>
      <c r="B105" s="429" t="s">
        <v>968</v>
      </c>
      <c r="C105" s="431" t="s">
        <v>477</v>
      </c>
      <c r="D105" s="1170" t="s">
        <v>974</v>
      </c>
      <c r="E105" s="1170"/>
      <c r="F105" s="435"/>
      <c r="G105" s="423">
        <v>22</v>
      </c>
      <c r="H105" s="436">
        <v>52.706144539955424</v>
      </c>
      <c r="I105" s="437">
        <v>4</v>
      </c>
      <c r="J105" s="438" t="str">
        <f>VLOOKUP(I105,[7]RRESUMEN!$A$11:$V$18,3)</f>
        <v>RETROEXCAVADORA, CARGADORA, MOTONIVELADORA, RODILLO LISO, TANQUERO DE AGUA, PLATAFORMA, 2 VOLQUETES 8 M3, CAMIONETA DE ABASTO</v>
      </c>
      <c r="K105" s="439">
        <v>133405.24</v>
      </c>
      <c r="L105" s="439">
        <v>15443.14</v>
      </c>
      <c r="M105" s="440">
        <v>13600.86</v>
      </c>
      <c r="N105" s="441">
        <f t="shared" si="1"/>
        <v>162449.24</v>
      </c>
    </row>
    <row r="106" spans="1:14" ht="100.9" customHeight="1">
      <c r="A106" s="429">
        <v>4</v>
      </c>
      <c r="B106" s="429" t="s">
        <v>975</v>
      </c>
      <c r="C106" s="431" t="s">
        <v>425</v>
      </c>
      <c r="D106" s="1170" t="s">
        <v>976</v>
      </c>
      <c r="E106" s="1170"/>
      <c r="F106" s="423"/>
      <c r="G106" s="423">
        <v>27</v>
      </c>
      <c r="H106" s="433">
        <v>60.885311871227366</v>
      </c>
      <c r="I106" s="423">
        <v>2</v>
      </c>
      <c r="J106" s="428" t="str">
        <f>VLOOKUP(I106,[6]RRESUMEN!$A$11:$V$18,3)</f>
        <v>EXCAVADORA, CARGADORA, MOTONIVELADORA, RODILLO LISO, TANQUERO DE AGUA, PLATAFORMA, 3 VOLQUETES 8 M3, CAMIONETA DE ABASTO</v>
      </c>
      <c r="K106" s="425">
        <v>173227.80000000002</v>
      </c>
      <c r="L106" s="425">
        <v>19943.34</v>
      </c>
      <c r="M106" s="425">
        <v>20429.510000000002</v>
      </c>
      <c r="N106" s="425">
        <f t="shared" si="1"/>
        <v>213600.65000000002</v>
      </c>
    </row>
    <row r="107" spans="1:14" ht="45" customHeight="1">
      <c r="A107" s="429">
        <v>4</v>
      </c>
      <c r="B107" s="429" t="s">
        <v>975</v>
      </c>
      <c r="C107" s="431" t="s">
        <v>598</v>
      </c>
      <c r="D107" s="1170" t="s">
        <v>977</v>
      </c>
      <c r="E107" s="1170"/>
      <c r="F107" s="423"/>
      <c r="G107" s="423">
        <f t="shared" ref="G107:G108" si="6">ROUND(H107*0.4,2)</f>
        <v>4.0199999999999996</v>
      </c>
      <c r="H107" s="433">
        <v>10.056338028169014</v>
      </c>
      <c r="I107" s="423">
        <v>3</v>
      </c>
      <c r="J107" s="428" t="str">
        <f>VLOOKUP(I107,[6]RRESUMEN!$A$11:$V$18,3)</f>
        <v>EXCAVADORA, CARGADORA, MOTONIVELADORA, RODILLO LISO, TANQUERO DE AGUA, PLATAFORMA, 4 VOLQUETES 8 M3, CAMIONETA DE ABASTO</v>
      </c>
      <c r="K107" s="425">
        <v>31326.100000000002</v>
      </c>
      <c r="L107" s="425">
        <v>3507.0000000000005</v>
      </c>
      <c r="M107" s="425">
        <v>3712.1</v>
      </c>
      <c r="N107" s="425">
        <f t="shared" si="1"/>
        <v>38545.200000000004</v>
      </c>
    </row>
    <row r="108" spans="1:14" ht="45" customHeight="1">
      <c r="A108" s="429">
        <v>4</v>
      </c>
      <c r="B108" s="429" t="s">
        <v>975</v>
      </c>
      <c r="C108" s="431" t="s">
        <v>599</v>
      </c>
      <c r="D108" s="1170" t="s">
        <v>978</v>
      </c>
      <c r="E108" s="1170"/>
      <c r="F108" s="423"/>
      <c r="G108" s="423">
        <f t="shared" si="6"/>
        <v>6</v>
      </c>
      <c r="H108" s="433">
        <v>15</v>
      </c>
      <c r="I108" s="423">
        <v>3</v>
      </c>
      <c r="J108" s="428" t="str">
        <f>VLOOKUP(I108,[6]RRESUMEN!$A$11:$V$18,3)</f>
        <v>EXCAVADORA, CARGADORA, MOTONIVELADORA, RODILLO LISO, TANQUERO DE AGUA, PLATAFORMA, 4 VOLQUETES 8 M3, CAMIONETA DE ABASTO</v>
      </c>
      <c r="K108" s="425">
        <v>46989.15</v>
      </c>
      <c r="L108" s="425">
        <v>5260.5000000000009</v>
      </c>
      <c r="M108" s="425">
        <v>5568.15</v>
      </c>
      <c r="N108" s="425">
        <f t="shared" si="1"/>
        <v>57817.8</v>
      </c>
    </row>
    <row r="109" spans="1:14" ht="100.9" customHeight="1">
      <c r="A109" s="429">
        <v>4</v>
      </c>
      <c r="B109" s="429" t="s">
        <v>975</v>
      </c>
      <c r="C109" s="431" t="s">
        <v>979</v>
      </c>
      <c r="D109" s="1170" t="s">
        <v>980</v>
      </c>
      <c r="E109" s="1170"/>
      <c r="F109" s="423"/>
      <c r="G109" s="423">
        <f>ROUND(H109*0.4,2)</f>
        <v>12.75</v>
      </c>
      <c r="H109" s="433">
        <v>31.879275653923539</v>
      </c>
      <c r="I109" s="423">
        <v>1</v>
      </c>
      <c r="J109" s="428" t="str">
        <f>VLOOKUP(I109,[6]RRESUMEN!$A$11:$V$18,3)</f>
        <v>EXCAVADORA, CARGADORA, MOTONIVELADORA, 
RODILLO LISO, TANQUERO DE AGUA, PLATAFORMA, 
2 VOLQUETES, CAMIONETA DE ABASTO</v>
      </c>
      <c r="K109" s="425">
        <v>80802.559999999998</v>
      </c>
      <c r="L109" s="425">
        <v>9324.16</v>
      </c>
      <c r="M109" s="425">
        <v>9555.84</v>
      </c>
      <c r="N109" s="425">
        <f t="shared" si="1"/>
        <v>99682.559999999998</v>
      </c>
    </row>
    <row r="110" spans="1:14" ht="57" customHeight="1">
      <c r="A110" s="429">
        <v>4</v>
      </c>
      <c r="B110" s="429" t="s">
        <v>975</v>
      </c>
      <c r="C110" s="431" t="s">
        <v>428</v>
      </c>
      <c r="D110" s="1170" t="s">
        <v>981</v>
      </c>
      <c r="E110" s="1170"/>
      <c r="F110" s="423"/>
      <c r="G110" s="423">
        <f>ROUND(H110*0.4,2)</f>
        <v>9.3000000000000007</v>
      </c>
      <c r="H110" s="433">
        <v>23.259557344064383</v>
      </c>
      <c r="I110" s="430">
        <v>3</v>
      </c>
      <c r="J110" s="428" t="str">
        <f>VLOOKUP(I110,[6]RRESUMEN!$A$11:$V$18,3)</f>
        <v>EXCAVADORA, CARGADORA, MOTONIVELADORA, RODILLO LISO, TANQUERO DE AGUA, PLATAFORMA, 4 VOLQUETES 8 M3, CAMIONETA DE ABASTO</v>
      </c>
      <c r="K110" s="425">
        <v>72050.03</v>
      </c>
      <c r="L110" s="425">
        <v>8066.1000000000013</v>
      </c>
      <c r="M110" s="425">
        <v>8537.83</v>
      </c>
      <c r="N110" s="425">
        <f t="shared" si="1"/>
        <v>88653.96</v>
      </c>
    </row>
    <row r="111" spans="1:14" s="442" customFormat="1" ht="26.25">
      <c r="D111" s="438"/>
      <c r="E111" s="443" t="s">
        <v>725</v>
      </c>
      <c r="F111" s="444"/>
      <c r="G111" s="445">
        <f>SUM(G10:G110)</f>
        <v>901.97999999999956</v>
      </c>
      <c r="H111" s="445"/>
      <c r="I111" s="444"/>
      <c r="J111" s="446"/>
      <c r="K111" s="447">
        <f>SUM(K10:K110)</f>
        <v>4356796.8899999987</v>
      </c>
      <c r="L111" s="447">
        <f>SUM(L10:L110)</f>
        <v>507626.04000000004</v>
      </c>
      <c r="M111" s="447">
        <f>SUM(M10:M110)</f>
        <v>481049.75000000012</v>
      </c>
      <c r="N111" s="447">
        <f>SUM(N10:N110)</f>
        <v>5345472.6799999988</v>
      </c>
    </row>
    <row r="114" spans="4:19" ht="26.25">
      <c r="D114" s="414"/>
      <c r="F114" s="454">
        <f>SUBTOTAL(9,F10:F113)</f>
        <v>471.6</v>
      </c>
      <c r="G114" s="414">
        <f>SUBTOTAL(9,G72:G78)</f>
        <v>62</v>
      </c>
      <c r="J114" s="449"/>
      <c r="K114" s="450"/>
      <c r="L114" s="450"/>
      <c r="M114" s="450"/>
      <c r="N114" s="451">
        <f>SUBTOTAL(9,N41:N46)</f>
        <v>309573.08</v>
      </c>
    </row>
    <row r="116" spans="4:19">
      <c r="D116" s="414"/>
      <c r="E116" s="414"/>
    </row>
    <row r="117" spans="4:19" ht="23.25">
      <c r="D117" s="452"/>
      <c r="E117" s="452"/>
      <c r="F117" s="455"/>
      <c r="P117" s="453" t="s">
        <v>663</v>
      </c>
      <c r="Q117" s="453" t="s">
        <v>982</v>
      </c>
      <c r="R117" s="453" t="s">
        <v>983</v>
      </c>
      <c r="S117" s="453" t="s">
        <v>984</v>
      </c>
    </row>
    <row r="118" spans="4:19" ht="23.25">
      <c r="D118" s="452"/>
      <c r="E118" s="452"/>
      <c r="F118" s="455"/>
      <c r="P118" s="453">
        <v>1</v>
      </c>
      <c r="Q118" s="453">
        <v>913700.04</v>
      </c>
      <c r="R118" s="453">
        <v>118345.31999999999</v>
      </c>
      <c r="S118" s="453">
        <v>80578.679999999993</v>
      </c>
    </row>
    <row r="119" spans="4:19" ht="23.25">
      <c r="D119" s="452"/>
      <c r="E119" s="452"/>
      <c r="F119" s="455"/>
      <c r="P119" s="453">
        <v>2</v>
      </c>
      <c r="Q119" s="453">
        <v>852344.12999999989</v>
      </c>
      <c r="R119" s="453">
        <v>96835.440000000017</v>
      </c>
      <c r="S119" s="453">
        <v>97051.150000000009</v>
      </c>
    </row>
    <row r="120" spans="4:19" ht="23.25">
      <c r="D120" s="452"/>
      <c r="E120" s="452"/>
      <c r="F120" s="455"/>
      <c r="P120" s="453">
        <v>3</v>
      </c>
      <c r="Q120" s="453">
        <v>1052380.3599999999</v>
      </c>
      <c r="R120" s="453">
        <v>118013.88000000002</v>
      </c>
      <c r="S120" s="453">
        <v>124670.38</v>
      </c>
    </row>
    <row r="121" spans="4:19" ht="23.25">
      <c r="D121" s="452"/>
      <c r="E121" s="452"/>
      <c r="F121" s="455"/>
      <c r="P121" s="453">
        <v>4</v>
      </c>
      <c r="Q121" s="453">
        <v>1315748.1800000002</v>
      </c>
      <c r="R121" s="453">
        <v>148779.52000000002</v>
      </c>
      <c r="S121" s="453">
        <v>155534.31999999998</v>
      </c>
    </row>
    <row r="122" spans="4:19" ht="23.25">
      <c r="D122" s="414"/>
      <c r="E122" s="414"/>
      <c r="P122" s="453" t="s">
        <v>665</v>
      </c>
      <c r="Q122" s="453">
        <v>4134172.71</v>
      </c>
      <c r="R122" s="453">
        <v>481974.16000000003</v>
      </c>
      <c r="S122" s="453">
        <v>457834.53</v>
      </c>
    </row>
    <row r="123" spans="4:19">
      <c r="D123" s="414"/>
      <c r="E123" s="414"/>
    </row>
    <row r="124" spans="4:19">
      <c r="D124" s="414"/>
      <c r="E124" s="414"/>
    </row>
    <row r="125" spans="4:19">
      <c r="D125" s="414"/>
      <c r="E125" s="414"/>
    </row>
    <row r="126" spans="4:19">
      <c r="D126" s="414"/>
      <c r="E126" s="414"/>
    </row>
    <row r="127" spans="4:19">
      <c r="D127" s="414"/>
      <c r="E127" s="414"/>
    </row>
    <row r="128" spans="4:19">
      <c r="D128" s="414"/>
      <c r="E128" s="414"/>
    </row>
    <row r="129" spans="3:5">
      <c r="C129" s="414"/>
      <c r="D129" s="414"/>
      <c r="E129" s="414"/>
    </row>
    <row r="130" spans="3:5">
      <c r="C130" s="414"/>
      <c r="D130" s="414"/>
      <c r="E130" s="414"/>
    </row>
    <row r="131" spans="3:5">
      <c r="C131" s="414"/>
      <c r="D131" s="414"/>
      <c r="E131" s="414"/>
    </row>
    <row r="132" spans="3:5">
      <c r="C132" s="414"/>
      <c r="D132" s="414"/>
      <c r="E132" s="414"/>
    </row>
    <row r="133" spans="3:5">
      <c r="C133" s="414"/>
      <c r="D133" s="414"/>
      <c r="E133" s="414"/>
    </row>
    <row r="134" spans="3:5">
      <c r="C134" s="414"/>
      <c r="D134" s="414"/>
      <c r="E134" s="414"/>
    </row>
    <row r="135" spans="3:5">
      <c r="C135" s="414"/>
      <c r="D135" s="414"/>
      <c r="E135" s="414"/>
    </row>
    <row r="136" spans="3:5">
      <c r="C136" s="414"/>
      <c r="D136" s="414"/>
      <c r="E136" s="414"/>
    </row>
    <row r="137" spans="3:5">
      <c r="C137" s="414"/>
      <c r="D137" s="414"/>
      <c r="E137" s="414"/>
    </row>
    <row r="138" spans="3:5">
      <c r="C138" s="414"/>
      <c r="D138" s="414"/>
      <c r="E138" s="414"/>
    </row>
    <row r="139" spans="3:5">
      <c r="C139" s="414"/>
      <c r="D139" s="414"/>
      <c r="E139" s="414"/>
    </row>
    <row r="140" spans="3:5">
      <c r="C140" s="414"/>
      <c r="D140" s="414"/>
      <c r="E140" s="414"/>
    </row>
    <row r="141" spans="3:5">
      <c r="C141" s="414"/>
      <c r="D141" s="414"/>
      <c r="E141" s="414"/>
    </row>
    <row r="142" spans="3:5">
      <c r="C142" s="414"/>
      <c r="D142" s="414"/>
      <c r="E142" s="414"/>
    </row>
    <row r="143" spans="3:5">
      <c r="C143" s="414"/>
      <c r="D143" s="414"/>
      <c r="E143" s="414"/>
    </row>
    <row r="144" spans="3:5">
      <c r="C144" s="414"/>
      <c r="D144" s="414"/>
      <c r="E144" s="414"/>
    </row>
    <row r="145" spans="3:5">
      <c r="C145" s="414"/>
      <c r="D145" s="414"/>
      <c r="E145" s="414"/>
    </row>
    <row r="146" spans="3:5">
      <c r="C146" s="414"/>
      <c r="D146" s="414"/>
      <c r="E146" s="414"/>
    </row>
    <row r="147" spans="3:5">
      <c r="C147" s="414"/>
      <c r="D147" s="414"/>
      <c r="E147" s="414"/>
    </row>
    <row r="148" spans="3:5">
      <c r="C148" s="414"/>
      <c r="D148" s="414"/>
      <c r="E148" s="414"/>
    </row>
    <row r="149" spans="3:5">
      <c r="C149" s="414"/>
      <c r="D149" s="414"/>
      <c r="E149" s="414"/>
    </row>
    <row r="150" spans="3:5">
      <c r="C150" s="414"/>
      <c r="D150" s="414"/>
      <c r="E150" s="414"/>
    </row>
    <row r="151" spans="3:5">
      <c r="C151" s="414"/>
      <c r="D151" s="414"/>
      <c r="E151" s="414"/>
    </row>
    <row r="152" spans="3:5">
      <c r="C152" s="414"/>
      <c r="D152" s="414"/>
      <c r="E152" s="414"/>
    </row>
    <row r="153" spans="3:5">
      <c r="C153" s="414"/>
      <c r="D153" s="414"/>
      <c r="E153" s="414"/>
    </row>
    <row r="154" spans="3:5">
      <c r="C154" s="414"/>
      <c r="D154" s="414"/>
      <c r="E154" s="414"/>
    </row>
    <row r="155" spans="3:5">
      <c r="C155" s="414"/>
      <c r="D155" s="414"/>
      <c r="E155" s="414"/>
    </row>
    <row r="156" spans="3:5">
      <c r="C156" s="414"/>
      <c r="D156" s="414"/>
      <c r="E156" s="414"/>
    </row>
    <row r="157" spans="3:5">
      <c r="C157" s="414"/>
      <c r="D157" s="414"/>
      <c r="E157" s="414"/>
    </row>
    <row r="158" spans="3:5">
      <c r="C158" s="414"/>
      <c r="D158" s="414"/>
      <c r="E158" s="414"/>
    </row>
    <row r="159" spans="3:5">
      <c r="C159" s="414"/>
      <c r="D159" s="414"/>
      <c r="E159" s="414"/>
    </row>
    <row r="160" spans="3:5">
      <c r="C160" s="414"/>
      <c r="D160" s="414"/>
      <c r="E160" s="414"/>
    </row>
    <row r="161" spans="3:5">
      <c r="C161" s="414"/>
      <c r="D161" s="414"/>
      <c r="E161" s="414"/>
    </row>
    <row r="162" spans="3:5">
      <c r="C162" s="414"/>
      <c r="D162" s="414"/>
      <c r="E162" s="414"/>
    </row>
    <row r="163" spans="3:5">
      <c r="C163" s="414"/>
      <c r="D163" s="414"/>
      <c r="E163" s="414"/>
    </row>
    <row r="164" spans="3:5">
      <c r="C164" s="414"/>
      <c r="D164" s="414"/>
      <c r="E164" s="414"/>
    </row>
    <row r="165" spans="3:5">
      <c r="C165" s="414"/>
      <c r="D165" s="414"/>
      <c r="E165" s="414"/>
    </row>
    <row r="166" spans="3:5">
      <c r="C166" s="414"/>
      <c r="D166" s="414"/>
      <c r="E166" s="414"/>
    </row>
    <row r="167" spans="3:5">
      <c r="C167" s="414"/>
      <c r="D167" s="414"/>
      <c r="E167" s="414"/>
    </row>
    <row r="168" spans="3:5">
      <c r="C168" s="414"/>
      <c r="D168" s="414"/>
      <c r="E168" s="414"/>
    </row>
    <row r="169" spans="3:5">
      <c r="C169" s="414"/>
      <c r="D169" s="414"/>
      <c r="E169" s="414"/>
    </row>
    <row r="170" spans="3:5">
      <c r="C170" s="414"/>
      <c r="D170" s="414"/>
      <c r="E170" s="414"/>
    </row>
    <row r="171" spans="3:5">
      <c r="C171" s="414"/>
      <c r="D171" s="414"/>
      <c r="E171" s="414"/>
    </row>
    <row r="172" spans="3:5">
      <c r="C172" s="414"/>
      <c r="D172" s="414"/>
      <c r="E172" s="414"/>
    </row>
    <row r="173" spans="3:5">
      <c r="C173" s="414"/>
      <c r="D173" s="414"/>
      <c r="E173" s="414"/>
    </row>
    <row r="174" spans="3:5">
      <c r="C174" s="414"/>
      <c r="D174" s="414"/>
      <c r="E174" s="414"/>
    </row>
    <row r="175" spans="3:5">
      <c r="C175" s="414"/>
      <c r="D175" s="414"/>
      <c r="E175" s="414"/>
    </row>
    <row r="176" spans="3:5">
      <c r="C176" s="414"/>
      <c r="D176" s="414"/>
      <c r="E176" s="414"/>
    </row>
    <row r="177" spans="1:20">
      <c r="C177" s="414"/>
      <c r="D177" s="414"/>
      <c r="E177" s="414"/>
    </row>
    <row r="178" spans="1:20">
      <c r="C178" s="414"/>
      <c r="D178" s="414"/>
      <c r="E178" s="414"/>
    </row>
    <row r="179" spans="1:20" s="448" customFormat="1">
      <c r="A179" s="414"/>
      <c r="B179" s="414"/>
      <c r="C179" s="414"/>
      <c r="D179" s="414"/>
      <c r="F179" s="442"/>
      <c r="G179" s="414"/>
      <c r="H179" s="414"/>
      <c r="I179" s="414"/>
      <c r="J179" s="414"/>
      <c r="K179" s="414"/>
      <c r="L179" s="414"/>
      <c r="M179" s="414"/>
      <c r="N179" s="414"/>
      <c r="O179" s="414"/>
      <c r="P179" s="414"/>
      <c r="Q179" s="414"/>
      <c r="R179" s="414"/>
      <c r="S179" s="414"/>
      <c r="T179" s="414"/>
    </row>
    <row r="180" spans="1:20" s="448" customFormat="1">
      <c r="A180" s="414"/>
      <c r="B180" s="414"/>
      <c r="C180" s="414"/>
      <c r="D180" s="414"/>
      <c r="F180" s="442"/>
      <c r="G180" s="414"/>
      <c r="H180" s="414"/>
      <c r="I180" s="414"/>
      <c r="J180" s="414"/>
      <c r="K180" s="414"/>
      <c r="L180" s="414"/>
      <c r="M180" s="414"/>
      <c r="N180" s="414"/>
      <c r="O180" s="414"/>
      <c r="P180" s="414"/>
      <c r="Q180" s="414"/>
      <c r="R180" s="414"/>
      <c r="S180" s="414"/>
      <c r="T180" s="414"/>
    </row>
    <row r="181" spans="1:20" s="448" customFormat="1">
      <c r="A181" s="414"/>
      <c r="B181" s="414"/>
      <c r="C181" s="414"/>
      <c r="D181" s="414"/>
      <c r="F181" s="442"/>
      <c r="G181" s="414"/>
      <c r="H181" s="414"/>
      <c r="I181" s="414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</row>
    <row r="182" spans="1:20" s="448" customFormat="1">
      <c r="A182" s="414"/>
      <c r="B182" s="414"/>
      <c r="C182" s="414"/>
      <c r="D182" s="414"/>
      <c r="F182" s="442"/>
      <c r="G182" s="414"/>
      <c r="H182" s="414"/>
      <c r="I182" s="414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</row>
    <row r="183" spans="1:20" s="448" customFormat="1">
      <c r="A183" s="414"/>
      <c r="B183" s="414"/>
      <c r="C183" s="414"/>
      <c r="D183" s="414"/>
      <c r="F183" s="442"/>
      <c r="G183" s="414"/>
      <c r="H183" s="414"/>
      <c r="I183" s="414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</row>
    <row r="184" spans="1:20" s="448" customFormat="1">
      <c r="A184" s="414"/>
      <c r="B184" s="414"/>
      <c r="C184" s="414"/>
      <c r="D184" s="414"/>
      <c r="F184" s="442"/>
      <c r="G184" s="414"/>
      <c r="H184" s="414"/>
      <c r="I184" s="414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</row>
  </sheetData>
  <autoFilter ref="B9:N111"/>
  <mergeCells count="163">
    <mergeCell ref="A2:I2"/>
    <mergeCell ref="A3:I3"/>
    <mergeCell ref="A4:I4"/>
    <mergeCell ref="A5:I5"/>
    <mergeCell ref="G13:G15"/>
    <mergeCell ref="H13:H15"/>
    <mergeCell ref="I13:I15"/>
    <mergeCell ref="J13:J15"/>
    <mergeCell ref="K13:K15"/>
    <mergeCell ref="L13:L15"/>
    <mergeCell ref="M13:M15"/>
    <mergeCell ref="N13:N15"/>
    <mergeCell ref="G16:G19"/>
    <mergeCell ref="H16:H19"/>
    <mergeCell ref="I16:I19"/>
    <mergeCell ref="J16:J19"/>
    <mergeCell ref="K16:K19"/>
    <mergeCell ref="L16:L19"/>
    <mergeCell ref="M16:M19"/>
    <mergeCell ref="N16:N19"/>
    <mergeCell ref="G22:G23"/>
    <mergeCell ref="H22:H23"/>
    <mergeCell ref="I22:I23"/>
    <mergeCell ref="J22:J23"/>
    <mergeCell ref="K22:K23"/>
    <mergeCell ref="L22:L23"/>
    <mergeCell ref="M22:M23"/>
    <mergeCell ref="N22:N23"/>
    <mergeCell ref="G25:G26"/>
    <mergeCell ref="H25:H26"/>
    <mergeCell ref="I25:I26"/>
    <mergeCell ref="J25:J26"/>
    <mergeCell ref="K25:K26"/>
    <mergeCell ref="L25:L26"/>
    <mergeCell ref="M25:M26"/>
    <mergeCell ref="N25:N26"/>
    <mergeCell ref="L27:L28"/>
    <mergeCell ref="M27:M28"/>
    <mergeCell ref="N27:N28"/>
    <mergeCell ref="C29:C31"/>
    <mergeCell ref="G29:G31"/>
    <mergeCell ref="H29:H31"/>
    <mergeCell ref="I29:I31"/>
    <mergeCell ref="J29:J31"/>
    <mergeCell ref="K29:K31"/>
    <mergeCell ref="L29:L31"/>
    <mergeCell ref="C27:C28"/>
    <mergeCell ref="G27:G28"/>
    <mergeCell ref="H27:H28"/>
    <mergeCell ref="I27:I28"/>
    <mergeCell ref="J27:J28"/>
    <mergeCell ref="K27:K28"/>
    <mergeCell ref="M29:M31"/>
    <mergeCell ref="N29:N31"/>
    <mergeCell ref="G32:G33"/>
    <mergeCell ref="H32:H33"/>
    <mergeCell ref="I32:I33"/>
    <mergeCell ref="J32:J33"/>
    <mergeCell ref="K32:K33"/>
    <mergeCell ref="L32:L33"/>
    <mergeCell ref="M32:M33"/>
    <mergeCell ref="N32:N33"/>
    <mergeCell ref="M34:M36"/>
    <mergeCell ref="N34:N36"/>
    <mergeCell ref="G37:G38"/>
    <mergeCell ref="H37:H38"/>
    <mergeCell ref="I37:I38"/>
    <mergeCell ref="J37:J38"/>
    <mergeCell ref="K37:K38"/>
    <mergeCell ref="L37:L38"/>
    <mergeCell ref="M37:M38"/>
    <mergeCell ref="N37:N38"/>
    <mergeCell ref="G34:G36"/>
    <mergeCell ref="H34:H36"/>
    <mergeCell ref="I34:I36"/>
    <mergeCell ref="J34:J36"/>
    <mergeCell ref="K34:K36"/>
    <mergeCell ref="L34:L36"/>
    <mergeCell ref="M42:M43"/>
    <mergeCell ref="N42:N43"/>
    <mergeCell ref="G48:G50"/>
    <mergeCell ref="H48:H50"/>
    <mergeCell ref="I48:I50"/>
    <mergeCell ref="J48:J50"/>
    <mergeCell ref="K48:K50"/>
    <mergeCell ref="L48:L50"/>
    <mergeCell ref="M48:M50"/>
    <mergeCell ref="N48:N50"/>
    <mergeCell ref="G42:G43"/>
    <mergeCell ref="H42:H43"/>
    <mergeCell ref="I42:I43"/>
    <mergeCell ref="J42:J43"/>
    <mergeCell ref="K42:K43"/>
    <mergeCell ref="L42:L43"/>
    <mergeCell ref="M52:M55"/>
    <mergeCell ref="N52:N55"/>
    <mergeCell ref="G58:G59"/>
    <mergeCell ref="H58:H59"/>
    <mergeCell ref="I58:I59"/>
    <mergeCell ref="J58:J59"/>
    <mergeCell ref="K58:K59"/>
    <mergeCell ref="L58:L59"/>
    <mergeCell ref="M58:M59"/>
    <mergeCell ref="N58:N59"/>
    <mergeCell ref="G52:G55"/>
    <mergeCell ref="H52:H55"/>
    <mergeCell ref="I52:I55"/>
    <mergeCell ref="J52:J55"/>
    <mergeCell ref="K52:K55"/>
    <mergeCell ref="L52:L55"/>
    <mergeCell ref="D78:E78"/>
    <mergeCell ref="D67:E67"/>
    <mergeCell ref="D68:E68"/>
    <mergeCell ref="D69:E69"/>
    <mergeCell ref="D70:E70"/>
    <mergeCell ref="D71:E71"/>
    <mergeCell ref="D72:E72"/>
    <mergeCell ref="M60:M61"/>
    <mergeCell ref="N60:N61"/>
    <mergeCell ref="D63:E63"/>
    <mergeCell ref="D64:E64"/>
    <mergeCell ref="D65:E65"/>
    <mergeCell ref="D66:E66"/>
    <mergeCell ref="G60:G61"/>
    <mergeCell ref="H60:H61"/>
    <mergeCell ref="I60:I61"/>
    <mergeCell ref="J60:J61"/>
    <mergeCell ref="K60:K61"/>
    <mergeCell ref="L60:L61"/>
    <mergeCell ref="D109:E109"/>
    <mergeCell ref="D110:E110"/>
    <mergeCell ref="B8:F8"/>
    <mergeCell ref="D103:E103"/>
    <mergeCell ref="D104:E104"/>
    <mergeCell ref="D105:E105"/>
    <mergeCell ref="D106:E106"/>
    <mergeCell ref="D107:E107"/>
    <mergeCell ref="D108:E108"/>
    <mergeCell ref="D97:E97"/>
    <mergeCell ref="D98:E98"/>
    <mergeCell ref="D99:E99"/>
    <mergeCell ref="D100:E100"/>
    <mergeCell ref="D101:E101"/>
    <mergeCell ref="D102:E102"/>
    <mergeCell ref="D91:E91"/>
    <mergeCell ref="D92:E92"/>
    <mergeCell ref="D93:E93"/>
    <mergeCell ref="D94:E94"/>
    <mergeCell ref="D73:E73"/>
    <mergeCell ref="D74:E74"/>
    <mergeCell ref="D75:E75"/>
    <mergeCell ref="D76:E76"/>
    <mergeCell ref="D77:E77"/>
    <mergeCell ref="D95:E95"/>
    <mergeCell ref="D96:E96"/>
    <mergeCell ref="D85:E85"/>
    <mergeCell ref="D86:E86"/>
    <mergeCell ref="D87:E87"/>
    <mergeCell ref="D88:E88"/>
    <mergeCell ref="D89:E89"/>
    <mergeCell ref="D90:E90"/>
    <mergeCell ref="D83:E83"/>
    <mergeCell ref="D84:E84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63" fitToHeight="0" orientation="landscape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48"/>
  <sheetViews>
    <sheetView showGridLines="0" view="pageBreakPreview" zoomScale="70" zoomScaleNormal="100" zoomScaleSheetLayoutView="70" workbookViewId="0">
      <selection activeCell="B32" sqref="B32"/>
    </sheetView>
  </sheetViews>
  <sheetFormatPr baseColWidth="10" defaultColWidth="11.5703125" defaultRowHeight="15"/>
  <cols>
    <col min="1" max="1" width="18.42578125" style="148" customWidth="1"/>
    <col min="2" max="2" width="20.140625" style="150" customWidth="1"/>
    <col min="3" max="3" width="53" style="151" customWidth="1"/>
    <col min="4" max="4" width="15.5703125" style="148" customWidth="1"/>
    <col min="5" max="5" width="16.28515625" style="148" customWidth="1"/>
    <col min="6" max="6" width="15.85546875" style="148" bestFit="1" customWidth="1"/>
    <col min="7" max="7" width="10.7109375" style="148" customWidth="1"/>
    <col min="8" max="8" width="12.7109375" style="148" bestFit="1" customWidth="1"/>
    <col min="9" max="9" width="5.140625" style="148" customWidth="1"/>
    <col min="10" max="10" width="8.7109375" style="148" customWidth="1"/>
    <col min="11" max="11" width="8.5703125" style="148" customWidth="1"/>
    <col min="12" max="12" width="7.42578125" style="148" customWidth="1"/>
    <col min="13" max="13" width="7.28515625" style="148" customWidth="1"/>
    <col min="14" max="14" width="9.5703125" style="148" customWidth="1"/>
    <col min="15" max="15" width="10.140625" style="148" customWidth="1"/>
    <col min="16" max="16" width="10.5703125" style="148" customWidth="1"/>
    <col min="17" max="17" width="11.7109375" style="148" bestFit="1" customWidth="1"/>
    <col min="18" max="18" width="10.28515625" style="148" customWidth="1"/>
    <col min="19" max="19" width="11.85546875" style="148" bestFit="1" customWidth="1"/>
    <col min="20" max="16384" width="11.5703125" style="148"/>
  </cols>
  <sheetData>
    <row r="1" spans="1:9">
      <c r="B1" s="153"/>
    </row>
    <row r="2" spans="1:9" ht="28.9" customHeight="1">
      <c r="A2" s="1191" t="s">
        <v>726</v>
      </c>
      <c r="B2" s="1191"/>
      <c r="C2" s="1191"/>
      <c r="D2" s="1191"/>
    </row>
    <row r="3" spans="1:9" ht="28.5">
      <c r="A3" s="1191" t="s">
        <v>814</v>
      </c>
      <c r="B3" s="1191"/>
      <c r="C3" s="1191"/>
      <c r="D3" s="1191"/>
    </row>
    <row r="4" spans="1:9" ht="18.75">
      <c r="A4" s="1192" t="s">
        <v>1128</v>
      </c>
      <c r="B4" s="1192"/>
      <c r="C4" s="1192"/>
      <c r="D4" s="1192"/>
    </row>
    <row r="5" spans="1:9">
      <c r="A5" s="1193"/>
      <c r="B5" s="1193"/>
      <c r="C5" s="1193"/>
      <c r="D5" s="1193"/>
    </row>
    <row r="6" spans="1:9" ht="39" customHeight="1">
      <c r="A6" s="1194"/>
      <c r="B6" s="1193"/>
      <c r="C6" s="1193"/>
      <c r="D6" s="1193"/>
    </row>
    <row r="7" spans="1:9" ht="39" hidden="1" thickTop="1">
      <c r="A7" s="764" t="s">
        <v>667</v>
      </c>
      <c r="B7" s="765"/>
      <c r="C7" s="765"/>
      <c r="D7" s="464"/>
      <c r="E7" s="720"/>
      <c r="F7" s="720"/>
      <c r="G7" s="720"/>
      <c r="H7" s="720"/>
      <c r="I7" s="720"/>
    </row>
    <row r="8" spans="1:9" s="149" customFormat="1">
      <c r="A8" s="766" t="s">
        <v>146</v>
      </c>
      <c r="B8" s="763" t="s">
        <v>147</v>
      </c>
      <c r="C8" s="767" t="s">
        <v>812</v>
      </c>
      <c r="D8" s="768" t="s">
        <v>163</v>
      </c>
      <c r="E8" s="720"/>
      <c r="F8" s="720"/>
      <c r="G8" s="720"/>
      <c r="H8" s="720"/>
      <c r="I8" s="720"/>
    </row>
    <row r="9" spans="1:9" ht="25.5">
      <c r="A9" s="1195" t="s">
        <v>590</v>
      </c>
      <c r="B9" s="1204" t="s">
        <v>205</v>
      </c>
      <c r="C9" s="762" t="s">
        <v>204</v>
      </c>
      <c r="D9" s="717">
        <v>365</v>
      </c>
      <c r="E9" s="720"/>
      <c r="F9" s="720"/>
      <c r="G9" s="720"/>
      <c r="H9" s="720"/>
      <c r="I9" s="720"/>
    </row>
    <row r="10" spans="1:9" ht="25.5">
      <c r="A10" s="1195" t="s">
        <v>590</v>
      </c>
      <c r="B10" s="1204" t="s">
        <v>205</v>
      </c>
      <c r="C10" s="762" t="s">
        <v>212</v>
      </c>
      <c r="D10" s="717">
        <v>1303.2</v>
      </c>
      <c r="E10" s="720"/>
      <c r="F10" s="720"/>
      <c r="G10" s="720"/>
      <c r="H10" s="720"/>
      <c r="I10" s="720"/>
    </row>
    <row r="11" spans="1:9" ht="51">
      <c r="A11" s="1195" t="s">
        <v>590</v>
      </c>
      <c r="B11" s="1204" t="s">
        <v>205</v>
      </c>
      <c r="C11" s="762" t="s">
        <v>267</v>
      </c>
      <c r="D11" s="717">
        <v>11179</v>
      </c>
      <c r="E11" s="720"/>
      <c r="F11" s="720"/>
      <c r="G11" s="720"/>
      <c r="H11" s="720"/>
      <c r="I11" s="720"/>
    </row>
    <row r="12" spans="1:9" ht="25.5">
      <c r="A12" s="1195" t="s">
        <v>590</v>
      </c>
      <c r="B12" s="1204" t="s">
        <v>205</v>
      </c>
      <c r="C12" s="762" t="s">
        <v>220</v>
      </c>
      <c r="D12" s="717">
        <v>37338</v>
      </c>
      <c r="E12" s="720"/>
      <c r="F12" s="720"/>
      <c r="G12" s="720"/>
      <c r="H12" s="720"/>
      <c r="I12" s="720"/>
    </row>
    <row r="13" spans="1:9" ht="25.5">
      <c r="A13" s="1195" t="s">
        <v>590</v>
      </c>
      <c r="B13" s="1204" t="s">
        <v>205</v>
      </c>
      <c r="C13" s="762" t="s">
        <v>794</v>
      </c>
      <c r="D13" s="717">
        <v>52006.5</v>
      </c>
      <c r="E13" s="720"/>
      <c r="F13" s="720"/>
      <c r="G13" s="720"/>
      <c r="H13" s="720"/>
      <c r="I13" s="720"/>
    </row>
    <row r="14" spans="1:9" ht="25.5">
      <c r="A14" s="1195" t="s">
        <v>590</v>
      </c>
      <c r="B14" s="1204" t="s">
        <v>205</v>
      </c>
      <c r="C14" s="762" t="s">
        <v>795</v>
      </c>
      <c r="D14" s="717">
        <v>21336</v>
      </c>
      <c r="E14" s="720"/>
      <c r="F14" s="720"/>
      <c r="G14" s="720"/>
      <c r="H14" s="720"/>
      <c r="I14" s="720"/>
    </row>
    <row r="15" spans="1:9" ht="25.5">
      <c r="A15" s="1195" t="s">
        <v>590</v>
      </c>
      <c r="B15" s="1204" t="s">
        <v>205</v>
      </c>
      <c r="C15" s="762" t="s">
        <v>796</v>
      </c>
      <c r="D15" s="717">
        <v>5334</v>
      </c>
      <c r="E15" s="720"/>
      <c r="F15" s="720"/>
      <c r="G15" s="720"/>
      <c r="H15" s="720"/>
      <c r="I15" s="720"/>
    </row>
    <row r="16" spans="1:9" ht="25.5">
      <c r="A16" s="1195" t="s">
        <v>590</v>
      </c>
      <c r="B16" s="1204" t="s">
        <v>205</v>
      </c>
      <c r="C16" s="762" t="s">
        <v>797</v>
      </c>
      <c r="D16" s="717">
        <v>26670</v>
      </c>
      <c r="E16" s="720"/>
      <c r="F16" s="720"/>
      <c r="G16" s="720"/>
      <c r="H16" s="720"/>
      <c r="I16" s="720"/>
    </row>
    <row r="17" spans="1:9">
      <c r="A17" s="1195" t="s">
        <v>590</v>
      </c>
      <c r="B17" s="1205" t="s">
        <v>1126</v>
      </c>
      <c r="C17" s="1198"/>
      <c r="D17" s="717">
        <v>155531.70000000001</v>
      </c>
      <c r="E17" s="720"/>
      <c r="F17" s="720"/>
      <c r="G17" s="720"/>
      <c r="H17" s="720"/>
      <c r="I17" s="720"/>
    </row>
    <row r="18" spans="1:9">
      <c r="A18" s="1195"/>
      <c r="B18" s="1200"/>
      <c r="C18" s="1200"/>
      <c r="D18" s="717"/>
      <c r="E18" s="720"/>
      <c r="F18" s="720"/>
      <c r="G18" s="720"/>
      <c r="H18" s="720"/>
      <c r="I18" s="720"/>
    </row>
    <row r="19" spans="1:9" hidden="1">
      <c r="A19" s="1196" t="s">
        <v>1127</v>
      </c>
      <c r="B19" s="1197"/>
      <c r="C19" s="1198"/>
      <c r="D19" s="717">
        <v>155531.70000000001</v>
      </c>
      <c r="E19" s="720"/>
      <c r="F19" s="720"/>
      <c r="G19" s="720"/>
      <c r="H19" s="720"/>
      <c r="I19" s="720"/>
    </row>
    <row r="20" spans="1:9">
      <c r="A20" s="1199"/>
      <c r="B20" s="1200"/>
      <c r="C20" s="1200"/>
      <c r="D20" s="717"/>
      <c r="E20" s="720"/>
      <c r="F20" s="720"/>
      <c r="G20" s="720"/>
      <c r="H20" s="720"/>
      <c r="I20" s="720"/>
    </row>
    <row r="21" spans="1:9" ht="15.75" thickBot="1">
      <c r="A21" s="1201" t="s">
        <v>665</v>
      </c>
      <c r="B21" s="1202"/>
      <c r="C21" s="1203"/>
      <c r="D21" s="465">
        <v>155531.70000000001</v>
      </c>
      <c r="E21" s="720"/>
      <c r="F21" s="720"/>
      <c r="G21" s="720"/>
      <c r="H21" s="720"/>
      <c r="I21" s="720"/>
    </row>
    <row r="22" spans="1:9" ht="15.75" thickTop="1">
      <c r="A22"/>
      <c r="B22"/>
      <c r="C22"/>
      <c r="D22"/>
      <c r="E22" s="720"/>
      <c r="F22" s="720"/>
      <c r="G22" s="720"/>
      <c r="H22" s="720"/>
      <c r="I22" s="720"/>
    </row>
    <row r="23" spans="1:9" ht="18.75" thickBot="1">
      <c r="A23" s="720"/>
      <c r="B23" s="720"/>
      <c r="C23" s="720"/>
      <c r="D23" s="721"/>
      <c r="E23" s="720"/>
      <c r="F23" s="720"/>
      <c r="G23" s="720"/>
      <c r="H23" s="720"/>
      <c r="I23" s="720"/>
    </row>
    <row r="24" spans="1:9" ht="18.75" thickTop="1">
      <c r="A24" s="1185" t="s">
        <v>986</v>
      </c>
      <c r="B24" s="1186"/>
      <c r="C24" s="1186"/>
      <c r="D24" s="1187"/>
      <c r="E24" s="720"/>
      <c r="F24" s="720"/>
      <c r="G24" s="720"/>
      <c r="H24" s="720"/>
      <c r="I24" s="720"/>
    </row>
    <row r="25" spans="1:9">
      <c r="A25" s="1188" t="str">
        <f>+A4</f>
        <v>PROYECTOS E INVERSIÓN CANTON GONZANAMA PARROQUIA CHAGUARPAMBA</v>
      </c>
      <c r="B25" s="1189"/>
      <c r="C25" s="1189"/>
      <c r="D25" s="1190"/>
      <c r="E25" s="720"/>
      <c r="F25" s="720"/>
      <c r="G25" s="720"/>
      <c r="H25" s="720"/>
      <c r="I25" s="720"/>
    </row>
    <row r="26" spans="1:9">
      <c r="A26" s="718" t="s">
        <v>545</v>
      </c>
      <c r="B26" s="718" t="s">
        <v>546</v>
      </c>
      <c r="C26" s="718" t="s">
        <v>666</v>
      </c>
      <c r="D26" s="718" t="s">
        <v>673</v>
      </c>
      <c r="E26" s="720"/>
      <c r="F26" s="720"/>
      <c r="G26" s="720"/>
      <c r="H26" s="720"/>
      <c r="I26" s="720"/>
    </row>
    <row r="27" spans="1:9" ht="43.9" customHeight="1">
      <c r="A27" s="421" t="s">
        <v>590</v>
      </c>
      <c r="B27" s="761" t="s">
        <v>205</v>
      </c>
      <c r="C27" s="757" t="str">
        <f>CONCATENATE("Mejoramiento de la vía ",CONSOLIDADO!D21,"-",CONSOLIDADO!E21," con una longitud de  ",CONSOLIDADO!F21,"  km.")</f>
        <v>Mejoramiento de la vía SACAPALCA-PUENTE RIO CATAMAYO con una longitud de  12  km.</v>
      </c>
      <c r="D27" s="719">
        <f>+CONSOLIDADO!N21</f>
        <v>76627</v>
      </c>
      <c r="E27" s="720"/>
      <c r="F27" s="720"/>
      <c r="G27" s="720"/>
      <c r="H27" s="720"/>
      <c r="I27" s="720"/>
    </row>
    <row r="28" spans="1:9">
      <c r="A28" s="458"/>
      <c r="B28" s="459"/>
      <c r="C28" s="459"/>
      <c r="D28" s="460"/>
      <c r="E28" s="720"/>
      <c r="F28" s="720"/>
      <c r="G28" s="720"/>
      <c r="H28" s="720"/>
      <c r="I28" s="720"/>
    </row>
    <row r="29" spans="1:9" ht="16.5" thickBot="1">
      <c r="A29" s="758"/>
      <c r="B29" s="461"/>
      <c r="C29" s="462" t="s">
        <v>987</v>
      </c>
      <c r="D29" s="463">
        <f>SUM(D27:D28)</f>
        <v>76627</v>
      </c>
      <c r="E29" s="720"/>
      <c r="F29" s="720"/>
      <c r="G29" s="720"/>
      <c r="H29" s="720"/>
      <c r="I29" s="720"/>
    </row>
    <row r="30" spans="1:9" ht="15.75" thickTop="1">
      <c r="A30"/>
      <c r="B30"/>
      <c r="C30"/>
      <c r="D30"/>
      <c r="E30" s="720"/>
      <c r="F30" s="720"/>
      <c r="G30" s="720"/>
      <c r="H30" s="720"/>
      <c r="I30" s="720"/>
    </row>
    <row r="31" spans="1:9">
      <c r="A31" t="s">
        <v>1097</v>
      </c>
      <c r="B31" s="759">
        <v>41977</v>
      </c>
      <c r="C31"/>
      <c r="D31"/>
      <c r="E31" s="720"/>
      <c r="F31" s="720"/>
      <c r="G31" s="720"/>
      <c r="H31" s="720"/>
      <c r="I31" s="720"/>
    </row>
    <row r="32" spans="1:9">
      <c r="A32"/>
      <c r="B32"/>
      <c r="C32"/>
      <c r="D32"/>
      <c r="E32" s="720"/>
      <c r="F32" s="720"/>
      <c r="G32" s="720"/>
      <c r="H32" s="720"/>
      <c r="I32" s="720"/>
    </row>
    <row r="33" spans="1:9">
      <c r="A33" t="s">
        <v>1098</v>
      </c>
      <c r="B33" t="s">
        <v>733</v>
      </c>
      <c r="C33"/>
      <c r="D33"/>
      <c r="E33" s="720"/>
      <c r="F33" s="720"/>
      <c r="G33" s="720"/>
      <c r="H33" s="720"/>
      <c r="I33" s="720"/>
    </row>
    <row r="34" spans="1:9">
      <c r="A34"/>
      <c r="B34"/>
      <c r="C34"/>
      <c r="D34"/>
      <c r="E34" s="720"/>
      <c r="F34" s="720"/>
      <c r="G34" s="720"/>
      <c r="H34" s="720"/>
      <c r="I34" s="720"/>
    </row>
    <row r="35" spans="1:9">
      <c r="A35"/>
      <c r="B35"/>
      <c r="C35"/>
      <c r="D35"/>
      <c r="E35" s="720"/>
      <c r="F35" s="720"/>
      <c r="G35" s="720"/>
      <c r="H35" s="720"/>
      <c r="I35" s="720"/>
    </row>
    <row r="36" spans="1:9">
      <c r="A36"/>
      <c r="B36"/>
      <c r="C36"/>
      <c r="D36"/>
      <c r="E36" s="720"/>
      <c r="F36" s="720"/>
      <c r="G36" s="720"/>
      <c r="H36" s="720"/>
      <c r="I36" s="720"/>
    </row>
    <row r="37" spans="1:9">
      <c r="A37"/>
      <c r="B37"/>
      <c r="C37"/>
      <c r="D37"/>
      <c r="E37" s="720"/>
      <c r="F37" s="720"/>
      <c r="G37" s="720"/>
      <c r="H37" s="720"/>
      <c r="I37" s="720"/>
    </row>
    <row r="38" spans="1:9">
      <c r="A38"/>
      <c r="B38"/>
      <c r="C38" s="760" t="s">
        <v>1099</v>
      </c>
      <c r="D38"/>
      <c r="E38" s="720"/>
      <c r="F38" s="720"/>
      <c r="G38" s="720"/>
      <c r="H38" s="720"/>
      <c r="I38" s="720"/>
    </row>
    <row r="39" spans="1:9" ht="18">
      <c r="A39"/>
      <c r="B39"/>
      <c r="C39" s="716" t="s">
        <v>1100</v>
      </c>
      <c r="D39"/>
      <c r="E39" s="720"/>
      <c r="F39" s="720"/>
      <c r="G39" s="720"/>
      <c r="H39" s="720"/>
      <c r="I39" s="720"/>
    </row>
    <row r="40" spans="1:9">
      <c r="A40"/>
      <c r="B40"/>
      <c r="C40"/>
      <c r="D40"/>
      <c r="E40" s="720"/>
      <c r="F40" s="720"/>
      <c r="G40" s="720"/>
      <c r="H40" s="720"/>
      <c r="I40" s="720"/>
    </row>
    <row r="41" spans="1:9">
      <c r="A41" s="720"/>
      <c r="B41" s="720"/>
      <c r="C41" s="720"/>
      <c r="D41" s="720"/>
      <c r="E41" s="720"/>
      <c r="F41" s="720"/>
      <c r="G41" s="720"/>
      <c r="H41" s="720"/>
      <c r="I41" s="720"/>
    </row>
    <row r="42" spans="1:9">
      <c r="A42" s="720"/>
      <c r="B42" s="720"/>
      <c r="C42" s="720"/>
      <c r="D42" s="720"/>
      <c r="E42" s="720"/>
      <c r="F42" s="720"/>
      <c r="G42" s="720"/>
      <c r="H42" s="720"/>
      <c r="I42" s="720"/>
    </row>
    <row r="43" spans="1:9">
      <c r="A43" s="720"/>
      <c r="B43" s="720"/>
      <c r="C43" s="720"/>
      <c r="D43" s="720"/>
      <c r="E43" s="720"/>
      <c r="F43" s="720"/>
      <c r="G43" s="720"/>
      <c r="H43" s="720"/>
      <c r="I43" s="720"/>
    </row>
    <row r="44" spans="1:9">
      <c r="A44" s="720"/>
      <c r="B44" s="720"/>
      <c r="C44" s="720"/>
      <c r="D44" s="720"/>
      <c r="E44" s="720"/>
      <c r="F44" s="720"/>
      <c r="G44" s="720"/>
      <c r="H44" s="720"/>
      <c r="I44" s="720"/>
    </row>
    <row r="45" spans="1:9">
      <c r="A45" s="720"/>
      <c r="B45" s="720"/>
      <c r="C45" s="720"/>
      <c r="D45" s="720"/>
      <c r="E45" s="720"/>
      <c r="F45" s="720"/>
      <c r="G45" s="720"/>
      <c r="H45" s="720"/>
      <c r="I45" s="720"/>
    </row>
    <row r="46" spans="1:9">
      <c r="A46" s="720"/>
      <c r="B46" s="720"/>
      <c r="C46" s="720"/>
      <c r="D46" s="720"/>
      <c r="E46" s="720"/>
      <c r="F46" s="720"/>
      <c r="G46" s="720"/>
      <c r="H46" s="720"/>
      <c r="I46" s="720"/>
    </row>
    <row r="47" spans="1:9">
      <c r="A47" s="720"/>
      <c r="B47" s="720"/>
      <c r="C47" s="720"/>
      <c r="D47" s="720"/>
      <c r="E47" s="720"/>
      <c r="F47" s="720"/>
      <c r="G47" s="720"/>
      <c r="H47" s="720"/>
      <c r="I47" s="720"/>
    </row>
    <row r="48" spans="1:9">
      <c r="A48" s="720"/>
      <c r="B48" s="720"/>
      <c r="C48" s="720"/>
      <c r="D48" s="720"/>
      <c r="E48" s="720"/>
      <c r="F48" s="720"/>
      <c r="G48" s="720"/>
      <c r="H48" s="720"/>
      <c r="I48" s="720"/>
    </row>
    <row r="49" spans="1:9">
      <c r="A49" s="720"/>
      <c r="B49" s="720"/>
      <c r="C49" s="720"/>
      <c r="D49" s="720"/>
      <c r="E49" s="720"/>
      <c r="F49" s="720"/>
      <c r="G49" s="720"/>
      <c r="H49" s="720"/>
      <c r="I49" s="720"/>
    </row>
    <row r="50" spans="1:9">
      <c r="A50" s="720"/>
      <c r="B50" s="720"/>
      <c r="C50" s="720"/>
      <c r="D50" s="720"/>
      <c r="E50" s="720"/>
      <c r="F50" s="720"/>
      <c r="G50" s="720"/>
      <c r="H50" s="720"/>
      <c r="I50" s="720"/>
    </row>
    <row r="51" spans="1:9">
      <c r="A51" s="720"/>
      <c r="B51" s="720"/>
      <c r="C51" s="720"/>
      <c r="D51" s="720"/>
      <c r="E51" s="720"/>
      <c r="F51" s="720"/>
      <c r="G51" s="720"/>
      <c r="H51" s="720"/>
      <c r="I51" s="720"/>
    </row>
    <row r="52" spans="1:9">
      <c r="A52" s="720"/>
      <c r="B52" s="720"/>
      <c r="C52" s="720"/>
      <c r="D52" s="720"/>
      <c r="E52" s="720"/>
      <c r="F52" s="720"/>
      <c r="G52" s="720"/>
      <c r="H52" s="720"/>
      <c r="I52" s="720"/>
    </row>
    <row r="53" spans="1:9">
      <c r="A53" s="720"/>
      <c r="B53" s="720"/>
      <c r="C53" s="720"/>
      <c r="D53" s="720"/>
      <c r="E53" s="720"/>
      <c r="F53" s="720"/>
      <c r="G53" s="720"/>
      <c r="H53" s="720"/>
      <c r="I53" s="720"/>
    </row>
    <row r="54" spans="1:9">
      <c r="A54" s="720"/>
      <c r="B54" s="720"/>
      <c r="C54" s="720"/>
      <c r="D54" s="720"/>
      <c r="E54" s="720"/>
      <c r="F54" s="720"/>
      <c r="G54" s="720"/>
      <c r="H54" s="720"/>
      <c r="I54" s="720"/>
    </row>
    <row r="55" spans="1:9">
      <c r="A55" s="720"/>
      <c r="B55" s="720"/>
      <c r="C55" s="720"/>
      <c r="D55" s="720"/>
      <c r="E55" s="720"/>
      <c r="F55" s="720"/>
      <c r="G55" s="720"/>
      <c r="H55" s="720"/>
      <c r="I55" s="720"/>
    </row>
    <row r="56" spans="1:9">
      <c r="A56" s="720"/>
      <c r="B56" s="720"/>
      <c r="C56" s="720"/>
      <c r="D56" s="720"/>
      <c r="E56" s="720"/>
      <c r="F56" s="720"/>
      <c r="G56" s="720"/>
      <c r="H56" s="720"/>
      <c r="I56" s="720"/>
    </row>
    <row r="57" spans="1:9">
      <c r="A57" s="720"/>
      <c r="B57" s="720"/>
      <c r="C57" s="720"/>
      <c r="D57" s="720"/>
      <c r="E57" s="720"/>
      <c r="F57" s="720"/>
      <c r="G57" s="720"/>
      <c r="H57" s="720"/>
      <c r="I57" s="720"/>
    </row>
    <row r="58" spans="1:9">
      <c r="A58" s="720"/>
      <c r="B58" s="720"/>
      <c r="C58" s="720"/>
      <c r="D58" s="720"/>
      <c r="E58" s="720"/>
      <c r="F58" s="720"/>
      <c r="G58" s="720"/>
      <c r="H58" s="720"/>
      <c r="I58" s="720"/>
    </row>
    <row r="59" spans="1:9">
      <c r="A59" s="720"/>
      <c r="B59" s="720"/>
      <c r="C59" s="720"/>
      <c r="D59" s="720"/>
      <c r="E59" s="720"/>
      <c r="F59" s="720"/>
      <c r="G59" s="720"/>
      <c r="H59" s="720"/>
      <c r="I59" s="720"/>
    </row>
    <row r="60" spans="1:9">
      <c r="A60" s="720"/>
      <c r="B60" s="720"/>
      <c r="C60" s="720"/>
      <c r="D60" s="720"/>
      <c r="E60" s="720"/>
      <c r="F60" s="720"/>
      <c r="G60" s="720"/>
      <c r="H60" s="720"/>
      <c r="I60" s="720"/>
    </row>
    <row r="61" spans="1:9">
      <c r="A61" s="720"/>
      <c r="B61" s="720"/>
      <c r="C61" s="720"/>
      <c r="D61" s="720"/>
      <c r="E61" s="720"/>
      <c r="F61" s="720"/>
      <c r="G61" s="720"/>
      <c r="H61" s="720"/>
      <c r="I61" s="720"/>
    </row>
    <row r="62" spans="1:9">
      <c r="A62" s="720"/>
      <c r="B62" s="720"/>
      <c r="C62" s="720"/>
      <c r="D62" s="720"/>
      <c r="E62" s="720"/>
      <c r="F62" s="720"/>
      <c r="G62" s="720"/>
      <c r="H62" s="720"/>
      <c r="I62" s="720"/>
    </row>
    <row r="63" spans="1:9">
      <c r="A63" s="720"/>
      <c r="B63" s="720"/>
      <c r="C63" s="720"/>
      <c r="D63" s="720"/>
      <c r="E63" s="720"/>
      <c r="F63" s="720"/>
      <c r="G63" s="720"/>
      <c r="H63" s="720"/>
      <c r="I63" s="720"/>
    </row>
    <row r="64" spans="1:9">
      <c r="A64" s="720"/>
      <c r="B64" s="720"/>
      <c r="C64" s="720"/>
      <c r="D64" s="720"/>
      <c r="E64" s="720"/>
      <c r="F64" s="720"/>
      <c r="G64" s="720"/>
      <c r="H64" s="720"/>
      <c r="I64" s="720"/>
    </row>
    <row r="65" spans="1:9">
      <c r="A65" s="720"/>
      <c r="B65" s="720"/>
      <c r="C65" s="720"/>
      <c r="D65" s="720"/>
      <c r="E65" s="720"/>
      <c r="F65" s="720"/>
      <c r="G65" s="720"/>
      <c r="H65" s="720"/>
      <c r="I65" s="720"/>
    </row>
    <row r="66" spans="1:9">
      <c r="A66" s="720"/>
      <c r="B66" s="720"/>
      <c r="C66" s="720"/>
      <c r="D66" s="720"/>
      <c r="E66" s="720"/>
      <c r="F66" s="720"/>
      <c r="G66" s="720"/>
      <c r="H66" s="720"/>
      <c r="I66" s="720"/>
    </row>
    <row r="67" spans="1:9">
      <c r="A67" s="720"/>
      <c r="B67" s="720"/>
      <c r="C67" s="720"/>
      <c r="D67" s="720"/>
      <c r="E67" s="720"/>
      <c r="F67" s="720"/>
      <c r="G67" s="720"/>
      <c r="H67" s="720"/>
      <c r="I67" s="720"/>
    </row>
    <row r="68" spans="1:9">
      <c r="A68" s="720"/>
      <c r="B68" s="720"/>
      <c r="C68" s="720"/>
      <c r="D68" s="720"/>
      <c r="E68" s="720"/>
      <c r="F68" s="720"/>
      <c r="G68" s="720"/>
      <c r="H68" s="720"/>
      <c r="I68" s="720"/>
    </row>
    <row r="69" spans="1:9">
      <c r="A69" s="720"/>
      <c r="B69" s="720"/>
      <c r="C69" s="720"/>
      <c r="D69" s="720"/>
      <c r="E69" s="720"/>
      <c r="F69" s="720"/>
      <c r="G69" s="720"/>
      <c r="H69" s="720"/>
      <c r="I69" s="720"/>
    </row>
    <row r="70" spans="1:9">
      <c r="A70" s="720"/>
      <c r="B70" s="720"/>
      <c r="C70" s="720"/>
      <c r="D70" s="720"/>
      <c r="E70" s="720"/>
      <c r="F70" s="720"/>
      <c r="G70" s="720"/>
      <c r="H70" s="720"/>
      <c r="I70" s="720"/>
    </row>
    <row r="71" spans="1:9">
      <c r="A71" s="720"/>
      <c r="B71" s="720"/>
      <c r="C71" s="720"/>
      <c r="D71" s="720"/>
      <c r="E71" s="720"/>
      <c r="F71" s="720"/>
      <c r="G71" s="720"/>
      <c r="H71" s="720"/>
      <c r="I71" s="720"/>
    </row>
    <row r="72" spans="1:9">
      <c r="A72" s="720"/>
      <c r="B72" s="720"/>
      <c r="C72" s="720"/>
      <c r="D72" s="720"/>
      <c r="E72" s="720"/>
      <c r="F72" s="720"/>
      <c r="G72" s="720"/>
      <c r="H72" s="720"/>
      <c r="I72" s="720"/>
    </row>
    <row r="73" spans="1:9">
      <c r="A73" s="720"/>
      <c r="B73" s="720"/>
      <c r="C73" s="720"/>
      <c r="D73" s="720"/>
      <c r="E73" s="720"/>
      <c r="F73" s="720"/>
      <c r="G73" s="720"/>
      <c r="H73" s="720"/>
      <c r="I73" s="720"/>
    </row>
    <row r="74" spans="1:9">
      <c r="A74" s="720"/>
      <c r="B74" s="720"/>
      <c r="C74" s="720"/>
      <c r="D74" s="720"/>
      <c r="E74" s="720"/>
      <c r="F74" s="720"/>
      <c r="G74" s="720"/>
      <c r="H74" s="720"/>
      <c r="I74" s="720"/>
    </row>
    <row r="75" spans="1:9">
      <c r="A75" s="720"/>
      <c r="B75" s="720"/>
      <c r="C75" s="720"/>
      <c r="D75" s="720"/>
      <c r="E75" s="720"/>
      <c r="F75" s="720"/>
      <c r="G75" s="720"/>
      <c r="H75" s="720"/>
      <c r="I75" s="720"/>
    </row>
    <row r="76" spans="1:9">
      <c r="A76" s="720"/>
      <c r="B76" s="720"/>
      <c r="C76" s="720"/>
      <c r="D76" s="720"/>
      <c r="E76" s="720"/>
      <c r="F76" s="720"/>
      <c r="G76" s="720"/>
      <c r="H76" s="720"/>
      <c r="I76" s="720"/>
    </row>
    <row r="77" spans="1:9">
      <c r="A77" s="720"/>
      <c r="B77" s="720"/>
      <c r="C77" s="720"/>
      <c r="D77" s="720"/>
      <c r="E77" s="720"/>
      <c r="F77" s="720"/>
      <c r="G77" s="720"/>
      <c r="H77" s="720"/>
      <c r="I77" s="720"/>
    </row>
    <row r="78" spans="1:9">
      <c r="A78" s="720"/>
      <c r="B78" s="720"/>
      <c r="C78" s="720"/>
      <c r="D78" s="720"/>
      <c r="E78" s="720"/>
      <c r="F78" s="720"/>
      <c r="G78" s="720"/>
      <c r="H78" s="720"/>
      <c r="I78" s="720"/>
    </row>
    <row r="79" spans="1:9">
      <c r="A79" s="720"/>
      <c r="B79" s="720"/>
      <c r="C79" s="720"/>
      <c r="D79" s="720"/>
      <c r="E79" s="720"/>
      <c r="F79" s="720"/>
      <c r="G79" s="720"/>
      <c r="H79" s="720"/>
      <c r="I79" s="720"/>
    </row>
    <row r="80" spans="1:9">
      <c r="A80" s="720"/>
      <c r="B80" s="720"/>
      <c r="C80" s="720"/>
      <c r="D80" s="720"/>
      <c r="E80" s="720"/>
      <c r="F80" s="720"/>
      <c r="G80" s="720"/>
      <c r="H80" s="720"/>
      <c r="I80" s="720"/>
    </row>
    <row r="81" spans="1:9">
      <c r="A81" s="720"/>
      <c r="B81" s="720"/>
      <c r="C81" s="720"/>
      <c r="D81" s="720"/>
      <c r="E81" s="720"/>
      <c r="F81" s="720"/>
      <c r="G81" s="720"/>
      <c r="H81" s="720"/>
      <c r="I81" s="720"/>
    </row>
    <row r="82" spans="1:9">
      <c r="A82" s="720"/>
      <c r="B82" s="720"/>
      <c r="C82" s="720"/>
      <c r="D82" s="720"/>
      <c r="E82" s="720"/>
      <c r="F82" s="720"/>
      <c r="G82" s="720"/>
      <c r="H82" s="720"/>
      <c r="I82" s="720"/>
    </row>
    <row r="83" spans="1:9">
      <c r="A83" s="720"/>
      <c r="B83" s="720"/>
      <c r="C83" s="720"/>
      <c r="D83" s="720"/>
      <c r="E83" s="720"/>
      <c r="F83" s="720"/>
      <c r="G83" s="720"/>
      <c r="H83" s="720"/>
      <c r="I83" s="720"/>
    </row>
    <row r="84" spans="1:9">
      <c r="A84" s="720"/>
      <c r="B84" s="720"/>
      <c r="C84" s="720"/>
      <c r="D84" s="720"/>
      <c r="E84" s="720"/>
      <c r="F84" s="720"/>
      <c r="G84" s="720"/>
      <c r="H84" s="720"/>
      <c r="I84" s="720"/>
    </row>
    <row r="85" spans="1:9">
      <c r="A85" s="720"/>
      <c r="B85" s="720"/>
      <c r="C85" s="720"/>
      <c r="D85" s="720"/>
      <c r="E85" s="720"/>
      <c r="F85" s="720"/>
      <c r="G85" s="720"/>
      <c r="H85" s="720"/>
      <c r="I85" s="720"/>
    </row>
    <row r="86" spans="1:9">
      <c r="A86" s="720"/>
      <c r="B86" s="720"/>
      <c r="C86" s="720"/>
      <c r="D86" s="720"/>
      <c r="E86" s="720"/>
      <c r="F86" s="720"/>
      <c r="G86" s="720"/>
      <c r="H86" s="720"/>
      <c r="I86" s="720"/>
    </row>
    <row r="87" spans="1:9">
      <c r="A87" s="720"/>
      <c r="B87" s="720"/>
      <c r="C87" s="720"/>
      <c r="D87" s="720"/>
      <c r="E87" s="720"/>
      <c r="F87" s="720"/>
      <c r="G87" s="720"/>
      <c r="H87" s="720"/>
      <c r="I87" s="720"/>
    </row>
    <row r="88" spans="1:9">
      <c r="A88" s="720"/>
      <c r="B88" s="720"/>
      <c r="C88" s="720"/>
      <c r="D88" s="720"/>
      <c r="E88" s="720"/>
      <c r="F88" s="720"/>
      <c r="G88" s="720"/>
      <c r="H88" s="720"/>
      <c r="I88" s="720"/>
    </row>
    <row r="89" spans="1:9">
      <c r="A89" s="720"/>
      <c r="B89" s="720"/>
      <c r="C89" s="720"/>
      <c r="D89" s="720"/>
      <c r="E89" s="720"/>
      <c r="F89" s="720"/>
      <c r="G89" s="720"/>
      <c r="H89" s="720"/>
      <c r="I89" s="720"/>
    </row>
    <row r="90" spans="1:9">
      <c r="A90" s="720"/>
      <c r="B90" s="720"/>
      <c r="C90" s="720"/>
      <c r="D90" s="720"/>
      <c r="E90" s="720"/>
      <c r="F90" s="720"/>
      <c r="G90" s="720"/>
      <c r="H90" s="720"/>
      <c r="I90" s="720"/>
    </row>
    <row r="91" spans="1:9">
      <c r="A91" s="720"/>
      <c r="B91" s="720"/>
      <c r="C91" s="720"/>
      <c r="D91" s="720"/>
      <c r="E91" s="720"/>
      <c r="F91" s="720"/>
      <c r="G91" s="720"/>
      <c r="H91" s="720"/>
      <c r="I91" s="720"/>
    </row>
    <row r="92" spans="1:9">
      <c r="A92" s="720"/>
      <c r="B92" s="720"/>
      <c r="C92" s="720"/>
      <c r="D92" s="720"/>
      <c r="E92" s="720"/>
      <c r="F92" s="720"/>
      <c r="G92" s="720"/>
      <c r="H92" s="720"/>
      <c r="I92" s="720"/>
    </row>
    <row r="93" spans="1:9">
      <c r="A93" s="720"/>
      <c r="B93" s="720"/>
      <c r="C93" s="720"/>
      <c r="D93" s="720"/>
      <c r="E93" s="720"/>
      <c r="F93" s="720"/>
      <c r="G93" s="720"/>
      <c r="H93" s="720"/>
      <c r="I93" s="720"/>
    </row>
    <row r="94" spans="1:9">
      <c r="A94" s="720"/>
      <c r="B94" s="720"/>
      <c r="C94" s="720"/>
      <c r="D94" s="720"/>
      <c r="E94" s="720"/>
      <c r="F94" s="720"/>
      <c r="G94" s="720"/>
      <c r="H94" s="720"/>
      <c r="I94" s="720"/>
    </row>
    <row r="95" spans="1:9">
      <c r="A95" s="720"/>
      <c r="B95" s="720"/>
      <c r="C95" s="720"/>
      <c r="D95" s="720"/>
      <c r="E95" s="720"/>
      <c r="F95" s="720"/>
      <c r="G95" s="720"/>
      <c r="H95" s="720"/>
      <c r="I95" s="720"/>
    </row>
    <row r="96" spans="1:9">
      <c r="A96" s="720"/>
      <c r="B96" s="720"/>
      <c r="C96" s="720"/>
      <c r="D96" s="720"/>
      <c r="E96" s="720"/>
      <c r="F96" s="720"/>
      <c r="G96" s="720"/>
      <c r="H96" s="720"/>
      <c r="I96" s="720"/>
    </row>
    <row r="97" spans="1:9">
      <c r="A97" s="720"/>
      <c r="B97" s="720"/>
      <c r="C97" s="720"/>
      <c r="D97" s="720"/>
      <c r="E97" s="720"/>
      <c r="F97" s="720"/>
      <c r="G97" s="720"/>
      <c r="H97" s="720"/>
      <c r="I97" s="720"/>
    </row>
    <row r="98" spans="1:9">
      <c r="A98" s="720"/>
      <c r="B98" s="720"/>
      <c r="C98" s="720"/>
      <c r="D98" s="720"/>
      <c r="E98" s="720"/>
      <c r="F98" s="720"/>
      <c r="G98" s="720"/>
      <c r="H98" s="720"/>
      <c r="I98" s="720"/>
    </row>
    <row r="99" spans="1:9">
      <c r="A99" s="720"/>
      <c r="B99" s="720"/>
      <c r="C99" s="720"/>
      <c r="D99" s="720"/>
      <c r="E99" s="720"/>
      <c r="F99" s="720"/>
      <c r="G99" s="720"/>
      <c r="H99" s="720"/>
      <c r="I99" s="720"/>
    </row>
    <row r="100" spans="1:9">
      <c r="A100" s="720"/>
      <c r="B100" s="720"/>
      <c r="C100" s="720"/>
      <c r="D100" s="720"/>
      <c r="E100" s="720"/>
      <c r="F100" s="720"/>
      <c r="G100" s="720"/>
      <c r="H100" s="720"/>
      <c r="I100" s="720"/>
    </row>
    <row r="101" spans="1:9">
      <c r="A101" s="720"/>
      <c r="B101" s="720"/>
      <c r="C101" s="720"/>
      <c r="D101" s="720"/>
      <c r="E101" s="720"/>
      <c r="F101" s="720"/>
      <c r="G101" s="720"/>
      <c r="H101" s="720"/>
      <c r="I101" s="720"/>
    </row>
    <row r="102" spans="1:9">
      <c r="A102" s="720"/>
      <c r="B102" s="720"/>
      <c r="C102" s="720"/>
      <c r="D102" s="720"/>
      <c r="E102" s="720"/>
      <c r="F102" s="720"/>
      <c r="G102" s="720"/>
      <c r="H102" s="720"/>
      <c r="I102" s="720"/>
    </row>
    <row r="103" spans="1:9">
      <c r="A103" s="720"/>
      <c r="B103" s="720"/>
      <c r="C103" s="720"/>
      <c r="D103" s="720"/>
      <c r="E103" s="720"/>
      <c r="F103" s="720"/>
      <c r="G103" s="720"/>
      <c r="H103" s="720"/>
      <c r="I103" s="720"/>
    </row>
    <row r="104" spans="1:9">
      <c r="A104" s="720"/>
      <c r="B104" s="720"/>
      <c r="C104" s="720"/>
      <c r="D104" s="720"/>
      <c r="E104" s="720"/>
      <c r="F104" s="720"/>
      <c r="G104" s="720"/>
      <c r="H104" s="720"/>
      <c r="I104" s="720"/>
    </row>
    <row r="105" spans="1:9">
      <c r="A105" s="720"/>
      <c r="B105" s="720"/>
      <c r="C105" s="720"/>
      <c r="D105" s="720"/>
      <c r="E105" s="720"/>
      <c r="F105" s="720"/>
      <c r="G105" s="720"/>
      <c r="H105" s="720"/>
      <c r="I105" s="720"/>
    </row>
    <row r="106" spans="1:9">
      <c r="A106" s="720"/>
      <c r="B106" s="720"/>
      <c r="C106" s="720"/>
      <c r="D106" s="720"/>
      <c r="E106" s="720"/>
      <c r="F106" s="720"/>
      <c r="G106" s="720"/>
      <c r="H106" s="720"/>
      <c r="I106" s="720"/>
    </row>
    <row r="107" spans="1:9">
      <c r="A107" s="720"/>
      <c r="B107" s="720"/>
      <c r="C107" s="720"/>
      <c r="D107" s="720"/>
      <c r="E107" s="720"/>
      <c r="F107" s="720"/>
      <c r="G107" s="720"/>
      <c r="H107" s="720"/>
      <c r="I107" s="720"/>
    </row>
    <row r="108" spans="1:9">
      <c r="A108" s="720"/>
      <c r="B108" s="720"/>
      <c r="C108" s="720"/>
      <c r="D108" s="720"/>
      <c r="E108" s="720"/>
      <c r="F108" s="720"/>
      <c r="G108" s="720"/>
      <c r="H108" s="720"/>
      <c r="I108" s="720"/>
    </row>
    <row r="109" spans="1:9">
      <c r="A109" s="720"/>
      <c r="B109" s="720"/>
      <c r="C109" s="720"/>
      <c r="D109" s="720"/>
      <c r="E109" s="720"/>
      <c r="F109" s="720"/>
      <c r="G109" s="720"/>
      <c r="H109" s="720"/>
      <c r="I109" s="720"/>
    </row>
    <row r="110" spans="1:9">
      <c r="A110" s="720"/>
      <c r="B110" s="720"/>
      <c r="C110" s="720"/>
      <c r="D110" s="720"/>
      <c r="E110" s="720"/>
      <c r="F110" s="720"/>
      <c r="G110" s="720"/>
      <c r="H110" s="720"/>
      <c r="I110" s="720"/>
    </row>
    <row r="111" spans="1:9">
      <c r="A111" s="720"/>
      <c r="B111" s="720"/>
      <c r="C111" s="720"/>
      <c r="D111" s="720"/>
      <c r="E111" s="720"/>
      <c r="F111" s="720"/>
      <c r="G111" s="720"/>
      <c r="H111" s="720"/>
      <c r="I111" s="720"/>
    </row>
    <row r="112" spans="1:9">
      <c r="A112" s="720"/>
      <c r="B112" s="720"/>
      <c r="C112" s="720"/>
      <c r="D112" s="720"/>
      <c r="E112" s="720"/>
      <c r="F112" s="720"/>
      <c r="G112" s="720"/>
      <c r="H112" s="720"/>
      <c r="I112" s="720"/>
    </row>
    <row r="113" spans="1:9">
      <c r="A113" s="720"/>
      <c r="B113" s="720"/>
      <c r="C113" s="720"/>
      <c r="D113" s="720"/>
      <c r="E113" s="720"/>
      <c r="F113" s="720"/>
      <c r="G113" s="720"/>
      <c r="H113" s="720"/>
      <c r="I113" s="720"/>
    </row>
    <row r="114" spans="1:9">
      <c r="A114" s="720"/>
      <c r="B114" s="720"/>
      <c r="C114" s="720"/>
      <c r="D114" s="720"/>
      <c r="E114" s="720"/>
      <c r="F114" s="720"/>
      <c r="G114" s="720"/>
      <c r="H114" s="720"/>
      <c r="I114" s="720"/>
    </row>
    <row r="115" spans="1:9">
      <c r="A115" s="720"/>
      <c r="B115" s="720"/>
      <c r="C115" s="720"/>
      <c r="D115" s="720"/>
      <c r="E115" s="720"/>
      <c r="F115" s="720"/>
      <c r="G115" s="720"/>
      <c r="H115" s="720"/>
      <c r="I115" s="720"/>
    </row>
    <row r="116" spans="1:9">
      <c r="A116" s="720"/>
      <c r="B116" s="720"/>
      <c r="C116" s="720"/>
      <c r="D116" s="720"/>
      <c r="E116" s="720"/>
      <c r="F116" s="720"/>
      <c r="G116" s="720"/>
      <c r="H116" s="720"/>
      <c r="I116" s="720"/>
    </row>
    <row r="117" spans="1:9">
      <c r="A117" s="720"/>
      <c r="B117" s="720"/>
      <c r="C117" s="720"/>
      <c r="D117" s="720"/>
      <c r="E117" s="720"/>
      <c r="F117" s="720"/>
      <c r="G117" s="720"/>
      <c r="H117" s="720"/>
      <c r="I117" s="720"/>
    </row>
    <row r="118" spans="1:9">
      <c r="A118" s="720"/>
      <c r="B118" s="720"/>
      <c r="C118" s="720"/>
      <c r="D118" s="720"/>
      <c r="E118" s="720"/>
      <c r="F118" s="720"/>
      <c r="G118" s="720"/>
      <c r="H118" s="720"/>
      <c r="I118" s="720"/>
    </row>
    <row r="119" spans="1:9">
      <c r="A119" s="720"/>
      <c r="B119" s="720"/>
      <c r="C119" s="720"/>
      <c r="D119" s="720"/>
      <c r="E119" s="720"/>
      <c r="F119" s="720"/>
      <c r="G119" s="720"/>
      <c r="H119" s="720"/>
      <c r="I119" s="720"/>
    </row>
    <row r="120" spans="1:9">
      <c r="A120" s="720"/>
      <c r="B120" s="720"/>
      <c r="C120" s="720"/>
      <c r="D120" s="720"/>
      <c r="E120" s="720"/>
      <c r="F120" s="720"/>
      <c r="G120" s="720"/>
      <c r="H120" s="720"/>
      <c r="I120" s="720"/>
    </row>
    <row r="121" spans="1:9">
      <c r="A121" s="720"/>
      <c r="B121" s="720"/>
      <c r="C121" s="720"/>
      <c r="D121" s="720"/>
      <c r="E121" s="720"/>
      <c r="F121" s="720"/>
      <c r="G121" s="720"/>
      <c r="H121" s="720"/>
      <c r="I121" s="720"/>
    </row>
    <row r="122" spans="1:9">
      <c r="A122" s="720"/>
      <c r="B122" s="720"/>
      <c r="C122" s="720"/>
      <c r="D122" s="720"/>
      <c r="E122" s="720"/>
      <c r="F122" s="720"/>
      <c r="G122" s="720"/>
      <c r="H122" s="720"/>
      <c r="I122" s="720"/>
    </row>
    <row r="123" spans="1:9">
      <c r="A123" s="720"/>
      <c r="B123" s="720"/>
      <c r="C123" s="720"/>
      <c r="D123" s="720"/>
      <c r="E123" s="720"/>
      <c r="F123" s="720"/>
      <c r="G123" s="720"/>
      <c r="H123" s="720"/>
      <c r="I123" s="720"/>
    </row>
    <row r="124" spans="1:9">
      <c r="A124" s="720"/>
      <c r="B124" s="720"/>
      <c r="C124" s="720"/>
      <c r="D124" s="720"/>
      <c r="E124" s="720"/>
      <c r="F124" s="720"/>
      <c r="G124" s="720"/>
      <c r="H124" s="720"/>
      <c r="I124" s="720"/>
    </row>
    <row r="125" spans="1:9">
      <c r="A125" s="720"/>
      <c r="B125" s="720"/>
      <c r="C125" s="720"/>
      <c r="D125" s="720"/>
      <c r="E125" s="720"/>
      <c r="F125" s="720"/>
      <c r="G125" s="720"/>
      <c r="H125" s="720"/>
      <c r="I125" s="720"/>
    </row>
    <row r="126" spans="1:9">
      <c r="A126" s="720"/>
      <c r="B126" s="720"/>
      <c r="C126" s="720"/>
      <c r="D126" s="720"/>
      <c r="E126" s="720"/>
      <c r="F126" s="720"/>
      <c r="G126" s="720"/>
      <c r="H126" s="720"/>
      <c r="I126" s="720"/>
    </row>
    <row r="127" spans="1:9">
      <c r="A127" s="720"/>
      <c r="B127" s="720"/>
      <c r="C127" s="720"/>
      <c r="D127" s="720"/>
      <c r="E127" s="720"/>
      <c r="F127" s="720"/>
      <c r="G127" s="720"/>
      <c r="H127" s="720"/>
      <c r="I127" s="720"/>
    </row>
    <row r="128" spans="1:9">
      <c r="A128" s="720"/>
      <c r="B128" s="720"/>
      <c r="C128" s="720"/>
      <c r="D128" s="720"/>
      <c r="E128" s="720"/>
      <c r="F128" s="720"/>
      <c r="G128" s="720"/>
      <c r="H128" s="720"/>
      <c r="I128" s="720"/>
    </row>
    <row r="129" spans="1:9">
      <c r="A129" s="720"/>
      <c r="B129" s="720"/>
      <c r="C129" s="720"/>
      <c r="D129" s="720"/>
      <c r="E129" s="720"/>
      <c r="F129" s="720"/>
      <c r="G129" s="720"/>
      <c r="H129" s="720"/>
      <c r="I129" s="720"/>
    </row>
    <row r="130" spans="1:9">
      <c r="A130" s="720"/>
      <c r="B130" s="720"/>
      <c r="C130" s="720"/>
      <c r="D130" s="720"/>
      <c r="E130" s="720"/>
      <c r="F130" s="720"/>
      <c r="G130" s="720"/>
      <c r="H130" s="720"/>
      <c r="I130" s="720"/>
    </row>
    <row r="131" spans="1:9">
      <c r="A131" s="720"/>
      <c r="B131" s="720"/>
      <c r="C131" s="720"/>
      <c r="D131" s="720"/>
      <c r="E131" s="720"/>
      <c r="F131" s="720"/>
      <c r="G131" s="720"/>
      <c r="H131" s="720"/>
      <c r="I131" s="720"/>
    </row>
    <row r="132" spans="1:9">
      <c r="A132" s="720"/>
      <c r="B132" s="720"/>
      <c r="C132" s="720"/>
      <c r="D132" s="720"/>
      <c r="E132" s="720"/>
      <c r="F132" s="720"/>
      <c r="G132" s="720"/>
      <c r="H132" s="720"/>
      <c r="I132" s="720"/>
    </row>
    <row r="133" spans="1:9">
      <c r="A133" s="720"/>
      <c r="B133" s="720"/>
      <c r="C133" s="720"/>
      <c r="D133" s="720"/>
      <c r="E133" s="720"/>
      <c r="F133" s="720"/>
      <c r="G133" s="720"/>
      <c r="H133" s="720"/>
      <c r="I133" s="720"/>
    </row>
    <row r="134" spans="1:9">
      <c r="A134" s="720"/>
      <c r="B134" s="720"/>
      <c r="C134" s="720"/>
      <c r="D134" s="720"/>
      <c r="E134" s="720"/>
      <c r="F134" s="720"/>
      <c r="G134" s="720"/>
      <c r="H134" s="720"/>
      <c r="I134" s="720"/>
    </row>
    <row r="135" spans="1:9">
      <c r="A135" s="720"/>
      <c r="B135" s="720"/>
      <c r="C135" s="720"/>
      <c r="D135" s="720"/>
      <c r="E135" s="720"/>
      <c r="F135" s="720"/>
      <c r="G135" s="720"/>
      <c r="H135" s="720"/>
      <c r="I135" s="720"/>
    </row>
    <row r="136" spans="1:9">
      <c r="A136" s="720"/>
      <c r="B136" s="720"/>
      <c r="C136" s="720"/>
      <c r="D136" s="720"/>
      <c r="E136" s="720"/>
      <c r="F136" s="720"/>
      <c r="G136" s="720"/>
      <c r="H136" s="720"/>
      <c r="I136" s="720"/>
    </row>
    <row r="137" spans="1:9">
      <c r="A137" s="720"/>
      <c r="B137" s="720"/>
      <c r="C137" s="720"/>
      <c r="D137" s="720"/>
      <c r="E137" s="720"/>
      <c r="F137" s="720"/>
      <c r="G137" s="720"/>
      <c r="H137" s="720"/>
      <c r="I137" s="720"/>
    </row>
    <row r="138" spans="1:9">
      <c r="A138" s="720"/>
      <c r="B138" s="720"/>
      <c r="C138" s="720"/>
      <c r="D138" s="720"/>
      <c r="E138" s="720"/>
      <c r="F138" s="720"/>
      <c r="G138" s="720"/>
      <c r="H138" s="720"/>
      <c r="I138" s="720"/>
    </row>
    <row r="139" spans="1:9">
      <c r="A139" s="720"/>
      <c r="B139" s="720"/>
      <c r="C139" s="720"/>
      <c r="D139" s="720"/>
      <c r="E139" s="720"/>
      <c r="F139" s="720"/>
      <c r="G139" s="720"/>
      <c r="H139" s="720"/>
      <c r="I139" s="720"/>
    </row>
    <row r="140" spans="1:9">
      <c r="A140" s="720"/>
      <c r="B140" s="720"/>
      <c r="C140" s="720"/>
      <c r="D140" s="720"/>
      <c r="E140" s="720"/>
      <c r="F140" s="720"/>
      <c r="G140" s="720"/>
      <c r="H140" s="720"/>
      <c r="I140" s="720"/>
    </row>
    <row r="141" spans="1:9">
      <c r="A141" s="720"/>
      <c r="B141" s="720"/>
      <c r="C141" s="720"/>
      <c r="D141" s="720"/>
      <c r="E141" s="720"/>
      <c r="F141" s="720"/>
      <c r="G141" s="720"/>
      <c r="H141" s="720"/>
      <c r="I141" s="720"/>
    </row>
    <row r="142" spans="1:9">
      <c r="A142" s="720"/>
      <c r="B142" s="720"/>
      <c r="C142" s="720"/>
      <c r="D142" s="720"/>
      <c r="E142" s="720"/>
      <c r="F142" s="720"/>
      <c r="G142" s="720"/>
      <c r="H142" s="720"/>
      <c r="I142" s="720"/>
    </row>
    <row r="143" spans="1:9">
      <c r="A143" s="720"/>
      <c r="B143" s="720"/>
      <c r="C143" s="720"/>
      <c r="D143" s="720"/>
      <c r="E143" s="720"/>
      <c r="F143" s="720"/>
      <c r="G143" s="720"/>
      <c r="H143" s="720"/>
      <c r="I143" s="720"/>
    </row>
    <row r="144" spans="1:9">
      <c r="A144" s="720"/>
      <c r="B144" s="720"/>
      <c r="C144" s="720"/>
      <c r="D144" s="720"/>
      <c r="E144" s="720"/>
      <c r="F144" s="720"/>
      <c r="G144" s="720"/>
      <c r="H144" s="720"/>
      <c r="I144" s="720"/>
    </row>
    <row r="145" spans="1:9">
      <c r="A145" s="720"/>
      <c r="B145" s="720"/>
      <c r="C145" s="720"/>
      <c r="D145" s="720"/>
      <c r="E145" s="720"/>
      <c r="F145" s="720"/>
      <c r="G145" s="720"/>
      <c r="H145" s="720"/>
      <c r="I145" s="720"/>
    </row>
    <row r="146" spans="1:9">
      <c r="A146" s="720"/>
      <c r="B146" s="720"/>
      <c r="C146" s="720"/>
      <c r="D146" s="720"/>
      <c r="E146" s="720"/>
      <c r="F146" s="720"/>
      <c r="G146" s="720"/>
      <c r="H146" s="720"/>
      <c r="I146" s="720"/>
    </row>
    <row r="147" spans="1:9">
      <c r="A147" s="720"/>
      <c r="B147" s="720"/>
      <c r="C147" s="720"/>
      <c r="D147" s="720"/>
      <c r="E147" s="720"/>
      <c r="F147" s="720"/>
      <c r="G147" s="720"/>
      <c r="H147" s="720"/>
      <c r="I147" s="720"/>
    </row>
    <row r="148" spans="1:9">
      <c r="A148" s="720"/>
      <c r="B148" s="720"/>
      <c r="C148" s="720"/>
      <c r="D148" s="720"/>
      <c r="E148" s="720"/>
      <c r="F148" s="720"/>
      <c r="G148" s="720"/>
      <c r="H148" s="720"/>
      <c r="I148" s="720"/>
    </row>
    <row r="149" spans="1:9">
      <c r="A149" s="720"/>
      <c r="B149" s="720"/>
      <c r="C149" s="720"/>
      <c r="D149" s="720"/>
      <c r="E149" s="720"/>
      <c r="F149" s="720"/>
      <c r="G149" s="720"/>
      <c r="H149" s="720"/>
      <c r="I149" s="720"/>
    </row>
    <row r="150" spans="1:9">
      <c r="A150" s="720"/>
      <c r="B150" s="720"/>
      <c r="C150" s="720"/>
      <c r="D150" s="720"/>
      <c r="E150" s="720"/>
      <c r="F150" s="720"/>
      <c r="G150" s="720"/>
      <c r="H150" s="720"/>
      <c r="I150" s="720"/>
    </row>
    <row r="151" spans="1:9">
      <c r="A151" s="720"/>
      <c r="B151" s="720"/>
      <c r="C151" s="720"/>
      <c r="D151" s="720"/>
      <c r="E151" s="720"/>
      <c r="F151" s="720"/>
      <c r="G151" s="720"/>
      <c r="H151" s="720"/>
      <c r="I151" s="720"/>
    </row>
    <row r="152" spans="1:9">
      <c r="A152" s="720"/>
      <c r="B152" s="720"/>
      <c r="C152" s="720"/>
      <c r="D152" s="720"/>
      <c r="E152" s="720"/>
      <c r="F152" s="720"/>
      <c r="G152" s="720"/>
      <c r="H152" s="720"/>
      <c r="I152" s="720"/>
    </row>
    <row r="153" spans="1:9">
      <c r="A153" s="720"/>
      <c r="B153" s="720"/>
      <c r="C153" s="720"/>
      <c r="D153" s="720"/>
      <c r="E153" s="720"/>
      <c r="F153" s="720"/>
      <c r="G153" s="720"/>
      <c r="H153" s="720"/>
      <c r="I153" s="720"/>
    </row>
    <row r="154" spans="1:9">
      <c r="A154" s="720"/>
      <c r="B154" s="720"/>
      <c r="C154" s="720"/>
      <c r="D154" s="720"/>
      <c r="E154" s="720"/>
      <c r="F154" s="720"/>
      <c r="G154" s="720"/>
      <c r="H154" s="720"/>
      <c r="I154" s="720"/>
    </row>
    <row r="155" spans="1:9">
      <c r="A155" s="720"/>
      <c r="B155" s="720"/>
      <c r="C155" s="720"/>
      <c r="D155" s="720"/>
      <c r="E155" s="720"/>
      <c r="F155" s="720"/>
      <c r="G155" s="720"/>
      <c r="H155" s="720"/>
      <c r="I155" s="720"/>
    </row>
    <row r="156" spans="1:9">
      <c r="A156" s="720"/>
      <c r="B156" s="720"/>
      <c r="C156" s="720"/>
      <c r="D156" s="720"/>
      <c r="E156" s="720"/>
      <c r="F156" s="720"/>
      <c r="G156" s="720"/>
      <c r="H156" s="720"/>
      <c r="I156" s="720"/>
    </row>
    <row r="157" spans="1:9">
      <c r="A157" s="720"/>
      <c r="B157" s="720"/>
      <c r="C157" s="720"/>
      <c r="D157" s="720"/>
      <c r="E157" s="720"/>
      <c r="F157" s="720"/>
      <c r="G157" s="720"/>
      <c r="H157" s="720"/>
      <c r="I157" s="720"/>
    </row>
    <row r="158" spans="1:9">
      <c r="A158" s="720"/>
      <c r="B158" s="720"/>
      <c r="C158" s="720"/>
      <c r="D158" s="720"/>
      <c r="E158" s="720"/>
      <c r="F158" s="720"/>
      <c r="G158" s="720"/>
      <c r="H158" s="720"/>
      <c r="I158" s="720"/>
    </row>
    <row r="159" spans="1:9">
      <c r="A159" s="720"/>
      <c r="B159" s="720"/>
      <c r="C159" s="720"/>
      <c r="D159" s="720"/>
      <c r="E159" s="720"/>
      <c r="F159" s="720"/>
      <c r="G159" s="720"/>
      <c r="H159" s="720"/>
      <c r="I159" s="720"/>
    </row>
    <row r="160" spans="1:9">
      <c r="A160" s="720"/>
      <c r="B160" s="720"/>
      <c r="C160" s="720"/>
      <c r="D160" s="720"/>
      <c r="E160" s="720"/>
      <c r="F160" s="720"/>
      <c r="G160" s="720"/>
      <c r="H160" s="720"/>
      <c r="I160" s="720"/>
    </row>
    <row r="161" spans="1:9">
      <c r="A161" s="720"/>
      <c r="B161" s="720"/>
      <c r="C161" s="720"/>
      <c r="D161" s="720"/>
      <c r="E161" s="720"/>
      <c r="F161" s="720"/>
      <c r="G161" s="720"/>
      <c r="H161" s="720"/>
      <c r="I161" s="720"/>
    </row>
    <row r="162" spans="1:9">
      <c r="A162" s="720"/>
      <c r="B162" s="720"/>
      <c r="C162" s="720"/>
      <c r="D162" s="720"/>
      <c r="E162" s="720"/>
      <c r="F162" s="720"/>
      <c r="G162" s="720"/>
      <c r="H162" s="720"/>
      <c r="I162" s="720"/>
    </row>
    <row r="163" spans="1:9">
      <c r="A163" s="720"/>
      <c r="B163" s="720"/>
      <c r="C163" s="720"/>
      <c r="D163" s="720"/>
      <c r="E163" s="720"/>
      <c r="F163" s="720"/>
      <c r="G163" s="720"/>
      <c r="H163" s="720"/>
      <c r="I163" s="720"/>
    </row>
    <row r="164" spans="1:9">
      <c r="A164" s="720"/>
      <c r="B164" s="720"/>
      <c r="C164" s="720"/>
      <c r="D164" s="720"/>
      <c r="E164" s="720"/>
      <c r="F164" s="720"/>
      <c r="G164" s="720"/>
      <c r="H164" s="720"/>
      <c r="I164" s="720"/>
    </row>
    <row r="165" spans="1:9">
      <c r="A165" s="720"/>
      <c r="B165" s="720"/>
      <c r="C165" s="720"/>
      <c r="D165" s="720"/>
      <c r="E165" s="720"/>
      <c r="F165" s="720"/>
      <c r="G165" s="720"/>
      <c r="H165" s="720"/>
      <c r="I165" s="720"/>
    </row>
    <row r="166" spans="1:9">
      <c r="A166" s="720"/>
      <c r="B166" s="720"/>
      <c r="C166" s="720"/>
      <c r="D166" s="720"/>
      <c r="E166" s="720"/>
      <c r="F166" s="720"/>
      <c r="G166" s="720"/>
      <c r="H166" s="720"/>
      <c r="I166" s="720"/>
    </row>
    <row r="167" spans="1:9">
      <c r="A167" s="720"/>
      <c r="B167" s="720"/>
      <c r="C167" s="720"/>
      <c r="D167" s="720"/>
      <c r="E167" s="720"/>
      <c r="F167" s="720"/>
      <c r="G167" s="720"/>
      <c r="H167" s="720"/>
      <c r="I167" s="720"/>
    </row>
    <row r="168" spans="1:9">
      <c r="A168" s="720"/>
      <c r="B168" s="720"/>
      <c r="C168" s="720"/>
      <c r="D168" s="720"/>
      <c r="E168" s="720"/>
      <c r="F168" s="720"/>
      <c r="G168" s="720"/>
      <c r="H168" s="720"/>
      <c r="I168" s="720"/>
    </row>
    <row r="169" spans="1:9">
      <c r="A169" s="720"/>
      <c r="B169" s="720"/>
      <c r="C169" s="720"/>
      <c r="D169" s="720"/>
      <c r="E169" s="720"/>
      <c r="F169" s="720"/>
      <c r="G169" s="720"/>
      <c r="H169" s="720"/>
      <c r="I169" s="720"/>
    </row>
    <row r="170" spans="1:9">
      <c r="A170" s="720"/>
      <c r="B170" s="720"/>
      <c r="C170" s="720"/>
      <c r="D170" s="720"/>
      <c r="E170" s="720"/>
      <c r="F170" s="720"/>
      <c r="G170" s="720"/>
      <c r="H170" s="720"/>
      <c r="I170" s="720"/>
    </row>
    <row r="171" spans="1:9">
      <c r="A171" s="720"/>
      <c r="B171" s="720"/>
      <c r="C171" s="720"/>
      <c r="D171" s="720"/>
      <c r="E171" s="720"/>
      <c r="F171" s="720"/>
      <c r="G171" s="720"/>
      <c r="H171" s="720"/>
      <c r="I171" s="720"/>
    </row>
    <row r="172" spans="1:9">
      <c r="A172" s="720"/>
      <c r="B172" s="720"/>
      <c r="C172" s="720"/>
      <c r="D172" s="720"/>
      <c r="E172" s="720"/>
      <c r="F172" s="720"/>
      <c r="G172" s="720"/>
      <c r="H172" s="720"/>
      <c r="I172" s="720"/>
    </row>
    <row r="173" spans="1:9">
      <c r="A173" s="720"/>
      <c r="B173" s="720"/>
      <c r="C173" s="720"/>
      <c r="D173" s="720"/>
      <c r="E173" s="720"/>
      <c r="F173" s="720"/>
      <c r="G173" s="720"/>
      <c r="H173" s="720"/>
      <c r="I173" s="720"/>
    </row>
    <row r="174" spans="1:9">
      <c r="A174" s="720"/>
      <c r="B174" s="720"/>
      <c r="C174" s="720"/>
      <c r="D174" s="720"/>
      <c r="E174" s="720"/>
      <c r="F174" s="720"/>
      <c r="G174" s="720"/>
      <c r="H174" s="720"/>
      <c r="I174" s="720"/>
    </row>
    <row r="175" spans="1:9">
      <c r="A175" s="720"/>
      <c r="B175" s="720"/>
      <c r="C175" s="720"/>
      <c r="D175" s="720"/>
      <c r="E175" s="720"/>
      <c r="F175" s="720"/>
      <c r="G175" s="720"/>
      <c r="H175" s="720"/>
      <c r="I175" s="720"/>
    </row>
    <row r="176" spans="1:9">
      <c r="A176" s="720"/>
      <c r="B176" s="720"/>
      <c r="C176" s="720"/>
      <c r="D176" s="720"/>
      <c r="E176" s="720"/>
      <c r="F176" s="720"/>
      <c r="G176" s="720"/>
      <c r="H176" s="720"/>
      <c r="I176" s="720"/>
    </row>
    <row r="177" spans="1:9">
      <c r="A177" s="720"/>
      <c r="B177" s="720"/>
      <c r="C177" s="720"/>
      <c r="D177" s="720"/>
      <c r="E177" s="720"/>
      <c r="F177" s="720"/>
      <c r="G177" s="720"/>
      <c r="H177" s="720"/>
      <c r="I177" s="720"/>
    </row>
    <row r="178" spans="1:9">
      <c r="A178" s="720"/>
      <c r="B178" s="720"/>
      <c r="C178" s="720"/>
      <c r="D178" s="720"/>
      <c r="E178" s="720"/>
      <c r="F178" s="720"/>
      <c r="G178" s="720"/>
      <c r="H178" s="720"/>
      <c r="I178" s="720"/>
    </row>
    <row r="179" spans="1:9">
      <c r="A179" s="720"/>
      <c r="B179" s="720"/>
      <c r="C179" s="720"/>
      <c r="D179" s="720"/>
      <c r="E179" s="720"/>
      <c r="F179" s="720"/>
      <c r="G179" s="720"/>
      <c r="H179" s="720"/>
      <c r="I179" s="720"/>
    </row>
    <row r="180" spans="1:9">
      <c r="A180" s="720"/>
      <c r="B180" s="720"/>
      <c r="C180" s="720"/>
      <c r="D180" s="720"/>
      <c r="E180" s="720"/>
      <c r="F180" s="720"/>
      <c r="G180" s="720"/>
      <c r="H180" s="720"/>
      <c r="I180" s="720"/>
    </row>
    <row r="181" spans="1:9">
      <c r="A181" s="720"/>
      <c r="B181" s="720"/>
      <c r="C181" s="720"/>
      <c r="D181" s="720"/>
      <c r="E181" s="720"/>
      <c r="F181" s="720"/>
      <c r="G181" s="720"/>
      <c r="H181" s="720"/>
      <c r="I181" s="720"/>
    </row>
    <row r="182" spans="1:9">
      <c r="A182" s="720"/>
      <c r="B182" s="720"/>
      <c r="C182" s="720"/>
      <c r="D182" s="720"/>
      <c r="E182" s="720"/>
      <c r="F182" s="720"/>
      <c r="G182" s="720"/>
      <c r="H182" s="720"/>
      <c r="I182" s="720"/>
    </row>
    <row r="183" spans="1:9">
      <c r="A183" s="720"/>
      <c r="B183" s="720"/>
      <c r="C183" s="720"/>
      <c r="D183" s="720"/>
      <c r="E183" s="720"/>
      <c r="F183" s="720"/>
      <c r="G183" s="720"/>
      <c r="H183" s="720"/>
      <c r="I183" s="720"/>
    </row>
    <row r="184" spans="1:9">
      <c r="A184" s="720"/>
      <c r="B184" s="720"/>
      <c r="C184" s="720"/>
      <c r="D184" s="720"/>
      <c r="E184" s="720"/>
      <c r="F184" s="720"/>
      <c r="G184" s="720"/>
      <c r="H184" s="720"/>
      <c r="I184" s="720"/>
    </row>
    <row r="185" spans="1:9">
      <c r="A185" s="720"/>
      <c r="B185" s="720"/>
      <c r="C185" s="720"/>
      <c r="D185" s="720"/>
      <c r="E185" s="720"/>
      <c r="F185" s="720"/>
      <c r="G185" s="720"/>
      <c r="H185" s="720"/>
      <c r="I185" s="720"/>
    </row>
    <row r="186" spans="1:9">
      <c r="A186" s="720"/>
      <c r="B186" s="720"/>
      <c r="C186" s="720"/>
      <c r="D186" s="720"/>
      <c r="E186" s="720"/>
      <c r="F186" s="720"/>
      <c r="G186" s="720"/>
      <c r="H186" s="720"/>
      <c r="I186" s="720"/>
    </row>
    <row r="187" spans="1:9">
      <c r="A187" s="720"/>
      <c r="B187" s="720"/>
      <c r="C187" s="720"/>
      <c r="D187" s="720"/>
      <c r="E187" s="720"/>
      <c r="F187" s="720"/>
      <c r="G187" s="720"/>
      <c r="H187" s="720"/>
      <c r="I187" s="720"/>
    </row>
    <row r="188" spans="1:9">
      <c r="A188" s="720"/>
      <c r="B188" s="720"/>
      <c r="C188" s="720"/>
      <c r="D188" s="720"/>
      <c r="E188" s="720"/>
      <c r="F188" s="720"/>
      <c r="G188" s="720"/>
      <c r="H188" s="720"/>
      <c r="I188" s="720"/>
    </row>
    <row r="189" spans="1:9">
      <c r="A189" s="720"/>
      <c r="B189" s="720"/>
      <c r="C189" s="720"/>
      <c r="D189" s="720"/>
      <c r="E189" s="720"/>
      <c r="F189" s="720"/>
      <c r="G189" s="720"/>
      <c r="H189" s="720"/>
      <c r="I189" s="720"/>
    </row>
    <row r="190" spans="1:9">
      <c r="A190" s="720"/>
      <c r="B190" s="720"/>
      <c r="C190" s="720"/>
      <c r="D190" s="720"/>
      <c r="E190" s="720"/>
      <c r="F190" s="720"/>
      <c r="G190" s="720"/>
      <c r="H190" s="720"/>
      <c r="I190" s="720"/>
    </row>
    <row r="191" spans="1:9">
      <c r="A191" s="720"/>
      <c r="B191" s="720"/>
      <c r="C191" s="720"/>
      <c r="D191" s="720"/>
      <c r="E191" s="720"/>
      <c r="F191" s="720"/>
      <c r="G191" s="720"/>
      <c r="H191" s="720"/>
      <c r="I191" s="720"/>
    </row>
    <row r="192" spans="1:9">
      <c r="A192" s="720"/>
      <c r="B192" s="720"/>
      <c r="C192" s="720"/>
      <c r="D192" s="720"/>
      <c r="E192" s="720"/>
      <c r="F192" s="720"/>
      <c r="G192" s="720"/>
      <c r="H192" s="720"/>
      <c r="I192" s="720"/>
    </row>
    <row r="193" spans="1:9">
      <c r="A193" s="720"/>
      <c r="B193" s="720"/>
      <c r="C193" s="720"/>
      <c r="D193" s="720"/>
      <c r="E193" s="720"/>
      <c r="F193" s="720"/>
      <c r="G193" s="720"/>
      <c r="H193" s="720"/>
      <c r="I193" s="720"/>
    </row>
    <row r="194" spans="1:9">
      <c r="A194" s="720"/>
      <c r="B194" s="720"/>
      <c r="C194" s="720"/>
      <c r="D194" s="720"/>
      <c r="E194" s="720"/>
      <c r="F194" s="720"/>
      <c r="G194" s="720"/>
      <c r="H194" s="720"/>
      <c r="I194" s="720"/>
    </row>
    <row r="195" spans="1:9">
      <c r="A195" s="720"/>
      <c r="B195" s="720"/>
      <c r="C195" s="720"/>
      <c r="D195" s="720"/>
      <c r="E195" s="720"/>
      <c r="F195" s="720"/>
      <c r="G195" s="720"/>
      <c r="H195" s="720"/>
      <c r="I195" s="720"/>
    </row>
    <row r="196" spans="1:9">
      <c r="A196" s="720"/>
      <c r="B196" s="720"/>
      <c r="C196" s="720"/>
      <c r="D196" s="720"/>
      <c r="E196" s="720"/>
      <c r="F196" s="720"/>
      <c r="G196" s="720"/>
      <c r="H196" s="720"/>
      <c r="I196" s="720"/>
    </row>
    <row r="197" spans="1:9">
      <c r="A197" s="720"/>
      <c r="B197" s="720"/>
      <c r="C197" s="720"/>
      <c r="D197" s="720"/>
      <c r="E197" s="720"/>
      <c r="F197" s="720"/>
      <c r="G197" s="720"/>
      <c r="H197" s="720"/>
      <c r="I197" s="720"/>
    </row>
    <row r="198" spans="1:9">
      <c r="A198" s="720"/>
      <c r="B198" s="720"/>
      <c r="C198" s="720"/>
      <c r="D198" s="720"/>
      <c r="E198" s="720"/>
      <c r="F198" s="720"/>
      <c r="G198" s="720"/>
      <c r="H198" s="720"/>
      <c r="I198" s="720"/>
    </row>
    <row r="199" spans="1:9">
      <c r="A199" s="720"/>
      <c r="B199" s="720"/>
      <c r="C199" s="720"/>
      <c r="D199" s="720"/>
      <c r="E199" s="720"/>
      <c r="F199" s="720"/>
      <c r="G199" s="720"/>
      <c r="H199" s="720"/>
      <c r="I199" s="720"/>
    </row>
    <row r="200" spans="1:9">
      <c r="A200" s="720"/>
      <c r="B200" s="720"/>
      <c r="C200" s="720"/>
      <c r="D200" s="720"/>
      <c r="E200" s="720"/>
      <c r="F200" s="720"/>
      <c r="G200" s="720"/>
      <c r="H200" s="720"/>
      <c r="I200" s="720"/>
    </row>
    <row r="201" spans="1:9">
      <c r="A201" s="720"/>
      <c r="B201" s="720"/>
      <c r="C201" s="720"/>
      <c r="D201" s="720"/>
      <c r="E201" s="720"/>
      <c r="F201" s="720"/>
      <c r="G201" s="720"/>
      <c r="H201" s="720"/>
      <c r="I201" s="720"/>
    </row>
    <row r="202" spans="1:9">
      <c r="A202" s="720"/>
      <c r="B202" s="720"/>
      <c r="C202" s="720"/>
      <c r="D202" s="720"/>
      <c r="E202" s="720"/>
      <c r="F202" s="720"/>
      <c r="G202" s="720"/>
      <c r="H202" s="720"/>
      <c r="I202" s="720"/>
    </row>
    <row r="203" spans="1:9">
      <c r="A203" s="720"/>
      <c r="B203" s="720"/>
      <c r="C203" s="720"/>
      <c r="D203" s="720"/>
      <c r="E203" s="720"/>
      <c r="F203" s="720"/>
      <c r="G203" s="720"/>
      <c r="H203" s="720"/>
      <c r="I203" s="720"/>
    </row>
    <row r="204" spans="1:9">
      <c r="A204" s="720"/>
      <c r="B204" s="720"/>
      <c r="C204" s="720"/>
      <c r="D204" s="720"/>
      <c r="E204" s="720"/>
      <c r="F204" s="720"/>
      <c r="G204" s="720"/>
      <c r="H204" s="720"/>
      <c r="I204" s="720"/>
    </row>
    <row r="205" spans="1:9">
      <c r="A205" s="720"/>
      <c r="B205" s="720"/>
      <c r="C205" s="720"/>
      <c r="D205" s="720"/>
      <c r="E205" s="720"/>
      <c r="F205" s="720"/>
    </row>
    <row r="206" spans="1:9">
      <c r="A206" s="720"/>
      <c r="B206" s="720"/>
      <c r="C206" s="720"/>
      <c r="D206" s="720"/>
      <c r="E206" s="720"/>
      <c r="F206" s="720"/>
    </row>
    <row r="207" spans="1:9">
      <c r="A207" s="720"/>
      <c r="B207" s="720"/>
      <c r="C207" s="720"/>
      <c r="D207" s="720"/>
      <c r="E207" s="720"/>
      <c r="F207" s="720"/>
    </row>
    <row r="208" spans="1:9">
      <c r="A208" s="720"/>
      <c r="B208" s="720"/>
      <c r="C208" s="720"/>
      <c r="D208" s="720"/>
      <c r="E208" s="720"/>
      <c r="F208" s="720"/>
    </row>
    <row r="209" spans="1:6">
      <c r="A209" s="720"/>
      <c r="B209" s="720"/>
      <c r="C209" s="720"/>
      <c r="D209" s="720"/>
      <c r="E209" s="720"/>
      <c r="F209" s="720"/>
    </row>
    <row r="210" spans="1:6">
      <c r="A210" s="720"/>
      <c r="B210" s="720"/>
      <c r="C210" s="720"/>
      <c r="D210" s="720"/>
      <c r="E210" s="720"/>
      <c r="F210" s="720"/>
    </row>
    <row r="211" spans="1:6">
      <c r="A211" s="720"/>
      <c r="B211" s="720"/>
      <c r="C211" s="720"/>
      <c r="D211" s="720"/>
      <c r="E211" s="720"/>
      <c r="F211" s="720"/>
    </row>
    <row r="212" spans="1:6">
      <c r="A212" s="720"/>
      <c r="B212" s="720"/>
      <c r="C212" s="720"/>
      <c r="D212" s="720"/>
      <c r="E212" s="720"/>
      <c r="F212" s="720"/>
    </row>
    <row r="213" spans="1:6">
      <c r="A213" s="720"/>
      <c r="B213" s="720"/>
      <c r="C213" s="720"/>
      <c r="D213" s="720"/>
      <c r="E213" s="720"/>
      <c r="F213" s="720"/>
    </row>
    <row r="214" spans="1:6">
      <c r="A214" s="720"/>
      <c r="B214" s="720"/>
      <c r="C214" s="720"/>
      <c r="D214" s="720"/>
      <c r="E214" s="720"/>
      <c r="F214" s="720"/>
    </row>
    <row r="215" spans="1:6">
      <c r="A215" s="720"/>
      <c r="B215" s="720"/>
      <c r="C215" s="720"/>
      <c r="D215" s="720"/>
      <c r="E215" s="720"/>
      <c r="F215" s="720"/>
    </row>
    <row r="216" spans="1:6">
      <c r="A216" s="720"/>
      <c r="B216" s="720"/>
      <c r="C216" s="720"/>
      <c r="D216" s="720"/>
      <c r="E216" s="720"/>
      <c r="F216" s="720"/>
    </row>
    <row r="217" spans="1:6">
      <c r="A217" s="720"/>
      <c r="B217" s="720"/>
      <c r="C217" s="720"/>
      <c r="D217" s="720"/>
      <c r="E217" s="720"/>
      <c r="F217" s="720"/>
    </row>
    <row r="218" spans="1:6">
      <c r="A218" s="720"/>
      <c r="B218" s="720"/>
      <c r="C218" s="720"/>
      <c r="D218" s="720"/>
      <c r="E218" s="720"/>
      <c r="F218" s="720"/>
    </row>
    <row r="219" spans="1:6">
      <c r="A219" s="720"/>
      <c r="B219" s="720"/>
      <c r="C219" s="720"/>
      <c r="D219" s="720"/>
      <c r="E219" s="720"/>
      <c r="F219" s="720"/>
    </row>
    <row r="220" spans="1:6">
      <c r="A220" s="720"/>
      <c r="B220" s="720"/>
      <c r="C220" s="720"/>
      <c r="D220" s="720"/>
      <c r="E220" s="720"/>
      <c r="F220" s="720"/>
    </row>
    <row r="221" spans="1:6">
      <c r="A221" s="720"/>
      <c r="B221" s="720"/>
      <c r="C221" s="720"/>
      <c r="D221" s="720"/>
      <c r="E221" s="720"/>
      <c r="F221" s="720"/>
    </row>
    <row r="222" spans="1:6">
      <c r="A222" s="720"/>
      <c r="B222" s="720"/>
      <c r="C222" s="720"/>
      <c r="D222" s="720"/>
      <c r="E222" s="720"/>
      <c r="F222" s="720"/>
    </row>
    <row r="223" spans="1:6">
      <c r="A223" s="720"/>
      <c r="B223" s="720"/>
      <c r="C223" s="720"/>
      <c r="D223" s="720"/>
      <c r="E223" s="720"/>
      <c r="F223" s="720"/>
    </row>
    <row r="224" spans="1:6">
      <c r="A224" s="720"/>
      <c r="B224" s="720"/>
      <c r="C224" s="720"/>
      <c r="D224" s="720"/>
      <c r="E224" s="720"/>
      <c r="F224" s="720"/>
    </row>
    <row r="225" spans="1:6">
      <c r="A225" s="720"/>
      <c r="B225" s="720"/>
      <c r="C225" s="720"/>
      <c r="D225" s="720"/>
      <c r="E225" s="720"/>
      <c r="F225" s="720"/>
    </row>
    <row r="226" spans="1:6">
      <c r="A226" s="720"/>
      <c r="B226" s="720"/>
      <c r="C226" s="720"/>
      <c r="D226" s="720"/>
      <c r="E226" s="720"/>
      <c r="F226" s="720"/>
    </row>
    <row r="227" spans="1:6">
      <c r="A227" s="720"/>
      <c r="B227" s="720"/>
      <c r="C227" s="720"/>
      <c r="D227" s="720"/>
      <c r="E227" s="720"/>
      <c r="F227" s="720"/>
    </row>
    <row r="228" spans="1:6">
      <c r="A228" s="720"/>
      <c r="B228" s="720"/>
      <c r="C228" s="720"/>
      <c r="D228" s="720"/>
      <c r="E228" s="720"/>
      <c r="F228" s="720"/>
    </row>
    <row r="229" spans="1:6">
      <c r="A229" s="720"/>
      <c r="B229" s="720"/>
      <c r="C229" s="720"/>
      <c r="D229" s="720"/>
      <c r="E229" s="720"/>
      <c r="F229" s="720"/>
    </row>
    <row r="230" spans="1:6">
      <c r="A230" s="720"/>
      <c r="B230" s="720"/>
      <c r="C230" s="720"/>
      <c r="D230" s="720"/>
      <c r="E230" s="720"/>
      <c r="F230" s="720"/>
    </row>
    <row r="231" spans="1:6">
      <c r="A231" s="720"/>
      <c r="B231" s="720"/>
      <c r="C231" s="720"/>
      <c r="D231" s="720"/>
      <c r="E231" s="720"/>
      <c r="F231" s="720"/>
    </row>
    <row r="232" spans="1:6">
      <c r="A232" s="720"/>
      <c r="B232" s="720"/>
      <c r="C232" s="720"/>
      <c r="D232" s="720"/>
      <c r="E232" s="720"/>
      <c r="F232" s="720"/>
    </row>
    <row r="233" spans="1:6">
      <c r="A233" s="720"/>
      <c r="B233" s="720"/>
      <c r="C233" s="720"/>
      <c r="D233" s="720"/>
      <c r="E233" s="720"/>
      <c r="F233" s="720"/>
    </row>
    <row r="234" spans="1:6">
      <c r="A234" s="720"/>
      <c r="B234" s="720"/>
      <c r="C234" s="720"/>
      <c r="D234" s="720"/>
      <c r="E234" s="720"/>
      <c r="F234" s="720"/>
    </row>
    <row r="235" spans="1:6">
      <c r="A235" s="720"/>
      <c r="B235" s="720"/>
      <c r="C235" s="720"/>
      <c r="D235" s="720"/>
      <c r="E235" s="720"/>
      <c r="F235" s="720"/>
    </row>
    <row r="236" spans="1:6">
      <c r="A236" s="720"/>
      <c r="B236" s="720"/>
      <c r="C236" s="720"/>
      <c r="D236" s="720"/>
      <c r="E236" s="720"/>
      <c r="F236" s="720"/>
    </row>
    <row r="237" spans="1:6">
      <c r="A237" s="720"/>
      <c r="B237" s="720"/>
      <c r="C237" s="720"/>
      <c r="D237" s="720"/>
      <c r="E237" s="720"/>
      <c r="F237" s="720"/>
    </row>
    <row r="238" spans="1:6">
      <c r="A238" s="720"/>
      <c r="B238" s="720"/>
      <c r="C238" s="720"/>
      <c r="D238" s="720"/>
      <c r="E238" s="720"/>
      <c r="F238" s="720"/>
    </row>
    <row r="239" spans="1:6">
      <c r="A239" s="720"/>
      <c r="B239" s="720"/>
      <c r="C239" s="720"/>
      <c r="D239" s="720"/>
      <c r="E239" s="720"/>
      <c r="F239" s="720"/>
    </row>
    <row r="240" spans="1:6">
      <c r="A240" s="720"/>
      <c r="B240" s="720"/>
      <c r="C240" s="720"/>
      <c r="D240" s="720"/>
      <c r="E240" s="720"/>
      <c r="F240" s="720"/>
    </row>
    <row r="241" spans="1:6">
      <c r="A241" s="720"/>
      <c r="B241" s="720"/>
      <c r="C241" s="720"/>
      <c r="D241" s="720"/>
      <c r="E241" s="720"/>
      <c r="F241" s="720"/>
    </row>
    <row r="242" spans="1:6">
      <c r="A242" s="720"/>
      <c r="B242" s="720"/>
      <c r="C242" s="720"/>
      <c r="D242" s="720"/>
      <c r="E242" s="720"/>
      <c r="F242" s="720"/>
    </row>
    <row r="243" spans="1:6">
      <c r="A243" s="720"/>
      <c r="B243" s="720"/>
      <c r="C243" s="720"/>
      <c r="D243" s="720"/>
      <c r="E243" s="720"/>
      <c r="F243" s="720"/>
    </row>
    <row r="244" spans="1:6">
      <c r="A244" s="720"/>
      <c r="B244" s="720"/>
      <c r="C244" s="720"/>
      <c r="D244" s="720"/>
      <c r="E244" s="720"/>
      <c r="F244" s="720"/>
    </row>
    <row r="245" spans="1:6">
      <c r="A245" s="720"/>
      <c r="B245" s="720"/>
      <c r="C245" s="720"/>
      <c r="D245" s="720"/>
      <c r="E245" s="720"/>
      <c r="F245" s="720"/>
    </row>
    <row r="246" spans="1:6">
      <c r="A246" s="720"/>
      <c r="B246" s="720"/>
      <c r="C246" s="720"/>
      <c r="D246" s="720"/>
      <c r="E246" s="720"/>
      <c r="F246" s="720"/>
    </row>
    <row r="247" spans="1:6">
      <c r="A247" s="720"/>
      <c r="B247" s="720"/>
      <c r="C247" s="720"/>
      <c r="D247" s="720"/>
      <c r="E247" s="720"/>
      <c r="F247" s="720"/>
    </row>
    <row r="248" spans="1:6">
      <c r="A248" s="720"/>
      <c r="B248" s="720"/>
      <c r="C248" s="720"/>
      <c r="D248" s="720"/>
      <c r="E248" s="720"/>
      <c r="F248" s="720"/>
    </row>
    <row r="249" spans="1:6">
      <c r="A249" s="720"/>
      <c r="B249" s="720"/>
      <c r="C249" s="720"/>
      <c r="D249" s="720"/>
      <c r="E249" s="720"/>
      <c r="F249" s="720"/>
    </row>
    <row r="250" spans="1:6">
      <c r="A250" s="720"/>
      <c r="B250" s="720"/>
      <c r="C250" s="720"/>
      <c r="D250" s="720"/>
      <c r="E250" s="720"/>
      <c r="F250" s="720"/>
    </row>
    <row r="251" spans="1:6">
      <c r="A251" s="720"/>
      <c r="B251" s="720"/>
      <c r="C251" s="720"/>
      <c r="D251" s="720"/>
      <c r="E251" s="720"/>
      <c r="F251" s="720"/>
    </row>
    <row r="252" spans="1:6">
      <c r="A252" s="720"/>
      <c r="B252" s="720"/>
      <c r="C252" s="720"/>
      <c r="D252" s="720"/>
      <c r="E252" s="720"/>
      <c r="F252" s="720"/>
    </row>
    <row r="253" spans="1:6">
      <c r="A253" s="720"/>
      <c r="B253" s="720"/>
      <c r="C253" s="720"/>
      <c r="D253" s="720"/>
      <c r="E253" s="720"/>
      <c r="F253" s="720"/>
    </row>
    <row r="254" spans="1:6">
      <c r="A254" s="720"/>
      <c r="B254" s="720"/>
      <c r="C254" s="720"/>
      <c r="D254" s="720"/>
      <c r="E254" s="720"/>
      <c r="F254" s="720"/>
    </row>
    <row r="255" spans="1:6">
      <c r="A255" s="720"/>
      <c r="B255" s="720"/>
      <c r="C255" s="720"/>
      <c r="D255" s="720"/>
      <c r="E255" s="720"/>
      <c r="F255" s="720"/>
    </row>
    <row r="256" spans="1:6" ht="15.75" thickBot="1">
      <c r="A256" s="720"/>
      <c r="B256" s="720"/>
      <c r="C256" s="720"/>
      <c r="D256" s="720"/>
      <c r="E256" s="720"/>
      <c r="F256" s="720"/>
    </row>
    <row r="257" spans="1:6" ht="15.75" thickTop="1">
      <c r="A257" s="720"/>
      <c r="B257" s="720"/>
      <c r="C257" s="720"/>
      <c r="D257" s="720"/>
      <c r="E257" s="720"/>
      <c r="F257" s="720"/>
    </row>
    <row r="258" spans="1:6">
      <c r="A258" s="720"/>
      <c r="B258" s="720"/>
      <c r="C258" s="720"/>
      <c r="D258" s="720"/>
      <c r="E258" s="720"/>
      <c r="F258" s="720"/>
    </row>
    <row r="259" spans="1:6">
      <c r="A259" s="720"/>
      <c r="B259" s="720"/>
      <c r="C259" s="720"/>
      <c r="D259" s="720"/>
      <c r="E259" s="720"/>
      <c r="F259" s="720"/>
    </row>
    <row r="260" spans="1:6">
      <c r="A260" s="720"/>
      <c r="B260" s="720"/>
      <c r="C260" s="720"/>
      <c r="D260" s="720"/>
      <c r="E260" s="720"/>
      <c r="F260" s="720"/>
    </row>
    <row r="261" spans="1:6">
      <c r="A261" s="720"/>
      <c r="B261" s="720"/>
      <c r="C261" s="720"/>
      <c r="D261" s="720"/>
      <c r="E261" s="720"/>
      <c r="F261" s="720"/>
    </row>
    <row r="262" spans="1:6">
      <c r="A262" s="720"/>
      <c r="B262" s="720"/>
      <c r="C262" s="720"/>
      <c r="D262" s="720"/>
      <c r="E262" s="720"/>
      <c r="F262" s="720"/>
    </row>
    <row r="263" spans="1:6">
      <c r="A263" s="720"/>
      <c r="B263" s="720"/>
      <c r="C263" s="720"/>
      <c r="D263" s="720"/>
      <c r="E263" s="720"/>
      <c r="F263" s="720"/>
    </row>
    <row r="264" spans="1:6">
      <c r="A264" s="720"/>
      <c r="B264" s="720"/>
      <c r="C264" s="720"/>
      <c r="D264" s="720"/>
      <c r="E264" s="720"/>
      <c r="F264" s="720"/>
    </row>
    <row r="265" spans="1:6">
      <c r="A265" s="720"/>
      <c r="B265" s="720"/>
      <c r="C265" s="720"/>
      <c r="D265" s="720"/>
      <c r="E265" s="720"/>
      <c r="F265" s="720"/>
    </row>
    <row r="266" spans="1:6">
      <c r="A266" s="720"/>
      <c r="B266" s="720"/>
      <c r="C266" s="720"/>
      <c r="D266" s="720"/>
      <c r="E266" s="720"/>
      <c r="F266" s="720"/>
    </row>
    <row r="267" spans="1:6">
      <c r="A267" s="720"/>
      <c r="B267" s="720"/>
      <c r="C267" s="720"/>
      <c r="D267" s="720"/>
      <c r="E267" s="720"/>
      <c r="F267" s="720"/>
    </row>
    <row r="268" spans="1:6">
      <c r="A268" s="720"/>
      <c r="B268" s="720"/>
      <c r="C268" s="720"/>
      <c r="D268" s="720"/>
      <c r="E268" s="720"/>
      <c r="F268" s="720"/>
    </row>
    <row r="269" spans="1:6">
      <c r="A269" s="720"/>
      <c r="B269" s="720"/>
      <c r="C269" s="720"/>
      <c r="D269" s="720"/>
      <c r="E269" s="720"/>
      <c r="F269" s="720"/>
    </row>
    <row r="270" spans="1:6">
      <c r="A270" s="720"/>
      <c r="B270" s="720"/>
      <c r="C270" s="720"/>
      <c r="D270" s="720"/>
      <c r="E270" s="720"/>
      <c r="F270" s="720"/>
    </row>
    <row r="271" spans="1:6">
      <c r="A271" s="720"/>
      <c r="B271" s="720"/>
      <c r="C271" s="720"/>
      <c r="D271" s="720"/>
      <c r="E271" s="720"/>
      <c r="F271" s="720"/>
    </row>
    <row r="272" spans="1:6">
      <c r="A272" s="720"/>
      <c r="B272" s="720"/>
      <c r="C272" s="720"/>
      <c r="D272" s="720"/>
      <c r="E272" s="720"/>
      <c r="F272" s="720"/>
    </row>
    <row r="273" spans="1:6">
      <c r="A273" s="720"/>
      <c r="B273" s="720"/>
      <c r="C273" s="720"/>
      <c r="D273" s="720"/>
      <c r="E273" s="720"/>
      <c r="F273" s="720"/>
    </row>
    <row r="274" spans="1:6">
      <c r="A274" s="720"/>
      <c r="B274" s="720"/>
      <c r="C274" s="720"/>
      <c r="D274" s="720"/>
      <c r="E274" s="720"/>
      <c r="F274" s="720"/>
    </row>
    <row r="275" spans="1:6">
      <c r="A275" s="720"/>
      <c r="B275" s="720"/>
      <c r="C275" s="720"/>
      <c r="D275" s="720"/>
      <c r="E275" s="720"/>
      <c r="F275" s="720"/>
    </row>
    <row r="276" spans="1:6">
      <c r="A276" s="720"/>
      <c r="B276" s="720"/>
      <c r="C276" s="720"/>
      <c r="D276" s="720"/>
      <c r="E276" s="720"/>
      <c r="F276" s="720"/>
    </row>
    <row r="277" spans="1:6">
      <c r="A277" s="720"/>
      <c r="B277" s="720"/>
      <c r="C277" s="720"/>
      <c r="D277" s="720"/>
      <c r="E277" s="720"/>
      <c r="F277" s="720"/>
    </row>
    <row r="278" spans="1:6">
      <c r="A278" s="720"/>
      <c r="B278" s="720"/>
      <c r="C278" s="720"/>
      <c r="D278" s="720"/>
      <c r="E278" s="720"/>
      <c r="F278" s="720"/>
    </row>
    <row r="279" spans="1:6">
      <c r="A279" s="720"/>
      <c r="B279" s="720"/>
      <c r="C279" s="720"/>
      <c r="D279" s="720"/>
      <c r="E279" s="720"/>
      <c r="F279" s="720"/>
    </row>
    <row r="280" spans="1:6">
      <c r="A280" s="720"/>
      <c r="B280" s="720"/>
      <c r="C280" s="720"/>
      <c r="D280" s="720"/>
      <c r="E280" s="720"/>
      <c r="F280" s="720"/>
    </row>
    <row r="281" spans="1:6">
      <c r="A281" s="720"/>
      <c r="B281" s="720"/>
      <c r="C281" s="720"/>
      <c r="D281" s="720"/>
      <c r="E281" s="720"/>
      <c r="F281" s="720"/>
    </row>
    <row r="282" spans="1:6">
      <c r="A282" s="720"/>
      <c r="B282" s="720"/>
      <c r="C282" s="720"/>
      <c r="D282" s="720"/>
      <c r="E282" s="720"/>
      <c r="F282" s="720"/>
    </row>
    <row r="283" spans="1:6">
      <c r="A283" s="720"/>
      <c r="B283" s="720"/>
      <c r="C283" s="720"/>
      <c r="D283" s="720"/>
      <c r="E283" s="720"/>
      <c r="F283" s="720"/>
    </row>
    <row r="284" spans="1:6">
      <c r="A284" s="720"/>
      <c r="B284" s="720"/>
      <c r="C284" s="720"/>
      <c r="D284" s="720"/>
      <c r="E284" s="720"/>
      <c r="F284" s="720"/>
    </row>
    <row r="285" spans="1:6">
      <c r="A285" s="720"/>
      <c r="B285" s="720"/>
      <c r="C285" s="720"/>
      <c r="D285" s="720"/>
      <c r="E285" s="720"/>
      <c r="F285" s="720"/>
    </row>
    <row r="286" spans="1:6">
      <c r="A286" s="720"/>
      <c r="B286" s="720"/>
      <c r="C286" s="720"/>
      <c r="D286" s="720"/>
      <c r="E286" s="720"/>
      <c r="F286" s="720"/>
    </row>
    <row r="287" spans="1:6">
      <c r="A287" s="720"/>
      <c r="B287" s="720"/>
      <c r="C287" s="720"/>
      <c r="D287" s="720"/>
      <c r="E287" s="720"/>
      <c r="F287" s="720"/>
    </row>
    <row r="288" spans="1:6">
      <c r="A288" s="720"/>
      <c r="B288" s="720"/>
      <c r="C288" s="720"/>
      <c r="D288" s="720"/>
      <c r="E288" s="720"/>
      <c r="F288" s="720"/>
    </row>
    <row r="289" spans="1:6" ht="15.75" thickBot="1">
      <c r="A289" s="720"/>
      <c r="B289" s="720"/>
      <c r="C289" s="720"/>
      <c r="D289" s="720"/>
      <c r="E289" s="720"/>
      <c r="F289" s="720"/>
    </row>
    <row r="290" spans="1:6" ht="15.75" thickTop="1">
      <c r="B290" s="152"/>
    </row>
    <row r="291" spans="1:6">
      <c r="B291" s="153"/>
    </row>
    <row r="292" spans="1:6">
      <c r="B292" s="153"/>
    </row>
    <row r="293" spans="1:6">
      <c r="B293" s="153"/>
    </row>
    <row r="294" spans="1:6">
      <c r="B294" s="153"/>
    </row>
    <row r="295" spans="1:6">
      <c r="B295" s="153"/>
    </row>
    <row r="296" spans="1:6">
      <c r="B296" s="153"/>
    </row>
    <row r="297" spans="1:6">
      <c r="B297" s="153"/>
    </row>
    <row r="298" spans="1:6">
      <c r="B298" s="153"/>
    </row>
    <row r="299" spans="1:6">
      <c r="B299" s="153"/>
    </row>
    <row r="300" spans="1:6">
      <c r="B300" s="153"/>
    </row>
    <row r="301" spans="1:6">
      <c r="B301" s="153"/>
    </row>
    <row r="302" spans="1:6">
      <c r="B302" s="153"/>
    </row>
    <row r="303" spans="1:6">
      <c r="B303" s="153"/>
    </row>
    <row r="304" spans="1:6">
      <c r="B304" s="153"/>
    </row>
    <row r="305" spans="2:2">
      <c r="B305" s="153"/>
    </row>
    <row r="306" spans="2:2">
      <c r="B306" s="153"/>
    </row>
    <row r="307" spans="2:2">
      <c r="B307" s="153"/>
    </row>
    <row r="308" spans="2:2">
      <c r="B308" s="153"/>
    </row>
    <row r="309" spans="2:2">
      <c r="B309" s="153"/>
    </row>
    <row r="310" spans="2:2">
      <c r="B310" s="153"/>
    </row>
    <row r="311" spans="2:2">
      <c r="B311" s="153"/>
    </row>
    <row r="312" spans="2:2">
      <c r="B312" s="153"/>
    </row>
    <row r="313" spans="2:2">
      <c r="B313" s="153"/>
    </row>
    <row r="314" spans="2:2">
      <c r="B314" s="153"/>
    </row>
    <row r="315" spans="2:2">
      <c r="B315" s="153"/>
    </row>
    <row r="316" spans="2:2">
      <c r="B316" s="153"/>
    </row>
    <row r="317" spans="2:2">
      <c r="B317" s="153"/>
    </row>
    <row r="318" spans="2:2">
      <c r="B318" s="153"/>
    </row>
    <row r="319" spans="2:2">
      <c r="B319" s="153"/>
    </row>
    <row r="320" spans="2:2">
      <c r="B320" s="153"/>
    </row>
    <row r="321" spans="2:2">
      <c r="B321" s="153"/>
    </row>
    <row r="322" spans="2:2">
      <c r="B322" s="153"/>
    </row>
    <row r="323" spans="2:2">
      <c r="B323" s="153"/>
    </row>
    <row r="324" spans="2:2">
      <c r="B324" s="153"/>
    </row>
    <row r="325" spans="2:2">
      <c r="B325" s="153"/>
    </row>
    <row r="326" spans="2:2">
      <c r="B326" s="153"/>
    </row>
    <row r="327" spans="2:2">
      <c r="B327" s="153"/>
    </row>
    <row r="328" spans="2:2">
      <c r="B328" s="153"/>
    </row>
    <row r="329" spans="2:2">
      <c r="B329" s="153"/>
    </row>
    <row r="330" spans="2:2">
      <c r="B330" s="153"/>
    </row>
    <row r="331" spans="2:2">
      <c r="B331" s="153"/>
    </row>
    <row r="332" spans="2:2">
      <c r="B332" s="153"/>
    </row>
    <row r="333" spans="2:2">
      <c r="B333" s="153"/>
    </row>
    <row r="334" spans="2:2">
      <c r="B334" s="153"/>
    </row>
    <row r="335" spans="2:2">
      <c r="B335" s="153"/>
    </row>
    <row r="336" spans="2:2">
      <c r="B336" s="153"/>
    </row>
    <row r="337" spans="2:2">
      <c r="B337" s="153"/>
    </row>
    <row r="338" spans="2:2">
      <c r="B338" s="153"/>
    </row>
    <row r="339" spans="2:2">
      <c r="B339" s="153"/>
    </row>
    <row r="340" spans="2:2">
      <c r="B340" s="153"/>
    </row>
    <row r="341" spans="2:2">
      <c r="B341" s="153"/>
    </row>
    <row r="342" spans="2:2">
      <c r="B342" s="153"/>
    </row>
    <row r="343" spans="2:2">
      <c r="B343" s="153"/>
    </row>
    <row r="344" spans="2:2">
      <c r="B344" s="153"/>
    </row>
    <row r="345" spans="2:2">
      <c r="B345" s="153"/>
    </row>
    <row r="346" spans="2:2">
      <c r="B346" s="153"/>
    </row>
    <row r="347" spans="2:2">
      <c r="B347" s="153"/>
    </row>
    <row r="348" spans="2:2">
      <c r="B348" s="153"/>
    </row>
    <row r="349" spans="2:2">
      <c r="B349" s="153"/>
    </row>
    <row r="350" spans="2:2">
      <c r="B350" s="153"/>
    </row>
    <row r="351" spans="2:2">
      <c r="B351" s="153"/>
    </row>
    <row r="352" spans="2:2">
      <c r="B352" s="153"/>
    </row>
    <row r="353" spans="2:2">
      <c r="B353" s="153"/>
    </row>
    <row r="354" spans="2:2">
      <c r="B354" s="153"/>
    </row>
    <row r="355" spans="2:2">
      <c r="B355" s="153"/>
    </row>
    <row r="356" spans="2:2">
      <c r="B356" s="153"/>
    </row>
    <row r="357" spans="2:2">
      <c r="B357" s="153"/>
    </row>
    <row r="358" spans="2:2">
      <c r="B358" s="153"/>
    </row>
    <row r="359" spans="2:2">
      <c r="B359" s="153"/>
    </row>
    <row r="360" spans="2:2">
      <c r="B360" s="153"/>
    </row>
    <row r="361" spans="2:2">
      <c r="B361" s="153"/>
    </row>
    <row r="362" spans="2:2">
      <c r="B362" s="153"/>
    </row>
    <row r="363" spans="2:2">
      <c r="B363" s="153"/>
    </row>
    <row r="364" spans="2:2">
      <c r="B364" s="153"/>
    </row>
    <row r="365" spans="2:2">
      <c r="B365" s="153"/>
    </row>
    <row r="366" spans="2:2">
      <c r="B366" s="153"/>
    </row>
    <row r="367" spans="2:2">
      <c r="B367" s="153"/>
    </row>
    <row r="368" spans="2:2">
      <c r="B368" s="153"/>
    </row>
    <row r="369" spans="2:2">
      <c r="B369" s="153"/>
    </row>
    <row r="370" spans="2:2">
      <c r="B370" s="153"/>
    </row>
    <row r="371" spans="2:2">
      <c r="B371" s="153"/>
    </row>
    <row r="372" spans="2:2">
      <c r="B372" s="153"/>
    </row>
    <row r="373" spans="2:2">
      <c r="B373" s="153"/>
    </row>
    <row r="374" spans="2:2">
      <c r="B374" s="153"/>
    </row>
    <row r="375" spans="2:2">
      <c r="B375" s="153"/>
    </row>
    <row r="376" spans="2:2">
      <c r="B376" s="153"/>
    </row>
    <row r="377" spans="2:2">
      <c r="B377" s="153"/>
    </row>
    <row r="378" spans="2:2">
      <c r="B378" s="153"/>
    </row>
    <row r="379" spans="2:2">
      <c r="B379" s="153"/>
    </row>
    <row r="380" spans="2:2">
      <c r="B380" s="153"/>
    </row>
    <row r="381" spans="2:2">
      <c r="B381" s="153"/>
    </row>
    <row r="382" spans="2:2">
      <c r="B382" s="153"/>
    </row>
    <row r="383" spans="2:2">
      <c r="B383" s="153"/>
    </row>
    <row r="384" spans="2:2">
      <c r="B384" s="153"/>
    </row>
    <row r="385" spans="2:2">
      <c r="B385" s="153"/>
    </row>
    <row r="386" spans="2:2">
      <c r="B386" s="153"/>
    </row>
    <row r="387" spans="2:2">
      <c r="B387" s="153"/>
    </row>
    <row r="388" spans="2:2">
      <c r="B388" s="153"/>
    </row>
    <row r="389" spans="2:2">
      <c r="B389" s="153"/>
    </row>
    <row r="390" spans="2:2">
      <c r="B390" s="153"/>
    </row>
    <row r="391" spans="2:2">
      <c r="B391" s="153"/>
    </row>
    <row r="392" spans="2:2">
      <c r="B392" s="153"/>
    </row>
    <row r="393" spans="2:2">
      <c r="B393" s="153"/>
    </row>
    <row r="394" spans="2:2">
      <c r="B394" s="153"/>
    </row>
    <row r="395" spans="2:2">
      <c r="B395" s="153"/>
    </row>
    <row r="396" spans="2:2">
      <c r="B396" s="153"/>
    </row>
    <row r="397" spans="2:2">
      <c r="B397" s="153"/>
    </row>
    <row r="398" spans="2:2">
      <c r="B398" s="153"/>
    </row>
    <row r="399" spans="2:2">
      <c r="B399" s="153"/>
    </row>
    <row r="400" spans="2:2">
      <c r="B400" s="153"/>
    </row>
    <row r="401" spans="2:2">
      <c r="B401" s="153"/>
    </row>
    <row r="402" spans="2:2">
      <c r="B402" s="153"/>
    </row>
    <row r="403" spans="2:2">
      <c r="B403" s="153"/>
    </row>
    <row r="404" spans="2:2">
      <c r="B404" s="153"/>
    </row>
    <row r="405" spans="2:2">
      <c r="B405" s="153"/>
    </row>
    <row r="406" spans="2:2">
      <c r="B406" s="153"/>
    </row>
    <row r="407" spans="2:2">
      <c r="B407" s="153"/>
    </row>
    <row r="408" spans="2:2">
      <c r="B408" s="153"/>
    </row>
    <row r="409" spans="2:2">
      <c r="B409" s="153"/>
    </row>
    <row r="410" spans="2:2">
      <c r="B410" s="153"/>
    </row>
    <row r="411" spans="2:2">
      <c r="B411" s="153"/>
    </row>
    <row r="412" spans="2:2">
      <c r="B412" s="153"/>
    </row>
    <row r="413" spans="2:2">
      <c r="B413" s="153"/>
    </row>
    <row r="414" spans="2:2">
      <c r="B414" s="153"/>
    </row>
    <row r="415" spans="2:2">
      <c r="B415" s="153"/>
    </row>
    <row r="416" spans="2:2">
      <c r="B416" s="153"/>
    </row>
    <row r="417" spans="2:2">
      <c r="B417" s="153"/>
    </row>
    <row r="418" spans="2:2">
      <c r="B418" s="153"/>
    </row>
    <row r="419" spans="2:2">
      <c r="B419" s="153"/>
    </row>
    <row r="420" spans="2:2">
      <c r="B420" s="153"/>
    </row>
    <row r="421" spans="2:2">
      <c r="B421" s="153"/>
    </row>
    <row r="422" spans="2:2">
      <c r="B422" s="153"/>
    </row>
    <row r="423" spans="2:2">
      <c r="B423" s="153"/>
    </row>
    <row r="424" spans="2:2">
      <c r="B424" s="153"/>
    </row>
    <row r="425" spans="2:2">
      <c r="B425" s="153"/>
    </row>
    <row r="426" spans="2:2">
      <c r="B426" s="153"/>
    </row>
    <row r="427" spans="2:2">
      <c r="B427" s="153"/>
    </row>
    <row r="428" spans="2:2">
      <c r="B428" s="153"/>
    </row>
    <row r="429" spans="2:2">
      <c r="B429" s="153"/>
    </row>
    <row r="430" spans="2:2">
      <c r="B430" s="153"/>
    </row>
    <row r="431" spans="2:2">
      <c r="B431" s="153"/>
    </row>
    <row r="432" spans="2:2">
      <c r="B432" s="153"/>
    </row>
    <row r="433" spans="2:2">
      <c r="B433" s="153"/>
    </row>
    <row r="434" spans="2:2">
      <c r="B434" s="153"/>
    </row>
    <row r="435" spans="2:2">
      <c r="B435" s="153"/>
    </row>
    <row r="436" spans="2:2">
      <c r="B436" s="153"/>
    </row>
    <row r="437" spans="2:2">
      <c r="B437" s="153"/>
    </row>
    <row r="438" spans="2:2">
      <c r="B438" s="153"/>
    </row>
    <row r="439" spans="2:2">
      <c r="B439" s="153"/>
    </row>
    <row r="440" spans="2:2">
      <c r="B440" s="153"/>
    </row>
    <row r="441" spans="2:2">
      <c r="B441" s="153"/>
    </row>
    <row r="442" spans="2:2">
      <c r="B442" s="153"/>
    </row>
    <row r="443" spans="2:2">
      <c r="B443" s="153"/>
    </row>
    <row r="444" spans="2:2">
      <c r="B444" s="153"/>
    </row>
    <row r="445" spans="2:2">
      <c r="B445" s="153"/>
    </row>
    <row r="446" spans="2:2">
      <c r="B446" s="153"/>
    </row>
    <row r="447" spans="2:2">
      <c r="B447" s="153"/>
    </row>
    <row r="448" spans="2:2">
      <c r="B448" s="153"/>
    </row>
    <row r="449" spans="2:2">
      <c r="B449" s="153"/>
    </row>
    <row r="450" spans="2:2">
      <c r="B450" s="153"/>
    </row>
    <row r="451" spans="2:2">
      <c r="B451" s="153"/>
    </row>
    <row r="452" spans="2:2">
      <c r="B452" s="153"/>
    </row>
    <row r="453" spans="2:2">
      <c r="B453" s="153"/>
    </row>
    <row r="454" spans="2:2">
      <c r="B454" s="153"/>
    </row>
    <row r="455" spans="2:2">
      <c r="B455" s="153"/>
    </row>
    <row r="456" spans="2:2">
      <c r="B456" s="153"/>
    </row>
    <row r="457" spans="2:2">
      <c r="B457" s="153"/>
    </row>
    <row r="458" spans="2:2">
      <c r="B458" s="153"/>
    </row>
    <row r="459" spans="2:2">
      <c r="B459" s="153"/>
    </row>
    <row r="460" spans="2:2">
      <c r="B460" s="153"/>
    </row>
    <row r="461" spans="2:2">
      <c r="B461" s="153"/>
    </row>
    <row r="462" spans="2:2">
      <c r="B462" s="153"/>
    </row>
    <row r="463" spans="2:2">
      <c r="B463" s="153"/>
    </row>
    <row r="464" spans="2:2">
      <c r="B464" s="153"/>
    </row>
    <row r="465" spans="2:2">
      <c r="B465" s="153"/>
    </row>
    <row r="466" spans="2:2">
      <c r="B466" s="153"/>
    </row>
    <row r="467" spans="2:2">
      <c r="B467" s="153"/>
    </row>
    <row r="468" spans="2:2">
      <c r="B468" s="153"/>
    </row>
    <row r="469" spans="2:2">
      <c r="B469" s="153"/>
    </row>
    <row r="470" spans="2:2">
      <c r="B470" s="153"/>
    </row>
    <row r="471" spans="2:2">
      <c r="B471" s="153"/>
    </row>
    <row r="472" spans="2:2">
      <c r="B472" s="153"/>
    </row>
    <row r="473" spans="2:2">
      <c r="B473" s="153"/>
    </row>
    <row r="474" spans="2:2">
      <c r="B474" s="153"/>
    </row>
    <row r="475" spans="2:2">
      <c r="B475" s="153"/>
    </row>
    <row r="476" spans="2:2">
      <c r="B476" s="153"/>
    </row>
    <row r="477" spans="2:2">
      <c r="B477" s="153"/>
    </row>
    <row r="478" spans="2:2">
      <c r="B478" s="153"/>
    </row>
    <row r="479" spans="2:2">
      <c r="B479" s="153"/>
    </row>
    <row r="480" spans="2:2">
      <c r="B480" s="153"/>
    </row>
    <row r="481" spans="2:2">
      <c r="B481" s="153"/>
    </row>
    <row r="482" spans="2:2">
      <c r="B482" s="153"/>
    </row>
    <row r="483" spans="2:2">
      <c r="B483" s="153"/>
    </row>
    <row r="484" spans="2:2">
      <c r="B484" s="153"/>
    </row>
    <row r="485" spans="2:2">
      <c r="B485" s="153"/>
    </row>
    <row r="486" spans="2:2">
      <c r="B486" s="153"/>
    </row>
    <row r="487" spans="2:2">
      <c r="B487" s="153"/>
    </row>
    <row r="488" spans="2:2">
      <c r="B488" s="153"/>
    </row>
    <row r="489" spans="2:2">
      <c r="B489" s="153"/>
    </row>
    <row r="490" spans="2:2">
      <c r="B490" s="153"/>
    </row>
    <row r="491" spans="2:2">
      <c r="B491" s="153"/>
    </row>
    <row r="492" spans="2:2">
      <c r="B492" s="153"/>
    </row>
    <row r="493" spans="2:2">
      <c r="B493" s="153"/>
    </row>
    <row r="494" spans="2:2">
      <c r="B494" s="153"/>
    </row>
    <row r="495" spans="2:2">
      <c r="B495" s="153"/>
    </row>
    <row r="496" spans="2:2">
      <c r="B496" s="153"/>
    </row>
    <row r="497" spans="2:2">
      <c r="B497" s="153"/>
    </row>
    <row r="498" spans="2:2">
      <c r="B498" s="153"/>
    </row>
    <row r="499" spans="2:2">
      <c r="B499" s="153"/>
    </row>
    <row r="500" spans="2:2">
      <c r="B500" s="153"/>
    </row>
    <row r="501" spans="2:2">
      <c r="B501" s="153"/>
    </row>
    <row r="502" spans="2:2">
      <c r="B502" s="153"/>
    </row>
    <row r="503" spans="2:2">
      <c r="B503" s="153"/>
    </row>
    <row r="504" spans="2:2">
      <c r="B504" s="153"/>
    </row>
    <row r="505" spans="2:2">
      <c r="B505" s="153"/>
    </row>
    <row r="506" spans="2:2">
      <c r="B506" s="153"/>
    </row>
    <row r="507" spans="2:2">
      <c r="B507" s="153"/>
    </row>
    <row r="508" spans="2:2">
      <c r="B508" s="153"/>
    </row>
    <row r="509" spans="2:2">
      <c r="B509" s="153"/>
    </row>
    <row r="510" spans="2:2">
      <c r="B510" s="153"/>
    </row>
    <row r="511" spans="2:2">
      <c r="B511" s="153"/>
    </row>
    <row r="512" spans="2:2">
      <c r="B512" s="153"/>
    </row>
    <row r="513" spans="2:2">
      <c r="B513" s="153"/>
    </row>
    <row r="514" spans="2:2">
      <c r="B514" s="153"/>
    </row>
    <row r="515" spans="2:2">
      <c r="B515" s="153"/>
    </row>
    <row r="516" spans="2:2">
      <c r="B516" s="153"/>
    </row>
    <row r="517" spans="2:2">
      <c r="B517" s="153"/>
    </row>
    <row r="518" spans="2:2">
      <c r="B518" s="153"/>
    </row>
    <row r="519" spans="2:2">
      <c r="B519" s="153"/>
    </row>
    <row r="520" spans="2:2">
      <c r="B520" s="153"/>
    </row>
    <row r="521" spans="2:2">
      <c r="B521" s="153"/>
    </row>
    <row r="522" spans="2:2">
      <c r="B522" s="153"/>
    </row>
    <row r="523" spans="2:2">
      <c r="B523" s="153"/>
    </row>
    <row r="524" spans="2:2">
      <c r="B524" s="153"/>
    </row>
    <row r="525" spans="2:2">
      <c r="B525" s="153"/>
    </row>
    <row r="526" spans="2:2">
      <c r="B526" s="153"/>
    </row>
    <row r="527" spans="2:2">
      <c r="B527" s="153"/>
    </row>
    <row r="528" spans="2:2">
      <c r="B528" s="153"/>
    </row>
    <row r="529" spans="2:2">
      <c r="B529" s="153"/>
    </row>
    <row r="530" spans="2:2">
      <c r="B530" s="153"/>
    </row>
    <row r="531" spans="2:2">
      <c r="B531" s="153"/>
    </row>
    <row r="532" spans="2:2">
      <c r="B532" s="153"/>
    </row>
    <row r="533" spans="2:2">
      <c r="B533" s="153"/>
    </row>
    <row r="534" spans="2:2">
      <c r="B534" s="153"/>
    </row>
    <row r="535" spans="2:2">
      <c r="B535" s="153"/>
    </row>
    <row r="536" spans="2:2">
      <c r="B536" s="153"/>
    </row>
    <row r="537" spans="2:2">
      <c r="B537" s="153"/>
    </row>
    <row r="538" spans="2:2">
      <c r="B538" s="153"/>
    </row>
    <row r="539" spans="2:2">
      <c r="B539" s="153"/>
    </row>
    <row r="540" spans="2:2">
      <c r="B540" s="153"/>
    </row>
    <row r="541" spans="2:2">
      <c r="B541" s="153"/>
    </row>
    <row r="542" spans="2:2">
      <c r="B542" s="153"/>
    </row>
    <row r="543" spans="2:2">
      <c r="B543" s="153"/>
    </row>
    <row r="544" spans="2:2">
      <c r="B544" s="153"/>
    </row>
    <row r="545" spans="2:2">
      <c r="B545" s="153"/>
    </row>
    <row r="546" spans="2:2">
      <c r="B546" s="153"/>
    </row>
    <row r="547" spans="2:2">
      <c r="B547" s="153"/>
    </row>
    <row r="548" spans="2:2">
      <c r="B548" s="153"/>
    </row>
    <row r="549" spans="2:2">
      <c r="B549" s="153"/>
    </row>
    <row r="550" spans="2:2">
      <c r="B550" s="153"/>
    </row>
    <row r="551" spans="2:2">
      <c r="B551" s="153"/>
    </row>
    <row r="552" spans="2:2">
      <c r="B552" s="153"/>
    </row>
    <row r="553" spans="2:2">
      <c r="B553" s="153"/>
    </row>
    <row r="554" spans="2:2">
      <c r="B554" s="153"/>
    </row>
    <row r="555" spans="2:2">
      <c r="B555" s="153"/>
    </row>
    <row r="556" spans="2:2">
      <c r="B556" s="153"/>
    </row>
    <row r="557" spans="2:2">
      <c r="B557" s="153"/>
    </row>
    <row r="558" spans="2:2">
      <c r="B558" s="153"/>
    </row>
    <row r="559" spans="2:2">
      <c r="B559" s="153"/>
    </row>
    <row r="560" spans="2:2">
      <c r="B560" s="153"/>
    </row>
    <row r="561" spans="2:2">
      <c r="B561" s="153"/>
    </row>
    <row r="562" spans="2:2">
      <c r="B562" s="153"/>
    </row>
    <row r="563" spans="2:2">
      <c r="B563" s="153"/>
    </row>
    <row r="564" spans="2:2">
      <c r="B564" s="153"/>
    </row>
    <row r="565" spans="2:2">
      <c r="B565" s="153"/>
    </row>
    <row r="566" spans="2:2">
      <c r="B566" s="153"/>
    </row>
    <row r="567" spans="2:2">
      <c r="B567" s="153"/>
    </row>
    <row r="568" spans="2:2">
      <c r="B568" s="153"/>
    </row>
    <row r="569" spans="2:2">
      <c r="B569" s="153"/>
    </row>
    <row r="570" spans="2:2">
      <c r="B570" s="153"/>
    </row>
    <row r="571" spans="2:2">
      <c r="B571" s="153"/>
    </row>
    <row r="572" spans="2:2">
      <c r="B572" s="153"/>
    </row>
    <row r="573" spans="2:2">
      <c r="B573" s="153"/>
    </row>
    <row r="574" spans="2:2">
      <c r="B574" s="153"/>
    </row>
    <row r="575" spans="2:2">
      <c r="B575" s="153"/>
    </row>
    <row r="576" spans="2:2">
      <c r="B576" s="153"/>
    </row>
    <row r="577" spans="2:2">
      <c r="B577" s="153"/>
    </row>
    <row r="578" spans="2:2">
      <c r="B578" s="153"/>
    </row>
    <row r="579" spans="2:2">
      <c r="B579" s="153"/>
    </row>
    <row r="580" spans="2:2">
      <c r="B580" s="153"/>
    </row>
    <row r="581" spans="2:2">
      <c r="B581" s="153"/>
    </row>
    <row r="582" spans="2:2">
      <c r="B582" s="153"/>
    </row>
    <row r="583" spans="2:2">
      <c r="B583" s="153"/>
    </row>
    <row r="584" spans="2:2">
      <c r="B584" s="153"/>
    </row>
    <row r="585" spans="2:2">
      <c r="B585" s="153"/>
    </row>
    <row r="586" spans="2:2">
      <c r="B586" s="153"/>
    </row>
    <row r="587" spans="2:2">
      <c r="B587" s="153"/>
    </row>
    <row r="588" spans="2:2">
      <c r="B588" s="153"/>
    </row>
    <row r="589" spans="2:2">
      <c r="B589" s="153"/>
    </row>
    <row r="590" spans="2:2">
      <c r="B590" s="153"/>
    </row>
    <row r="591" spans="2:2">
      <c r="B591" s="153"/>
    </row>
    <row r="592" spans="2:2">
      <c r="B592" s="153"/>
    </row>
    <row r="593" spans="2:2">
      <c r="B593" s="153"/>
    </row>
    <row r="594" spans="2:2">
      <c r="B594" s="153"/>
    </row>
    <row r="595" spans="2:2">
      <c r="B595" s="153"/>
    </row>
    <row r="596" spans="2:2">
      <c r="B596" s="153"/>
    </row>
    <row r="597" spans="2:2">
      <c r="B597" s="153"/>
    </row>
    <row r="598" spans="2:2">
      <c r="B598" s="153"/>
    </row>
    <row r="599" spans="2:2">
      <c r="B599" s="153"/>
    </row>
    <row r="600" spans="2:2">
      <c r="B600" s="153"/>
    </row>
    <row r="601" spans="2:2">
      <c r="B601" s="153"/>
    </row>
    <row r="602" spans="2:2">
      <c r="B602" s="153"/>
    </row>
    <row r="603" spans="2:2">
      <c r="B603" s="153"/>
    </row>
    <row r="604" spans="2:2">
      <c r="B604" s="153"/>
    </row>
    <row r="605" spans="2:2">
      <c r="B605" s="153"/>
    </row>
    <row r="606" spans="2:2">
      <c r="B606" s="153"/>
    </row>
    <row r="607" spans="2:2">
      <c r="B607" s="153"/>
    </row>
    <row r="608" spans="2:2">
      <c r="B608" s="153"/>
    </row>
    <row r="609" spans="2:2">
      <c r="B609" s="153"/>
    </row>
    <row r="610" spans="2:2">
      <c r="B610" s="153"/>
    </row>
    <row r="611" spans="2:2">
      <c r="B611" s="153"/>
    </row>
    <row r="612" spans="2:2">
      <c r="B612" s="153"/>
    </row>
    <row r="613" spans="2:2">
      <c r="B613" s="153"/>
    </row>
    <row r="614" spans="2:2">
      <c r="B614" s="153"/>
    </row>
    <row r="615" spans="2:2">
      <c r="B615" s="153"/>
    </row>
    <row r="616" spans="2:2">
      <c r="B616" s="153"/>
    </row>
    <row r="617" spans="2:2">
      <c r="B617" s="153"/>
    </row>
    <row r="618" spans="2:2">
      <c r="B618" s="153"/>
    </row>
    <row r="619" spans="2:2">
      <c r="B619" s="153"/>
    </row>
    <row r="620" spans="2:2">
      <c r="B620" s="153"/>
    </row>
    <row r="621" spans="2:2">
      <c r="B621" s="153"/>
    </row>
    <row r="622" spans="2:2">
      <c r="B622" s="153"/>
    </row>
    <row r="623" spans="2:2">
      <c r="B623" s="153"/>
    </row>
    <row r="624" spans="2:2">
      <c r="B624" s="153"/>
    </row>
    <row r="625" spans="2:2">
      <c r="B625" s="153"/>
    </row>
    <row r="626" spans="2:2">
      <c r="B626" s="153"/>
    </row>
    <row r="627" spans="2:2">
      <c r="B627" s="153"/>
    </row>
    <row r="628" spans="2:2">
      <c r="B628" s="153"/>
    </row>
    <row r="629" spans="2:2">
      <c r="B629" s="153"/>
    </row>
    <row r="630" spans="2:2">
      <c r="B630" s="153"/>
    </row>
    <row r="631" spans="2:2">
      <c r="B631" s="153"/>
    </row>
    <row r="632" spans="2:2">
      <c r="B632" s="153"/>
    </row>
    <row r="633" spans="2:2">
      <c r="B633" s="153"/>
    </row>
    <row r="634" spans="2:2">
      <c r="B634" s="153"/>
    </row>
    <row r="635" spans="2:2">
      <c r="B635" s="153"/>
    </row>
    <row r="636" spans="2:2">
      <c r="B636" s="153"/>
    </row>
    <row r="637" spans="2:2">
      <c r="B637" s="153"/>
    </row>
    <row r="638" spans="2:2">
      <c r="B638" s="153"/>
    </row>
    <row r="639" spans="2:2">
      <c r="B639" s="153"/>
    </row>
    <row r="640" spans="2:2">
      <c r="B640" s="153"/>
    </row>
    <row r="641" spans="2:2">
      <c r="B641" s="153"/>
    </row>
    <row r="642" spans="2:2">
      <c r="B642" s="153"/>
    </row>
    <row r="643" spans="2:2">
      <c r="B643" s="153"/>
    </row>
    <row r="644" spans="2:2">
      <c r="B644" s="153"/>
    </row>
    <row r="645" spans="2:2">
      <c r="B645" s="153"/>
    </row>
    <row r="646" spans="2:2">
      <c r="B646" s="153"/>
    </row>
    <row r="647" spans="2:2">
      <c r="B647" s="153"/>
    </row>
    <row r="648" spans="2:2">
      <c r="B648" s="153"/>
    </row>
    <row r="649" spans="2:2">
      <c r="B649" s="153"/>
    </row>
    <row r="650" spans="2:2">
      <c r="B650" s="153"/>
    </row>
    <row r="651" spans="2:2">
      <c r="B651" s="153"/>
    </row>
    <row r="652" spans="2:2">
      <c r="B652" s="153"/>
    </row>
    <row r="653" spans="2:2">
      <c r="B653" s="153"/>
    </row>
    <row r="654" spans="2:2">
      <c r="B654" s="153"/>
    </row>
    <row r="655" spans="2:2">
      <c r="B655" s="153"/>
    </row>
    <row r="656" spans="2:2">
      <c r="B656" s="153"/>
    </row>
    <row r="657" spans="2:2">
      <c r="B657" s="153"/>
    </row>
    <row r="658" spans="2:2">
      <c r="B658" s="153"/>
    </row>
    <row r="659" spans="2:2">
      <c r="B659" s="153"/>
    </row>
    <row r="660" spans="2:2">
      <c r="B660" s="153"/>
    </row>
    <row r="661" spans="2:2">
      <c r="B661" s="153"/>
    </row>
    <row r="662" spans="2:2">
      <c r="B662" s="153"/>
    </row>
    <row r="663" spans="2:2">
      <c r="B663" s="153"/>
    </row>
    <row r="664" spans="2:2">
      <c r="B664" s="153"/>
    </row>
    <row r="665" spans="2:2">
      <c r="B665" s="153"/>
    </row>
    <row r="666" spans="2:2">
      <c r="B666" s="153"/>
    </row>
    <row r="667" spans="2:2">
      <c r="B667" s="153"/>
    </row>
    <row r="668" spans="2:2">
      <c r="B668" s="153"/>
    </row>
    <row r="669" spans="2:2">
      <c r="B669" s="153"/>
    </row>
    <row r="670" spans="2:2">
      <c r="B670" s="153"/>
    </row>
    <row r="671" spans="2:2">
      <c r="B671" s="153"/>
    </row>
    <row r="672" spans="2:2">
      <c r="B672" s="153"/>
    </row>
    <row r="673" spans="2:2">
      <c r="B673" s="153"/>
    </row>
    <row r="674" spans="2:2">
      <c r="B674" s="153"/>
    </row>
    <row r="675" spans="2:2">
      <c r="B675" s="153"/>
    </row>
    <row r="676" spans="2:2">
      <c r="B676" s="153"/>
    </row>
    <row r="677" spans="2:2">
      <c r="B677" s="153"/>
    </row>
    <row r="678" spans="2:2">
      <c r="B678" s="153"/>
    </row>
    <row r="679" spans="2:2">
      <c r="B679" s="153"/>
    </row>
    <row r="680" spans="2:2">
      <c r="B680" s="153"/>
    </row>
    <row r="681" spans="2:2">
      <c r="B681" s="153"/>
    </row>
    <row r="682" spans="2:2">
      <c r="B682" s="153"/>
    </row>
    <row r="683" spans="2:2">
      <c r="B683" s="153"/>
    </row>
    <row r="684" spans="2:2">
      <c r="B684" s="153"/>
    </row>
    <row r="685" spans="2:2">
      <c r="B685" s="153"/>
    </row>
    <row r="686" spans="2:2">
      <c r="B686" s="153"/>
    </row>
    <row r="687" spans="2:2">
      <c r="B687" s="153"/>
    </row>
    <row r="688" spans="2:2">
      <c r="B688" s="153"/>
    </row>
    <row r="689" spans="2:2">
      <c r="B689" s="153"/>
    </row>
    <row r="690" spans="2:2">
      <c r="B690" s="153"/>
    </row>
    <row r="691" spans="2:2">
      <c r="B691" s="153"/>
    </row>
    <row r="692" spans="2:2">
      <c r="B692" s="153"/>
    </row>
    <row r="693" spans="2:2">
      <c r="B693" s="153"/>
    </row>
    <row r="694" spans="2:2">
      <c r="B694" s="153"/>
    </row>
    <row r="695" spans="2:2">
      <c r="B695" s="153"/>
    </row>
    <row r="696" spans="2:2">
      <c r="B696" s="153"/>
    </row>
    <row r="697" spans="2:2">
      <c r="B697" s="153"/>
    </row>
    <row r="698" spans="2:2">
      <c r="B698" s="153"/>
    </row>
    <row r="699" spans="2:2">
      <c r="B699" s="153"/>
    </row>
    <row r="700" spans="2:2">
      <c r="B700" s="153"/>
    </row>
    <row r="701" spans="2:2">
      <c r="B701" s="153"/>
    </row>
    <row r="702" spans="2:2">
      <c r="B702" s="153"/>
    </row>
    <row r="703" spans="2:2">
      <c r="B703" s="153"/>
    </row>
    <row r="704" spans="2:2">
      <c r="B704" s="153"/>
    </row>
    <row r="705" spans="2:2">
      <c r="B705" s="153"/>
    </row>
    <row r="706" spans="2:2">
      <c r="B706" s="153"/>
    </row>
    <row r="707" spans="2:2">
      <c r="B707" s="153"/>
    </row>
    <row r="708" spans="2:2">
      <c r="B708" s="153"/>
    </row>
    <row r="709" spans="2:2">
      <c r="B709" s="153"/>
    </row>
    <row r="710" spans="2:2">
      <c r="B710" s="153"/>
    </row>
    <row r="711" spans="2:2">
      <c r="B711" s="153"/>
    </row>
    <row r="712" spans="2:2">
      <c r="B712" s="153"/>
    </row>
    <row r="713" spans="2:2">
      <c r="B713" s="153"/>
    </row>
    <row r="714" spans="2:2">
      <c r="B714" s="153"/>
    </row>
    <row r="715" spans="2:2">
      <c r="B715" s="153"/>
    </row>
    <row r="716" spans="2:2">
      <c r="B716" s="153"/>
    </row>
    <row r="717" spans="2:2">
      <c r="B717" s="153"/>
    </row>
    <row r="718" spans="2:2">
      <c r="B718" s="153"/>
    </row>
    <row r="719" spans="2:2">
      <c r="B719" s="153"/>
    </row>
    <row r="720" spans="2:2">
      <c r="B720" s="153"/>
    </row>
    <row r="721" spans="2:2">
      <c r="B721" s="153"/>
    </row>
    <row r="722" spans="2:2">
      <c r="B722" s="153"/>
    </row>
    <row r="723" spans="2:2">
      <c r="B723" s="153"/>
    </row>
    <row r="724" spans="2:2">
      <c r="B724" s="153"/>
    </row>
    <row r="725" spans="2:2">
      <c r="B725" s="153"/>
    </row>
    <row r="726" spans="2:2">
      <c r="B726" s="153"/>
    </row>
    <row r="727" spans="2:2">
      <c r="B727" s="153"/>
    </row>
    <row r="728" spans="2:2">
      <c r="B728" s="153"/>
    </row>
    <row r="729" spans="2:2">
      <c r="B729" s="153"/>
    </row>
    <row r="730" spans="2:2">
      <c r="B730" s="153"/>
    </row>
    <row r="731" spans="2:2">
      <c r="B731" s="153"/>
    </row>
    <row r="732" spans="2:2">
      <c r="B732" s="153"/>
    </row>
    <row r="733" spans="2:2">
      <c r="B733" s="153"/>
    </row>
    <row r="734" spans="2:2">
      <c r="B734" s="153"/>
    </row>
    <row r="735" spans="2:2">
      <c r="B735" s="153"/>
    </row>
    <row r="736" spans="2:2">
      <c r="B736" s="153"/>
    </row>
    <row r="737" spans="2:2">
      <c r="B737" s="153"/>
    </row>
    <row r="738" spans="2:2">
      <c r="B738" s="153"/>
    </row>
    <row r="739" spans="2:2">
      <c r="B739" s="153"/>
    </row>
    <row r="740" spans="2:2">
      <c r="B740" s="153"/>
    </row>
    <row r="741" spans="2:2">
      <c r="B741" s="153"/>
    </row>
    <row r="742" spans="2:2">
      <c r="B742" s="153"/>
    </row>
    <row r="743" spans="2:2">
      <c r="B743" s="153"/>
    </row>
    <row r="744" spans="2:2">
      <c r="B744" s="153"/>
    </row>
    <row r="745" spans="2:2">
      <c r="B745" s="153"/>
    </row>
    <row r="746" spans="2:2">
      <c r="B746" s="153"/>
    </row>
    <row r="747" spans="2:2">
      <c r="B747" s="153"/>
    </row>
    <row r="748" spans="2:2">
      <c r="B748" s="153"/>
    </row>
    <row r="749" spans="2:2">
      <c r="B749" s="153"/>
    </row>
    <row r="750" spans="2:2">
      <c r="B750" s="153"/>
    </row>
    <row r="751" spans="2:2">
      <c r="B751" s="153"/>
    </row>
    <row r="752" spans="2:2">
      <c r="B752" s="153"/>
    </row>
    <row r="753" spans="2:2">
      <c r="B753" s="153"/>
    </row>
    <row r="754" spans="2:2">
      <c r="B754" s="153"/>
    </row>
    <row r="755" spans="2:2">
      <c r="B755" s="153"/>
    </row>
    <row r="756" spans="2:2">
      <c r="B756" s="153"/>
    </row>
    <row r="757" spans="2:2">
      <c r="B757" s="153"/>
    </row>
    <row r="758" spans="2:2">
      <c r="B758" s="153"/>
    </row>
    <row r="759" spans="2:2">
      <c r="B759" s="153"/>
    </row>
    <row r="760" spans="2:2">
      <c r="B760" s="153"/>
    </row>
    <row r="761" spans="2:2">
      <c r="B761" s="153"/>
    </row>
    <row r="762" spans="2:2">
      <c r="B762" s="153"/>
    </row>
    <row r="763" spans="2:2">
      <c r="B763" s="153"/>
    </row>
    <row r="764" spans="2:2">
      <c r="B764" s="153"/>
    </row>
    <row r="765" spans="2:2">
      <c r="B765" s="153"/>
    </row>
    <row r="766" spans="2:2">
      <c r="B766" s="153"/>
    </row>
    <row r="767" spans="2:2">
      <c r="B767" s="153"/>
    </row>
    <row r="768" spans="2:2">
      <c r="B768" s="153"/>
    </row>
    <row r="769" spans="2:2">
      <c r="B769" s="153"/>
    </row>
    <row r="770" spans="2:2">
      <c r="B770" s="153"/>
    </row>
    <row r="771" spans="2:2">
      <c r="B771" s="153"/>
    </row>
    <row r="772" spans="2:2">
      <c r="B772" s="153"/>
    </row>
    <row r="773" spans="2:2">
      <c r="B773" s="153"/>
    </row>
    <row r="774" spans="2:2">
      <c r="B774" s="153"/>
    </row>
    <row r="775" spans="2:2">
      <c r="B775" s="153"/>
    </row>
    <row r="776" spans="2:2">
      <c r="B776" s="153"/>
    </row>
    <row r="777" spans="2:2">
      <c r="B777" s="153"/>
    </row>
    <row r="778" spans="2:2">
      <c r="B778" s="153"/>
    </row>
    <row r="779" spans="2:2">
      <c r="B779" s="153"/>
    </row>
    <row r="780" spans="2:2">
      <c r="B780" s="153"/>
    </row>
    <row r="781" spans="2:2">
      <c r="B781" s="153"/>
    </row>
    <row r="782" spans="2:2">
      <c r="B782" s="153"/>
    </row>
    <row r="783" spans="2:2">
      <c r="B783" s="153"/>
    </row>
    <row r="784" spans="2:2">
      <c r="B784" s="153"/>
    </row>
    <row r="785" spans="2:2">
      <c r="B785" s="153"/>
    </row>
    <row r="786" spans="2:2">
      <c r="B786" s="153"/>
    </row>
    <row r="787" spans="2:2">
      <c r="B787" s="153"/>
    </row>
    <row r="788" spans="2:2">
      <c r="B788" s="153"/>
    </row>
    <row r="789" spans="2:2">
      <c r="B789" s="153"/>
    </row>
    <row r="790" spans="2:2">
      <c r="B790" s="153"/>
    </row>
    <row r="791" spans="2:2">
      <c r="B791" s="153"/>
    </row>
    <row r="792" spans="2:2">
      <c r="B792" s="153"/>
    </row>
    <row r="793" spans="2:2">
      <c r="B793" s="153"/>
    </row>
    <row r="794" spans="2:2">
      <c r="B794" s="153"/>
    </row>
    <row r="795" spans="2:2">
      <c r="B795" s="153"/>
    </row>
    <row r="796" spans="2:2">
      <c r="B796" s="153"/>
    </row>
    <row r="797" spans="2:2">
      <c r="B797" s="153"/>
    </row>
    <row r="798" spans="2:2">
      <c r="B798" s="153"/>
    </row>
    <row r="799" spans="2:2">
      <c r="B799" s="153"/>
    </row>
    <row r="800" spans="2:2">
      <c r="B800" s="153"/>
    </row>
    <row r="801" spans="2:2">
      <c r="B801" s="153"/>
    </row>
    <row r="802" spans="2:2">
      <c r="B802" s="153"/>
    </row>
    <row r="803" spans="2:2">
      <c r="B803" s="153"/>
    </row>
    <row r="804" spans="2:2">
      <c r="B804" s="153"/>
    </row>
    <row r="805" spans="2:2">
      <c r="B805" s="153"/>
    </row>
    <row r="806" spans="2:2">
      <c r="B806" s="153"/>
    </row>
    <row r="807" spans="2:2">
      <c r="B807" s="153"/>
    </row>
    <row r="808" spans="2:2">
      <c r="B808" s="153"/>
    </row>
    <row r="809" spans="2:2">
      <c r="B809" s="153"/>
    </row>
    <row r="810" spans="2:2">
      <c r="B810" s="153"/>
    </row>
    <row r="811" spans="2:2">
      <c r="B811" s="153"/>
    </row>
    <row r="812" spans="2:2">
      <c r="B812" s="153"/>
    </row>
    <row r="813" spans="2:2">
      <c r="B813" s="153"/>
    </row>
    <row r="814" spans="2:2">
      <c r="B814" s="153"/>
    </row>
    <row r="815" spans="2:2">
      <c r="B815" s="153"/>
    </row>
    <row r="816" spans="2:2">
      <c r="B816" s="153"/>
    </row>
    <row r="817" spans="2:2">
      <c r="B817" s="153"/>
    </row>
    <row r="818" spans="2:2">
      <c r="B818" s="153"/>
    </row>
    <row r="819" spans="2:2">
      <c r="B819" s="153"/>
    </row>
    <row r="820" spans="2:2">
      <c r="B820" s="153"/>
    </row>
    <row r="821" spans="2:2">
      <c r="B821" s="153"/>
    </row>
    <row r="822" spans="2:2">
      <c r="B822" s="153"/>
    </row>
    <row r="823" spans="2:2">
      <c r="B823" s="153"/>
    </row>
    <row r="824" spans="2:2">
      <c r="B824" s="153"/>
    </row>
    <row r="825" spans="2:2">
      <c r="B825" s="153"/>
    </row>
    <row r="826" spans="2:2">
      <c r="B826" s="153"/>
    </row>
    <row r="827" spans="2:2">
      <c r="B827" s="153"/>
    </row>
    <row r="828" spans="2:2">
      <c r="B828" s="153"/>
    </row>
    <row r="829" spans="2:2">
      <c r="B829" s="153"/>
    </row>
    <row r="830" spans="2:2">
      <c r="B830" s="153"/>
    </row>
    <row r="831" spans="2:2">
      <c r="B831" s="153"/>
    </row>
    <row r="832" spans="2:2">
      <c r="B832" s="153"/>
    </row>
    <row r="833" spans="2:2">
      <c r="B833" s="153"/>
    </row>
    <row r="834" spans="2:2">
      <c r="B834" s="153"/>
    </row>
    <row r="835" spans="2:2">
      <c r="B835" s="153"/>
    </row>
    <row r="836" spans="2:2">
      <c r="B836" s="153"/>
    </row>
    <row r="837" spans="2:2">
      <c r="B837" s="153"/>
    </row>
    <row r="838" spans="2:2">
      <c r="B838" s="153"/>
    </row>
    <row r="839" spans="2:2">
      <c r="B839" s="153"/>
    </row>
    <row r="840" spans="2:2">
      <c r="B840" s="153"/>
    </row>
    <row r="841" spans="2:2">
      <c r="B841" s="153"/>
    </row>
    <row r="842" spans="2:2">
      <c r="B842" s="153"/>
    </row>
    <row r="843" spans="2:2">
      <c r="B843" s="153"/>
    </row>
    <row r="844" spans="2:2">
      <c r="B844" s="153"/>
    </row>
    <row r="845" spans="2:2">
      <c r="B845" s="153"/>
    </row>
    <row r="846" spans="2:2">
      <c r="B846" s="153"/>
    </row>
    <row r="847" spans="2:2">
      <c r="B847" s="153"/>
    </row>
    <row r="848" spans="2:2">
      <c r="B848" s="153"/>
    </row>
  </sheetData>
  <mergeCells count="14">
    <mergeCell ref="A24:D24"/>
    <mergeCell ref="A25:D25"/>
    <mergeCell ref="A2:D2"/>
    <mergeCell ref="A3:D3"/>
    <mergeCell ref="A4:D4"/>
    <mergeCell ref="A5:D5"/>
    <mergeCell ref="A6:D6"/>
    <mergeCell ref="A9:A18"/>
    <mergeCell ref="A19:C19"/>
    <mergeCell ref="A20:C20"/>
    <mergeCell ref="A21:C21"/>
    <mergeCell ref="B9:B16"/>
    <mergeCell ref="B17:C17"/>
    <mergeCell ref="B18:C18"/>
  </mergeCells>
  <pageMargins left="0.7" right="0.7" top="0.75" bottom="0.75" header="0.3" footer="0.3"/>
  <pageSetup paperSize="9" scale="83" fitToHeight="0" orientation="portrait" horizontalDpi="300" verticalDpi="300" r:id="rId2"/>
  <headerFooter>
    <oddFooter>&amp;R&amp;P de &amp;N</oddFooter>
  </headerFooter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62"/>
  <sheetViews>
    <sheetView workbookViewId="0">
      <selection activeCell="A9" sqref="A9"/>
    </sheetView>
  </sheetViews>
  <sheetFormatPr baseColWidth="10" defaultColWidth="11.5703125" defaultRowHeight="16.5"/>
  <cols>
    <col min="1" max="1" width="11.5703125" style="160"/>
    <col min="2" max="2" width="18.140625" style="160" bestFit="1" customWidth="1"/>
    <col min="3" max="3" width="68.28515625" style="158" customWidth="1"/>
    <col min="4" max="4" width="11.5703125" style="161"/>
    <col min="5" max="16384" width="11.5703125" style="158"/>
  </cols>
  <sheetData>
    <row r="1" spans="1:4" ht="18" customHeight="1">
      <c r="A1" s="154" t="s">
        <v>668</v>
      </c>
      <c r="B1" s="155"/>
      <c r="C1" s="156"/>
      <c r="D1" s="157"/>
    </row>
    <row r="2" spans="1:4">
      <c r="A2" s="159" t="s">
        <v>669</v>
      </c>
    </row>
    <row r="3" spans="1:4">
      <c r="A3" s="159" t="s">
        <v>670</v>
      </c>
    </row>
    <row r="4" spans="1:4">
      <c r="A4" s="159"/>
    </row>
    <row r="5" spans="1:4">
      <c r="A5" s="162" t="s">
        <v>671</v>
      </c>
      <c r="B5" s="159"/>
    </row>
    <row r="6" spans="1:4">
      <c r="A6" s="163" t="s">
        <v>672</v>
      </c>
      <c r="B6" s="163" t="s">
        <v>546</v>
      </c>
      <c r="C6" s="164" t="s">
        <v>144</v>
      </c>
      <c r="D6" s="165" t="s">
        <v>673</v>
      </c>
    </row>
    <row r="7" spans="1:4" ht="27">
      <c r="A7" s="166" t="s">
        <v>625</v>
      </c>
      <c r="B7" s="166" t="s">
        <v>629</v>
      </c>
      <c r="C7" s="167" t="s">
        <v>674</v>
      </c>
      <c r="D7" s="168">
        <f>50332.82/3</f>
        <v>16777.606666666667</v>
      </c>
    </row>
    <row r="8" spans="1:4" ht="27">
      <c r="A8" s="166" t="s">
        <v>630</v>
      </c>
      <c r="B8" s="166" t="s">
        <v>675</v>
      </c>
      <c r="C8" s="167" t="s">
        <v>674</v>
      </c>
      <c r="D8" s="168">
        <f>50332.82/3</f>
        <v>16777.606666666667</v>
      </c>
    </row>
    <row r="9" spans="1:4" ht="27">
      <c r="A9" s="166" t="s">
        <v>630</v>
      </c>
      <c r="B9" s="166" t="s">
        <v>676</v>
      </c>
      <c r="C9" s="167" t="s">
        <v>674</v>
      </c>
      <c r="D9" s="168">
        <f>50332.82/3</f>
        <v>16777.606666666667</v>
      </c>
    </row>
    <row r="10" spans="1:4" ht="27">
      <c r="A10" s="166" t="s">
        <v>199</v>
      </c>
      <c r="B10" s="169" t="s">
        <v>637</v>
      </c>
      <c r="C10" s="167" t="s">
        <v>677</v>
      </c>
      <c r="D10" s="168">
        <f>97206.87/3</f>
        <v>32402.289999999997</v>
      </c>
    </row>
    <row r="11" spans="1:4" ht="27">
      <c r="A11" s="166" t="s">
        <v>272</v>
      </c>
      <c r="B11" s="166" t="s">
        <v>678</v>
      </c>
      <c r="C11" s="167" t="s">
        <v>677</v>
      </c>
      <c r="D11" s="168">
        <f>97206.87/3</f>
        <v>32402.289999999997</v>
      </c>
    </row>
    <row r="12" spans="1:4" ht="27">
      <c r="A12" s="166" t="s">
        <v>272</v>
      </c>
      <c r="B12" s="166" t="s">
        <v>570</v>
      </c>
      <c r="C12" s="167" t="s">
        <v>677</v>
      </c>
      <c r="D12" s="168">
        <f>97206.87/3</f>
        <v>32402.289999999997</v>
      </c>
    </row>
    <row r="13" spans="1:4" ht="27">
      <c r="A13" s="166" t="s">
        <v>571</v>
      </c>
      <c r="B13" s="166" t="s">
        <v>355</v>
      </c>
      <c r="C13" s="167" t="s">
        <v>679</v>
      </c>
      <c r="D13" s="168">
        <v>27748</v>
      </c>
    </row>
    <row r="14" spans="1:4" ht="27">
      <c r="A14" s="166" t="s">
        <v>571</v>
      </c>
      <c r="B14" s="166" t="s">
        <v>331</v>
      </c>
      <c r="C14" s="167" t="s">
        <v>680</v>
      </c>
      <c r="D14" s="168">
        <v>45728.87</v>
      </c>
    </row>
    <row r="15" spans="1:4">
      <c r="A15" s="166" t="s">
        <v>575</v>
      </c>
      <c r="B15" s="166" t="s">
        <v>575</v>
      </c>
      <c r="C15" s="167" t="s">
        <v>681</v>
      </c>
      <c r="D15" s="168">
        <v>30000</v>
      </c>
    </row>
    <row r="16" spans="1:4">
      <c r="A16" s="166" t="s">
        <v>625</v>
      </c>
      <c r="B16" s="166" t="s">
        <v>295</v>
      </c>
      <c r="C16" s="167" t="s">
        <v>681</v>
      </c>
      <c r="D16" s="168">
        <v>30000</v>
      </c>
    </row>
    <row r="17" spans="1:4">
      <c r="A17" s="166" t="s">
        <v>604</v>
      </c>
      <c r="B17" s="166" t="s">
        <v>604</v>
      </c>
      <c r="C17" s="167" t="s">
        <v>682</v>
      </c>
      <c r="D17" s="168">
        <v>20000</v>
      </c>
    </row>
    <row r="18" spans="1:4">
      <c r="A18" s="166" t="s">
        <v>575</v>
      </c>
      <c r="B18" s="166" t="s">
        <v>578</v>
      </c>
      <c r="C18" s="167" t="s">
        <v>682</v>
      </c>
      <c r="D18" s="168">
        <v>20000</v>
      </c>
    </row>
    <row r="19" spans="1:4">
      <c r="A19" s="166" t="s">
        <v>321</v>
      </c>
      <c r="B19" s="166" t="s">
        <v>321</v>
      </c>
      <c r="C19" s="167" t="s">
        <v>682</v>
      </c>
      <c r="D19" s="168">
        <v>20000</v>
      </c>
    </row>
    <row r="20" spans="1:4">
      <c r="A20" s="166" t="s">
        <v>430</v>
      </c>
      <c r="B20" s="166" t="s">
        <v>683</v>
      </c>
      <c r="C20" s="170" t="s">
        <v>684</v>
      </c>
      <c r="D20" s="171">
        <v>14000.5</v>
      </c>
    </row>
    <row r="21" spans="1:4">
      <c r="A21" s="166" t="s">
        <v>430</v>
      </c>
      <c r="B21" s="166" t="s">
        <v>425</v>
      </c>
      <c r="C21" s="170" t="s">
        <v>685</v>
      </c>
      <c r="D21" s="171">
        <v>97206.87</v>
      </c>
    </row>
    <row r="22" spans="1:4">
      <c r="A22" s="166" t="s">
        <v>686</v>
      </c>
      <c r="B22" s="166" t="s">
        <v>687</v>
      </c>
      <c r="C22" s="170" t="s">
        <v>688</v>
      </c>
      <c r="D22" s="171">
        <v>19375</v>
      </c>
    </row>
    <row r="23" spans="1:4">
      <c r="A23" s="166" t="s">
        <v>689</v>
      </c>
      <c r="B23" s="166" t="s">
        <v>690</v>
      </c>
      <c r="C23" s="170" t="s">
        <v>691</v>
      </c>
      <c r="D23" s="171">
        <v>19375</v>
      </c>
    </row>
    <row r="24" spans="1:4">
      <c r="A24" s="166" t="s">
        <v>692</v>
      </c>
      <c r="B24" s="166" t="s">
        <v>693</v>
      </c>
      <c r="C24" s="170" t="s">
        <v>694</v>
      </c>
      <c r="D24" s="171">
        <v>19375</v>
      </c>
    </row>
    <row r="25" spans="1:4">
      <c r="A25" s="166" t="s">
        <v>695</v>
      </c>
      <c r="B25" s="166" t="s">
        <v>696</v>
      </c>
      <c r="C25" s="170" t="s">
        <v>697</v>
      </c>
      <c r="D25" s="171">
        <v>19375</v>
      </c>
    </row>
    <row r="26" spans="1:4">
      <c r="A26" s="166" t="s">
        <v>686</v>
      </c>
      <c r="B26" s="166" t="s">
        <v>687</v>
      </c>
      <c r="C26" s="170" t="s">
        <v>698</v>
      </c>
      <c r="D26" s="171">
        <v>10000</v>
      </c>
    </row>
    <row r="27" spans="1:4">
      <c r="A27" s="166" t="s">
        <v>689</v>
      </c>
      <c r="B27" s="166" t="s">
        <v>690</v>
      </c>
      <c r="C27" s="170" t="s">
        <v>699</v>
      </c>
      <c r="D27" s="171">
        <v>10000</v>
      </c>
    </row>
    <row r="28" spans="1:4">
      <c r="A28" s="166" t="s">
        <v>692</v>
      </c>
      <c r="B28" s="166" t="s">
        <v>693</v>
      </c>
      <c r="C28" s="170" t="s">
        <v>700</v>
      </c>
      <c r="D28" s="171">
        <v>10000</v>
      </c>
    </row>
    <row r="29" spans="1:4">
      <c r="A29" s="166" t="s">
        <v>695</v>
      </c>
      <c r="B29" s="166" t="s">
        <v>696</v>
      </c>
      <c r="C29" s="170" t="s">
        <v>701</v>
      </c>
      <c r="D29" s="171">
        <v>10000</v>
      </c>
    </row>
    <row r="30" spans="1:4">
      <c r="A30" s="172"/>
      <c r="B30" s="172"/>
      <c r="C30" s="173" t="s">
        <v>702</v>
      </c>
      <c r="D30" s="174">
        <f>SUM(D7:D29)</f>
        <v>569723.92999999993</v>
      </c>
    </row>
    <row r="31" spans="1:4">
      <c r="A31" s="175" t="s">
        <v>703</v>
      </c>
      <c r="B31" s="176"/>
      <c r="C31" s="177"/>
      <c r="D31" s="178"/>
    </row>
    <row r="32" spans="1:4">
      <c r="A32" s="163" t="s">
        <v>672</v>
      </c>
      <c r="B32" s="163" t="s">
        <v>546</v>
      </c>
      <c r="C32" s="164" t="s">
        <v>144</v>
      </c>
      <c r="D32" s="165" t="s">
        <v>673</v>
      </c>
    </row>
    <row r="33" spans="1:4" ht="39.75">
      <c r="A33" s="166" t="s">
        <v>686</v>
      </c>
      <c r="B33" s="166" t="s">
        <v>687</v>
      </c>
      <c r="C33" s="167" t="s">
        <v>704</v>
      </c>
      <c r="D33" s="179">
        <v>25866</v>
      </c>
    </row>
    <row r="34" spans="1:4" ht="39.75">
      <c r="A34" s="166" t="s">
        <v>689</v>
      </c>
      <c r="B34" s="166" t="s">
        <v>690</v>
      </c>
      <c r="C34" s="167" t="s">
        <v>705</v>
      </c>
      <c r="D34" s="179">
        <v>159352</v>
      </c>
    </row>
    <row r="35" spans="1:4" ht="39.75">
      <c r="A35" s="166" t="s">
        <v>692</v>
      </c>
      <c r="B35" s="166" t="s">
        <v>693</v>
      </c>
      <c r="C35" s="167" t="s">
        <v>706</v>
      </c>
      <c r="D35" s="179">
        <v>76375</v>
      </c>
    </row>
    <row r="36" spans="1:4" ht="39.75">
      <c r="A36" s="166" t="s">
        <v>695</v>
      </c>
      <c r="B36" s="166" t="s">
        <v>696</v>
      </c>
      <c r="C36" s="167" t="s">
        <v>707</v>
      </c>
      <c r="D36" s="179">
        <v>118022</v>
      </c>
    </row>
    <row r="37" spans="1:4" ht="52.5">
      <c r="A37" s="166" t="s">
        <v>686</v>
      </c>
      <c r="B37" s="166" t="s">
        <v>687</v>
      </c>
      <c r="C37" s="167" t="s">
        <v>708</v>
      </c>
      <c r="D37" s="179">
        <v>591750</v>
      </c>
    </row>
    <row r="38" spans="1:4" ht="52.5">
      <c r="A38" s="166" t="s">
        <v>689</v>
      </c>
      <c r="B38" s="166" t="s">
        <v>690</v>
      </c>
      <c r="C38" s="167" t="s">
        <v>709</v>
      </c>
      <c r="D38" s="179">
        <v>1100292</v>
      </c>
    </row>
    <row r="39" spans="1:4" ht="52.5">
      <c r="A39" s="166" t="s">
        <v>692</v>
      </c>
      <c r="B39" s="166" t="s">
        <v>693</v>
      </c>
      <c r="C39" s="167" t="s">
        <v>710</v>
      </c>
      <c r="D39" s="179">
        <v>599294</v>
      </c>
    </row>
    <row r="40" spans="1:4" ht="52.5">
      <c r="A40" s="166" t="s">
        <v>695</v>
      </c>
      <c r="B40" s="166" t="s">
        <v>696</v>
      </c>
      <c r="C40" s="167" t="s">
        <v>711</v>
      </c>
      <c r="D40" s="179">
        <v>430939</v>
      </c>
    </row>
    <row r="41" spans="1:4" ht="39.75">
      <c r="A41" s="166" t="s">
        <v>686</v>
      </c>
      <c r="B41" s="166" t="s">
        <v>687</v>
      </c>
      <c r="C41" s="167" t="s">
        <v>712</v>
      </c>
      <c r="D41" s="179">
        <v>8879</v>
      </c>
    </row>
    <row r="42" spans="1:4" ht="39.75">
      <c r="A42" s="166" t="s">
        <v>689</v>
      </c>
      <c r="B42" s="166" t="s">
        <v>690</v>
      </c>
      <c r="C42" s="167" t="s">
        <v>713</v>
      </c>
      <c r="D42" s="179">
        <v>59755</v>
      </c>
    </row>
    <row r="43" spans="1:4" ht="39.75">
      <c r="A43" s="166" t="s">
        <v>692</v>
      </c>
      <c r="B43" s="166" t="s">
        <v>693</v>
      </c>
      <c r="C43" s="167" t="s">
        <v>714</v>
      </c>
      <c r="D43" s="179">
        <v>78587</v>
      </c>
    </row>
    <row r="44" spans="1:4" ht="39.75">
      <c r="A44" s="166" t="s">
        <v>695</v>
      </c>
      <c r="B44" s="166" t="s">
        <v>696</v>
      </c>
      <c r="C44" s="167" t="s">
        <v>715</v>
      </c>
      <c r="D44" s="179">
        <v>17714</v>
      </c>
    </row>
    <row r="45" spans="1:4" ht="27">
      <c r="A45" s="166" t="s">
        <v>686</v>
      </c>
      <c r="B45" s="166" t="s">
        <v>687</v>
      </c>
      <c r="C45" s="167" t="s">
        <v>716</v>
      </c>
      <c r="D45" s="179">
        <v>10000</v>
      </c>
    </row>
    <row r="46" spans="1:4" ht="27">
      <c r="A46" s="166" t="s">
        <v>689</v>
      </c>
      <c r="B46" s="166" t="s">
        <v>690</v>
      </c>
      <c r="C46" s="167" t="s">
        <v>717</v>
      </c>
      <c r="D46" s="179">
        <v>10000</v>
      </c>
    </row>
    <row r="47" spans="1:4" ht="27">
      <c r="A47" s="166" t="s">
        <v>692</v>
      </c>
      <c r="B47" s="166" t="s">
        <v>693</v>
      </c>
      <c r="C47" s="167" t="s">
        <v>718</v>
      </c>
      <c r="D47" s="179">
        <v>6477</v>
      </c>
    </row>
    <row r="48" spans="1:4" ht="27">
      <c r="A48" s="166" t="s">
        <v>695</v>
      </c>
      <c r="B48" s="166" t="s">
        <v>696</v>
      </c>
      <c r="C48" s="167" t="s">
        <v>719</v>
      </c>
      <c r="D48" s="179">
        <v>1572</v>
      </c>
    </row>
    <row r="49" spans="1:4">
      <c r="A49" s="166" t="s">
        <v>686</v>
      </c>
      <c r="B49" s="166" t="s">
        <v>687</v>
      </c>
      <c r="C49" s="170" t="s">
        <v>688</v>
      </c>
      <c r="D49" s="171">
        <v>19375</v>
      </c>
    </row>
    <row r="50" spans="1:4">
      <c r="A50" s="166" t="s">
        <v>689</v>
      </c>
      <c r="B50" s="166" t="s">
        <v>690</v>
      </c>
      <c r="C50" s="170" t="s">
        <v>691</v>
      </c>
      <c r="D50" s="171">
        <v>19375</v>
      </c>
    </row>
    <row r="51" spans="1:4">
      <c r="A51" s="166" t="s">
        <v>692</v>
      </c>
      <c r="B51" s="166" t="s">
        <v>693</v>
      </c>
      <c r="C51" s="170" t="s">
        <v>694</v>
      </c>
      <c r="D51" s="171">
        <v>19375</v>
      </c>
    </row>
    <row r="52" spans="1:4">
      <c r="A52" s="166" t="s">
        <v>695</v>
      </c>
      <c r="B52" s="166" t="s">
        <v>696</v>
      </c>
      <c r="C52" s="170" t="s">
        <v>697</v>
      </c>
      <c r="D52" s="171">
        <v>19375</v>
      </c>
    </row>
    <row r="53" spans="1:4">
      <c r="A53" s="166" t="s">
        <v>686</v>
      </c>
      <c r="B53" s="166" t="s">
        <v>687</v>
      </c>
      <c r="C53" s="170" t="s">
        <v>698</v>
      </c>
      <c r="D53" s="171">
        <v>10000</v>
      </c>
    </row>
    <row r="54" spans="1:4">
      <c r="A54" s="166" t="s">
        <v>689</v>
      </c>
      <c r="B54" s="166" t="s">
        <v>690</v>
      </c>
      <c r="C54" s="170" t="s">
        <v>699</v>
      </c>
      <c r="D54" s="171">
        <v>10000</v>
      </c>
    </row>
    <row r="55" spans="1:4">
      <c r="A55" s="166" t="s">
        <v>692</v>
      </c>
      <c r="B55" s="166" t="s">
        <v>693</v>
      </c>
      <c r="C55" s="170" t="s">
        <v>700</v>
      </c>
      <c r="D55" s="171">
        <v>10000</v>
      </c>
    </row>
    <row r="56" spans="1:4">
      <c r="A56" s="166" t="s">
        <v>695</v>
      </c>
      <c r="B56" s="166" t="s">
        <v>696</v>
      </c>
      <c r="C56" s="170" t="s">
        <v>701</v>
      </c>
      <c r="D56" s="171">
        <v>10000</v>
      </c>
    </row>
    <row r="57" spans="1:4">
      <c r="A57" s="166" t="s">
        <v>720</v>
      </c>
      <c r="B57" s="166" t="s">
        <v>720</v>
      </c>
      <c r="C57" s="167" t="s">
        <v>721</v>
      </c>
      <c r="D57" s="179">
        <v>152162</v>
      </c>
    </row>
    <row r="58" spans="1:4">
      <c r="A58" s="166" t="s">
        <v>468</v>
      </c>
      <c r="B58" s="166" t="s">
        <v>722</v>
      </c>
      <c r="C58" s="167" t="s">
        <v>723</v>
      </c>
      <c r="D58" s="179">
        <v>990213</v>
      </c>
    </row>
    <row r="59" spans="1:4">
      <c r="A59" s="180" t="s">
        <v>724</v>
      </c>
      <c r="B59" s="176"/>
      <c r="C59" s="177"/>
      <c r="D59" s="181"/>
    </row>
    <row r="60" spans="1:4">
      <c r="A60" s="176"/>
      <c r="B60" s="176"/>
      <c r="C60" s="182" t="s">
        <v>725</v>
      </c>
      <c r="D60" s="183">
        <f>SUM(D33:D58)</f>
        <v>4554749</v>
      </c>
    </row>
    <row r="62" spans="1:4">
      <c r="C62" s="182" t="s">
        <v>9</v>
      </c>
      <c r="D62" s="183">
        <f>+D60+D30</f>
        <v>5124472.93</v>
      </c>
    </row>
  </sheetData>
  <pageMargins left="0.7" right="0.7" top="0.75" bottom="0.75" header="0.3" footer="0.3"/>
  <pageSetup paperSize="9" scale="81" fitToHeight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296"/>
  <sheetViews>
    <sheetView showZeros="0" zoomScale="50" zoomScaleNormal="50" zoomScaleSheetLayoutView="55" workbookViewId="0">
      <pane ySplit="2805" topLeftCell="A10" activePane="bottomLeft"/>
      <selection activeCell="W6" sqref="W6"/>
      <selection pane="bottomLeft" activeCell="V46" sqref="V46"/>
    </sheetView>
  </sheetViews>
  <sheetFormatPr baseColWidth="10" defaultColWidth="11.42578125" defaultRowHeight="23.25"/>
  <cols>
    <col min="1" max="1" width="7.28515625" style="115" customWidth="1"/>
    <col min="2" max="2" width="18.42578125" style="114" customWidth="1"/>
    <col min="3" max="3" width="22.7109375" style="63" customWidth="1"/>
    <col min="4" max="4" width="41.7109375" style="63" customWidth="1"/>
    <col min="5" max="5" width="1.85546875" style="198" hidden="1" customWidth="1"/>
    <col min="6" max="6" width="8" style="63" hidden="1" customWidth="1"/>
    <col min="7" max="7" width="15" style="63" hidden="1" customWidth="1"/>
    <col min="8" max="8" width="19.28515625" style="63" hidden="1" customWidth="1"/>
    <col min="9" max="9" width="16.7109375" style="63" hidden="1" customWidth="1"/>
    <col min="10" max="10" width="15.5703125" style="63" hidden="1" customWidth="1"/>
    <col min="11" max="11" width="9" style="63" hidden="1" customWidth="1"/>
    <col min="12" max="12" width="14.28515625" style="63" hidden="1" customWidth="1"/>
    <col min="13" max="13" width="19.5703125" style="63" hidden="1" customWidth="1"/>
    <col min="14" max="14" width="31.5703125" style="63" customWidth="1"/>
    <col min="15" max="15" width="14.140625" style="116" hidden="1" customWidth="1"/>
    <col min="16" max="16" width="11.7109375" style="116" hidden="1" customWidth="1"/>
    <col min="17" max="17" width="11.42578125" style="116" hidden="1" customWidth="1"/>
    <col min="18" max="18" width="21.5703125" style="117" hidden="1" customWidth="1"/>
    <col min="19" max="19" width="27.42578125" style="117" hidden="1" customWidth="1"/>
    <col min="20" max="20" width="25" style="63" hidden="1" customWidth="1"/>
    <col min="21" max="21" width="16.28515625" style="63" hidden="1" customWidth="1"/>
    <col min="22" max="22" width="26.85546875" style="63" customWidth="1"/>
    <col min="23" max="23" width="18.28515625" style="117" customWidth="1"/>
    <col min="24" max="24" width="20.140625" style="117" customWidth="1"/>
    <col min="25" max="25" width="29.42578125" style="118" customWidth="1"/>
    <col min="26" max="26" width="11.42578125" style="63" customWidth="1"/>
    <col min="27" max="27" width="24" style="63" customWidth="1"/>
    <col min="28" max="28" width="13.42578125" style="63" customWidth="1"/>
    <col min="29" max="29" width="21.42578125" style="63" customWidth="1"/>
    <col min="30" max="30" width="16.28515625" style="119" customWidth="1"/>
    <col min="31" max="31" width="14.7109375" style="63" bestFit="1" customWidth="1"/>
    <col min="32" max="32" width="13.5703125" style="63" customWidth="1"/>
    <col min="33" max="50" width="11.42578125" style="63" customWidth="1"/>
    <col min="51" max="16384" width="11.42578125" style="63"/>
  </cols>
  <sheetData>
    <row r="1" spans="1:32" ht="24" thickTop="1">
      <c r="A1" s="204"/>
      <c r="B1" s="205"/>
      <c r="C1" s="1024" t="s">
        <v>736</v>
      </c>
      <c r="D1" s="1024"/>
      <c r="E1" s="1024"/>
      <c r="F1" s="1024"/>
      <c r="G1" s="1024"/>
      <c r="H1" s="1024"/>
      <c r="I1" s="1024"/>
      <c r="J1" s="1024"/>
      <c r="K1" s="1024"/>
      <c r="L1" s="1024"/>
      <c r="M1" s="1024"/>
      <c r="N1" s="1024"/>
      <c r="O1" s="1024"/>
      <c r="P1" s="1024"/>
      <c r="Q1" s="1024"/>
      <c r="R1" s="1024"/>
      <c r="S1" s="1024"/>
      <c r="T1" s="1024"/>
      <c r="U1" s="1024"/>
      <c r="V1" s="1024"/>
      <c r="W1" s="1024"/>
      <c r="X1" s="1024"/>
      <c r="Y1" s="1024"/>
      <c r="Z1" s="1024"/>
      <c r="AA1" s="1024"/>
      <c r="AB1" s="1024"/>
      <c r="AC1" s="1024"/>
      <c r="AD1" s="206"/>
      <c r="AE1" s="207"/>
      <c r="AF1" s="207"/>
    </row>
    <row r="2" spans="1:32" s="70" customFormat="1">
      <c r="A2" s="208"/>
      <c r="B2" s="209"/>
      <c r="C2" s="64" t="s">
        <v>727</v>
      </c>
      <c r="D2" s="210"/>
      <c r="E2" s="211"/>
      <c r="F2" s="212"/>
      <c r="G2" s="65"/>
      <c r="H2" s="65"/>
      <c r="I2" s="65"/>
      <c r="J2" s="65"/>
      <c r="K2" s="65"/>
      <c r="L2" s="65"/>
      <c r="M2" s="65"/>
      <c r="N2" s="65"/>
      <c r="O2" s="66"/>
      <c r="P2" s="66"/>
      <c r="Q2" s="66"/>
      <c r="R2" s="65"/>
      <c r="S2" s="65"/>
      <c r="T2" s="65"/>
      <c r="U2" s="65"/>
      <c r="V2" s="65"/>
      <c r="W2" s="65"/>
      <c r="X2" s="65"/>
      <c r="Y2" s="213"/>
      <c r="Z2" s="65"/>
      <c r="AA2" s="65"/>
      <c r="AB2" s="65"/>
      <c r="AC2" s="68"/>
      <c r="AD2" s="69"/>
      <c r="AE2" s="207"/>
      <c r="AF2" s="207"/>
    </row>
    <row r="3" spans="1:32" s="70" customFormat="1">
      <c r="A3" s="208"/>
      <c r="B3" s="209"/>
      <c r="C3" s="214" t="s">
        <v>127</v>
      </c>
      <c r="D3" s="210"/>
      <c r="E3" s="211"/>
      <c r="F3" s="212"/>
      <c r="G3" s="65"/>
      <c r="H3" s="65"/>
      <c r="I3" s="71"/>
      <c r="J3" s="70" t="s">
        <v>128</v>
      </c>
      <c r="K3" s="65"/>
      <c r="L3" s="71" t="s">
        <v>737</v>
      </c>
      <c r="M3" s="65"/>
      <c r="N3" s="65"/>
      <c r="O3" s="66"/>
      <c r="P3" s="66"/>
      <c r="Q3" s="66"/>
      <c r="R3" s="72"/>
      <c r="S3" s="65"/>
      <c r="T3" s="65"/>
      <c r="U3" s="65"/>
      <c r="V3" s="65"/>
      <c r="W3" s="65"/>
      <c r="X3" s="65"/>
      <c r="Y3" s="213"/>
      <c r="Z3" s="65"/>
      <c r="AA3" s="65"/>
      <c r="AB3" s="65"/>
      <c r="AC3" s="68"/>
      <c r="AD3" s="69"/>
      <c r="AE3" s="207"/>
      <c r="AF3" s="207"/>
    </row>
    <row r="4" spans="1:32">
      <c r="A4" s="208"/>
      <c r="B4" s="209"/>
      <c r="C4" s="215" t="s">
        <v>130</v>
      </c>
      <c r="D4" s="84">
        <v>41641</v>
      </c>
      <c r="E4" s="197"/>
      <c r="F4" s="73" t="s">
        <v>131</v>
      </c>
      <c r="G4" s="1025">
        <v>41759</v>
      </c>
      <c r="H4" s="1025"/>
      <c r="I4" s="1025"/>
      <c r="J4" s="75" t="s">
        <v>132</v>
      </c>
      <c r="K4" s="76"/>
      <c r="L4" s="77" t="s">
        <v>133</v>
      </c>
      <c r="M4" s="76"/>
      <c r="N4" s="76"/>
      <c r="O4" s="78"/>
      <c r="P4" s="78"/>
      <c r="Q4" s="78"/>
      <c r="R4" s="75"/>
      <c r="S4" s="75"/>
      <c r="T4" s="75"/>
      <c r="U4" s="75"/>
      <c r="V4" s="75"/>
      <c r="W4" s="75"/>
      <c r="X4" s="75"/>
      <c r="Y4" s="216"/>
      <c r="Z4" s="80"/>
      <c r="AA4" s="81"/>
      <c r="AB4" s="80"/>
      <c r="AC4" s="82"/>
      <c r="AD4" s="83"/>
      <c r="AE4" s="207"/>
      <c r="AF4" s="207"/>
    </row>
    <row r="5" spans="1:32" ht="24" thickBot="1">
      <c r="A5" s="208"/>
      <c r="B5" s="209"/>
      <c r="C5" s="215"/>
      <c r="D5" s="84"/>
      <c r="E5" s="197"/>
      <c r="F5" s="73"/>
      <c r="G5" s="85"/>
      <c r="H5" s="85"/>
      <c r="I5" s="85"/>
      <c r="J5" s="75"/>
      <c r="K5" s="76"/>
      <c r="L5" s="76"/>
      <c r="M5" s="76"/>
      <c r="N5" s="76"/>
      <c r="O5" s="78"/>
      <c r="P5" s="78"/>
      <c r="Q5" s="78"/>
      <c r="R5" s="75"/>
      <c r="S5" s="75"/>
      <c r="T5" s="75"/>
      <c r="U5" s="75"/>
      <c r="V5" s="75"/>
      <c r="W5" s="75"/>
      <c r="X5" s="75"/>
      <c r="Y5" s="216"/>
      <c r="Z5" s="80"/>
      <c r="AA5" s="80"/>
      <c r="AB5" s="80"/>
      <c r="AC5" s="82"/>
      <c r="AD5" s="83"/>
      <c r="AE5" s="207"/>
      <c r="AF5" s="207"/>
    </row>
    <row r="6" spans="1:32" ht="26.25" thickTop="1">
      <c r="A6" s="1026" t="s">
        <v>134</v>
      </c>
      <c r="B6" s="1027"/>
      <c r="C6" s="217" t="s">
        <v>135</v>
      </c>
      <c r="D6" s="86">
        <f>SUBTOTAL(3,B11:B290)</f>
        <v>36</v>
      </c>
      <c r="E6" s="87"/>
      <c r="F6" s="73"/>
      <c r="G6" s="85"/>
      <c r="H6" s="85"/>
      <c r="I6" s="85"/>
      <c r="J6" s="75"/>
      <c r="K6" s="76"/>
      <c r="L6" s="76"/>
      <c r="M6" s="76"/>
      <c r="N6" s="76"/>
      <c r="O6" s="78"/>
      <c r="P6" s="78"/>
      <c r="Q6" s="78"/>
      <c r="R6" s="75"/>
      <c r="S6" s="75"/>
      <c r="T6" s="75"/>
      <c r="U6" s="75"/>
      <c r="V6" s="75"/>
      <c r="W6" s="75"/>
      <c r="X6" s="75"/>
      <c r="Y6" s="216"/>
      <c r="Z6" s="80"/>
      <c r="AA6" s="80"/>
      <c r="AB6" s="80"/>
      <c r="AC6" s="82"/>
      <c r="AD6" s="83"/>
      <c r="AE6" s="207"/>
      <c r="AF6" s="207"/>
    </row>
    <row r="7" spans="1:32" ht="25.5">
      <c r="A7" s="1028"/>
      <c r="B7" s="1029"/>
      <c r="C7" s="218" t="s">
        <v>136</v>
      </c>
      <c r="D7" s="88">
        <f>+D8-D6</f>
        <v>52</v>
      </c>
      <c r="E7" s="87"/>
      <c r="F7" s="73"/>
      <c r="G7" s="85"/>
      <c r="H7" s="85"/>
      <c r="I7" s="85"/>
      <c r="J7" s="75"/>
      <c r="K7" s="76"/>
      <c r="L7" s="76"/>
      <c r="M7" s="76"/>
      <c r="N7" s="76"/>
      <c r="O7" s="78"/>
      <c r="P7" s="78"/>
      <c r="Q7" s="78"/>
      <c r="R7" s="75"/>
      <c r="S7" s="75"/>
      <c r="T7" s="75"/>
      <c r="U7" s="75"/>
      <c r="V7" s="75"/>
      <c r="W7" s="75"/>
      <c r="X7" s="75"/>
      <c r="Y7" s="216"/>
      <c r="Z7" s="80"/>
      <c r="AA7" s="80"/>
      <c r="AB7" s="80"/>
      <c r="AC7" s="82"/>
      <c r="AD7" s="83"/>
      <c r="AE7" s="207"/>
      <c r="AF7" s="207"/>
    </row>
    <row r="8" spans="1:32" ht="26.25" thickBot="1">
      <c r="A8" s="1030"/>
      <c r="B8" s="1031"/>
      <c r="C8" s="219" t="s">
        <v>9</v>
      </c>
      <c r="D8" s="144">
        <f>+SUBTOTAL(3,D11:D290)</f>
        <v>88</v>
      </c>
      <c r="E8" s="87"/>
      <c r="F8" s="89"/>
      <c r="G8" s="90"/>
      <c r="H8" s="90"/>
      <c r="I8" s="76"/>
      <c r="J8" s="75"/>
      <c r="K8" s="76"/>
      <c r="L8" s="76"/>
      <c r="M8" s="76"/>
      <c r="N8" s="76"/>
      <c r="O8" s="78"/>
      <c r="P8" s="78"/>
      <c r="Q8" s="78"/>
      <c r="R8" s="75"/>
      <c r="S8" s="75"/>
      <c r="T8" s="75"/>
      <c r="U8" s="75"/>
      <c r="V8" s="75"/>
      <c r="W8" s="75"/>
      <c r="X8" s="75"/>
      <c r="Y8" s="216"/>
      <c r="Z8" s="80"/>
      <c r="AA8" s="80"/>
      <c r="AB8" s="80"/>
      <c r="AC8" s="82"/>
      <c r="AD8" s="83"/>
      <c r="AE8" s="207"/>
      <c r="AF8" s="207"/>
    </row>
    <row r="9" spans="1:32" s="92" customFormat="1" ht="24.75" thickTop="1" thickBot="1">
      <c r="A9" s="220"/>
      <c r="B9" s="221"/>
      <c r="C9" s="222"/>
      <c r="D9" s="223">
        <f>+AE292</f>
        <v>3288700.1899999995</v>
      </c>
      <c r="E9" s="224"/>
      <c r="F9" s="225"/>
      <c r="G9" s="226" t="s">
        <v>738</v>
      </c>
      <c r="H9" s="227">
        <f>+L292</f>
        <v>752.26999999999953</v>
      </c>
      <c r="I9" s="1032"/>
      <c r="J9" s="1032"/>
      <c r="K9" s="1032"/>
      <c r="L9" s="228"/>
      <c r="M9" s="229" t="s">
        <v>137</v>
      </c>
      <c r="N9" s="230">
        <f>+M292</f>
        <v>155683</v>
      </c>
      <c r="O9" s="231"/>
      <c r="P9" s="231"/>
      <c r="Q9" s="231"/>
      <c r="R9" s="232"/>
      <c r="S9" s="1033" t="s">
        <v>138</v>
      </c>
      <c r="T9" s="1034"/>
      <c r="U9" s="233"/>
      <c r="V9" s="1035"/>
      <c r="W9" s="1036"/>
      <c r="X9" s="1037"/>
      <c r="Y9" s="234"/>
      <c r="Z9" s="235"/>
      <c r="AA9" s="236"/>
      <c r="AB9" s="1038" t="s">
        <v>139</v>
      </c>
      <c r="AC9" s="1039"/>
      <c r="AD9" s="1040"/>
      <c r="AE9" s="237"/>
      <c r="AF9" s="237"/>
    </row>
    <row r="10" spans="1:32" s="92" customFormat="1" ht="51" thickTop="1" thickBot="1">
      <c r="A10" s="238" t="s">
        <v>140</v>
      </c>
      <c r="B10" s="238" t="s">
        <v>141</v>
      </c>
      <c r="C10" s="239" t="s">
        <v>142</v>
      </c>
      <c r="D10" s="240" t="s">
        <v>143</v>
      </c>
      <c r="E10" s="241" t="s">
        <v>739</v>
      </c>
      <c r="F10" s="242" t="s">
        <v>145</v>
      </c>
      <c r="G10" s="240" t="s">
        <v>147</v>
      </c>
      <c r="H10" s="240" t="s">
        <v>146</v>
      </c>
      <c r="I10" s="243" t="s">
        <v>148</v>
      </c>
      <c r="J10" s="232" t="s">
        <v>149</v>
      </c>
      <c r="K10" s="232" t="s">
        <v>150</v>
      </c>
      <c r="L10" s="232" t="s">
        <v>151</v>
      </c>
      <c r="M10" s="232" t="s">
        <v>137</v>
      </c>
      <c r="N10" s="232" t="s">
        <v>152</v>
      </c>
      <c r="O10" s="232" t="s">
        <v>153</v>
      </c>
      <c r="P10" s="244" t="s">
        <v>154</v>
      </c>
      <c r="Q10" s="244" t="s">
        <v>155</v>
      </c>
      <c r="R10" s="232" t="s">
        <v>156</v>
      </c>
      <c r="S10" s="240" t="s">
        <v>157</v>
      </c>
      <c r="T10" s="240" t="s">
        <v>158</v>
      </c>
      <c r="U10" s="245" t="s">
        <v>159</v>
      </c>
      <c r="V10" s="246" t="s">
        <v>160</v>
      </c>
      <c r="W10" s="247" t="s">
        <v>161</v>
      </c>
      <c r="X10" s="248" t="s">
        <v>162</v>
      </c>
      <c r="Y10" s="249" t="s">
        <v>163</v>
      </c>
      <c r="Z10" s="250" t="s">
        <v>164</v>
      </c>
      <c r="AA10" s="251" t="s">
        <v>165</v>
      </c>
      <c r="AB10" s="232" t="s">
        <v>166</v>
      </c>
      <c r="AC10" s="240" t="s">
        <v>167</v>
      </c>
      <c r="AD10" s="252" t="s">
        <v>168</v>
      </c>
      <c r="AE10" s="237"/>
      <c r="AF10" s="237"/>
    </row>
    <row r="11" spans="1:32" s="268" customFormat="1" ht="50.1" customHeight="1" thickTop="1">
      <c r="A11" s="1015"/>
      <c r="B11" s="253"/>
      <c r="C11" s="254" t="s">
        <v>182</v>
      </c>
      <c r="D11" s="1018" t="s">
        <v>170</v>
      </c>
      <c r="E11" s="255" t="s">
        <v>170</v>
      </c>
      <c r="F11" s="256" t="s">
        <v>171</v>
      </c>
      <c r="G11" s="257" t="s">
        <v>172</v>
      </c>
      <c r="H11" s="257" t="str">
        <f>VLOOKUP(G11,'[4]Pob. Ext, Parroquial'!$B$9:$C$117,2,0)</f>
        <v>GONZANAMA</v>
      </c>
      <c r="I11" s="257" t="s">
        <v>173</v>
      </c>
      <c r="J11" s="257" t="s">
        <v>174</v>
      </c>
      <c r="K11" s="257">
        <v>18.8</v>
      </c>
      <c r="L11" s="257"/>
      <c r="M11" s="258">
        <f>IF(K11&gt;0,VLOOKUP(G11,'[4]Pob. Ext, Parroquial'!$B$8:$F$117,4,FALSE),0)</f>
        <v>494</v>
      </c>
      <c r="N11" s="259" t="s">
        <v>175</v>
      </c>
      <c r="O11" s="257" t="s">
        <v>176</v>
      </c>
      <c r="P11" s="257">
        <v>1.26</v>
      </c>
      <c r="Q11" s="257">
        <v>1200</v>
      </c>
      <c r="R11" s="257"/>
      <c r="S11" s="260">
        <v>41640</v>
      </c>
      <c r="T11" s="260" t="s">
        <v>740</v>
      </c>
      <c r="U11" s="261" t="str">
        <f t="shared" ref="U11:U74" si="0">IF(T11&lt;$G$4,"EJECUTADO","EN EJECUCION")</f>
        <v>EN EJECUCION</v>
      </c>
      <c r="V11" s="262">
        <f t="shared" ref="V11:V73" si="1">ROUND(P11*Q11,2)</f>
        <v>1512</v>
      </c>
      <c r="W11" s="262"/>
      <c r="X11" s="262"/>
      <c r="Y11" s="1021">
        <f>SUM(V11:V14)</f>
        <v>12972</v>
      </c>
      <c r="Z11" s="263"/>
      <c r="AA11" s="264" t="s">
        <v>177</v>
      </c>
      <c r="AB11" s="264" t="s">
        <v>178</v>
      </c>
      <c r="AC11" s="265" t="s">
        <v>179</v>
      </c>
      <c r="AD11" s="266">
        <v>2014</v>
      </c>
      <c r="AE11" s="267"/>
      <c r="AF11" s="267"/>
    </row>
    <row r="12" spans="1:32" s="268" customFormat="1" ht="50.1" customHeight="1">
      <c r="A12" s="1016"/>
      <c r="B12" s="269"/>
      <c r="C12" s="270" t="s">
        <v>169</v>
      </c>
      <c r="D12" s="1019"/>
      <c r="E12" s="271" t="s">
        <v>170</v>
      </c>
      <c r="F12" s="272" t="s">
        <v>171</v>
      </c>
      <c r="G12" s="273" t="s">
        <v>172</v>
      </c>
      <c r="H12" s="273" t="str">
        <f>VLOOKUP(G12,'[4]Pob. Ext, Parroquial'!$B$9:$C$117,2,0)</f>
        <v>GONZANAMA</v>
      </c>
      <c r="I12" s="273" t="s">
        <v>173</v>
      </c>
      <c r="J12" s="273" t="s">
        <v>174</v>
      </c>
      <c r="K12" s="273"/>
      <c r="L12" s="273"/>
      <c r="M12" s="274">
        <f>IF(K12&gt;0,VLOOKUP(G12,'[4]Pob. Ext, Parroquial'!$B$8:$F$117,4,FALSE),0)</f>
        <v>0</v>
      </c>
      <c r="N12" s="275" t="s">
        <v>180</v>
      </c>
      <c r="O12" s="273" t="s">
        <v>181</v>
      </c>
      <c r="P12" s="273">
        <v>0.35</v>
      </c>
      <c r="Q12" s="273">
        <v>6000</v>
      </c>
      <c r="R12" s="273"/>
      <c r="S12" s="276">
        <v>41640</v>
      </c>
      <c r="T12" s="276">
        <v>41670</v>
      </c>
      <c r="U12" s="276" t="str">
        <f t="shared" si="0"/>
        <v>EJECUTADO</v>
      </c>
      <c r="V12" s="277">
        <f t="shared" si="1"/>
        <v>2100</v>
      </c>
      <c r="W12" s="277"/>
      <c r="X12" s="277"/>
      <c r="Y12" s="1022"/>
      <c r="Z12" s="278"/>
      <c r="AA12" s="279" t="s">
        <v>177</v>
      </c>
      <c r="AB12" s="279" t="s">
        <v>178</v>
      </c>
      <c r="AC12" s="280" t="s">
        <v>179</v>
      </c>
      <c r="AD12" s="281">
        <v>2014</v>
      </c>
      <c r="AE12" s="267"/>
      <c r="AF12" s="267"/>
    </row>
    <row r="13" spans="1:32" s="268" customFormat="1" ht="50.1" customHeight="1">
      <c r="A13" s="1016"/>
      <c r="B13" s="269"/>
      <c r="C13" s="270" t="s">
        <v>182</v>
      </c>
      <c r="D13" s="1019"/>
      <c r="E13" s="271" t="s">
        <v>170</v>
      </c>
      <c r="F13" s="272" t="s">
        <v>171</v>
      </c>
      <c r="G13" s="273" t="s">
        <v>172</v>
      </c>
      <c r="H13" s="273" t="str">
        <f>VLOOKUP(G13,'[4]Pob. Ext, Parroquial'!$B$9:$C$117,2,0)</f>
        <v>GONZANAMA</v>
      </c>
      <c r="I13" s="273" t="s">
        <v>173</v>
      </c>
      <c r="J13" s="273" t="s">
        <v>174</v>
      </c>
      <c r="K13" s="273"/>
      <c r="L13" s="273">
        <f>ROUNDUP(Q13/6/1000,2)</f>
        <v>1</v>
      </c>
      <c r="M13" s="274">
        <f>IF(K13&gt;0,VLOOKUP(G13,'[4]Pob. Ext, Parroquial'!$B$8:$F$117,4,FALSE),0)</f>
        <v>0</v>
      </c>
      <c r="N13" s="275" t="s">
        <v>183</v>
      </c>
      <c r="O13" s="273" t="s">
        <v>184</v>
      </c>
      <c r="P13" s="273">
        <v>1.26</v>
      </c>
      <c r="Q13" s="273">
        <v>6000</v>
      </c>
      <c r="R13" s="273"/>
      <c r="S13" s="276">
        <v>41640</v>
      </c>
      <c r="T13" s="276">
        <v>41670</v>
      </c>
      <c r="U13" s="276" t="str">
        <f t="shared" si="0"/>
        <v>EJECUTADO</v>
      </c>
      <c r="V13" s="277">
        <f t="shared" si="1"/>
        <v>7560</v>
      </c>
      <c r="W13" s="277"/>
      <c r="X13" s="277"/>
      <c r="Y13" s="1022"/>
      <c r="Z13" s="278"/>
      <c r="AA13" s="279" t="s">
        <v>177</v>
      </c>
      <c r="AB13" s="279" t="s">
        <v>178</v>
      </c>
      <c r="AC13" s="280" t="s">
        <v>179</v>
      </c>
      <c r="AD13" s="281">
        <v>2014</v>
      </c>
      <c r="AE13" s="267"/>
      <c r="AF13" s="267"/>
    </row>
    <row r="14" spans="1:32" s="268" customFormat="1" ht="50.1" customHeight="1" thickBot="1">
      <c r="A14" s="1017"/>
      <c r="B14" s="282"/>
      <c r="C14" s="283" t="s">
        <v>182</v>
      </c>
      <c r="D14" s="1020"/>
      <c r="E14" s="284" t="s">
        <v>170</v>
      </c>
      <c r="F14" s="285" t="s">
        <v>171</v>
      </c>
      <c r="G14" s="286" t="s">
        <v>172</v>
      </c>
      <c r="H14" s="286" t="str">
        <f>VLOOKUP(G14,'[4]Pob. Ext, Parroquial'!$B$9:$C$117,2,0)</f>
        <v>GONZANAMA</v>
      </c>
      <c r="I14" s="286" t="s">
        <v>173</v>
      </c>
      <c r="J14" s="286" t="s">
        <v>174</v>
      </c>
      <c r="K14" s="286"/>
      <c r="L14" s="286">
        <f>ROUNDUP(Q14/6/1000,2)</f>
        <v>3</v>
      </c>
      <c r="M14" s="287">
        <f>IF(K14&gt;0,VLOOKUP(G14,'[4]Pob. Ext, Parroquial'!$B$8:$F$117,4,FALSE),0)</f>
        <v>0</v>
      </c>
      <c r="N14" s="288" t="s">
        <v>185</v>
      </c>
      <c r="O14" s="286" t="s">
        <v>184</v>
      </c>
      <c r="P14" s="286">
        <v>0.1</v>
      </c>
      <c r="Q14" s="286">
        <v>18000</v>
      </c>
      <c r="R14" s="286"/>
      <c r="S14" s="289">
        <v>41640</v>
      </c>
      <c r="T14" s="289">
        <v>41670</v>
      </c>
      <c r="U14" s="289" t="str">
        <f t="shared" si="0"/>
        <v>EJECUTADO</v>
      </c>
      <c r="V14" s="290">
        <f t="shared" si="1"/>
        <v>1800</v>
      </c>
      <c r="W14" s="290"/>
      <c r="X14" s="290"/>
      <c r="Y14" s="1023"/>
      <c r="Z14" s="278"/>
      <c r="AA14" s="279" t="s">
        <v>177</v>
      </c>
      <c r="AB14" s="279" t="s">
        <v>178</v>
      </c>
      <c r="AC14" s="280" t="s">
        <v>179</v>
      </c>
      <c r="AD14" s="281">
        <v>2014</v>
      </c>
      <c r="AE14" s="267"/>
      <c r="AF14" s="267"/>
    </row>
    <row r="15" spans="1:32" s="268" customFormat="1" ht="50.1" customHeight="1" thickTop="1">
      <c r="A15" s="1015"/>
      <c r="B15" s="253"/>
      <c r="C15" s="254" t="s">
        <v>182</v>
      </c>
      <c r="D15" s="1018" t="s">
        <v>186</v>
      </c>
      <c r="E15" s="255" t="s">
        <v>186</v>
      </c>
      <c r="F15" s="256" t="s">
        <v>171</v>
      </c>
      <c r="G15" s="257" t="s">
        <v>172</v>
      </c>
      <c r="H15" s="257" t="str">
        <f>VLOOKUP(G15,'[4]Pob. Ext, Parroquial'!$B$9:$C$117,2,0)</f>
        <v>GONZANAMA</v>
      </c>
      <c r="I15" s="257" t="s">
        <v>173</v>
      </c>
      <c r="J15" s="257" t="s">
        <v>174</v>
      </c>
      <c r="K15" s="257">
        <v>5</v>
      </c>
      <c r="L15" s="257"/>
      <c r="M15" s="258">
        <f>IF(K15&gt;0,VLOOKUP(G15,'[4]Pob. Ext, Parroquial'!$B$8:$F$117,4,FALSE),0)</f>
        <v>494</v>
      </c>
      <c r="N15" s="259" t="s">
        <v>175</v>
      </c>
      <c r="O15" s="257" t="s">
        <v>176</v>
      </c>
      <c r="P15" s="257">
        <v>1.26</v>
      </c>
      <c r="Q15" s="257">
        <v>2080</v>
      </c>
      <c r="R15" s="257"/>
      <c r="S15" s="261">
        <v>41640</v>
      </c>
      <c r="T15" s="261">
        <v>41729</v>
      </c>
      <c r="U15" s="261" t="str">
        <f t="shared" si="0"/>
        <v>EJECUTADO</v>
      </c>
      <c r="V15" s="262">
        <f t="shared" si="1"/>
        <v>2620.8000000000002</v>
      </c>
      <c r="W15" s="262"/>
      <c r="X15" s="262"/>
      <c r="Y15" s="1021">
        <f>SUM(V15:V17)</f>
        <v>61782</v>
      </c>
      <c r="Z15" s="278"/>
      <c r="AA15" s="279" t="s">
        <v>177</v>
      </c>
      <c r="AB15" s="279" t="s">
        <v>178</v>
      </c>
      <c r="AC15" s="280" t="s">
        <v>187</v>
      </c>
      <c r="AD15" s="281">
        <v>2014</v>
      </c>
      <c r="AE15" s="267"/>
      <c r="AF15" s="267"/>
    </row>
    <row r="16" spans="1:32" s="268" customFormat="1" ht="50.1" customHeight="1">
      <c r="A16" s="1016"/>
      <c r="B16" s="269"/>
      <c r="C16" s="270" t="s">
        <v>169</v>
      </c>
      <c r="D16" s="1019"/>
      <c r="E16" s="271" t="s">
        <v>186</v>
      </c>
      <c r="F16" s="272" t="s">
        <v>171</v>
      </c>
      <c r="G16" s="273" t="s">
        <v>172</v>
      </c>
      <c r="H16" s="273" t="str">
        <f>VLOOKUP(G16,'[4]Pob. Ext, Parroquial'!$B$9:$C$117,2,0)</f>
        <v>GONZANAMA</v>
      </c>
      <c r="I16" s="273" t="s">
        <v>173</v>
      </c>
      <c r="J16" s="273" t="s">
        <v>174</v>
      </c>
      <c r="K16" s="273"/>
      <c r="L16" s="273"/>
      <c r="M16" s="274">
        <f>IF(K16&gt;0,VLOOKUP(G16,'[4]Pob. Ext, Parroquial'!$B$8:$F$117,4,FALSE),0)</f>
        <v>0</v>
      </c>
      <c r="N16" s="275" t="s">
        <v>180</v>
      </c>
      <c r="O16" s="273" t="s">
        <v>181</v>
      </c>
      <c r="P16" s="273">
        <v>0.35</v>
      </c>
      <c r="Q16" s="273">
        <v>46632</v>
      </c>
      <c r="R16" s="273"/>
      <c r="S16" s="276">
        <v>41640</v>
      </c>
      <c r="T16" s="276">
        <v>41729</v>
      </c>
      <c r="U16" s="276" t="str">
        <f t="shared" si="0"/>
        <v>EJECUTADO</v>
      </c>
      <c r="V16" s="277">
        <f t="shared" si="1"/>
        <v>16321.2</v>
      </c>
      <c r="W16" s="277"/>
      <c r="X16" s="277"/>
      <c r="Y16" s="1022"/>
      <c r="Z16" s="278"/>
      <c r="AA16" s="279" t="s">
        <v>177</v>
      </c>
      <c r="AB16" s="279" t="s">
        <v>178</v>
      </c>
      <c r="AC16" s="280" t="s">
        <v>187</v>
      </c>
      <c r="AD16" s="281">
        <v>2014</v>
      </c>
      <c r="AE16" s="267"/>
      <c r="AF16" s="267"/>
    </row>
    <row r="17" spans="1:32" s="268" customFormat="1" ht="50.1" customHeight="1" thickBot="1">
      <c r="A17" s="1017"/>
      <c r="B17" s="282"/>
      <c r="C17" s="283" t="s">
        <v>182</v>
      </c>
      <c r="D17" s="1020"/>
      <c r="E17" s="284" t="s">
        <v>186</v>
      </c>
      <c r="F17" s="285" t="s">
        <v>171</v>
      </c>
      <c r="G17" s="286" t="s">
        <v>172</v>
      </c>
      <c r="H17" s="286" t="str">
        <f>VLOOKUP(G17,'[4]Pob. Ext, Parroquial'!$B$9:$C$117,2,0)</f>
        <v>GONZANAMA</v>
      </c>
      <c r="I17" s="286" t="s">
        <v>173</v>
      </c>
      <c r="J17" s="286" t="s">
        <v>174</v>
      </c>
      <c r="K17" s="286"/>
      <c r="L17" s="286">
        <f>ROUNDUP(Q17/6/1000,2)</f>
        <v>5.67</v>
      </c>
      <c r="M17" s="287">
        <f>IF(K17&gt;0,VLOOKUP(G17,'[4]Pob. Ext, Parroquial'!$B$8:$F$117,4,FALSE),0)</f>
        <v>0</v>
      </c>
      <c r="N17" s="288" t="s">
        <v>183</v>
      </c>
      <c r="O17" s="286" t="s">
        <v>184</v>
      </c>
      <c r="P17" s="286">
        <v>1.26</v>
      </c>
      <c r="Q17" s="286">
        <v>34000</v>
      </c>
      <c r="R17" s="286"/>
      <c r="S17" s="289">
        <v>41640</v>
      </c>
      <c r="T17" s="289">
        <v>41729</v>
      </c>
      <c r="U17" s="289" t="str">
        <f t="shared" si="0"/>
        <v>EJECUTADO</v>
      </c>
      <c r="V17" s="290">
        <f t="shared" si="1"/>
        <v>42840</v>
      </c>
      <c r="W17" s="290"/>
      <c r="X17" s="290"/>
      <c r="Y17" s="1023"/>
      <c r="Z17" s="278"/>
      <c r="AA17" s="279" t="s">
        <v>177</v>
      </c>
      <c r="AB17" s="279" t="s">
        <v>178</v>
      </c>
      <c r="AC17" s="280" t="s">
        <v>187</v>
      </c>
      <c r="AD17" s="281">
        <v>2014</v>
      </c>
      <c r="AE17" s="267"/>
      <c r="AF17" s="267"/>
    </row>
    <row r="18" spans="1:32" s="268" customFormat="1" ht="50.1" customHeight="1" thickTop="1">
      <c r="A18" s="1045"/>
      <c r="B18" s="269"/>
      <c r="C18" s="291" t="s">
        <v>182</v>
      </c>
      <c r="D18" s="1046" t="s">
        <v>188</v>
      </c>
      <c r="E18" s="292" t="s">
        <v>188</v>
      </c>
      <c r="F18" s="293" t="s">
        <v>171</v>
      </c>
      <c r="G18" s="294" t="s">
        <v>189</v>
      </c>
      <c r="H18" s="294" t="str">
        <f>VLOOKUP(G18,'[4]Pob. Ext, Parroquial'!$B$9:$C$117,2,0)</f>
        <v>GONZANAMA</v>
      </c>
      <c r="I18" s="294" t="s">
        <v>173</v>
      </c>
      <c r="J18" s="294" t="s">
        <v>174</v>
      </c>
      <c r="K18" s="294"/>
      <c r="L18" s="294"/>
      <c r="M18" s="295">
        <f>IF(K18&gt;0,VLOOKUP(G18,'[4]Pob. Ext, Parroquial'!$B$8:$F$117,4,FALSE),0)</f>
        <v>0</v>
      </c>
      <c r="N18" s="296" t="s">
        <v>190</v>
      </c>
      <c r="O18" s="294" t="s">
        <v>176</v>
      </c>
      <c r="P18" s="294">
        <v>10.55</v>
      </c>
      <c r="Q18" s="294">
        <v>42.16</v>
      </c>
      <c r="R18" s="294"/>
      <c r="S18" s="297">
        <v>41640</v>
      </c>
      <c r="T18" s="297">
        <v>41729</v>
      </c>
      <c r="U18" s="297" t="str">
        <f t="shared" si="0"/>
        <v>EJECUTADO</v>
      </c>
      <c r="V18" s="298">
        <f t="shared" si="1"/>
        <v>444.79</v>
      </c>
      <c r="W18" s="298"/>
      <c r="X18" s="298"/>
      <c r="Y18" s="1047">
        <f>SUM(V18:V22)</f>
        <v>17934.11</v>
      </c>
      <c r="Z18" s="278"/>
      <c r="AA18" s="279" t="s">
        <v>177</v>
      </c>
      <c r="AB18" s="279" t="s">
        <v>178</v>
      </c>
      <c r="AC18" s="280" t="s">
        <v>187</v>
      </c>
      <c r="AD18" s="281">
        <v>2014</v>
      </c>
      <c r="AE18" s="267"/>
      <c r="AF18" s="267"/>
    </row>
    <row r="19" spans="1:32" s="268" customFormat="1" ht="50.1" customHeight="1">
      <c r="A19" s="1016"/>
      <c r="B19" s="269"/>
      <c r="C19" s="270" t="s">
        <v>191</v>
      </c>
      <c r="D19" s="1019"/>
      <c r="E19" s="271" t="s">
        <v>188</v>
      </c>
      <c r="F19" s="272" t="s">
        <v>171</v>
      </c>
      <c r="G19" s="273" t="s">
        <v>189</v>
      </c>
      <c r="H19" s="273" t="str">
        <f>VLOOKUP(G19,'[4]Pob. Ext, Parroquial'!$B$9:$C$117,2,0)</f>
        <v>GONZANAMA</v>
      </c>
      <c r="I19" s="273" t="s">
        <v>173</v>
      </c>
      <c r="J19" s="273" t="s">
        <v>174</v>
      </c>
      <c r="K19" s="273"/>
      <c r="L19" s="273"/>
      <c r="M19" s="274">
        <f>IF(K19&gt;0,VLOOKUP(G19,'[4]Pob. Ext, Parroquial'!$B$8:$F$117,4,FALSE),0)</f>
        <v>0</v>
      </c>
      <c r="N19" s="275" t="s">
        <v>192</v>
      </c>
      <c r="O19" s="273" t="s">
        <v>176</v>
      </c>
      <c r="P19" s="273">
        <v>178.13</v>
      </c>
      <c r="Q19" s="273">
        <v>96.34</v>
      </c>
      <c r="R19" s="273"/>
      <c r="S19" s="276">
        <v>41640</v>
      </c>
      <c r="T19" s="276">
        <v>41729</v>
      </c>
      <c r="U19" s="276" t="str">
        <f t="shared" si="0"/>
        <v>EJECUTADO</v>
      </c>
      <c r="V19" s="277">
        <f t="shared" si="1"/>
        <v>17161.04</v>
      </c>
      <c r="W19" s="277"/>
      <c r="X19" s="277"/>
      <c r="Y19" s="1022"/>
      <c r="Z19" s="278"/>
      <c r="AA19" s="279" t="s">
        <v>177</v>
      </c>
      <c r="AB19" s="279" t="s">
        <v>178</v>
      </c>
      <c r="AC19" s="280" t="s">
        <v>187</v>
      </c>
      <c r="AD19" s="281">
        <v>2014</v>
      </c>
      <c r="AE19" s="267"/>
      <c r="AF19" s="267"/>
    </row>
    <row r="20" spans="1:32" s="268" customFormat="1" ht="50.1" customHeight="1">
      <c r="A20" s="1016"/>
      <c r="B20" s="269"/>
      <c r="C20" s="270" t="s">
        <v>191</v>
      </c>
      <c r="D20" s="1019"/>
      <c r="E20" s="271" t="s">
        <v>188</v>
      </c>
      <c r="F20" s="272" t="s">
        <v>171</v>
      </c>
      <c r="G20" s="273" t="s">
        <v>189</v>
      </c>
      <c r="H20" s="273" t="str">
        <f>VLOOKUP(G20,'[4]Pob. Ext, Parroquial'!$B$9:$C$117,2,0)</f>
        <v>GONZANAMA</v>
      </c>
      <c r="I20" s="273" t="s">
        <v>173</v>
      </c>
      <c r="J20" s="273" t="s">
        <v>174</v>
      </c>
      <c r="K20" s="273"/>
      <c r="L20" s="273"/>
      <c r="M20" s="274">
        <f>IF(K20&gt;0,VLOOKUP(G20,'[4]Pob. Ext, Parroquial'!$B$8:$F$117,4,FALSE),0)</f>
        <v>0</v>
      </c>
      <c r="N20" s="275" t="s">
        <v>193</v>
      </c>
      <c r="O20" s="273" t="s">
        <v>194</v>
      </c>
      <c r="P20" s="273">
        <v>15.04</v>
      </c>
      <c r="Q20" s="273"/>
      <c r="R20" s="273"/>
      <c r="S20" s="276">
        <v>41640</v>
      </c>
      <c r="T20" s="276">
        <v>41670</v>
      </c>
      <c r="U20" s="276" t="str">
        <f t="shared" si="0"/>
        <v>EJECUTADO</v>
      </c>
      <c r="V20" s="277">
        <f t="shared" si="1"/>
        <v>0</v>
      </c>
      <c r="W20" s="277"/>
      <c r="X20" s="277"/>
      <c r="Y20" s="1022"/>
      <c r="Z20" s="278"/>
      <c r="AA20" s="279" t="s">
        <v>177</v>
      </c>
      <c r="AB20" s="279" t="s">
        <v>178</v>
      </c>
      <c r="AC20" s="280" t="s">
        <v>179</v>
      </c>
      <c r="AD20" s="281">
        <v>2014</v>
      </c>
      <c r="AE20" s="267"/>
      <c r="AF20" s="267"/>
    </row>
    <row r="21" spans="1:32" s="268" customFormat="1" ht="50.1" customHeight="1">
      <c r="A21" s="1016"/>
      <c r="B21" s="269"/>
      <c r="C21" s="270" t="s">
        <v>191</v>
      </c>
      <c r="D21" s="1019"/>
      <c r="E21" s="271" t="s">
        <v>188</v>
      </c>
      <c r="F21" s="272" t="s">
        <v>171</v>
      </c>
      <c r="G21" s="273" t="s">
        <v>189</v>
      </c>
      <c r="H21" s="273" t="str">
        <f>VLOOKUP(G21,'[4]Pob. Ext, Parroquial'!$B$9:$C$117,2,0)</f>
        <v>GONZANAMA</v>
      </c>
      <c r="I21" s="273" t="s">
        <v>173</v>
      </c>
      <c r="J21" s="273" t="s">
        <v>174</v>
      </c>
      <c r="K21" s="273"/>
      <c r="L21" s="273"/>
      <c r="M21" s="274">
        <f>IF(K21&gt;0,VLOOKUP(G21,'[4]Pob. Ext, Parroquial'!$B$8:$F$117,4,FALSE),0)</f>
        <v>0</v>
      </c>
      <c r="N21" s="275" t="s">
        <v>195</v>
      </c>
      <c r="O21" s="273" t="s">
        <v>176</v>
      </c>
      <c r="P21" s="273">
        <v>141.09</v>
      </c>
      <c r="Q21" s="273"/>
      <c r="R21" s="273"/>
      <c r="S21" s="276">
        <v>41640</v>
      </c>
      <c r="T21" s="276">
        <v>41670</v>
      </c>
      <c r="U21" s="276" t="str">
        <f t="shared" si="0"/>
        <v>EJECUTADO</v>
      </c>
      <c r="V21" s="277">
        <f t="shared" si="1"/>
        <v>0</v>
      </c>
      <c r="W21" s="277"/>
      <c r="X21" s="277"/>
      <c r="Y21" s="1022"/>
      <c r="Z21" s="278"/>
      <c r="AA21" s="279" t="s">
        <v>177</v>
      </c>
      <c r="AB21" s="279" t="s">
        <v>178</v>
      </c>
      <c r="AC21" s="280" t="s">
        <v>179</v>
      </c>
      <c r="AD21" s="281">
        <v>2014</v>
      </c>
      <c r="AE21" s="267"/>
      <c r="AF21" s="267"/>
    </row>
    <row r="22" spans="1:32" s="268" customFormat="1" ht="50.1" customHeight="1" thickBot="1">
      <c r="A22" s="1017"/>
      <c r="B22" s="282"/>
      <c r="C22" s="283" t="s">
        <v>196</v>
      </c>
      <c r="D22" s="1020"/>
      <c r="E22" s="284" t="s">
        <v>188</v>
      </c>
      <c r="F22" s="285" t="s">
        <v>171</v>
      </c>
      <c r="G22" s="286" t="s">
        <v>189</v>
      </c>
      <c r="H22" s="286" t="str">
        <f>VLOOKUP(G22,'[4]Pob. Ext, Parroquial'!$B$9:$C$117,2,0)</f>
        <v>GONZANAMA</v>
      </c>
      <c r="I22" s="286" t="s">
        <v>173</v>
      </c>
      <c r="J22" s="286" t="s">
        <v>174</v>
      </c>
      <c r="K22" s="286"/>
      <c r="L22" s="286"/>
      <c r="M22" s="287">
        <f>IF(K22&gt;0,VLOOKUP(G22,'[4]Pob. Ext, Parroquial'!$B$8:$F$117,4,FALSE),0)</f>
        <v>0</v>
      </c>
      <c r="N22" s="288" t="s">
        <v>197</v>
      </c>
      <c r="O22" s="286" t="s">
        <v>153</v>
      </c>
      <c r="P22" s="286">
        <v>11.32</v>
      </c>
      <c r="Q22" s="286">
        <v>29</v>
      </c>
      <c r="R22" s="286"/>
      <c r="S22" s="289">
        <v>41640</v>
      </c>
      <c r="T22" s="289">
        <v>41698</v>
      </c>
      <c r="U22" s="289" t="str">
        <f t="shared" si="0"/>
        <v>EJECUTADO</v>
      </c>
      <c r="V22" s="290">
        <f t="shared" si="1"/>
        <v>328.28</v>
      </c>
      <c r="W22" s="290"/>
      <c r="X22" s="290"/>
      <c r="Y22" s="1023"/>
      <c r="Z22" s="278"/>
      <c r="AA22" s="279" t="s">
        <v>177</v>
      </c>
      <c r="AB22" s="279" t="s">
        <v>178</v>
      </c>
      <c r="AC22" s="280" t="s">
        <v>187</v>
      </c>
      <c r="AD22" s="281">
        <v>2014</v>
      </c>
      <c r="AE22" s="267"/>
      <c r="AF22" s="267"/>
    </row>
    <row r="23" spans="1:32" s="268" customFormat="1" ht="50.1" customHeight="1" thickTop="1" thickBot="1">
      <c r="A23" s="299"/>
      <c r="B23" s="299"/>
      <c r="C23" s="299" t="s">
        <v>182</v>
      </c>
      <c r="D23" s="299" t="s">
        <v>198</v>
      </c>
      <c r="E23" s="300" t="s">
        <v>198</v>
      </c>
      <c r="F23" s="301" t="s">
        <v>171</v>
      </c>
      <c r="G23" s="302" t="s">
        <v>199</v>
      </c>
      <c r="H23" s="302" t="str">
        <f>VLOOKUP(G23,'[4]Pob. Ext, Parroquial'!$B$9:$C$117,2,0)</f>
        <v>QUILANGA</v>
      </c>
      <c r="I23" s="302" t="s">
        <v>173</v>
      </c>
      <c r="J23" s="302" t="s">
        <v>174</v>
      </c>
      <c r="K23" s="302"/>
      <c r="L23" s="302"/>
      <c r="M23" s="303">
        <f>IF(K23&gt;0,VLOOKUP(G23,'[4]Pob. Ext, Parroquial'!$B$8:$F$117,4,FALSE),0)</f>
        <v>0</v>
      </c>
      <c r="N23" s="304" t="s">
        <v>200</v>
      </c>
      <c r="O23" s="302" t="s">
        <v>176</v>
      </c>
      <c r="P23" s="302">
        <v>1.43</v>
      </c>
      <c r="Q23" s="302">
        <v>120</v>
      </c>
      <c r="R23" s="302"/>
      <c r="S23" s="305">
        <v>41699</v>
      </c>
      <c r="T23" s="305">
        <v>41729</v>
      </c>
      <c r="U23" s="305" t="str">
        <f t="shared" si="0"/>
        <v>EJECUTADO</v>
      </c>
      <c r="V23" s="306">
        <f t="shared" si="1"/>
        <v>171.6</v>
      </c>
      <c r="W23" s="306"/>
      <c r="X23" s="306"/>
      <c r="Y23" s="307">
        <f t="shared" ref="Y23:Y42" si="2">V23+W23+X23</f>
        <v>171.6</v>
      </c>
      <c r="Z23" s="308"/>
      <c r="AA23" s="279" t="s">
        <v>177</v>
      </c>
      <c r="AB23" s="279" t="s">
        <v>178</v>
      </c>
      <c r="AC23" s="280" t="s">
        <v>187</v>
      </c>
      <c r="AD23" s="281">
        <v>2014</v>
      </c>
      <c r="AE23" s="267"/>
      <c r="AF23" s="267"/>
    </row>
    <row r="24" spans="1:32" s="268" customFormat="1" ht="50.1" customHeight="1" thickTop="1" thickBot="1">
      <c r="A24" s="299"/>
      <c r="B24" s="299"/>
      <c r="C24" s="299" t="s">
        <v>182</v>
      </c>
      <c r="D24" s="299" t="s">
        <v>201</v>
      </c>
      <c r="E24" s="300" t="s">
        <v>201</v>
      </c>
      <c r="F24" s="301" t="s">
        <v>171</v>
      </c>
      <c r="G24" s="302" t="s">
        <v>199</v>
      </c>
      <c r="H24" s="302" t="str">
        <f>VLOOKUP(G24,'[4]Pob. Ext, Parroquial'!$B$9:$C$117,2,0)</f>
        <v>QUILANGA</v>
      </c>
      <c r="I24" s="302" t="s">
        <v>173</v>
      </c>
      <c r="J24" s="302" t="s">
        <v>174</v>
      </c>
      <c r="K24" s="302"/>
      <c r="L24" s="302"/>
      <c r="M24" s="303">
        <f>IF(K24&gt;0,VLOOKUP(G24,'[4]Pob. Ext, Parroquial'!$B$8:$F$117,4,FALSE),0)</f>
        <v>0</v>
      </c>
      <c r="N24" s="304" t="s">
        <v>200</v>
      </c>
      <c r="O24" s="302" t="s">
        <v>176</v>
      </c>
      <c r="P24" s="302">
        <v>1.43</v>
      </c>
      <c r="Q24" s="302">
        <v>50</v>
      </c>
      <c r="R24" s="302"/>
      <c r="S24" s="305">
        <v>41699</v>
      </c>
      <c r="T24" s="305">
        <v>41729</v>
      </c>
      <c r="U24" s="305" t="str">
        <f t="shared" si="0"/>
        <v>EJECUTADO</v>
      </c>
      <c r="V24" s="306">
        <f t="shared" si="1"/>
        <v>71.5</v>
      </c>
      <c r="W24" s="306"/>
      <c r="X24" s="306"/>
      <c r="Y24" s="307">
        <f t="shared" si="2"/>
        <v>71.5</v>
      </c>
      <c r="Z24" s="308"/>
      <c r="AA24" s="279" t="s">
        <v>177</v>
      </c>
      <c r="AB24" s="279" t="s">
        <v>178</v>
      </c>
      <c r="AC24" s="280" t="s">
        <v>187</v>
      </c>
      <c r="AD24" s="281">
        <v>2014</v>
      </c>
      <c r="AE24" s="267"/>
      <c r="AF24" s="267"/>
    </row>
    <row r="25" spans="1:32" s="268" customFormat="1" ht="50.1" customHeight="1" thickTop="1" thickBot="1">
      <c r="A25" s="299"/>
      <c r="B25" s="299"/>
      <c r="C25" s="299" t="s">
        <v>182</v>
      </c>
      <c r="D25" s="299" t="s">
        <v>202</v>
      </c>
      <c r="E25" s="300" t="s">
        <v>202</v>
      </c>
      <c r="F25" s="301" t="s">
        <v>171</v>
      </c>
      <c r="G25" s="302" t="s">
        <v>199</v>
      </c>
      <c r="H25" s="302" t="str">
        <f>VLOOKUP(G25,'[4]Pob. Ext, Parroquial'!$B$9:$C$117,2,0)</f>
        <v>QUILANGA</v>
      </c>
      <c r="I25" s="302" t="s">
        <v>173</v>
      </c>
      <c r="J25" s="302" t="s">
        <v>174</v>
      </c>
      <c r="K25" s="302"/>
      <c r="L25" s="302"/>
      <c r="M25" s="303">
        <f>IF(K25&gt;0,VLOOKUP(G25,'[4]Pob. Ext, Parroquial'!$B$8:$F$117,4,FALSE),0)</f>
        <v>0</v>
      </c>
      <c r="N25" s="304" t="s">
        <v>200</v>
      </c>
      <c r="O25" s="302" t="s">
        <v>176</v>
      </c>
      <c r="P25" s="302">
        <v>1.43</v>
      </c>
      <c r="Q25" s="302">
        <v>1960</v>
      </c>
      <c r="R25" s="302"/>
      <c r="S25" s="305">
        <v>41699</v>
      </c>
      <c r="T25" s="305">
        <v>41729</v>
      </c>
      <c r="U25" s="305" t="str">
        <f t="shared" si="0"/>
        <v>EJECUTADO</v>
      </c>
      <c r="V25" s="306">
        <f t="shared" si="1"/>
        <v>2802.8</v>
      </c>
      <c r="W25" s="306"/>
      <c r="X25" s="306"/>
      <c r="Y25" s="307">
        <f t="shared" si="2"/>
        <v>2802.8</v>
      </c>
      <c r="Z25" s="308"/>
      <c r="AA25" s="279" t="s">
        <v>177</v>
      </c>
      <c r="AB25" s="279" t="s">
        <v>178</v>
      </c>
      <c r="AC25" s="280" t="s">
        <v>187</v>
      </c>
      <c r="AD25" s="281">
        <v>2014</v>
      </c>
      <c r="AE25" s="267"/>
      <c r="AF25" s="267"/>
    </row>
    <row r="26" spans="1:32" s="268" customFormat="1" ht="50.1" customHeight="1" thickTop="1" thickBot="1">
      <c r="A26" s="299"/>
      <c r="B26" s="299"/>
      <c r="C26" s="299" t="s">
        <v>182</v>
      </c>
      <c r="D26" s="299" t="s">
        <v>203</v>
      </c>
      <c r="E26" s="300" t="s">
        <v>203</v>
      </c>
      <c r="F26" s="301" t="s">
        <v>171</v>
      </c>
      <c r="G26" s="302" t="s">
        <v>189</v>
      </c>
      <c r="H26" s="302" t="str">
        <f>VLOOKUP(G26,'[4]Pob. Ext, Parroquial'!$B$9:$C$117,2,0)</f>
        <v>GONZANAMA</v>
      </c>
      <c r="I26" s="302" t="s">
        <v>173</v>
      </c>
      <c r="J26" s="302" t="s">
        <v>174</v>
      </c>
      <c r="K26" s="302"/>
      <c r="L26" s="302"/>
      <c r="M26" s="303">
        <f>IF(K26&gt;0,VLOOKUP(G26,'[4]Pob. Ext, Parroquial'!$B$8:$F$117,4,FALSE),0)</f>
        <v>0</v>
      </c>
      <c r="N26" s="304" t="s">
        <v>200</v>
      </c>
      <c r="O26" s="302" t="s">
        <v>176</v>
      </c>
      <c r="P26" s="302">
        <v>1.43</v>
      </c>
      <c r="Q26" s="302">
        <v>250</v>
      </c>
      <c r="R26" s="302"/>
      <c r="S26" s="305">
        <v>41699</v>
      </c>
      <c r="T26" s="305">
        <v>41729</v>
      </c>
      <c r="U26" s="305" t="str">
        <f t="shared" si="0"/>
        <v>EJECUTADO</v>
      </c>
      <c r="V26" s="306">
        <f t="shared" si="1"/>
        <v>357.5</v>
      </c>
      <c r="W26" s="306"/>
      <c r="X26" s="306"/>
      <c r="Y26" s="307">
        <f t="shared" si="2"/>
        <v>357.5</v>
      </c>
      <c r="Z26" s="308"/>
      <c r="AA26" s="279" t="s">
        <v>177</v>
      </c>
      <c r="AB26" s="279" t="s">
        <v>178</v>
      </c>
      <c r="AC26" s="280" t="s">
        <v>187</v>
      </c>
      <c r="AD26" s="281">
        <v>2014</v>
      </c>
      <c r="AE26" s="267"/>
      <c r="AF26" s="267"/>
    </row>
    <row r="27" spans="1:32" s="268" customFormat="1" ht="50.1" customHeight="1" thickTop="1" thickBot="1">
      <c r="A27" s="299"/>
      <c r="B27" s="299"/>
      <c r="C27" s="299" t="s">
        <v>182</v>
      </c>
      <c r="D27" s="299" t="s">
        <v>204</v>
      </c>
      <c r="E27" s="300" t="s">
        <v>204</v>
      </c>
      <c r="F27" s="301" t="s">
        <v>171</v>
      </c>
      <c r="G27" s="302" t="s">
        <v>205</v>
      </c>
      <c r="H27" s="302" t="str">
        <f>VLOOKUP(G27,'[4]Pob. Ext, Parroquial'!$B$9:$C$117,2,0)</f>
        <v>GONZANAMA</v>
      </c>
      <c r="I27" s="302" t="s">
        <v>173</v>
      </c>
      <c r="J27" s="302" t="s">
        <v>174</v>
      </c>
      <c r="K27" s="302"/>
      <c r="L27" s="302"/>
      <c r="M27" s="303">
        <f>IF(K27&gt;0,VLOOKUP(G27,'[4]Pob. Ext, Parroquial'!$B$8:$F$117,4,FALSE),0)</f>
        <v>0</v>
      </c>
      <c r="N27" s="304" t="s">
        <v>200</v>
      </c>
      <c r="O27" s="302" t="s">
        <v>176</v>
      </c>
      <c r="P27" s="302">
        <v>1.43</v>
      </c>
      <c r="Q27" s="302">
        <v>250</v>
      </c>
      <c r="R27" s="302"/>
      <c r="S27" s="305">
        <v>41699</v>
      </c>
      <c r="T27" s="305">
        <v>41729</v>
      </c>
      <c r="U27" s="305" t="str">
        <f t="shared" si="0"/>
        <v>EJECUTADO</v>
      </c>
      <c r="V27" s="306">
        <f t="shared" si="1"/>
        <v>357.5</v>
      </c>
      <c r="W27" s="306"/>
      <c r="X27" s="306"/>
      <c r="Y27" s="307">
        <f t="shared" si="2"/>
        <v>357.5</v>
      </c>
      <c r="Z27" s="308"/>
      <c r="AA27" s="279" t="s">
        <v>177</v>
      </c>
      <c r="AB27" s="279" t="s">
        <v>178</v>
      </c>
      <c r="AC27" s="280" t="s">
        <v>187</v>
      </c>
      <c r="AD27" s="281">
        <v>2014</v>
      </c>
      <c r="AE27" s="267"/>
      <c r="AF27" s="267"/>
    </row>
    <row r="28" spans="1:32" s="268" customFormat="1" ht="50.1" customHeight="1" thickTop="1" thickBot="1">
      <c r="A28" s="299"/>
      <c r="B28" s="299"/>
      <c r="C28" s="299" t="s">
        <v>182</v>
      </c>
      <c r="D28" s="299" t="s">
        <v>206</v>
      </c>
      <c r="E28" s="300" t="s">
        <v>206</v>
      </c>
      <c r="F28" s="301" t="s">
        <v>171</v>
      </c>
      <c r="G28" s="302" t="s">
        <v>207</v>
      </c>
      <c r="H28" s="302" t="str">
        <f>VLOOKUP(G28,'[4]Pob. Ext, Parroquial'!$B$9:$C$117,2,0)</f>
        <v>GONZANAMA</v>
      </c>
      <c r="I28" s="302" t="s">
        <v>173</v>
      </c>
      <c r="J28" s="302" t="s">
        <v>174</v>
      </c>
      <c r="K28" s="302"/>
      <c r="L28" s="302">
        <f>ROUNDUP(Q28/6/1000,2)</f>
        <v>15</v>
      </c>
      <c r="M28" s="303">
        <f>IF(K28&gt;0,VLOOKUP(G28,'[4]Pob. Ext, Parroquial'!$B$8:$F$117,4,FALSE),0)</f>
        <v>0</v>
      </c>
      <c r="N28" s="304" t="s">
        <v>185</v>
      </c>
      <c r="O28" s="302" t="s">
        <v>184</v>
      </c>
      <c r="P28" s="302">
        <v>0.1</v>
      </c>
      <c r="Q28" s="302">
        <v>90000</v>
      </c>
      <c r="R28" s="302"/>
      <c r="S28" s="305">
        <v>41699</v>
      </c>
      <c r="T28" s="305">
        <v>41729</v>
      </c>
      <c r="U28" s="305" t="str">
        <f t="shared" si="0"/>
        <v>EJECUTADO</v>
      </c>
      <c r="V28" s="306">
        <f t="shared" si="1"/>
        <v>9000</v>
      </c>
      <c r="W28" s="306"/>
      <c r="X28" s="306"/>
      <c r="Y28" s="307">
        <f t="shared" si="2"/>
        <v>9000</v>
      </c>
      <c r="Z28" s="308"/>
      <c r="AA28" s="279" t="s">
        <v>177</v>
      </c>
      <c r="AB28" s="279" t="s">
        <v>178</v>
      </c>
      <c r="AC28" s="280" t="s">
        <v>187</v>
      </c>
      <c r="AD28" s="281">
        <v>2014</v>
      </c>
      <c r="AE28" s="267"/>
      <c r="AF28" s="267"/>
    </row>
    <row r="29" spans="1:32" s="268" customFormat="1" ht="50.1" customHeight="1" thickTop="1" thickBot="1">
      <c r="A29" s="299" t="s">
        <v>234</v>
      </c>
      <c r="B29" s="299" t="str">
        <f>+U29</f>
        <v>EN EJECUCION</v>
      </c>
      <c r="C29" s="299" t="s">
        <v>182</v>
      </c>
      <c r="D29" s="299" t="s">
        <v>208</v>
      </c>
      <c r="E29" s="300" t="s">
        <v>208</v>
      </c>
      <c r="F29" s="301" t="s">
        <v>171</v>
      </c>
      <c r="G29" s="302" t="s">
        <v>207</v>
      </c>
      <c r="H29" s="302" t="str">
        <f>VLOOKUP(G29,'[4]Pob. Ext, Parroquial'!$B$9:$C$117,2,0)</f>
        <v>GONZANAMA</v>
      </c>
      <c r="I29" s="302" t="s">
        <v>173</v>
      </c>
      <c r="J29" s="302" t="s">
        <v>174</v>
      </c>
      <c r="K29" s="302"/>
      <c r="L29" s="302">
        <f>ROUNDUP(Q29/6/1000,2)</f>
        <v>4.13</v>
      </c>
      <c r="M29" s="303">
        <f>IF(K29&gt;0,VLOOKUP(G29,'[4]Pob. Ext, Parroquial'!$B$8:$F$117,4,FALSE),0)</f>
        <v>0</v>
      </c>
      <c r="N29" s="304" t="s">
        <v>185</v>
      </c>
      <c r="O29" s="302" t="s">
        <v>184</v>
      </c>
      <c r="P29" s="302">
        <v>0.1</v>
      </c>
      <c r="Q29" s="302">
        <v>24750</v>
      </c>
      <c r="R29" s="302"/>
      <c r="S29" s="305">
        <v>41643</v>
      </c>
      <c r="T29" s="305">
        <v>41759</v>
      </c>
      <c r="U29" s="305" t="str">
        <f t="shared" si="0"/>
        <v>EN EJECUCION</v>
      </c>
      <c r="V29" s="306">
        <f t="shared" si="1"/>
        <v>2475</v>
      </c>
      <c r="W29" s="306"/>
      <c r="X29" s="306"/>
      <c r="Y29" s="307">
        <f t="shared" si="2"/>
        <v>2475</v>
      </c>
      <c r="Z29" s="308"/>
      <c r="AA29" s="279" t="s">
        <v>177</v>
      </c>
      <c r="AB29" s="279" t="s">
        <v>178</v>
      </c>
      <c r="AC29" s="280" t="s">
        <v>187</v>
      </c>
      <c r="AD29" s="281">
        <v>2014</v>
      </c>
      <c r="AE29" s="267"/>
      <c r="AF29" s="267"/>
    </row>
    <row r="30" spans="1:32" s="268" customFormat="1" ht="50.1" customHeight="1" thickTop="1" thickBot="1">
      <c r="A30" s="299" t="s">
        <v>237</v>
      </c>
      <c r="B30" s="299" t="str">
        <f>+U30</f>
        <v>EN EJECUCION</v>
      </c>
      <c r="C30" s="299" t="s">
        <v>182</v>
      </c>
      <c r="D30" s="299" t="s">
        <v>209</v>
      </c>
      <c r="E30" s="300" t="s">
        <v>209</v>
      </c>
      <c r="F30" s="301" t="s">
        <v>171</v>
      </c>
      <c r="G30" s="302" t="s">
        <v>207</v>
      </c>
      <c r="H30" s="302" t="str">
        <f>VLOOKUP(G30,'[4]Pob. Ext, Parroquial'!$B$9:$C$117,2,0)</f>
        <v>GONZANAMA</v>
      </c>
      <c r="I30" s="302" t="s">
        <v>173</v>
      </c>
      <c r="J30" s="302" t="s">
        <v>174</v>
      </c>
      <c r="K30" s="302"/>
      <c r="L30" s="302">
        <f>ROUNDUP(Q30/6/1000,2)</f>
        <v>0.84</v>
      </c>
      <c r="M30" s="303">
        <f>IF(K30&gt;0,VLOOKUP(G30,'[4]Pob. Ext, Parroquial'!$B$8:$F$117,4,FALSE),0)</f>
        <v>0</v>
      </c>
      <c r="N30" s="304" t="s">
        <v>185</v>
      </c>
      <c r="O30" s="302" t="s">
        <v>184</v>
      </c>
      <c r="P30" s="302">
        <v>0.1</v>
      </c>
      <c r="Q30" s="302">
        <v>5000</v>
      </c>
      <c r="R30" s="302"/>
      <c r="S30" s="305">
        <v>41643</v>
      </c>
      <c r="T30" s="305">
        <v>41759</v>
      </c>
      <c r="U30" s="305" t="str">
        <f t="shared" si="0"/>
        <v>EN EJECUCION</v>
      </c>
      <c r="V30" s="306">
        <f t="shared" si="1"/>
        <v>500</v>
      </c>
      <c r="W30" s="306"/>
      <c r="X30" s="306"/>
      <c r="Y30" s="307">
        <f t="shared" si="2"/>
        <v>500</v>
      </c>
      <c r="Z30" s="308"/>
      <c r="AA30" s="279" t="s">
        <v>177</v>
      </c>
      <c r="AB30" s="279" t="s">
        <v>178</v>
      </c>
      <c r="AC30" s="280" t="s">
        <v>187</v>
      </c>
      <c r="AD30" s="281">
        <v>2014</v>
      </c>
      <c r="AE30" s="267"/>
      <c r="AF30" s="267"/>
    </row>
    <row r="31" spans="1:32" s="268" customFormat="1" ht="50.1" customHeight="1" thickTop="1" thickBot="1">
      <c r="A31" s="299" t="s">
        <v>253</v>
      </c>
      <c r="B31" s="299" t="str">
        <f>+U31</f>
        <v>EN EJECUCION</v>
      </c>
      <c r="C31" s="299" t="s">
        <v>182</v>
      </c>
      <c r="D31" s="299" t="s">
        <v>210</v>
      </c>
      <c r="E31" s="300" t="s">
        <v>210</v>
      </c>
      <c r="F31" s="301" t="s">
        <v>171</v>
      </c>
      <c r="G31" s="302" t="s">
        <v>207</v>
      </c>
      <c r="H31" s="302" t="str">
        <f>VLOOKUP(G31,'[4]Pob. Ext, Parroquial'!$B$9:$C$117,2,0)</f>
        <v>GONZANAMA</v>
      </c>
      <c r="I31" s="302" t="s">
        <v>173</v>
      </c>
      <c r="J31" s="302" t="s">
        <v>174</v>
      </c>
      <c r="K31" s="302"/>
      <c r="L31" s="302">
        <f>ROUNDUP(Q31/6/1000,2)</f>
        <v>1.65</v>
      </c>
      <c r="M31" s="303">
        <f>IF(K31&gt;0,VLOOKUP(G31,'[4]Pob. Ext, Parroquial'!$B$8:$F$117,4,FALSE),0)</f>
        <v>0</v>
      </c>
      <c r="N31" s="304" t="s">
        <v>185</v>
      </c>
      <c r="O31" s="302" t="s">
        <v>184</v>
      </c>
      <c r="P31" s="302">
        <v>0.1</v>
      </c>
      <c r="Q31" s="302">
        <v>9900</v>
      </c>
      <c r="R31" s="302"/>
      <c r="S31" s="305">
        <v>41643</v>
      </c>
      <c r="T31" s="305">
        <v>41759</v>
      </c>
      <c r="U31" s="305" t="str">
        <f t="shared" si="0"/>
        <v>EN EJECUCION</v>
      </c>
      <c r="V31" s="306">
        <f t="shared" si="1"/>
        <v>990</v>
      </c>
      <c r="W31" s="306"/>
      <c r="X31" s="306"/>
      <c r="Y31" s="307">
        <f t="shared" si="2"/>
        <v>990</v>
      </c>
      <c r="Z31" s="308"/>
      <c r="AA31" s="279" t="s">
        <v>177</v>
      </c>
      <c r="AB31" s="279" t="s">
        <v>178</v>
      </c>
      <c r="AC31" s="280" t="s">
        <v>187</v>
      </c>
      <c r="AD31" s="281">
        <v>2014</v>
      </c>
      <c r="AE31" s="267"/>
      <c r="AF31" s="267"/>
    </row>
    <row r="32" spans="1:32" s="268" customFormat="1" ht="50.1" customHeight="1" thickTop="1" thickBot="1">
      <c r="A32" s="299" t="s">
        <v>256</v>
      </c>
      <c r="B32" s="299" t="str">
        <f>+U32</f>
        <v>EN EJECUCION</v>
      </c>
      <c r="C32" s="299" t="s">
        <v>182</v>
      </c>
      <c r="D32" s="299" t="s">
        <v>211</v>
      </c>
      <c r="E32" s="300" t="s">
        <v>211</v>
      </c>
      <c r="F32" s="301" t="s">
        <v>171</v>
      </c>
      <c r="G32" s="302" t="s">
        <v>207</v>
      </c>
      <c r="H32" s="302" t="str">
        <f>VLOOKUP(G32,'[4]Pob. Ext, Parroquial'!$B$9:$C$117,2,0)</f>
        <v>GONZANAMA</v>
      </c>
      <c r="I32" s="302" t="s">
        <v>173</v>
      </c>
      <c r="J32" s="302" t="s">
        <v>174</v>
      </c>
      <c r="K32" s="302"/>
      <c r="L32" s="302">
        <f>ROUNDUP(Q32/6/1000,2)</f>
        <v>0.92</v>
      </c>
      <c r="M32" s="303">
        <f>IF(K32&gt;0,VLOOKUP(G32,'[4]Pob. Ext, Parroquial'!$B$8:$F$117,4,FALSE),0)</f>
        <v>0</v>
      </c>
      <c r="N32" s="304" t="s">
        <v>185</v>
      </c>
      <c r="O32" s="302" t="s">
        <v>184</v>
      </c>
      <c r="P32" s="302">
        <v>0.1</v>
      </c>
      <c r="Q32" s="302">
        <v>5500</v>
      </c>
      <c r="R32" s="302"/>
      <c r="S32" s="305">
        <v>41643</v>
      </c>
      <c r="T32" s="305">
        <v>41759</v>
      </c>
      <c r="U32" s="305" t="str">
        <f t="shared" si="0"/>
        <v>EN EJECUCION</v>
      </c>
      <c r="V32" s="306">
        <f t="shared" si="1"/>
        <v>550</v>
      </c>
      <c r="W32" s="306"/>
      <c r="X32" s="306"/>
      <c r="Y32" s="307">
        <f t="shared" si="2"/>
        <v>550</v>
      </c>
      <c r="Z32" s="308"/>
      <c r="AA32" s="279" t="s">
        <v>177</v>
      </c>
      <c r="AB32" s="279" t="s">
        <v>178</v>
      </c>
      <c r="AC32" s="280" t="s">
        <v>187</v>
      </c>
      <c r="AD32" s="281">
        <v>2014</v>
      </c>
      <c r="AE32" s="267"/>
      <c r="AF32" s="267"/>
    </row>
    <row r="33" spans="1:32" s="268" customFormat="1" ht="50.1" customHeight="1" thickTop="1" thickBot="1">
      <c r="A33" s="1041" t="s">
        <v>258</v>
      </c>
      <c r="B33" s="1041" t="str">
        <f>+U33</f>
        <v>EN EJECUCION</v>
      </c>
      <c r="C33" s="299" t="s">
        <v>182</v>
      </c>
      <c r="D33" s="1041" t="s">
        <v>212</v>
      </c>
      <c r="E33" s="300" t="s">
        <v>212</v>
      </c>
      <c r="F33" s="301" t="s">
        <v>171</v>
      </c>
      <c r="G33" s="302" t="s">
        <v>205</v>
      </c>
      <c r="H33" s="302" t="str">
        <f>VLOOKUP(G33,'[4]Pob. Ext, Parroquial'!$B$9:$C$117,2,0)</f>
        <v>GONZANAMA</v>
      </c>
      <c r="I33" s="302" t="s">
        <v>173</v>
      </c>
      <c r="J33" s="302" t="s">
        <v>174</v>
      </c>
      <c r="K33" s="302"/>
      <c r="L33" s="302"/>
      <c r="M33" s="303">
        <f>IF(K33&gt;0,VLOOKUP(G33,'[4]Pob. Ext, Parroquial'!$B$8:$F$117,4,FALSE),0)</f>
        <v>0</v>
      </c>
      <c r="N33" s="304" t="s">
        <v>200</v>
      </c>
      <c r="O33" s="302" t="s">
        <v>176</v>
      </c>
      <c r="P33" s="302">
        <v>1.43</v>
      </c>
      <c r="Q33" s="302">
        <v>720</v>
      </c>
      <c r="R33" s="302"/>
      <c r="S33" s="305">
        <v>41643</v>
      </c>
      <c r="T33" s="305">
        <v>41759</v>
      </c>
      <c r="U33" s="305" t="str">
        <f t="shared" si="0"/>
        <v>EN EJECUCION</v>
      </c>
      <c r="V33" s="306">
        <f t="shared" si="1"/>
        <v>1029.5999999999999</v>
      </c>
      <c r="W33" s="306"/>
      <c r="X33" s="306"/>
      <c r="Y33" s="307">
        <f t="shared" si="2"/>
        <v>1029.5999999999999</v>
      </c>
      <c r="Z33" s="308"/>
      <c r="AA33" s="279" t="s">
        <v>177</v>
      </c>
      <c r="AB33" s="279" t="s">
        <v>178</v>
      </c>
      <c r="AC33" s="280" t="s">
        <v>187</v>
      </c>
      <c r="AD33" s="281">
        <v>2014</v>
      </c>
      <c r="AE33" s="267"/>
      <c r="AF33" s="267"/>
    </row>
    <row r="34" spans="1:32" s="268" customFormat="1" ht="50.1" customHeight="1" thickTop="1" thickBot="1">
      <c r="A34" s="1041"/>
      <c r="B34" s="1041"/>
      <c r="C34" s="299" t="s">
        <v>169</v>
      </c>
      <c r="D34" s="1041"/>
      <c r="E34" s="300" t="s">
        <v>212</v>
      </c>
      <c r="F34" s="301" t="s">
        <v>171</v>
      </c>
      <c r="G34" s="302" t="s">
        <v>205</v>
      </c>
      <c r="H34" s="302" t="str">
        <f>VLOOKUP(G34,'[4]Pob. Ext, Parroquial'!$B$9:$C$117,2,0)</f>
        <v>GONZANAMA</v>
      </c>
      <c r="I34" s="302" t="s">
        <v>173</v>
      </c>
      <c r="J34" s="302" t="s">
        <v>174</v>
      </c>
      <c r="K34" s="302"/>
      <c r="L34" s="302"/>
      <c r="M34" s="303">
        <f>IF(K34&gt;0,VLOOKUP(G34,'[4]Pob. Ext, Parroquial'!$B$8:$F$117,4,FALSE),0)</f>
        <v>0</v>
      </c>
      <c r="N34" s="304" t="s">
        <v>180</v>
      </c>
      <c r="O34" s="302" t="s">
        <v>181</v>
      </c>
      <c r="P34" s="302">
        <v>0.35</v>
      </c>
      <c r="Q34" s="302">
        <v>720</v>
      </c>
      <c r="R34" s="302"/>
      <c r="S34" s="305">
        <v>41643</v>
      </c>
      <c r="T34" s="305">
        <v>41759</v>
      </c>
      <c r="U34" s="305" t="str">
        <f t="shared" si="0"/>
        <v>EN EJECUCION</v>
      </c>
      <c r="V34" s="306">
        <f t="shared" si="1"/>
        <v>252</v>
      </c>
      <c r="W34" s="306"/>
      <c r="X34" s="306"/>
      <c r="Y34" s="307">
        <f t="shared" si="2"/>
        <v>252</v>
      </c>
      <c r="Z34" s="308"/>
      <c r="AA34" s="279" t="s">
        <v>177</v>
      </c>
      <c r="AB34" s="279" t="s">
        <v>178</v>
      </c>
      <c r="AC34" s="280" t="s">
        <v>187</v>
      </c>
      <c r="AD34" s="281">
        <v>2014</v>
      </c>
      <c r="AE34" s="267"/>
      <c r="AF34" s="267"/>
    </row>
    <row r="35" spans="1:32" s="268" customFormat="1" ht="50.1" customHeight="1" thickTop="1" thickBot="1">
      <c r="A35" s="1041" t="s">
        <v>261</v>
      </c>
      <c r="B35" s="1041" t="str">
        <f>+U35</f>
        <v>EN EJECUCION</v>
      </c>
      <c r="C35" s="299" t="s">
        <v>182</v>
      </c>
      <c r="D35" s="1041" t="s">
        <v>213</v>
      </c>
      <c r="E35" s="300" t="s">
        <v>213</v>
      </c>
      <c r="F35" s="301" t="s">
        <v>171</v>
      </c>
      <c r="G35" s="302" t="s">
        <v>189</v>
      </c>
      <c r="H35" s="302" t="str">
        <f>VLOOKUP(G35,'[4]Pob. Ext, Parroquial'!$B$9:$C$117,2,0)</f>
        <v>GONZANAMA</v>
      </c>
      <c r="I35" s="302" t="s">
        <v>173</v>
      </c>
      <c r="J35" s="302" t="s">
        <v>174</v>
      </c>
      <c r="K35" s="302"/>
      <c r="L35" s="302"/>
      <c r="M35" s="303">
        <f>IF(K35&gt;0,VLOOKUP(G35,'[4]Pob. Ext, Parroquial'!$B$8:$F$117,4,FALSE),0)</f>
        <v>0</v>
      </c>
      <c r="N35" s="304" t="s">
        <v>200</v>
      </c>
      <c r="O35" s="302" t="s">
        <v>176</v>
      </c>
      <c r="P35" s="302">
        <v>1.43</v>
      </c>
      <c r="Q35" s="302">
        <v>280</v>
      </c>
      <c r="R35" s="302"/>
      <c r="S35" s="305">
        <v>41643</v>
      </c>
      <c r="T35" s="305">
        <v>41759</v>
      </c>
      <c r="U35" s="305" t="str">
        <f t="shared" si="0"/>
        <v>EN EJECUCION</v>
      </c>
      <c r="V35" s="306">
        <f t="shared" si="1"/>
        <v>400.4</v>
      </c>
      <c r="W35" s="306"/>
      <c r="X35" s="306"/>
      <c r="Y35" s="307">
        <f t="shared" si="2"/>
        <v>400.4</v>
      </c>
      <c r="Z35" s="308"/>
      <c r="AA35" s="279" t="s">
        <v>177</v>
      </c>
      <c r="AB35" s="279" t="s">
        <v>178</v>
      </c>
      <c r="AC35" s="280" t="s">
        <v>187</v>
      </c>
      <c r="AD35" s="281">
        <v>2014</v>
      </c>
      <c r="AE35" s="267"/>
      <c r="AF35" s="267"/>
    </row>
    <row r="36" spans="1:32" s="268" customFormat="1" ht="50.1" customHeight="1" thickTop="1" thickBot="1">
      <c r="A36" s="1041"/>
      <c r="B36" s="1041"/>
      <c r="C36" s="299" t="s">
        <v>169</v>
      </c>
      <c r="D36" s="1041"/>
      <c r="E36" s="300" t="s">
        <v>213</v>
      </c>
      <c r="F36" s="301" t="s">
        <v>171</v>
      </c>
      <c r="G36" s="302" t="s">
        <v>189</v>
      </c>
      <c r="H36" s="302" t="str">
        <f>VLOOKUP(G36,'[4]Pob. Ext, Parroquial'!$B$9:$C$117,2,0)</f>
        <v>GONZANAMA</v>
      </c>
      <c r="I36" s="302" t="s">
        <v>173</v>
      </c>
      <c r="J36" s="302" t="s">
        <v>174</v>
      </c>
      <c r="K36" s="302"/>
      <c r="L36" s="302"/>
      <c r="M36" s="303">
        <f>IF(K36&gt;0,VLOOKUP(G36,'[4]Pob. Ext, Parroquial'!$B$8:$F$117,4,FALSE),0)</f>
        <v>0</v>
      </c>
      <c r="N36" s="304" t="s">
        <v>180</v>
      </c>
      <c r="O36" s="302" t="s">
        <v>181</v>
      </c>
      <c r="P36" s="302">
        <v>0.35</v>
      </c>
      <c r="Q36" s="302">
        <v>2160</v>
      </c>
      <c r="R36" s="302"/>
      <c r="S36" s="305">
        <v>41643</v>
      </c>
      <c r="T36" s="305">
        <v>41759</v>
      </c>
      <c r="U36" s="305" t="str">
        <f t="shared" si="0"/>
        <v>EN EJECUCION</v>
      </c>
      <c r="V36" s="306">
        <f t="shared" si="1"/>
        <v>756</v>
      </c>
      <c r="W36" s="306"/>
      <c r="X36" s="306"/>
      <c r="Y36" s="307">
        <f t="shared" si="2"/>
        <v>756</v>
      </c>
      <c r="Z36" s="308"/>
      <c r="AA36" s="279" t="s">
        <v>177</v>
      </c>
      <c r="AB36" s="279" t="s">
        <v>178</v>
      </c>
      <c r="AC36" s="280" t="s">
        <v>187</v>
      </c>
      <c r="AD36" s="281">
        <v>2014</v>
      </c>
      <c r="AE36" s="267"/>
      <c r="AF36" s="267"/>
    </row>
    <row r="37" spans="1:32" s="268" customFormat="1" ht="50.1" customHeight="1" thickTop="1" thickBot="1">
      <c r="A37" s="299" t="s">
        <v>288</v>
      </c>
      <c r="B37" s="299" t="str">
        <f>+U37</f>
        <v>EN EJECUCION</v>
      </c>
      <c r="C37" s="299" t="s">
        <v>182</v>
      </c>
      <c r="D37" s="299" t="s">
        <v>214</v>
      </c>
      <c r="E37" s="300" t="s">
        <v>214</v>
      </c>
      <c r="F37" s="301" t="s">
        <v>171</v>
      </c>
      <c r="G37" s="302" t="s">
        <v>189</v>
      </c>
      <c r="H37" s="302" t="str">
        <f>VLOOKUP(G37,'[4]Pob. Ext, Parroquial'!$B$9:$C$117,2,0)</f>
        <v>GONZANAMA</v>
      </c>
      <c r="I37" s="302" t="s">
        <v>173</v>
      </c>
      <c r="J37" s="302" t="s">
        <v>174</v>
      </c>
      <c r="K37" s="302"/>
      <c r="L37" s="302">
        <f>ROUNDUP(Q37/6/1000,2)</f>
        <v>1.5</v>
      </c>
      <c r="M37" s="303">
        <f>IF(K37&gt;0,VLOOKUP(G37,'[4]Pob. Ext, Parroquial'!$B$8:$F$117,4,FALSE),0)</f>
        <v>0</v>
      </c>
      <c r="N37" s="304" t="s">
        <v>183</v>
      </c>
      <c r="O37" s="302" t="s">
        <v>184</v>
      </c>
      <c r="P37" s="302">
        <v>1.26</v>
      </c>
      <c r="Q37" s="302">
        <v>9000</v>
      </c>
      <c r="R37" s="302"/>
      <c r="S37" s="305">
        <v>41730</v>
      </c>
      <c r="T37" s="305">
        <v>41759</v>
      </c>
      <c r="U37" s="305" t="str">
        <f t="shared" si="0"/>
        <v>EN EJECUCION</v>
      </c>
      <c r="V37" s="306">
        <f t="shared" si="1"/>
        <v>11340</v>
      </c>
      <c r="W37" s="306"/>
      <c r="X37" s="306"/>
      <c r="Y37" s="307">
        <f t="shared" si="2"/>
        <v>11340</v>
      </c>
      <c r="Z37" s="308"/>
      <c r="AA37" s="279" t="s">
        <v>177</v>
      </c>
      <c r="AB37" s="279" t="s">
        <v>178</v>
      </c>
      <c r="AC37" s="280" t="s">
        <v>187</v>
      </c>
      <c r="AD37" s="281">
        <v>2014</v>
      </c>
      <c r="AE37" s="267"/>
      <c r="AF37" s="267"/>
    </row>
    <row r="38" spans="1:32" s="268" customFormat="1" ht="50.1" customHeight="1" thickTop="1" thickBot="1">
      <c r="A38" s="299" t="s">
        <v>293</v>
      </c>
      <c r="B38" s="299" t="str">
        <f>+U38</f>
        <v>EN EJECUCION</v>
      </c>
      <c r="C38" s="299" t="s">
        <v>182</v>
      </c>
      <c r="D38" s="299" t="s">
        <v>215</v>
      </c>
      <c r="E38" s="300" t="s">
        <v>215</v>
      </c>
      <c r="F38" s="301" t="s">
        <v>171</v>
      </c>
      <c r="G38" s="302" t="s">
        <v>207</v>
      </c>
      <c r="H38" s="302" t="str">
        <f>VLOOKUP(G38,'[4]Pob. Ext, Parroquial'!$B$9:$C$117,2,0)</f>
        <v>GONZANAMA</v>
      </c>
      <c r="I38" s="302" t="s">
        <v>173</v>
      </c>
      <c r="J38" s="302" t="s">
        <v>174</v>
      </c>
      <c r="K38" s="302"/>
      <c r="L38" s="302">
        <f>ROUNDUP(Q38/6/1000,2)</f>
        <v>3.34</v>
      </c>
      <c r="M38" s="303">
        <f>IF(K38&gt;0,VLOOKUP(G38,'[4]Pob. Ext, Parroquial'!$B$8:$F$117,4,FALSE),0)</f>
        <v>0</v>
      </c>
      <c r="N38" s="304" t="s">
        <v>183</v>
      </c>
      <c r="O38" s="302" t="s">
        <v>184</v>
      </c>
      <c r="P38" s="302">
        <v>1.26</v>
      </c>
      <c r="Q38" s="302">
        <v>20000</v>
      </c>
      <c r="R38" s="302"/>
      <c r="S38" s="305">
        <v>41730</v>
      </c>
      <c r="T38" s="305">
        <v>41759</v>
      </c>
      <c r="U38" s="305" t="str">
        <f t="shared" si="0"/>
        <v>EN EJECUCION</v>
      </c>
      <c r="V38" s="306">
        <f t="shared" si="1"/>
        <v>25200</v>
      </c>
      <c r="W38" s="306"/>
      <c r="X38" s="306"/>
      <c r="Y38" s="307">
        <f t="shared" si="2"/>
        <v>25200</v>
      </c>
      <c r="Z38" s="308"/>
      <c r="AA38" s="279" t="s">
        <v>177</v>
      </c>
      <c r="AB38" s="279" t="s">
        <v>178</v>
      </c>
      <c r="AC38" s="280" t="s">
        <v>187</v>
      </c>
      <c r="AD38" s="281">
        <v>2014</v>
      </c>
      <c r="AE38" s="267"/>
      <c r="AF38" s="267"/>
    </row>
    <row r="39" spans="1:32" s="268" customFormat="1" ht="50.1" customHeight="1" thickTop="1" thickBot="1">
      <c r="A39" s="299" t="s">
        <v>304</v>
      </c>
      <c r="B39" s="299" t="str">
        <f>+U39</f>
        <v>EN EJECUCION</v>
      </c>
      <c r="C39" s="299" t="s">
        <v>182</v>
      </c>
      <c r="D39" s="299" t="s">
        <v>216</v>
      </c>
      <c r="E39" s="300" t="s">
        <v>216</v>
      </c>
      <c r="F39" s="301" t="s">
        <v>171</v>
      </c>
      <c r="G39" s="302" t="s">
        <v>207</v>
      </c>
      <c r="H39" s="302" t="str">
        <f>VLOOKUP(G39,'[4]Pob. Ext, Parroquial'!$B$9:$C$117,2,0)</f>
        <v>GONZANAMA</v>
      </c>
      <c r="I39" s="302" t="s">
        <v>173</v>
      </c>
      <c r="J39" s="302" t="s">
        <v>174</v>
      </c>
      <c r="K39" s="302"/>
      <c r="L39" s="302">
        <f>ROUNDUP(Q39/6/1000,2)</f>
        <v>0.84</v>
      </c>
      <c r="M39" s="303">
        <f>IF(K39&gt;0,VLOOKUP(G39,'[4]Pob. Ext, Parroquial'!$B$8:$F$117,4,FALSE),0)</f>
        <v>0</v>
      </c>
      <c r="N39" s="304" t="s">
        <v>183</v>
      </c>
      <c r="O39" s="302" t="s">
        <v>184</v>
      </c>
      <c r="P39" s="302">
        <v>1.26</v>
      </c>
      <c r="Q39" s="302">
        <v>5000</v>
      </c>
      <c r="R39" s="302"/>
      <c r="S39" s="305">
        <v>41730</v>
      </c>
      <c r="T39" s="305">
        <v>41759</v>
      </c>
      <c r="U39" s="305" t="str">
        <f t="shared" si="0"/>
        <v>EN EJECUCION</v>
      </c>
      <c r="V39" s="306">
        <f t="shared" si="1"/>
        <v>6300</v>
      </c>
      <c r="W39" s="306"/>
      <c r="X39" s="306"/>
      <c r="Y39" s="307">
        <f t="shared" si="2"/>
        <v>6300</v>
      </c>
      <c r="Z39" s="308"/>
      <c r="AA39" s="279" t="s">
        <v>177</v>
      </c>
      <c r="AB39" s="279" t="s">
        <v>178</v>
      </c>
      <c r="AC39" s="280" t="s">
        <v>187</v>
      </c>
      <c r="AD39" s="281">
        <v>2014</v>
      </c>
      <c r="AE39" s="267"/>
      <c r="AF39" s="267"/>
    </row>
    <row r="40" spans="1:32" s="268" customFormat="1" ht="50.1" customHeight="1" thickTop="1" thickBot="1">
      <c r="A40" s="299" t="s">
        <v>319</v>
      </c>
      <c r="B40" s="299" t="str">
        <f>+U40</f>
        <v>EN EJECUCION</v>
      </c>
      <c r="C40" s="299" t="s">
        <v>182</v>
      </c>
      <c r="D40" s="299" t="s">
        <v>217</v>
      </c>
      <c r="E40" s="300" t="s">
        <v>217</v>
      </c>
      <c r="F40" s="301" t="s">
        <v>171</v>
      </c>
      <c r="G40" s="302" t="s">
        <v>207</v>
      </c>
      <c r="H40" s="302" t="str">
        <f>VLOOKUP(G40,'[4]Pob. Ext, Parroquial'!$B$9:$C$117,2,0)</f>
        <v>GONZANAMA</v>
      </c>
      <c r="I40" s="302" t="s">
        <v>173</v>
      </c>
      <c r="J40" s="302" t="s">
        <v>174</v>
      </c>
      <c r="K40" s="302"/>
      <c r="L40" s="302">
        <f>ROUNDUP(Q40/6/1000,2)</f>
        <v>1</v>
      </c>
      <c r="M40" s="303">
        <f>IF(K40&gt;0,VLOOKUP(G40,'[4]Pob. Ext, Parroquial'!$B$8:$F$117,4,FALSE),0)</f>
        <v>0</v>
      </c>
      <c r="N40" s="304" t="s">
        <v>183</v>
      </c>
      <c r="O40" s="302" t="s">
        <v>184</v>
      </c>
      <c r="P40" s="302">
        <v>1.26</v>
      </c>
      <c r="Q40" s="302">
        <v>6000</v>
      </c>
      <c r="R40" s="302"/>
      <c r="S40" s="305">
        <v>41730</v>
      </c>
      <c r="T40" s="305">
        <v>41759</v>
      </c>
      <c r="U40" s="305" t="str">
        <f t="shared" si="0"/>
        <v>EN EJECUCION</v>
      </c>
      <c r="V40" s="306">
        <f t="shared" si="1"/>
        <v>7560</v>
      </c>
      <c r="W40" s="306"/>
      <c r="X40" s="306"/>
      <c r="Y40" s="307">
        <f t="shared" si="2"/>
        <v>7560</v>
      </c>
      <c r="Z40" s="308"/>
      <c r="AA40" s="279" t="s">
        <v>177</v>
      </c>
      <c r="AB40" s="279" t="s">
        <v>178</v>
      </c>
      <c r="AC40" s="280" t="s">
        <v>187</v>
      </c>
      <c r="AD40" s="281">
        <v>2014</v>
      </c>
      <c r="AE40" s="267"/>
      <c r="AF40" s="267"/>
    </row>
    <row r="41" spans="1:32" s="268" customFormat="1" ht="50.1" customHeight="1" thickTop="1" thickBot="1">
      <c r="A41" s="299"/>
      <c r="B41" s="299"/>
      <c r="C41" s="299" t="s">
        <v>182</v>
      </c>
      <c r="D41" s="299" t="s">
        <v>741</v>
      </c>
      <c r="E41" s="300" t="s">
        <v>741</v>
      </c>
      <c r="F41" s="301" t="s">
        <v>171</v>
      </c>
      <c r="G41" s="302" t="s">
        <v>223</v>
      </c>
      <c r="H41" s="302" t="str">
        <f>VLOOKUP(G41,'[4]Pob. Ext, Parroquial'!$B$9:$C$117,2,0)</f>
        <v>ESPINDOLA</v>
      </c>
      <c r="I41" s="302" t="s">
        <v>173</v>
      </c>
      <c r="J41" s="302" t="s">
        <v>174</v>
      </c>
      <c r="K41" s="302"/>
      <c r="L41" s="302">
        <f>ROUNDUP(Q41/6/1000,2)</f>
        <v>6</v>
      </c>
      <c r="M41" s="303">
        <f>IF(K41&gt;0,VLOOKUP(G41,'[4]Pob. Ext, Parroquial'!$B$8:$F$117,4,FALSE),0)</f>
        <v>0</v>
      </c>
      <c r="N41" s="304" t="s">
        <v>185</v>
      </c>
      <c r="O41" s="302" t="s">
        <v>184</v>
      </c>
      <c r="P41" s="302">
        <v>0.1</v>
      </c>
      <c r="Q41" s="302">
        <v>36000</v>
      </c>
      <c r="R41" s="302"/>
      <c r="S41" s="305">
        <v>41699</v>
      </c>
      <c r="T41" s="305">
        <v>41729</v>
      </c>
      <c r="U41" s="305" t="str">
        <f t="shared" si="0"/>
        <v>EJECUTADO</v>
      </c>
      <c r="V41" s="306">
        <f t="shared" si="1"/>
        <v>3600</v>
      </c>
      <c r="W41" s="306"/>
      <c r="X41" s="306"/>
      <c r="Y41" s="307">
        <f t="shared" si="2"/>
        <v>3600</v>
      </c>
      <c r="Z41" s="308"/>
      <c r="AA41" s="279" t="s">
        <v>177</v>
      </c>
      <c r="AB41" s="279" t="s">
        <v>178</v>
      </c>
      <c r="AC41" s="280" t="s">
        <v>187</v>
      </c>
      <c r="AD41" s="281">
        <v>2014</v>
      </c>
      <c r="AE41" s="267"/>
      <c r="AF41" s="267"/>
    </row>
    <row r="42" spans="1:32" s="268" customFormat="1" ht="50.1" customHeight="1" thickTop="1" thickBot="1">
      <c r="A42" s="253"/>
      <c r="B42" s="253"/>
      <c r="C42" s="253" t="s">
        <v>182</v>
      </c>
      <c r="D42" s="253" t="s">
        <v>225</v>
      </c>
      <c r="E42" s="309" t="s">
        <v>225</v>
      </c>
      <c r="F42" s="310" t="s">
        <v>171</v>
      </c>
      <c r="G42" s="311" t="s">
        <v>223</v>
      </c>
      <c r="H42" s="311" t="str">
        <f>VLOOKUP(G42,'[4]Pob. Ext, Parroquial'!$B$9:$C$117,2,0)</f>
        <v>ESPINDOLA</v>
      </c>
      <c r="I42" s="311" t="s">
        <v>173</v>
      </c>
      <c r="J42" s="311" t="s">
        <v>174</v>
      </c>
      <c r="K42" s="311"/>
      <c r="L42" s="311"/>
      <c r="M42" s="312">
        <f>IF(K42&gt;0,VLOOKUP(G42,'[4]Pob. Ext, Parroquial'!$B$8:$F$117,4,FALSE),0)</f>
        <v>0</v>
      </c>
      <c r="N42" s="313" t="s">
        <v>742</v>
      </c>
      <c r="O42" s="311" t="s">
        <v>176</v>
      </c>
      <c r="P42" s="311">
        <v>1.26</v>
      </c>
      <c r="Q42" s="311">
        <v>8000</v>
      </c>
      <c r="R42" s="311"/>
      <c r="S42" s="314">
        <v>41699</v>
      </c>
      <c r="T42" s="314">
        <v>41729</v>
      </c>
      <c r="U42" s="314" t="str">
        <f t="shared" si="0"/>
        <v>EJECUTADO</v>
      </c>
      <c r="V42" s="315">
        <f t="shared" si="1"/>
        <v>10080</v>
      </c>
      <c r="W42" s="315"/>
      <c r="X42" s="315"/>
      <c r="Y42" s="316">
        <f t="shared" si="2"/>
        <v>10080</v>
      </c>
      <c r="Z42" s="308"/>
      <c r="AA42" s="279" t="s">
        <v>177</v>
      </c>
      <c r="AB42" s="279" t="s">
        <v>178</v>
      </c>
      <c r="AC42" s="280" t="s">
        <v>187</v>
      </c>
      <c r="AD42" s="281">
        <v>2014</v>
      </c>
      <c r="AE42" s="267"/>
      <c r="AF42" s="267"/>
    </row>
    <row r="43" spans="1:32" s="268" customFormat="1" ht="50.1" customHeight="1" thickTop="1">
      <c r="A43" s="1015" t="s">
        <v>328</v>
      </c>
      <c r="B43" s="1042" t="str">
        <f>+U43</f>
        <v>EN EJECUCION</v>
      </c>
      <c r="C43" s="254" t="s">
        <v>182</v>
      </c>
      <c r="D43" s="1018" t="s">
        <v>227</v>
      </c>
      <c r="E43" s="255" t="s">
        <v>227</v>
      </c>
      <c r="F43" s="256" t="s">
        <v>171</v>
      </c>
      <c r="G43" s="257" t="s">
        <v>228</v>
      </c>
      <c r="H43" s="257" t="str">
        <f>VLOOKUP(G43,'[4]Pob. Ext, Parroquial'!$B$9:$C$117,2,0)</f>
        <v>ESPINDOLA</v>
      </c>
      <c r="I43" s="257" t="s">
        <v>173</v>
      </c>
      <c r="J43" s="257" t="s">
        <v>174</v>
      </c>
      <c r="K43" s="257"/>
      <c r="L43" s="257"/>
      <c r="M43" s="258">
        <f>IF(K43&gt;0,VLOOKUP(G43,'[4]Pob. Ext, Parroquial'!$B$8:$F$117,4,FALSE),0)</f>
        <v>0</v>
      </c>
      <c r="N43" s="259" t="s">
        <v>175</v>
      </c>
      <c r="O43" s="257" t="s">
        <v>176</v>
      </c>
      <c r="P43" s="257">
        <v>1.26</v>
      </c>
      <c r="Q43" s="257">
        <v>2500</v>
      </c>
      <c r="R43" s="257"/>
      <c r="S43" s="261">
        <v>41730</v>
      </c>
      <c r="T43" s="261">
        <v>41759</v>
      </c>
      <c r="U43" s="261" t="str">
        <f t="shared" si="0"/>
        <v>EN EJECUCION</v>
      </c>
      <c r="V43" s="262">
        <f>ROUND(P43*Q43,2)</f>
        <v>3150</v>
      </c>
      <c r="W43" s="262"/>
      <c r="X43" s="262"/>
      <c r="Y43" s="1021">
        <f>SUM(V43:V45)</f>
        <v>14837.5</v>
      </c>
      <c r="Z43" s="278"/>
      <c r="AA43" s="279" t="s">
        <v>177</v>
      </c>
      <c r="AB43" s="279" t="s">
        <v>178</v>
      </c>
      <c r="AC43" s="280" t="s">
        <v>179</v>
      </c>
      <c r="AD43" s="281">
        <v>2014</v>
      </c>
      <c r="AE43" s="267"/>
      <c r="AF43" s="267"/>
    </row>
    <row r="44" spans="1:32" s="268" customFormat="1" ht="50.1" customHeight="1">
      <c r="A44" s="1016"/>
      <c r="B44" s="1043"/>
      <c r="C44" s="270" t="s">
        <v>169</v>
      </c>
      <c r="D44" s="1019"/>
      <c r="E44" s="271" t="s">
        <v>227</v>
      </c>
      <c r="F44" s="272" t="s">
        <v>171</v>
      </c>
      <c r="G44" s="273" t="s">
        <v>228</v>
      </c>
      <c r="H44" s="273" t="str">
        <f>VLOOKUP(G44,'[4]Pob. Ext, Parroquial'!$B$9:$C$117,2,0)</f>
        <v>ESPINDOLA</v>
      </c>
      <c r="I44" s="273" t="s">
        <v>173</v>
      </c>
      <c r="J44" s="273" t="s">
        <v>174</v>
      </c>
      <c r="K44" s="273"/>
      <c r="L44" s="273"/>
      <c r="M44" s="274">
        <f>IF(K44&gt;0,VLOOKUP(G44,'[4]Pob. Ext, Parroquial'!$B$8:$F$117,4,FALSE),0)</f>
        <v>0</v>
      </c>
      <c r="N44" s="275" t="s">
        <v>180</v>
      </c>
      <c r="O44" s="273" t="s">
        <v>181</v>
      </c>
      <c r="P44" s="273">
        <v>0.35</v>
      </c>
      <c r="Q44" s="273">
        <v>1750</v>
      </c>
      <c r="R44" s="273"/>
      <c r="S44" s="276">
        <v>41730</v>
      </c>
      <c r="T44" s="276">
        <v>41759</v>
      </c>
      <c r="U44" s="276" t="str">
        <f t="shared" si="0"/>
        <v>EN EJECUCION</v>
      </c>
      <c r="V44" s="277">
        <f>ROUND(P44*Q44,2)</f>
        <v>612.5</v>
      </c>
      <c r="W44" s="277"/>
      <c r="X44" s="277"/>
      <c r="Y44" s="1022"/>
      <c r="Z44" s="278"/>
      <c r="AA44" s="279" t="s">
        <v>177</v>
      </c>
      <c r="AB44" s="279" t="s">
        <v>178</v>
      </c>
      <c r="AC44" s="280" t="s">
        <v>179</v>
      </c>
      <c r="AD44" s="281">
        <v>2014</v>
      </c>
      <c r="AE44" s="267"/>
      <c r="AF44" s="267"/>
    </row>
    <row r="45" spans="1:32" s="268" customFormat="1" ht="50.1" customHeight="1" thickBot="1">
      <c r="A45" s="1017"/>
      <c r="B45" s="1044"/>
      <c r="C45" s="283" t="s">
        <v>169</v>
      </c>
      <c r="D45" s="1020"/>
      <c r="E45" s="284" t="s">
        <v>227</v>
      </c>
      <c r="F45" s="285" t="s">
        <v>171</v>
      </c>
      <c r="G45" s="286" t="s">
        <v>228</v>
      </c>
      <c r="H45" s="286" t="str">
        <f>VLOOKUP(G45,'[4]Pob. Ext, Parroquial'!$B$9:$C$117,2,0)</f>
        <v>ESPINDOLA</v>
      </c>
      <c r="I45" s="286" t="s">
        <v>173</v>
      </c>
      <c r="J45" s="286" t="s">
        <v>174</v>
      </c>
      <c r="K45" s="286"/>
      <c r="L45" s="286">
        <f>+ROUND(Q45/6000/0.2,2)</f>
        <v>2.08</v>
      </c>
      <c r="M45" s="287">
        <f>IF(K45&gt;0,VLOOKUP(G45,'[4]Pob. Ext, Parroquial'!$B$8:$F$117,4,FALSE),0)</f>
        <v>0</v>
      </c>
      <c r="N45" s="288" t="s">
        <v>229</v>
      </c>
      <c r="O45" s="286" t="s">
        <v>176</v>
      </c>
      <c r="P45" s="286">
        <v>4.43</v>
      </c>
      <c r="Q45" s="286">
        <v>2500</v>
      </c>
      <c r="R45" s="286"/>
      <c r="S45" s="289">
        <v>41730</v>
      </c>
      <c r="T45" s="289">
        <v>41759</v>
      </c>
      <c r="U45" s="289" t="str">
        <f t="shared" si="0"/>
        <v>EN EJECUCION</v>
      </c>
      <c r="V45" s="290">
        <f>ROUND(P45*Q45,2)</f>
        <v>11075</v>
      </c>
      <c r="W45" s="290"/>
      <c r="X45" s="290"/>
      <c r="Y45" s="1023"/>
      <c r="Z45" s="278"/>
      <c r="AA45" s="279" t="s">
        <v>177</v>
      </c>
      <c r="AB45" s="279" t="s">
        <v>178</v>
      </c>
      <c r="AC45" s="280" t="s">
        <v>179</v>
      </c>
      <c r="AD45" s="281">
        <v>2014</v>
      </c>
      <c r="AE45" s="267"/>
      <c r="AF45" s="267"/>
    </row>
    <row r="46" spans="1:32" s="268" customFormat="1" ht="50.1" customHeight="1" thickTop="1">
      <c r="A46" s="1015"/>
      <c r="B46" s="1018"/>
      <c r="C46" s="254" t="s">
        <v>169</v>
      </c>
      <c r="D46" s="1018" t="s">
        <v>240</v>
      </c>
      <c r="E46" s="255" t="s">
        <v>240</v>
      </c>
      <c r="F46" s="256" t="s">
        <v>171</v>
      </c>
      <c r="G46" s="257" t="s">
        <v>241</v>
      </c>
      <c r="H46" s="257" t="str">
        <f>VLOOKUP(G46,'[4]Pob. Ext, Parroquial'!$B$9:$C$117,2,0)</f>
        <v>QUILANGA</v>
      </c>
      <c r="I46" s="257" t="s">
        <v>173</v>
      </c>
      <c r="J46" s="257" t="s">
        <v>174</v>
      </c>
      <c r="K46" s="257">
        <v>5.4</v>
      </c>
      <c r="L46" s="257"/>
      <c r="M46" s="258">
        <f>IF(K46&gt;0,VLOOKUP(G46,'[4]Pob. Ext, Parroquial'!$B$8:$F$117,4,FALSE),0)</f>
        <v>709</v>
      </c>
      <c r="N46" s="259" t="s">
        <v>175</v>
      </c>
      <c r="O46" s="257" t="s">
        <v>176</v>
      </c>
      <c r="P46" s="257">
        <v>1.26</v>
      </c>
      <c r="Q46" s="257">
        <v>3456</v>
      </c>
      <c r="R46" s="257"/>
      <c r="S46" s="261">
        <v>41640</v>
      </c>
      <c r="T46" s="261">
        <v>41759</v>
      </c>
      <c r="U46" s="261" t="str">
        <f t="shared" si="0"/>
        <v>EN EJECUCION</v>
      </c>
      <c r="V46" s="262">
        <f t="shared" si="1"/>
        <v>4354.5600000000004</v>
      </c>
      <c r="W46" s="262"/>
      <c r="X46" s="262"/>
      <c r="Y46" s="1021">
        <f>SUM(V46:V48)</f>
        <v>43011.360000000001</v>
      </c>
      <c r="Z46" s="278"/>
      <c r="AA46" s="279" t="s">
        <v>177</v>
      </c>
      <c r="AB46" s="279" t="s">
        <v>178</v>
      </c>
      <c r="AC46" s="280" t="s">
        <v>179</v>
      </c>
      <c r="AD46" s="281">
        <v>2014</v>
      </c>
      <c r="AE46" s="267"/>
      <c r="AF46" s="267"/>
    </row>
    <row r="47" spans="1:32" s="268" customFormat="1" ht="50.1" customHeight="1">
      <c r="A47" s="1016"/>
      <c r="B47" s="1019"/>
      <c r="C47" s="270" t="s">
        <v>169</v>
      </c>
      <c r="D47" s="1019"/>
      <c r="E47" s="271" t="s">
        <v>240</v>
      </c>
      <c r="F47" s="272" t="s">
        <v>171</v>
      </c>
      <c r="G47" s="273" t="s">
        <v>241</v>
      </c>
      <c r="H47" s="273" t="str">
        <f>VLOOKUP(G47,'[4]Pob. Ext, Parroquial'!$B$9:$C$117,2,0)</f>
        <v>QUILANGA</v>
      </c>
      <c r="I47" s="273" t="s">
        <v>173</v>
      </c>
      <c r="J47" s="273" t="s">
        <v>174</v>
      </c>
      <c r="K47" s="273"/>
      <c r="L47" s="273"/>
      <c r="M47" s="274">
        <f>IF(K47&gt;0,VLOOKUP(G47,'[4]Pob. Ext, Parroquial'!$B$8:$F$117,4,FALSE),0)</f>
        <v>0</v>
      </c>
      <c r="N47" s="275" t="s">
        <v>180</v>
      </c>
      <c r="O47" s="273" t="s">
        <v>181</v>
      </c>
      <c r="P47" s="273">
        <v>0.35</v>
      </c>
      <c r="Q47" s="273">
        <v>44928</v>
      </c>
      <c r="R47" s="273"/>
      <c r="S47" s="276">
        <v>41640</v>
      </c>
      <c r="T47" s="276">
        <v>41759</v>
      </c>
      <c r="U47" s="276" t="str">
        <f t="shared" si="0"/>
        <v>EN EJECUCION</v>
      </c>
      <c r="V47" s="277">
        <f t="shared" si="1"/>
        <v>15724.8</v>
      </c>
      <c r="W47" s="277"/>
      <c r="X47" s="277"/>
      <c r="Y47" s="1022"/>
      <c r="Z47" s="278"/>
      <c r="AA47" s="279" t="s">
        <v>177</v>
      </c>
      <c r="AB47" s="279" t="s">
        <v>178</v>
      </c>
      <c r="AC47" s="280" t="s">
        <v>179</v>
      </c>
      <c r="AD47" s="281">
        <v>2014</v>
      </c>
      <c r="AE47" s="267"/>
      <c r="AF47" s="267"/>
    </row>
    <row r="48" spans="1:32" s="268" customFormat="1" ht="50.1" customHeight="1" thickBot="1">
      <c r="A48" s="1017"/>
      <c r="B48" s="1020"/>
      <c r="C48" s="283" t="s">
        <v>182</v>
      </c>
      <c r="D48" s="1020"/>
      <c r="E48" s="284" t="s">
        <v>240</v>
      </c>
      <c r="F48" s="285" t="s">
        <v>171</v>
      </c>
      <c r="G48" s="286" t="s">
        <v>241</v>
      </c>
      <c r="H48" s="286" t="str">
        <f>VLOOKUP(G48,'[4]Pob. Ext, Parroquial'!$B$9:$C$117,2,0)</f>
        <v>QUILANGA</v>
      </c>
      <c r="I48" s="286" t="s">
        <v>173</v>
      </c>
      <c r="J48" s="286" t="s">
        <v>174</v>
      </c>
      <c r="K48" s="286"/>
      <c r="L48" s="286">
        <f>ROUNDUP(Q48/6/1000,2)</f>
        <v>3.0399999999999996</v>
      </c>
      <c r="M48" s="287">
        <f>IF(K48&gt;0,VLOOKUP(G48,'[4]Pob. Ext, Parroquial'!$B$8:$F$117,4,FALSE),0)</f>
        <v>0</v>
      </c>
      <c r="N48" s="288" t="s">
        <v>183</v>
      </c>
      <c r="O48" s="286" t="s">
        <v>184</v>
      </c>
      <c r="P48" s="286">
        <v>1.26</v>
      </c>
      <c r="Q48" s="286">
        <v>18200</v>
      </c>
      <c r="R48" s="286"/>
      <c r="S48" s="289">
        <v>41640</v>
      </c>
      <c r="T48" s="289">
        <v>41759</v>
      </c>
      <c r="U48" s="289" t="str">
        <f t="shared" si="0"/>
        <v>EN EJECUCION</v>
      </c>
      <c r="V48" s="290">
        <f t="shared" si="1"/>
        <v>22932</v>
      </c>
      <c r="W48" s="290"/>
      <c r="X48" s="290"/>
      <c r="Y48" s="1023"/>
      <c r="Z48" s="278"/>
      <c r="AA48" s="279" t="s">
        <v>177</v>
      </c>
      <c r="AB48" s="279" t="s">
        <v>178</v>
      </c>
      <c r="AC48" s="280" t="s">
        <v>179</v>
      </c>
      <c r="AD48" s="281">
        <v>2014</v>
      </c>
      <c r="AE48" s="267"/>
      <c r="AF48" s="267"/>
    </row>
    <row r="49" spans="1:32" s="268" customFormat="1" ht="50.1" customHeight="1" thickTop="1">
      <c r="A49" s="1015"/>
      <c r="B49" s="1018"/>
      <c r="C49" s="254" t="s">
        <v>169</v>
      </c>
      <c r="D49" s="1018" t="s">
        <v>242</v>
      </c>
      <c r="E49" s="255" t="s">
        <v>242</v>
      </c>
      <c r="F49" s="256" t="s">
        <v>171</v>
      </c>
      <c r="G49" s="257" t="s">
        <v>243</v>
      </c>
      <c r="H49" s="257" t="str">
        <f>VLOOKUP(G49,'[4]Pob. Ext, Parroquial'!$B$9:$C$117,2,0)</f>
        <v>CALVAS</v>
      </c>
      <c r="I49" s="257" t="s">
        <v>173</v>
      </c>
      <c r="J49" s="257" t="s">
        <v>174</v>
      </c>
      <c r="K49" s="257">
        <v>2</v>
      </c>
      <c r="L49" s="257"/>
      <c r="M49" s="258">
        <f>IF(K49&gt;0,VLOOKUP(G49,'[4]Pob. Ext, Parroquial'!$B$8:$F$117,4,FALSE),0)</f>
        <v>1712</v>
      </c>
      <c r="N49" s="259" t="s">
        <v>175</v>
      </c>
      <c r="O49" s="257" t="s">
        <v>176</v>
      </c>
      <c r="P49" s="257">
        <v>1.26</v>
      </c>
      <c r="Q49" s="257">
        <v>4974</v>
      </c>
      <c r="R49" s="257"/>
      <c r="S49" s="261">
        <v>41640</v>
      </c>
      <c r="T49" s="261">
        <v>41759</v>
      </c>
      <c r="U49" s="261" t="str">
        <f t="shared" si="0"/>
        <v>EN EJECUCION</v>
      </c>
      <c r="V49" s="262">
        <f t="shared" si="1"/>
        <v>6267.24</v>
      </c>
      <c r="W49" s="262"/>
      <c r="X49" s="262"/>
      <c r="Y49" s="1021">
        <f>SUM(V49:V52)</f>
        <v>64892.6</v>
      </c>
      <c r="Z49" s="278"/>
      <c r="AA49" s="279" t="s">
        <v>177</v>
      </c>
      <c r="AB49" s="279" t="s">
        <v>178</v>
      </c>
      <c r="AC49" s="280" t="s">
        <v>187</v>
      </c>
      <c r="AD49" s="281">
        <v>2014</v>
      </c>
      <c r="AE49" s="267"/>
      <c r="AF49" s="267"/>
    </row>
    <row r="50" spans="1:32" s="268" customFormat="1" ht="50.1" customHeight="1">
      <c r="A50" s="1016"/>
      <c r="B50" s="1019"/>
      <c r="C50" s="270" t="s">
        <v>182</v>
      </c>
      <c r="D50" s="1019"/>
      <c r="E50" s="271" t="s">
        <v>242</v>
      </c>
      <c r="F50" s="272" t="s">
        <v>171</v>
      </c>
      <c r="G50" s="273" t="s">
        <v>243</v>
      </c>
      <c r="H50" s="273" t="str">
        <f>VLOOKUP(G50,'[4]Pob. Ext, Parroquial'!$B$9:$C$117,2,0)</f>
        <v>CALVAS</v>
      </c>
      <c r="I50" s="273" t="s">
        <v>173</v>
      </c>
      <c r="J50" s="273" t="s">
        <v>174</v>
      </c>
      <c r="K50" s="273"/>
      <c r="L50" s="273"/>
      <c r="M50" s="274">
        <f>IF(K50&gt;0,VLOOKUP(G50,'[4]Pob. Ext, Parroquial'!$B$8:$F$117,4,FALSE),0)</f>
        <v>0</v>
      </c>
      <c r="N50" s="275" t="s">
        <v>180</v>
      </c>
      <c r="O50" s="273" t="s">
        <v>181</v>
      </c>
      <c r="P50" s="273">
        <v>0.35</v>
      </c>
      <c r="Q50" s="273">
        <v>24626</v>
      </c>
      <c r="R50" s="273"/>
      <c r="S50" s="276">
        <v>41640</v>
      </c>
      <c r="T50" s="276">
        <v>41759</v>
      </c>
      <c r="U50" s="276" t="str">
        <f t="shared" si="0"/>
        <v>EN EJECUCION</v>
      </c>
      <c r="V50" s="277">
        <f t="shared" si="1"/>
        <v>8619.1</v>
      </c>
      <c r="W50" s="277"/>
      <c r="X50" s="277"/>
      <c r="Y50" s="1022"/>
      <c r="Z50" s="278"/>
      <c r="AA50" s="279" t="s">
        <v>177</v>
      </c>
      <c r="AB50" s="279" t="s">
        <v>178</v>
      </c>
      <c r="AC50" s="280" t="s">
        <v>187</v>
      </c>
      <c r="AD50" s="281">
        <v>2014</v>
      </c>
      <c r="AE50" s="267"/>
      <c r="AF50" s="267"/>
    </row>
    <row r="51" spans="1:32" s="268" customFormat="1" ht="50.1" customHeight="1">
      <c r="A51" s="1016"/>
      <c r="B51" s="1019"/>
      <c r="C51" s="270" t="s">
        <v>182</v>
      </c>
      <c r="D51" s="1019"/>
      <c r="E51" s="271" t="s">
        <v>242</v>
      </c>
      <c r="F51" s="272" t="s">
        <v>171</v>
      </c>
      <c r="G51" s="273" t="s">
        <v>243</v>
      </c>
      <c r="H51" s="273" t="str">
        <f>VLOOKUP(G51,'[4]Pob. Ext, Parroquial'!$B$9:$C$117,2,0)</f>
        <v>CALVAS</v>
      </c>
      <c r="I51" s="273" t="s">
        <v>173</v>
      </c>
      <c r="J51" s="273" t="s">
        <v>174</v>
      </c>
      <c r="K51" s="273"/>
      <c r="L51" s="273">
        <f>ROUNDUP(Q51/6/1000,2)</f>
        <v>4.75</v>
      </c>
      <c r="M51" s="274">
        <f>IF(K51&gt;0,VLOOKUP(G51,'[4]Pob. Ext, Parroquial'!$B$8:$F$117,4,FALSE),0)</f>
        <v>0</v>
      </c>
      <c r="N51" s="275" t="s">
        <v>183</v>
      </c>
      <c r="O51" s="273" t="s">
        <v>184</v>
      </c>
      <c r="P51" s="273">
        <v>1.26</v>
      </c>
      <c r="Q51" s="273">
        <v>28500</v>
      </c>
      <c r="R51" s="273"/>
      <c r="S51" s="276">
        <v>41640</v>
      </c>
      <c r="T51" s="276">
        <v>41759</v>
      </c>
      <c r="U51" s="276" t="str">
        <f t="shared" si="0"/>
        <v>EN EJECUCION</v>
      </c>
      <c r="V51" s="277">
        <f t="shared" si="1"/>
        <v>35910</v>
      </c>
      <c r="W51" s="277"/>
      <c r="X51" s="277"/>
      <c r="Y51" s="1022"/>
      <c r="Z51" s="278"/>
      <c r="AA51" s="279" t="s">
        <v>177</v>
      </c>
      <c r="AB51" s="279" t="s">
        <v>178</v>
      </c>
      <c r="AC51" s="280" t="s">
        <v>187</v>
      </c>
      <c r="AD51" s="281">
        <v>2014</v>
      </c>
      <c r="AE51" s="267"/>
      <c r="AF51" s="267"/>
    </row>
    <row r="52" spans="1:32" s="268" customFormat="1" ht="50.1" customHeight="1" thickBot="1">
      <c r="A52" s="1017"/>
      <c r="B52" s="1020"/>
      <c r="C52" s="283" t="s">
        <v>169</v>
      </c>
      <c r="D52" s="1020"/>
      <c r="E52" s="284" t="s">
        <v>242</v>
      </c>
      <c r="F52" s="285" t="s">
        <v>171</v>
      </c>
      <c r="G52" s="286" t="s">
        <v>243</v>
      </c>
      <c r="H52" s="286" t="str">
        <f>VLOOKUP(G52,'[4]Pob. Ext, Parroquial'!$B$9:$C$117,2,0)</f>
        <v>CALVAS</v>
      </c>
      <c r="I52" s="286" t="s">
        <v>173</v>
      </c>
      <c r="J52" s="286" t="s">
        <v>174</v>
      </c>
      <c r="K52" s="286"/>
      <c r="L52" s="286">
        <f>+ROUND(Q52/6000/0.2,2)</f>
        <v>2.65</v>
      </c>
      <c r="M52" s="287">
        <f>IF(K52&gt;0,VLOOKUP(G52,'[4]Pob. Ext, Parroquial'!$B$8:$F$117,4,FALSE),0)</f>
        <v>0</v>
      </c>
      <c r="N52" s="288" t="s">
        <v>229</v>
      </c>
      <c r="O52" s="286" t="s">
        <v>176</v>
      </c>
      <c r="P52" s="286">
        <v>4.43</v>
      </c>
      <c r="Q52" s="286">
        <v>3182</v>
      </c>
      <c r="R52" s="286"/>
      <c r="S52" s="289">
        <v>41640</v>
      </c>
      <c r="T52" s="289">
        <v>41759</v>
      </c>
      <c r="U52" s="289" t="str">
        <f t="shared" si="0"/>
        <v>EN EJECUCION</v>
      </c>
      <c r="V52" s="290">
        <f t="shared" si="1"/>
        <v>14096.26</v>
      </c>
      <c r="W52" s="290"/>
      <c r="X52" s="290"/>
      <c r="Y52" s="1023"/>
      <c r="Z52" s="278"/>
      <c r="AA52" s="279" t="s">
        <v>177</v>
      </c>
      <c r="AB52" s="279" t="s">
        <v>178</v>
      </c>
      <c r="AC52" s="280" t="s">
        <v>187</v>
      </c>
      <c r="AD52" s="281">
        <v>2014</v>
      </c>
      <c r="AE52" s="267"/>
      <c r="AF52" s="267"/>
    </row>
    <row r="53" spans="1:32" s="268" customFormat="1" ht="50.1" customHeight="1" thickTop="1">
      <c r="A53" s="1015" t="s">
        <v>372</v>
      </c>
      <c r="B53" s="1042" t="str">
        <f>+U53</f>
        <v>EN EJECUCION</v>
      </c>
      <c r="C53" s="254" t="s">
        <v>169</v>
      </c>
      <c r="D53" s="1018" t="s">
        <v>244</v>
      </c>
      <c r="E53" s="255" t="s">
        <v>244</v>
      </c>
      <c r="F53" s="256" t="s">
        <v>171</v>
      </c>
      <c r="G53" s="257" t="s">
        <v>245</v>
      </c>
      <c r="H53" s="257" t="str">
        <f>VLOOKUP(G53,'[4]Pob. Ext, Parroquial'!$B$9:$C$117,2,0)</f>
        <v>CALVAS</v>
      </c>
      <c r="I53" s="257" t="s">
        <v>173</v>
      </c>
      <c r="J53" s="257" t="s">
        <v>174</v>
      </c>
      <c r="K53" s="257">
        <v>0.1</v>
      </c>
      <c r="L53" s="257"/>
      <c r="M53" s="258">
        <f>IF(K53&gt;0,VLOOKUP(G53,'[4]Pob. Ext, Parroquial'!$B$8:$F$117,4,FALSE),0)</f>
        <v>1506</v>
      </c>
      <c r="N53" s="259" t="s">
        <v>175</v>
      </c>
      <c r="O53" s="257" t="s">
        <v>176</v>
      </c>
      <c r="P53" s="257">
        <v>1.26</v>
      </c>
      <c r="Q53" s="257">
        <v>6712</v>
      </c>
      <c r="R53" s="257"/>
      <c r="S53" s="261">
        <v>41640</v>
      </c>
      <c r="T53" s="261">
        <v>41759</v>
      </c>
      <c r="U53" s="261" t="str">
        <f t="shared" si="0"/>
        <v>EN EJECUCION</v>
      </c>
      <c r="V53" s="262">
        <f t="shared" si="1"/>
        <v>8457.1200000000008</v>
      </c>
      <c r="W53" s="262"/>
      <c r="X53" s="262"/>
      <c r="Y53" s="1021">
        <f>SUM(V53:V54)</f>
        <v>9759.1200000000008</v>
      </c>
      <c r="Z53" s="278"/>
      <c r="AA53" s="279" t="s">
        <v>177</v>
      </c>
      <c r="AB53" s="279" t="s">
        <v>178</v>
      </c>
      <c r="AC53" s="280" t="s">
        <v>187</v>
      </c>
      <c r="AD53" s="281">
        <v>2014</v>
      </c>
      <c r="AE53" s="267"/>
      <c r="AF53" s="267"/>
    </row>
    <row r="54" spans="1:32" s="268" customFormat="1" ht="50.1" customHeight="1" thickBot="1">
      <c r="A54" s="1017"/>
      <c r="B54" s="1044"/>
      <c r="C54" s="283" t="s">
        <v>169</v>
      </c>
      <c r="D54" s="1020"/>
      <c r="E54" s="284" t="s">
        <v>244</v>
      </c>
      <c r="F54" s="285" t="s">
        <v>171</v>
      </c>
      <c r="G54" s="286" t="s">
        <v>245</v>
      </c>
      <c r="H54" s="286" t="str">
        <f>VLOOKUP(G54,'[4]Pob. Ext, Parroquial'!$B$9:$C$117,2,0)</f>
        <v>CALVAS</v>
      </c>
      <c r="I54" s="286" t="s">
        <v>173</v>
      </c>
      <c r="J54" s="286" t="s">
        <v>174</v>
      </c>
      <c r="K54" s="286"/>
      <c r="L54" s="286"/>
      <c r="M54" s="287">
        <f>IF(K54&gt;0,VLOOKUP(G54,'[4]Pob. Ext, Parroquial'!$B$8:$F$117,4,FALSE),0)</f>
        <v>0</v>
      </c>
      <c r="N54" s="288" t="s">
        <v>743</v>
      </c>
      <c r="O54" s="286" t="s">
        <v>181</v>
      </c>
      <c r="P54" s="286">
        <v>0.35</v>
      </c>
      <c r="Q54" s="286">
        <v>3720</v>
      </c>
      <c r="R54" s="286"/>
      <c r="S54" s="289">
        <v>41640</v>
      </c>
      <c r="T54" s="289">
        <v>41759</v>
      </c>
      <c r="U54" s="289" t="str">
        <f t="shared" si="0"/>
        <v>EN EJECUCION</v>
      </c>
      <c r="V54" s="290">
        <f t="shared" si="1"/>
        <v>1302</v>
      </c>
      <c r="W54" s="290"/>
      <c r="X54" s="290"/>
      <c r="Y54" s="1023"/>
      <c r="Z54" s="278"/>
      <c r="AA54" s="279" t="s">
        <v>177</v>
      </c>
      <c r="AB54" s="279" t="s">
        <v>178</v>
      </c>
      <c r="AC54" s="280" t="s">
        <v>187</v>
      </c>
      <c r="AD54" s="281">
        <v>2014</v>
      </c>
      <c r="AE54" s="267"/>
      <c r="AF54" s="267"/>
    </row>
    <row r="55" spans="1:32" s="268" customFormat="1" ht="50.1" customHeight="1" thickTop="1">
      <c r="A55" s="1015"/>
      <c r="B55" s="1042"/>
      <c r="C55" s="254" t="s">
        <v>182</v>
      </c>
      <c r="D55" s="1018" t="s">
        <v>246</v>
      </c>
      <c r="E55" s="255" t="s">
        <v>246</v>
      </c>
      <c r="F55" s="256" t="s">
        <v>171</v>
      </c>
      <c r="G55" s="257" t="s">
        <v>247</v>
      </c>
      <c r="H55" s="257" t="str">
        <f>VLOOKUP(G55,'[4]Pob. Ext, Parroquial'!$B$9:$C$117,2,0)</f>
        <v>SOZORANGA</v>
      </c>
      <c r="I55" s="257" t="s">
        <v>173</v>
      </c>
      <c r="J55" s="257" t="s">
        <v>174</v>
      </c>
      <c r="K55" s="257"/>
      <c r="L55" s="257"/>
      <c r="M55" s="258">
        <f>IF(K55&gt;0,VLOOKUP(G55,'[4]Pob. Ext, Parroquial'!$B$8:$F$117,4,FALSE),0)</f>
        <v>0</v>
      </c>
      <c r="N55" s="259" t="s">
        <v>200</v>
      </c>
      <c r="O55" s="257" t="s">
        <v>176</v>
      </c>
      <c r="P55" s="257">
        <v>1.43</v>
      </c>
      <c r="Q55" s="257">
        <v>1344</v>
      </c>
      <c r="R55" s="257"/>
      <c r="S55" s="261">
        <v>41640</v>
      </c>
      <c r="T55" s="261">
        <v>41759</v>
      </c>
      <c r="U55" s="261" t="str">
        <f t="shared" si="0"/>
        <v>EN EJECUCION</v>
      </c>
      <c r="V55" s="262">
        <f t="shared" si="1"/>
        <v>1921.92</v>
      </c>
      <c r="W55" s="262"/>
      <c r="X55" s="262"/>
      <c r="Y55" s="1021">
        <f>SUM(V55:V56)</f>
        <v>7513.01</v>
      </c>
      <c r="Z55" s="278"/>
      <c r="AA55" s="279" t="s">
        <v>177</v>
      </c>
      <c r="AB55" s="279" t="s">
        <v>178</v>
      </c>
      <c r="AC55" s="280" t="s">
        <v>187</v>
      </c>
      <c r="AD55" s="281">
        <v>2014</v>
      </c>
      <c r="AE55" s="267"/>
      <c r="AF55" s="267"/>
    </row>
    <row r="56" spans="1:32" s="268" customFormat="1" ht="50.1" customHeight="1" thickBot="1">
      <c r="A56" s="1017"/>
      <c r="B56" s="1044"/>
      <c r="C56" s="283" t="s">
        <v>182</v>
      </c>
      <c r="D56" s="1020"/>
      <c r="E56" s="284" t="s">
        <v>246</v>
      </c>
      <c r="F56" s="285" t="s">
        <v>171</v>
      </c>
      <c r="G56" s="286" t="s">
        <v>247</v>
      </c>
      <c r="H56" s="286" t="str">
        <f>VLOOKUP(G56,'[4]Pob. Ext, Parroquial'!$B$9:$C$117,2,0)</f>
        <v>SOZORANGA</v>
      </c>
      <c r="I56" s="286" t="s">
        <v>173</v>
      </c>
      <c r="J56" s="286" t="s">
        <v>174</v>
      </c>
      <c r="K56" s="286"/>
      <c r="L56" s="286"/>
      <c r="M56" s="287">
        <f>IF(K56&gt;0,VLOOKUP(G56,'[4]Pob. Ext, Parroquial'!$B$8:$F$117,4,FALSE),0)</f>
        <v>0</v>
      </c>
      <c r="N56" s="288" t="s">
        <v>248</v>
      </c>
      <c r="O56" s="286" t="s">
        <v>176</v>
      </c>
      <c r="P56" s="286">
        <v>16.128</v>
      </c>
      <c r="Q56" s="286">
        <v>346.67</v>
      </c>
      <c r="R56" s="286"/>
      <c r="S56" s="289">
        <v>41640</v>
      </c>
      <c r="T56" s="289">
        <v>41759</v>
      </c>
      <c r="U56" s="289" t="str">
        <f t="shared" si="0"/>
        <v>EN EJECUCION</v>
      </c>
      <c r="V56" s="290">
        <f t="shared" si="1"/>
        <v>5591.09</v>
      </c>
      <c r="W56" s="290"/>
      <c r="X56" s="290"/>
      <c r="Y56" s="1023"/>
      <c r="Z56" s="278"/>
      <c r="AA56" s="279" t="s">
        <v>177</v>
      </c>
      <c r="AB56" s="279" t="s">
        <v>178</v>
      </c>
      <c r="AC56" s="280" t="s">
        <v>187</v>
      </c>
      <c r="AD56" s="281">
        <v>2014</v>
      </c>
      <c r="AE56" s="267"/>
      <c r="AF56" s="267"/>
    </row>
    <row r="57" spans="1:32" s="268" customFormat="1" ht="50.1" customHeight="1" thickTop="1" thickBot="1">
      <c r="A57" s="317"/>
      <c r="B57" s="299"/>
      <c r="C57" s="299" t="s">
        <v>169</v>
      </c>
      <c r="D57" s="299" t="s">
        <v>249</v>
      </c>
      <c r="E57" s="300" t="s">
        <v>249</v>
      </c>
      <c r="F57" s="301" t="s">
        <v>171</v>
      </c>
      <c r="G57" s="302" t="s">
        <v>250</v>
      </c>
      <c r="H57" s="302" t="str">
        <f>VLOOKUP(G57,'[4]Pob. Ext, Parroquial'!$B$9:$C$117,2,0)</f>
        <v>GONZANAMA</v>
      </c>
      <c r="I57" s="302" t="s">
        <v>173</v>
      </c>
      <c r="J57" s="302" t="s">
        <v>174</v>
      </c>
      <c r="K57" s="302"/>
      <c r="L57" s="302"/>
      <c r="M57" s="303">
        <f>IF(K57&gt;0,VLOOKUP(G57,'[4]Pob. Ext, Parroquial'!$B$8:$F$117,4,FALSE),0)</f>
        <v>0</v>
      </c>
      <c r="N57" s="304" t="s">
        <v>175</v>
      </c>
      <c r="O57" s="302" t="s">
        <v>176</v>
      </c>
      <c r="P57" s="302">
        <v>1.26</v>
      </c>
      <c r="Q57" s="302">
        <v>500</v>
      </c>
      <c r="R57" s="302"/>
      <c r="S57" s="305">
        <v>41640</v>
      </c>
      <c r="T57" s="305">
        <v>41759</v>
      </c>
      <c r="U57" s="305" t="str">
        <f t="shared" si="0"/>
        <v>EN EJECUCION</v>
      </c>
      <c r="V57" s="306">
        <f t="shared" si="1"/>
        <v>630</v>
      </c>
      <c r="W57" s="306"/>
      <c r="X57" s="306"/>
      <c r="Y57" s="318">
        <f>V57+W57+X57</f>
        <v>630</v>
      </c>
      <c r="Z57" s="278"/>
      <c r="AA57" s="279" t="s">
        <v>177</v>
      </c>
      <c r="AB57" s="279" t="s">
        <v>178</v>
      </c>
      <c r="AC57" s="280" t="s">
        <v>187</v>
      </c>
      <c r="AD57" s="281">
        <v>2014</v>
      </c>
      <c r="AE57" s="267"/>
      <c r="AF57" s="267"/>
    </row>
    <row r="58" spans="1:32" s="268" customFormat="1" ht="50.1" customHeight="1" thickTop="1">
      <c r="A58" s="1015" t="s">
        <v>376</v>
      </c>
      <c r="B58" s="1042" t="str">
        <f>+U58</f>
        <v>EN EJECUCION</v>
      </c>
      <c r="C58" s="254" t="s">
        <v>169</v>
      </c>
      <c r="D58" s="1018" t="s">
        <v>251</v>
      </c>
      <c r="E58" s="255" t="s">
        <v>251</v>
      </c>
      <c r="F58" s="256" t="s">
        <v>171</v>
      </c>
      <c r="G58" s="257" t="s">
        <v>245</v>
      </c>
      <c r="H58" s="257" t="str">
        <f>VLOOKUP(G58,'[4]Pob. Ext, Parroquial'!$B$9:$C$117,2,0)</f>
        <v>CALVAS</v>
      </c>
      <c r="I58" s="257" t="s">
        <v>173</v>
      </c>
      <c r="J58" s="257" t="s">
        <v>174</v>
      </c>
      <c r="K58" s="257"/>
      <c r="L58" s="257"/>
      <c r="M58" s="258">
        <f>IF(K58&gt;0,VLOOKUP(G58,'[4]Pob. Ext, Parroquial'!$B$8:$F$117,4,FALSE),0)</f>
        <v>0</v>
      </c>
      <c r="N58" s="259" t="s">
        <v>252</v>
      </c>
      <c r="O58" s="257" t="s">
        <v>176</v>
      </c>
      <c r="P58" s="257">
        <v>1.26</v>
      </c>
      <c r="Q58" s="257">
        <v>6980</v>
      </c>
      <c r="R58" s="257"/>
      <c r="S58" s="261">
        <v>41730</v>
      </c>
      <c r="T58" s="261">
        <v>41759</v>
      </c>
      <c r="U58" s="261" t="str">
        <f t="shared" si="0"/>
        <v>EN EJECUCION</v>
      </c>
      <c r="V58" s="262">
        <f t="shared" si="1"/>
        <v>8794.7999999999993</v>
      </c>
      <c r="W58" s="262"/>
      <c r="X58" s="262"/>
      <c r="Y58" s="1021">
        <f>SUM(V58:V63)</f>
        <v>59637.38</v>
      </c>
      <c r="Z58" s="278"/>
      <c r="AA58" s="279" t="s">
        <v>177</v>
      </c>
      <c r="AB58" s="279" t="s">
        <v>178</v>
      </c>
      <c r="AC58" s="280" t="s">
        <v>187</v>
      </c>
      <c r="AD58" s="281">
        <v>2014</v>
      </c>
      <c r="AE58" s="267"/>
      <c r="AF58" s="267"/>
    </row>
    <row r="59" spans="1:32" s="268" customFormat="1" ht="50.1" customHeight="1">
      <c r="A59" s="1016"/>
      <c r="B59" s="1043"/>
      <c r="C59" s="270" t="s">
        <v>169</v>
      </c>
      <c r="D59" s="1019"/>
      <c r="E59" s="271" t="s">
        <v>251</v>
      </c>
      <c r="F59" s="272" t="s">
        <v>171</v>
      </c>
      <c r="G59" s="273" t="s">
        <v>245</v>
      </c>
      <c r="H59" s="273" t="str">
        <f>VLOOKUP(G59,'[4]Pob. Ext, Parroquial'!$B$9:$C$117,2,0)</f>
        <v>CALVAS</v>
      </c>
      <c r="I59" s="273" t="s">
        <v>173</v>
      </c>
      <c r="J59" s="273" t="s">
        <v>174</v>
      </c>
      <c r="K59" s="273"/>
      <c r="L59" s="273"/>
      <c r="M59" s="274">
        <f>IF(K59&gt;0,VLOOKUP(G59,'[4]Pob. Ext, Parroquial'!$B$8:$F$117,4,FALSE),0)</f>
        <v>0</v>
      </c>
      <c r="N59" s="275" t="s">
        <v>219</v>
      </c>
      <c r="O59" s="273" t="s">
        <v>181</v>
      </c>
      <c r="P59" s="273">
        <v>0.35</v>
      </c>
      <c r="Q59" s="273">
        <v>34900</v>
      </c>
      <c r="R59" s="273"/>
      <c r="S59" s="276">
        <v>41730</v>
      </c>
      <c r="T59" s="276">
        <v>41759</v>
      </c>
      <c r="U59" s="276" t="str">
        <f t="shared" si="0"/>
        <v>EN EJECUCION</v>
      </c>
      <c r="V59" s="277">
        <f t="shared" si="1"/>
        <v>12215</v>
      </c>
      <c r="W59" s="277"/>
      <c r="X59" s="277"/>
      <c r="Y59" s="1022"/>
      <c r="Z59" s="278"/>
      <c r="AA59" s="279" t="s">
        <v>177</v>
      </c>
      <c r="AB59" s="279" t="s">
        <v>178</v>
      </c>
      <c r="AC59" s="280" t="s">
        <v>187</v>
      </c>
      <c r="AD59" s="281">
        <v>2014</v>
      </c>
      <c r="AE59" s="267"/>
      <c r="AF59" s="267"/>
    </row>
    <row r="60" spans="1:32" s="268" customFormat="1" ht="50.1" customHeight="1">
      <c r="A60" s="1016"/>
      <c r="B60" s="1043"/>
      <c r="C60" s="270" t="s">
        <v>182</v>
      </c>
      <c r="D60" s="1019"/>
      <c r="E60" s="271" t="s">
        <v>251</v>
      </c>
      <c r="F60" s="272" t="s">
        <v>171</v>
      </c>
      <c r="G60" s="273" t="s">
        <v>245</v>
      </c>
      <c r="H60" s="273" t="str">
        <f>VLOOKUP(G60,'[4]Pob. Ext, Parroquial'!$B$9:$C$117,2,0)</f>
        <v>CALVAS</v>
      </c>
      <c r="I60" s="273" t="s">
        <v>173</v>
      </c>
      <c r="J60" s="273" t="s">
        <v>174</v>
      </c>
      <c r="K60" s="273"/>
      <c r="L60" s="273">
        <f>ROUNDUP(Q60/6/1000,2)</f>
        <v>0.83</v>
      </c>
      <c r="M60" s="274">
        <f>IF(K60&gt;0,VLOOKUP(G60,'[4]Pob. Ext, Parroquial'!$B$8:$F$117,4,FALSE),0)</f>
        <v>0</v>
      </c>
      <c r="N60" s="275" t="s">
        <v>183</v>
      </c>
      <c r="O60" s="273" t="s">
        <v>184</v>
      </c>
      <c r="P60" s="273">
        <v>1.26</v>
      </c>
      <c r="Q60" s="273">
        <v>4923</v>
      </c>
      <c r="R60" s="273"/>
      <c r="S60" s="276">
        <v>41730</v>
      </c>
      <c r="T60" s="276">
        <v>41759</v>
      </c>
      <c r="U60" s="276" t="str">
        <f t="shared" si="0"/>
        <v>EN EJECUCION</v>
      </c>
      <c r="V60" s="277">
        <f t="shared" si="1"/>
        <v>6202.98</v>
      </c>
      <c r="W60" s="277"/>
      <c r="X60" s="277"/>
      <c r="Y60" s="1022"/>
      <c r="Z60" s="278"/>
      <c r="AA60" s="279" t="s">
        <v>177</v>
      </c>
      <c r="AB60" s="279" t="s">
        <v>178</v>
      </c>
      <c r="AC60" s="280" t="s">
        <v>187</v>
      </c>
      <c r="AD60" s="281">
        <v>2014</v>
      </c>
      <c r="AE60" s="267"/>
      <c r="AF60" s="267"/>
    </row>
    <row r="61" spans="1:32" s="268" customFormat="1" ht="50.1" customHeight="1">
      <c r="A61" s="1016"/>
      <c r="B61" s="1043"/>
      <c r="C61" s="270" t="s">
        <v>169</v>
      </c>
      <c r="D61" s="1019"/>
      <c r="E61" s="271" t="s">
        <v>251</v>
      </c>
      <c r="F61" s="272" t="s">
        <v>171</v>
      </c>
      <c r="G61" s="273" t="s">
        <v>245</v>
      </c>
      <c r="H61" s="273" t="str">
        <f>VLOOKUP(G61,'[4]Pob. Ext, Parroquial'!$B$9:$C$117,2,0)</f>
        <v>CALVAS</v>
      </c>
      <c r="I61" s="273" t="s">
        <v>173</v>
      </c>
      <c r="J61" s="273" t="s">
        <v>174</v>
      </c>
      <c r="K61" s="273"/>
      <c r="L61" s="273">
        <f>+ROUND(Q61/6000/0.2,2)</f>
        <v>5.82</v>
      </c>
      <c r="M61" s="274">
        <f>IF(K61&gt;0,VLOOKUP(G61,'[4]Pob. Ext, Parroquial'!$B$8:$F$117,4,FALSE),0)</f>
        <v>0</v>
      </c>
      <c r="N61" s="275" t="s">
        <v>229</v>
      </c>
      <c r="O61" s="273" t="s">
        <v>176</v>
      </c>
      <c r="P61" s="273">
        <v>4.43</v>
      </c>
      <c r="Q61" s="273">
        <v>6980</v>
      </c>
      <c r="R61" s="273"/>
      <c r="S61" s="276">
        <v>41730</v>
      </c>
      <c r="T61" s="276">
        <v>41759</v>
      </c>
      <c r="U61" s="276" t="str">
        <f t="shared" si="0"/>
        <v>EN EJECUCION</v>
      </c>
      <c r="V61" s="277">
        <f t="shared" si="1"/>
        <v>30921.4</v>
      </c>
      <c r="W61" s="277"/>
      <c r="X61" s="277"/>
      <c r="Y61" s="1022"/>
      <c r="Z61" s="278"/>
      <c r="AA61" s="279" t="s">
        <v>177</v>
      </c>
      <c r="AB61" s="279" t="s">
        <v>178</v>
      </c>
      <c r="AC61" s="280" t="s">
        <v>187</v>
      </c>
      <c r="AD61" s="281">
        <v>2014</v>
      </c>
      <c r="AE61" s="267"/>
      <c r="AF61" s="267"/>
    </row>
    <row r="62" spans="1:32" s="268" customFormat="1" ht="50.1" customHeight="1">
      <c r="A62" s="1016"/>
      <c r="B62" s="1043"/>
      <c r="C62" s="270" t="s">
        <v>182</v>
      </c>
      <c r="D62" s="1019"/>
      <c r="E62" s="271" t="s">
        <v>251</v>
      </c>
      <c r="F62" s="272" t="s">
        <v>171</v>
      </c>
      <c r="G62" s="273" t="s">
        <v>245</v>
      </c>
      <c r="H62" s="273" t="str">
        <f>VLOOKUP(G62,'[4]Pob. Ext, Parroquial'!$B$9:$C$117,2,0)</f>
        <v>CALVAS</v>
      </c>
      <c r="I62" s="273" t="s">
        <v>173</v>
      </c>
      <c r="J62" s="273" t="s">
        <v>174</v>
      </c>
      <c r="K62" s="273"/>
      <c r="L62" s="273"/>
      <c r="M62" s="274">
        <f>IF(K62&gt;0,VLOOKUP(G62,'[4]Pob. Ext, Parroquial'!$B$8:$F$117,4,FALSE),0)</f>
        <v>0</v>
      </c>
      <c r="N62" s="275" t="s">
        <v>200</v>
      </c>
      <c r="O62" s="273" t="s">
        <v>176</v>
      </c>
      <c r="P62" s="273">
        <v>1.43</v>
      </c>
      <c r="Q62" s="273">
        <v>600</v>
      </c>
      <c r="R62" s="273"/>
      <c r="S62" s="276">
        <v>41730</v>
      </c>
      <c r="T62" s="276">
        <v>41759</v>
      </c>
      <c r="U62" s="276" t="str">
        <f t="shared" si="0"/>
        <v>EN EJECUCION</v>
      </c>
      <c r="V62" s="277">
        <f t="shared" si="1"/>
        <v>858</v>
      </c>
      <c r="W62" s="277"/>
      <c r="X62" s="277"/>
      <c r="Y62" s="1022"/>
      <c r="Z62" s="278"/>
      <c r="AA62" s="279" t="s">
        <v>177</v>
      </c>
      <c r="AB62" s="279" t="s">
        <v>178</v>
      </c>
      <c r="AC62" s="280" t="s">
        <v>187</v>
      </c>
      <c r="AD62" s="281">
        <v>2014</v>
      </c>
      <c r="AE62" s="267"/>
      <c r="AF62" s="267"/>
    </row>
    <row r="63" spans="1:32" s="268" customFormat="1" ht="50.1" customHeight="1" thickBot="1">
      <c r="A63" s="1017"/>
      <c r="B63" s="1044"/>
      <c r="C63" s="283" t="s">
        <v>182</v>
      </c>
      <c r="D63" s="1020"/>
      <c r="E63" s="284" t="s">
        <v>251</v>
      </c>
      <c r="F63" s="285" t="s">
        <v>171</v>
      </c>
      <c r="G63" s="319" t="s">
        <v>245</v>
      </c>
      <c r="H63" s="286" t="str">
        <f>VLOOKUP(G63,'[4]Pob. Ext, Parroquial'!$B$9:$C$117,2,0)</f>
        <v>CALVAS</v>
      </c>
      <c r="I63" s="286" t="s">
        <v>173</v>
      </c>
      <c r="J63" s="286" t="s">
        <v>174</v>
      </c>
      <c r="K63" s="286"/>
      <c r="L63" s="286"/>
      <c r="M63" s="287">
        <f>IF(K63&gt;0,VLOOKUP(G63,'[4]Pob. Ext, Parroquial'!$B$8:$F$117,4,FALSE),0)</f>
        <v>0</v>
      </c>
      <c r="N63" s="288" t="s">
        <v>248</v>
      </c>
      <c r="O63" s="286" t="s">
        <v>176</v>
      </c>
      <c r="P63" s="286">
        <v>16.13</v>
      </c>
      <c r="Q63" s="286">
        <v>40</v>
      </c>
      <c r="R63" s="286"/>
      <c r="S63" s="289">
        <v>41730</v>
      </c>
      <c r="T63" s="289">
        <v>41759</v>
      </c>
      <c r="U63" s="289" t="str">
        <f t="shared" si="0"/>
        <v>EN EJECUCION</v>
      </c>
      <c r="V63" s="290">
        <f t="shared" si="1"/>
        <v>645.20000000000005</v>
      </c>
      <c r="W63" s="290"/>
      <c r="X63" s="290"/>
      <c r="Y63" s="1023"/>
      <c r="Z63" s="278"/>
      <c r="AA63" s="279" t="s">
        <v>177</v>
      </c>
      <c r="AB63" s="279" t="s">
        <v>178</v>
      </c>
      <c r="AC63" s="280" t="s">
        <v>187</v>
      </c>
      <c r="AD63" s="281">
        <v>2014</v>
      </c>
      <c r="AE63" s="267"/>
      <c r="AF63" s="267"/>
    </row>
    <row r="64" spans="1:32" s="268" customFormat="1" ht="50.1" customHeight="1" thickTop="1">
      <c r="A64" s="1015"/>
      <c r="B64" s="1042"/>
      <c r="C64" s="254" t="s">
        <v>169</v>
      </c>
      <c r="D64" s="1018" t="s">
        <v>263</v>
      </c>
      <c r="E64" s="255" t="s">
        <v>263</v>
      </c>
      <c r="F64" s="256" t="s">
        <v>171</v>
      </c>
      <c r="G64" s="257" t="s">
        <v>264</v>
      </c>
      <c r="H64" s="257" t="str">
        <f>VLOOKUP(G64,'[4]Pob. Ext, Parroquial'!$B$9:$C$117,2,0)</f>
        <v>SOZORANGA</v>
      </c>
      <c r="I64" s="257" t="s">
        <v>265</v>
      </c>
      <c r="J64" s="257" t="s">
        <v>174</v>
      </c>
      <c r="K64" s="257">
        <v>13.3</v>
      </c>
      <c r="L64" s="257"/>
      <c r="M64" s="258">
        <f>IF(K64&gt;0,VLOOKUP(G64,'[4]Pob. Ext, Parroquial'!$B$8:$F$117,4,FALSE),0)</f>
        <v>642</v>
      </c>
      <c r="N64" s="259" t="s">
        <v>252</v>
      </c>
      <c r="O64" s="257" t="s">
        <v>176</v>
      </c>
      <c r="P64" s="257">
        <v>1.26</v>
      </c>
      <c r="Q64" s="257">
        <v>13340</v>
      </c>
      <c r="R64" s="257"/>
      <c r="S64" s="261">
        <v>41640</v>
      </c>
      <c r="T64" s="261">
        <v>41759</v>
      </c>
      <c r="U64" s="261" t="str">
        <f t="shared" si="0"/>
        <v>EN EJECUCION</v>
      </c>
      <c r="V64" s="262">
        <f t="shared" si="1"/>
        <v>16808.400000000001</v>
      </c>
      <c r="W64" s="262"/>
      <c r="X64" s="262"/>
      <c r="Y64" s="1021">
        <f>SUM(V64:V72)</f>
        <v>163941.44</v>
      </c>
      <c r="Z64" s="278"/>
      <c r="AA64" s="279" t="s">
        <v>177</v>
      </c>
      <c r="AB64" s="279" t="s">
        <v>178</v>
      </c>
      <c r="AC64" s="280" t="s">
        <v>187</v>
      </c>
      <c r="AD64" s="281">
        <v>2014</v>
      </c>
      <c r="AE64" s="267"/>
      <c r="AF64" s="267"/>
    </row>
    <row r="65" spans="1:32" s="268" customFormat="1" ht="50.1" customHeight="1">
      <c r="A65" s="1016"/>
      <c r="B65" s="1043"/>
      <c r="C65" s="270" t="s">
        <v>182</v>
      </c>
      <c r="D65" s="1019"/>
      <c r="E65" s="271" t="s">
        <v>263</v>
      </c>
      <c r="F65" s="272" t="s">
        <v>171</v>
      </c>
      <c r="G65" s="273" t="s">
        <v>264</v>
      </c>
      <c r="H65" s="273" t="str">
        <f>VLOOKUP(G65,'[4]Pob. Ext, Parroquial'!$B$9:$C$117,2,0)</f>
        <v>SOZORANGA</v>
      </c>
      <c r="I65" s="273" t="s">
        <v>265</v>
      </c>
      <c r="J65" s="273" t="s">
        <v>174</v>
      </c>
      <c r="K65" s="273"/>
      <c r="L65" s="273"/>
      <c r="M65" s="274">
        <f>IF(K65&gt;0,VLOOKUP(G65,'[4]Pob. Ext, Parroquial'!$B$8:$F$117,4,FALSE),0)</f>
        <v>0</v>
      </c>
      <c r="N65" s="275" t="s">
        <v>200</v>
      </c>
      <c r="O65" s="273" t="s">
        <v>176</v>
      </c>
      <c r="P65" s="273">
        <v>1.43</v>
      </c>
      <c r="Q65" s="273">
        <v>6176</v>
      </c>
      <c r="R65" s="273"/>
      <c r="S65" s="276">
        <v>41640</v>
      </c>
      <c r="T65" s="276">
        <v>41759</v>
      </c>
      <c r="U65" s="276" t="str">
        <f t="shared" si="0"/>
        <v>EN EJECUCION</v>
      </c>
      <c r="V65" s="277">
        <f t="shared" si="1"/>
        <v>8831.68</v>
      </c>
      <c r="W65" s="277"/>
      <c r="X65" s="277"/>
      <c r="Y65" s="1022"/>
      <c r="Z65" s="278"/>
      <c r="AA65" s="279" t="s">
        <v>177</v>
      </c>
      <c r="AB65" s="279" t="s">
        <v>178</v>
      </c>
      <c r="AC65" s="280" t="s">
        <v>187</v>
      </c>
      <c r="AD65" s="281">
        <v>2014</v>
      </c>
      <c r="AE65" s="267"/>
      <c r="AF65" s="267"/>
    </row>
    <row r="66" spans="1:32" s="268" customFormat="1" ht="50.1" customHeight="1">
      <c r="A66" s="1016"/>
      <c r="B66" s="1043"/>
      <c r="C66" s="270" t="s">
        <v>182</v>
      </c>
      <c r="D66" s="1019"/>
      <c r="E66" s="271" t="s">
        <v>263</v>
      </c>
      <c r="F66" s="272" t="s">
        <v>171</v>
      </c>
      <c r="G66" s="273" t="s">
        <v>264</v>
      </c>
      <c r="H66" s="273" t="str">
        <f>VLOOKUP(G66,'[4]Pob. Ext, Parroquial'!$B$9:$C$117,2,0)</f>
        <v>SOZORANGA</v>
      </c>
      <c r="I66" s="273" t="s">
        <v>265</v>
      </c>
      <c r="J66" s="273" t="s">
        <v>174</v>
      </c>
      <c r="K66" s="273"/>
      <c r="L66" s="273"/>
      <c r="M66" s="274">
        <f>IF(K66&gt;0,VLOOKUP(G66,'[4]Pob. Ext, Parroquial'!$B$8:$F$117,4,FALSE),0)</f>
        <v>0</v>
      </c>
      <c r="N66" s="275" t="s">
        <v>266</v>
      </c>
      <c r="O66" s="273" t="s">
        <v>181</v>
      </c>
      <c r="P66" s="273">
        <v>0.24</v>
      </c>
      <c r="Q66" s="273">
        <v>4328</v>
      </c>
      <c r="R66" s="273"/>
      <c r="S66" s="276">
        <v>41640</v>
      </c>
      <c r="T66" s="276">
        <v>41759</v>
      </c>
      <c r="U66" s="276" t="str">
        <f t="shared" si="0"/>
        <v>EN EJECUCION</v>
      </c>
      <c r="V66" s="277">
        <f t="shared" si="1"/>
        <v>1038.72</v>
      </c>
      <c r="W66" s="277"/>
      <c r="X66" s="277"/>
      <c r="Y66" s="1022"/>
      <c r="Z66" s="278"/>
      <c r="AA66" s="279" t="s">
        <v>177</v>
      </c>
      <c r="AB66" s="279" t="s">
        <v>178</v>
      </c>
      <c r="AC66" s="280" t="s">
        <v>187</v>
      </c>
      <c r="AD66" s="281">
        <v>2014</v>
      </c>
      <c r="AE66" s="267"/>
      <c r="AF66" s="267"/>
    </row>
    <row r="67" spans="1:32" s="268" customFormat="1" ht="50.1" customHeight="1">
      <c r="A67" s="1016"/>
      <c r="B67" s="1043"/>
      <c r="C67" s="270" t="s">
        <v>169</v>
      </c>
      <c r="D67" s="1019"/>
      <c r="E67" s="271" t="s">
        <v>263</v>
      </c>
      <c r="F67" s="272" t="s">
        <v>171</v>
      </c>
      <c r="G67" s="273" t="s">
        <v>264</v>
      </c>
      <c r="H67" s="273" t="str">
        <f>VLOOKUP(G67,'[4]Pob. Ext, Parroquial'!$B$9:$C$117,2,0)</f>
        <v>SOZORANGA</v>
      </c>
      <c r="I67" s="273" t="s">
        <v>265</v>
      </c>
      <c r="J67" s="273" t="s">
        <v>174</v>
      </c>
      <c r="K67" s="273"/>
      <c r="L67" s="273"/>
      <c r="M67" s="274">
        <f>IF(K67&gt;0,VLOOKUP(G67,'[4]Pob. Ext, Parroquial'!$B$8:$F$117,4,FALSE),0)</f>
        <v>0</v>
      </c>
      <c r="N67" s="275" t="s">
        <v>219</v>
      </c>
      <c r="O67" s="273" t="s">
        <v>181</v>
      </c>
      <c r="P67" s="273">
        <v>0.35</v>
      </c>
      <c r="Q67" s="273">
        <v>95305.2</v>
      </c>
      <c r="R67" s="273"/>
      <c r="S67" s="276">
        <v>41640</v>
      </c>
      <c r="T67" s="276">
        <v>41759</v>
      </c>
      <c r="U67" s="276" t="str">
        <f t="shared" si="0"/>
        <v>EN EJECUCION</v>
      </c>
      <c r="V67" s="277">
        <f t="shared" si="1"/>
        <v>33356.82</v>
      </c>
      <c r="W67" s="277"/>
      <c r="X67" s="277"/>
      <c r="Y67" s="1022"/>
      <c r="Z67" s="278"/>
      <c r="AA67" s="279" t="s">
        <v>177</v>
      </c>
      <c r="AB67" s="279" t="s">
        <v>178</v>
      </c>
      <c r="AC67" s="280" t="s">
        <v>187</v>
      </c>
      <c r="AD67" s="281">
        <v>2014</v>
      </c>
      <c r="AE67" s="267"/>
      <c r="AF67" s="267"/>
    </row>
    <row r="68" spans="1:32" s="268" customFormat="1" ht="50.1" customHeight="1">
      <c r="A68" s="1016"/>
      <c r="B68" s="1043"/>
      <c r="C68" s="270" t="s">
        <v>182</v>
      </c>
      <c r="D68" s="1019"/>
      <c r="E68" s="271" t="s">
        <v>263</v>
      </c>
      <c r="F68" s="272" t="s">
        <v>171</v>
      </c>
      <c r="G68" s="273" t="s">
        <v>264</v>
      </c>
      <c r="H68" s="273" t="str">
        <f>VLOOKUP(G68,'[4]Pob. Ext, Parroquial'!$B$9:$C$117,2,0)</f>
        <v>SOZORANGA</v>
      </c>
      <c r="I68" s="273" t="s">
        <v>265</v>
      </c>
      <c r="J68" s="273" t="s">
        <v>174</v>
      </c>
      <c r="K68" s="273"/>
      <c r="L68" s="273">
        <f>ROUNDUP(Q68/6/1000,2)</f>
        <v>8.92</v>
      </c>
      <c r="M68" s="274">
        <f>IF(K68&gt;0,VLOOKUP(G68,'[4]Pob. Ext, Parroquial'!$B$8:$F$117,4,FALSE),0)</f>
        <v>0</v>
      </c>
      <c r="N68" s="275" t="s">
        <v>185</v>
      </c>
      <c r="O68" s="273" t="s">
        <v>184</v>
      </c>
      <c r="P68" s="273">
        <v>0.1</v>
      </c>
      <c r="Q68" s="273">
        <v>53520</v>
      </c>
      <c r="R68" s="273"/>
      <c r="S68" s="276">
        <v>41640</v>
      </c>
      <c r="T68" s="276">
        <v>41759</v>
      </c>
      <c r="U68" s="276" t="str">
        <f t="shared" si="0"/>
        <v>EN EJECUCION</v>
      </c>
      <c r="V68" s="277">
        <f t="shared" si="1"/>
        <v>5352</v>
      </c>
      <c r="W68" s="277"/>
      <c r="X68" s="277"/>
      <c r="Y68" s="1022"/>
      <c r="Z68" s="278"/>
      <c r="AA68" s="279" t="s">
        <v>177</v>
      </c>
      <c r="AB68" s="279" t="s">
        <v>178</v>
      </c>
      <c r="AC68" s="280" t="s">
        <v>187</v>
      </c>
      <c r="AD68" s="281">
        <v>2014</v>
      </c>
      <c r="AE68" s="267"/>
      <c r="AF68" s="267"/>
    </row>
    <row r="69" spans="1:32" s="268" customFormat="1" ht="50.1" customHeight="1">
      <c r="A69" s="1016"/>
      <c r="B69" s="1043"/>
      <c r="C69" s="270" t="s">
        <v>182</v>
      </c>
      <c r="D69" s="1019"/>
      <c r="E69" s="271" t="s">
        <v>263</v>
      </c>
      <c r="F69" s="272" t="s">
        <v>171</v>
      </c>
      <c r="G69" s="273" t="s">
        <v>264</v>
      </c>
      <c r="H69" s="273" t="str">
        <f>VLOOKUP(G69,'[4]Pob. Ext, Parroquial'!$B$9:$C$117,2,0)</f>
        <v>SOZORANGA</v>
      </c>
      <c r="I69" s="273" t="s">
        <v>265</v>
      </c>
      <c r="J69" s="273" t="s">
        <v>174</v>
      </c>
      <c r="K69" s="273"/>
      <c r="L69" s="273">
        <f>ROUNDUP(Q69/6/1000,2)</f>
        <v>4.46</v>
      </c>
      <c r="M69" s="274">
        <f>IF(K69&gt;0,VLOOKUP(G69,'[4]Pob. Ext, Parroquial'!$B$8:$F$117,4,FALSE),0)</f>
        <v>0</v>
      </c>
      <c r="N69" s="275" t="s">
        <v>183</v>
      </c>
      <c r="O69" s="273" t="s">
        <v>184</v>
      </c>
      <c r="P69" s="273">
        <v>1.26</v>
      </c>
      <c r="Q69" s="273">
        <v>26760</v>
      </c>
      <c r="R69" s="273"/>
      <c r="S69" s="276">
        <v>41640</v>
      </c>
      <c r="T69" s="276">
        <v>41759</v>
      </c>
      <c r="U69" s="276" t="str">
        <f t="shared" si="0"/>
        <v>EN EJECUCION</v>
      </c>
      <c r="V69" s="277">
        <f t="shared" si="1"/>
        <v>33717.599999999999</v>
      </c>
      <c r="W69" s="277"/>
      <c r="X69" s="277"/>
      <c r="Y69" s="1022"/>
      <c r="Z69" s="278"/>
      <c r="AA69" s="279" t="s">
        <v>177</v>
      </c>
      <c r="AB69" s="279" t="s">
        <v>178</v>
      </c>
      <c r="AC69" s="280" t="s">
        <v>187</v>
      </c>
      <c r="AD69" s="281">
        <v>2014</v>
      </c>
      <c r="AE69" s="320">
        <f>SUM(Y11:Y258)</f>
        <v>2770603.22</v>
      </c>
      <c r="AF69" s="267"/>
    </row>
    <row r="70" spans="1:32" s="268" customFormat="1" ht="50.1" customHeight="1">
      <c r="A70" s="1016"/>
      <c r="B70" s="1043"/>
      <c r="C70" s="270" t="s">
        <v>169</v>
      </c>
      <c r="D70" s="1019"/>
      <c r="E70" s="271" t="s">
        <v>263</v>
      </c>
      <c r="F70" s="272" t="s">
        <v>171</v>
      </c>
      <c r="G70" s="273" t="s">
        <v>264</v>
      </c>
      <c r="H70" s="273" t="str">
        <f>VLOOKUP(G70,'[4]Pob. Ext, Parroquial'!$B$9:$C$117,2,0)</f>
        <v>SOZORANGA</v>
      </c>
      <c r="I70" s="273" t="s">
        <v>265</v>
      </c>
      <c r="J70" s="273" t="s">
        <v>174</v>
      </c>
      <c r="K70" s="273"/>
      <c r="L70" s="273">
        <f>+ROUND(Q70/6000/0.2,2)</f>
        <v>9.89</v>
      </c>
      <c r="M70" s="274">
        <f>IF(K70&gt;0,VLOOKUP(G70,'[4]Pob. Ext, Parroquial'!$B$8:$F$117,4,FALSE),0)</f>
        <v>0</v>
      </c>
      <c r="N70" s="275" t="s">
        <v>229</v>
      </c>
      <c r="O70" s="273" t="s">
        <v>176</v>
      </c>
      <c r="P70" s="273">
        <v>4.43</v>
      </c>
      <c r="Q70" s="273">
        <v>11868</v>
      </c>
      <c r="R70" s="273"/>
      <c r="S70" s="276">
        <v>41640</v>
      </c>
      <c r="T70" s="276">
        <v>41759</v>
      </c>
      <c r="U70" s="276" t="str">
        <f t="shared" si="0"/>
        <v>EN EJECUCION</v>
      </c>
      <c r="V70" s="277">
        <f t="shared" si="1"/>
        <v>52575.24</v>
      </c>
      <c r="W70" s="277"/>
      <c r="X70" s="277"/>
      <c r="Y70" s="1022"/>
      <c r="Z70" s="278"/>
      <c r="AA70" s="279" t="s">
        <v>177</v>
      </c>
      <c r="AB70" s="279" t="s">
        <v>178</v>
      </c>
      <c r="AC70" s="280" t="s">
        <v>187</v>
      </c>
      <c r="AD70" s="281">
        <v>2014</v>
      </c>
      <c r="AE70" s="320"/>
      <c r="AF70" s="267"/>
    </row>
    <row r="71" spans="1:32" s="268" customFormat="1" ht="50.1" customHeight="1">
      <c r="A71" s="1016"/>
      <c r="B71" s="1043"/>
      <c r="C71" s="270" t="s">
        <v>182</v>
      </c>
      <c r="D71" s="1019"/>
      <c r="E71" s="271" t="s">
        <v>263</v>
      </c>
      <c r="F71" s="272" t="s">
        <v>171</v>
      </c>
      <c r="G71" s="273" t="s">
        <v>264</v>
      </c>
      <c r="H71" s="273" t="str">
        <f>VLOOKUP(G71,'[4]Pob. Ext, Parroquial'!$B$9:$C$117,2,0)</f>
        <v>SOZORANGA</v>
      </c>
      <c r="I71" s="273" t="s">
        <v>265</v>
      </c>
      <c r="J71" s="273" t="s">
        <v>174</v>
      </c>
      <c r="K71" s="273"/>
      <c r="L71" s="273"/>
      <c r="M71" s="274">
        <f>IF(K71&gt;0,VLOOKUP(G71,'[4]Pob. Ext, Parroquial'!$B$8:$F$117,4,FALSE),0)</f>
        <v>0</v>
      </c>
      <c r="N71" s="275" t="s">
        <v>248</v>
      </c>
      <c r="O71" s="273" t="s">
        <v>176</v>
      </c>
      <c r="P71" s="273">
        <v>16.128</v>
      </c>
      <c r="Q71" s="273">
        <v>410</v>
      </c>
      <c r="R71" s="273"/>
      <c r="S71" s="276">
        <v>41640</v>
      </c>
      <c r="T71" s="276">
        <v>41759</v>
      </c>
      <c r="U71" s="276" t="str">
        <f t="shared" si="0"/>
        <v>EN EJECUCION</v>
      </c>
      <c r="V71" s="277">
        <f t="shared" si="1"/>
        <v>6612.48</v>
      </c>
      <c r="W71" s="277"/>
      <c r="X71" s="277"/>
      <c r="Y71" s="1022"/>
      <c r="Z71" s="278"/>
      <c r="AA71" s="279" t="s">
        <v>177</v>
      </c>
      <c r="AB71" s="279" t="s">
        <v>178</v>
      </c>
      <c r="AC71" s="280" t="s">
        <v>187</v>
      </c>
      <c r="AD71" s="281">
        <v>2014</v>
      </c>
      <c r="AE71" s="320"/>
      <c r="AF71" s="267"/>
    </row>
    <row r="72" spans="1:32" s="268" customFormat="1" ht="50.1" customHeight="1" thickBot="1">
      <c r="A72" s="1017"/>
      <c r="B72" s="1044"/>
      <c r="C72" s="283" t="s">
        <v>182</v>
      </c>
      <c r="D72" s="1020"/>
      <c r="E72" s="284" t="s">
        <v>263</v>
      </c>
      <c r="F72" s="285" t="s">
        <v>171</v>
      </c>
      <c r="G72" s="319" t="s">
        <v>264</v>
      </c>
      <c r="H72" s="286" t="str">
        <f>VLOOKUP(G72,'[4]Pob. Ext, Parroquial'!$B$9:$C$117,2,0)</f>
        <v>SOZORANGA</v>
      </c>
      <c r="I72" s="286" t="s">
        <v>173</v>
      </c>
      <c r="J72" s="286" t="s">
        <v>174</v>
      </c>
      <c r="K72" s="286"/>
      <c r="L72" s="286"/>
      <c r="M72" s="287">
        <f>IF(K72&gt;0,VLOOKUP(G72,'[4]Pob. Ext, Parroquial'!$B$8:$F$117,4,FALSE),0)</f>
        <v>0</v>
      </c>
      <c r="N72" s="288" t="s">
        <v>200</v>
      </c>
      <c r="O72" s="286" t="s">
        <v>176</v>
      </c>
      <c r="P72" s="286">
        <v>1.43</v>
      </c>
      <c r="Q72" s="286">
        <v>3950</v>
      </c>
      <c r="R72" s="286"/>
      <c r="S72" s="289">
        <v>41640</v>
      </c>
      <c r="T72" s="289">
        <v>41759</v>
      </c>
      <c r="U72" s="289" t="str">
        <f t="shared" si="0"/>
        <v>EN EJECUCION</v>
      </c>
      <c r="V72" s="290">
        <f t="shared" si="1"/>
        <v>5648.5</v>
      </c>
      <c r="W72" s="290"/>
      <c r="X72" s="290"/>
      <c r="Y72" s="1023"/>
      <c r="Z72" s="278"/>
      <c r="AA72" s="279" t="s">
        <v>177</v>
      </c>
      <c r="AB72" s="279" t="s">
        <v>178</v>
      </c>
      <c r="AC72" s="280" t="s">
        <v>187</v>
      </c>
      <c r="AD72" s="281">
        <v>2014</v>
      </c>
      <c r="AE72" s="320"/>
      <c r="AF72" s="267"/>
    </row>
    <row r="73" spans="1:32" s="268" customFormat="1" ht="82.5" customHeight="1" thickTop="1" thickBot="1">
      <c r="A73" s="317"/>
      <c r="B73" s="299"/>
      <c r="C73" s="299" t="s">
        <v>182</v>
      </c>
      <c r="D73" s="299" t="s">
        <v>267</v>
      </c>
      <c r="E73" s="300" t="s">
        <v>267</v>
      </c>
      <c r="F73" s="301" t="s">
        <v>171</v>
      </c>
      <c r="G73" s="302" t="s">
        <v>269</v>
      </c>
      <c r="H73" s="302" t="s">
        <v>268</v>
      </c>
      <c r="I73" s="302" t="s">
        <v>270</v>
      </c>
      <c r="J73" s="302" t="s">
        <v>174</v>
      </c>
      <c r="K73" s="302">
        <v>92.72</v>
      </c>
      <c r="L73" s="302">
        <f>ROUNDUP(Q73/6/1000,2)</f>
        <v>139.73999999999998</v>
      </c>
      <c r="M73" s="303">
        <v>6100</v>
      </c>
      <c r="N73" s="304" t="s">
        <v>185</v>
      </c>
      <c r="O73" s="302" t="s">
        <v>184</v>
      </c>
      <c r="P73" s="302">
        <v>7.5200000000000003E-2</v>
      </c>
      <c r="Q73" s="302">
        <v>838425</v>
      </c>
      <c r="R73" s="302"/>
      <c r="S73" s="305">
        <v>41640</v>
      </c>
      <c r="T73" s="305">
        <v>41759</v>
      </c>
      <c r="U73" s="305" t="str">
        <f t="shared" si="0"/>
        <v>EN EJECUCION</v>
      </c>
      <c r="V73" s="306">
        <f t="shared" si="1"/>
        <v>63049.56</v>
      </c>
      <c r="W73" s="306"/>
      <c r="X73" s="306"/>
      <c r="Y73" s="318">
        <f>V73+W73+X73</f>
        <v>63049.56</v>
      </c>
      <c r="Z73" s="278"/>
      <c r="AA73" s="279" t="s">
        <v>177</v>
      </c>
      <c r="AB73" s="279" t="s">
        <v>178</v>
      </c>
      <c r="AC73" s="280" t="s">
        <v>187</v>
      </c>
      <c r="AD73" s="281">
        <v>2014</v>
      </c>
      <c r="AE73" s="320"/>
      <c r="AF73" s="267"/>
    </row>
    <row r="74" spans="1:32" s="268" customFormat="1" ht="76.5" customHeight="1" thickTop="1" thickBot="1">
      <c r="A74" s="317"/>
      <c r="B74" s="299"/>
      <c r="C74" s="299" t="s">
        <v>182</v>
      </c>
      <c r="D74" s="299" t="s">
        <v>271</v>
      </c>
      <c r="E74" s="300" t="s">
        <v>744</v>
      </c>
      <c r="F74" s="301" t="s">
        <v>171</v>
      </c>
      <c r="G74" s="302" t="s">
        <v>564</v>
      </c>
      <c r="H74" s="302" t="str">
        <f>VLOOKUP(G74,'[4]Pob. Ext, Parroquial'!$B$9:$C$117,2,0)</f>
        <v>CALVAS</v>
      </c>
      <c r="I74" s="302" t="s">
        <v>270</v>
      </c>
      <c r="J74" s="302" t="s">
        <v>174</v>
      </c>
      <c r="K74" s="302">
        <v>92.72</v>
      </c>
      <c r="L74" s="302">
        <v>27.88</v>
      </c>
      <c r="M74" s="303">
        <f>IF(K74&gt;0,VLOOKUP(G74,'[4]Pob. Ext, Parroquial'!$B$8:$F$117,4,FALSE),0)</f>
        <v>6793</v>
      </c>
      <c r="N74" s="304" t="s">
        <v>745</v>
      </c>
      <c r="O74" s="302" t="s">
        <v>273</v>
      </c>
      <c r="P74" s="302"/>
      <c r="Q74" s="302">
        <v>27.88</v>
      </c>
      <c r="R74" s="302"/>
      <c r="S74" s="305">
        <v>40933</v>
      </c>
      <c r="T74" s="305">
        <v>41759</v>
      </c>
      <c r="U74" s="305" t="str">
        <f t="shared" si="0"/>
        <v>EN EJECUCION</v>
      </c>
      <c r="V74" s="306">
        <f>ROUND(P74*Q74,2)</f>
        <v>0</v>
      </c>
      <c r="W74" s="306"/>
      <c r="X74" s="306"/>
      <c r="Y74" s="318">
        <f>V74+W74+X74</f>
        <v>0</v>
      </c>
      <c r="Z74" s="278"/>
      <c r="AA74" s="279"/>
      <c r="AB74" s="279"/>
      <c r="AC74" s="280"/>
      <c r="AD74" s="281"/>
      <c r="AE74" s="320"/>
      <c r="AF74" s="267"/>
    </row>
    <row r="75" spans="1:32" s="268" customFormat="1" ht="50.1" customHeight="1" thickTop="1">
      <c r="A75" s="1015"/>
      <c r="B75" s="1042"/>
      <c r="C75" s="254" t="s">
        <v>182</v>
      </c>
      <c r="D75" s="1018" t="s">
        <v>274</v>
      </c>
      <c r="E75" s="255" t="s">
        <v>274</v>
      </c>
      <c r="F75" s="256" t="s">
        <v>275</v>
      </c>
      <c r="G75" s="257" t="s">
        <v>247</v>
      </c>
      <c r="H75" s="257" t="str">
        <f>VLOOKUP(G75,'[4]Pob. Ext, Parroquial'!$B$9:$C$117,2,0)</f>
        <v>SOZORANGA</v>
      </c>
      <c r="I75" s="257" t="s">
        <v>173</v>
      </c>
      <c r="J75" s="257" t="s">
        <v>174</v>
      </c>
      <c r="K75" s="257">
        <v>14</v>
      </c>
      <c r="L75" s="257"/>
      <c r="M75" s="258">
        <f>IF(K75&gt;0,VLOOKUP(G75,'[4]Pob. Ext, Parroquial'!$B$8:$F$117,4,FALSE),0)</f>
        <v>1902</v>
      </c>
      <c r="N75" s="259" t="s">
        <v>276</v>
      </c>
      <c r="O75" s="257" t="s">
        <v>277</v>
      </c>
      <c r="P75" s="257">
        <v>948.16</v>
      </c>
      <c r="Q75" s="257">
        <v>0</v>
      </c>
      <c r="R75" s="257"/>
      <c r="S75" s="261">
        <v>41640</v>
      </c>
      <c r="T75" s="261">
        <v>41759</v>
      </c>
      <c r="U75" s="261" t="str">
        <f t="shared" ref="U75:U138" si="3">IF(T75&lt;$G$4,"EJECUTADO","EN EJECUCION")</f>
        <v>EN EJECUCION</v>
      </c>
      <c r="V75" s="262">
        <f t="shared" ref="V75:V138" si="4">ROUND(P75*Q75,2)</f>
        <v>0</v>
      </c>
      <c r="W75" s="262"/>
      <c r="X75" s="262"/>
      <c r="Y75" s="1021">
        <f>SUM(V75:V83)</f>
        <v>43577.760000000002</v>
      </c>
      <c r="Z75" s="278"/>
      <c r="AA75" s="279" t="s">
        <v>278</v>
      </c>
      <c r="AB75" s="279" t="s">
        <v>178</v>
      </c>
      <c r="AC75" s="280" t="s">
        <v>179</v>
      </c>
      <c r="AD75" s="281">
        <v>2014</v>
      </c>
      <c r="AE75" s="320"/>
      <c r="AF75" s="267"/>
    </row>
    <row r="76" spans="1:32" s="268" customFormat="1" ht="50.1" customHeight="1">
      <c r="A76" s="1016"/>
      <c r="B76" s="1043"/>
      <c r="C76" s="270" t="s">
        <v>169</v>
      </c>
      <c r="D76" s="1019"/>
      <c r="E76" s="271" t="s">
        <v>274</v>
      </c>
      <c r="F76" s="272" t="s">
        <v>275</v>
      </c>
      <c r="G76" s="273" t="s">
        <v>247</v>
      </c>
      <c r="H76" s="273" t="str">
        <f>VLOOKUP(G76,'[4]Pob. Ext, Parroquial'!$B$9:$C$117,2,0)</f>
        <v>SOZORANGA</v>
      </c>
      <c r="I76" s="273" t="s">
        <v>173</v>
      </c>
      <c r="J76" s="273" t="s">
        <v>174</v>
      </c>
      <c r="K76" s="273"/>
      <c r="L76" s="273"/>
      <c r="M76" s="274">
        <f>IF(K76&gt;0,VLOOKUP(G76,'[4]Pob. Ext, Parroquial'!$B$8:$F$117,4,FALSE),0)</f>
        <v>0</v>
      </c>
      <c r="N76" s="275" t="s">
        <v>226</v>
      </c>
      <c r="O76" s="273" t="s">
        <v>176</v>
      </c>
      <c r="P76" s="273">
        <v>1.62</v>
      </c>
      <c r="Q76" s="273">
        <v>4884</v>
      </c>
      <c r="R76" s="273"/>
      <c r="S76" s="276">
        <v>41640</v>
      </c>
      <c r="T76" s="276">
        <v>41759</v>
      </c>
      <c r="U76" s="276" t="str">
        <f t="shared" si="3"/>
        <v>EN EJECUCION</v>
      </c>
      <c r="V76" s="277">
        <f t="shared" si="4"/>
        <v>7912.08</v>
      </c>
      <c r="W76" s="277"/>
      <c r="X76" s="277"/>
      <c r="Y76" s="1022"/>
      <c r="Z76" s="278"/>
      <c r="AA76" s="279" t="s">
        <v>278</v>
      </c>
      <c r="AB76" s="279" t="s">
        <v>178</v>
      </c>
      <c r="AC76" s="280" t="s">
        <v>187</v>
      </c>
      <c r="AD76" s="281">
        <v>2014</v>
      </c>
      <c r="AE76" s="320"/>
      <c r="AF76" s="267"/>
    </row>
    <row r="77" spans="1:32" s="268" customFormat="1" ht="50.1" customHeight="1">
      <c r="A77" s="1016"/>
      <c r="B77" s="1043"/>
      <c r="C77" s="270" t="s">
        <v>182</v>
      </c>
      <c r="D77" s="1019"/>
      <c r="E77" s="271" t="s">
        <v>274</v>
      </c>
      <c r="F77" s="272" t="s">
        <v>275</v>
      </c>
      <c r="G77" s="273" t="s">
        <v>247</v>
      </c>
      <c r="H77" s="273" t="str">
        <f>VLOOKUP(G77,'[4]Pob. Ext, Parroquial'!$B$9:$C$117,2,0)</f>
        <v>SOZORANGA</v>
      </c>
      <c r="I77" s="273" t="s">
        <v>173</v>
      </c>
      <c r="J77" s="273" t="s">
        <v>174</v>
      </c>
      <c r="K77" s="273"/>
      <c r="L77" s="273"/>
      <c r="M77" s="274">
        <f>IF(K77&gt;0,VLOOKUP(G77,'[4]Pob. Ext, Parroquial'!$B$8:$F$117,4,FALSE),0)</f>
        <v>0</v>
      </c>
      <c r="N77" s="275" t="s">
        <v>200</v>
      </c>
      <c r="O77" s="273" t="s">
        <v>176</v>
      </c>
      <c r="P77" s="273">
        <v>1.46</v>
      </c>
      <c r="Q77" s="273">
        <v>3300</v>
      </c>
      <c r="R77" s="273"/>
      <c r="S77" s="276">
        <v>41640</v>
      </c>
      <c r="T77" s="276">
        <v>41759</v>
      </c>
      <c r="U77" s="276" t="str">
        <f t="shared" si="3"/>
        <v>EN EJECUCION</v>
      </c>
      <c r="V77" s="277">
        <f t="shared" si="4"/>
        <v>4818</v>
      </c>
      <c r="W77" s="277"/>
      <c r="X77" s="277"/>
      <c r="Y77" s="1022"/>
      <c r="Z77" s="278"/>
      <c r="AA77" s="279" t="s">
        <v>278</v>
      </c>
      <c r="AB77" s="279" t="s">
        <v>178</v>
      </c>
      <c r="AC77" s="280" t="s">
        <v>187</v>
      </c>
      <c r="AD77" s="281">
        <v>2014</v>
      </c>
      <c r="AE77" s="320"/>
      <c r="AF77" s="267"/>
    </row>
    <row r="78" spans="1:32" s="268" customFormat="1" ht="50.1" customHeight="1">
      <c r="A78" s="1016"/>
      <c r="B78" s="1043"/>
      <c r="C78" s="270" t="s">
        <v>182</v>
      </c>
      <c r="D78" s="1019"/>
      <c r="E78" s="271" t="s">
        <v>274</v>
      </c>
      <c r="F78" s="272" t="s">
        <v>275</v>
      </c>
      <c r="G78" s="273" t="s">
        <v>247</v>
      </c>
      <c r="H78" s="273" t="str">
        <f>VLOOKUP(G78,'[4]Pob. Ext, Parroquial'!$B$9:$C$117,2,0)</f>
        <v>SOZORANGA</v>
      </c>
      <c r="I78" s="273" t="s">
        <v>173</v>
      </c>
      <c r="J78" s="273" t="s">
        <v>174</v>
      </c>
      <c r="K78" s="273"/>
      <c r="L78" s="273"/>
      <c r="M78" s="274">
        <f>IF(K78&gt;0,VLOOKUP(G78,'[4]Pob. Ext, Parroquial'!$B$8:$F$117,4,FALSE),0)</f>
        <v>0</v>
      </c>
      <c r="N78" s="275" t="s">
        <v>279</v>
      </c>
      <c r="O78" s="273" t="s">
        <v>176</v>
      </c>
      <c r="P78" s="273">
        <v>1.46</v>
      </c>
      <c r="Q78" s="273">
        <v>0</v>
      </c>
      <c r="R78" s="273"/>
      <c r="S78" s="276">
        <v>41640</v>
      </c>
      <c r="T78" s="276">
        <v>41759</v>
      </c>
      <c r="U78" s="276" t="str">
        <f t="shared" si="3"/>
        <v>EN EJECUCION</v>
      </c>
      <c r="V78" s="277">
        <f t="shared" si="4"/>
        <v>0</v>
      </c>
      <c r="W78" s="277"/>
      <c r="X78" s="277"/>
      <c r="Y78" s="1022"/>
      <c r="Z78" s="278"/>
      <c r="AA78" s="279" t="s">
        <v>278</v>
      </c>
      <c r="AB78" s="279" t="s">
        <v>178</v>
      </c>
      <c r="AC78" s="280" t="s">
        <v>179</v>
      </c>
      <c r="AD78" s="281">
        <v>2014</v>
      </c>
      <c r="AE78" s="320"/>
      <c r="AF78" s="267"/>
    </row>
    <row r="79" spans="1:32" s="268" customFormat="1" ht="50.1" customHeight="1">
      <c r="A79" s="1016"/>
      <c r="B79" s="1043"/>
      <c r="C79" s="270" t="s">
        <v>182</v>
      </c>
      <c r="D79" s="1019"/>
      <c r="E79" s="271" t="s">
        <v>274</v>
      </c>
      <c r="F79" s="272" t="s">
        <v>275</v>
      </c>
      <c r="G79" s="273" t="s">
        <v>247</v>
      </c>
      <c r="H79" s="273" t="str">
        <f>VLOOKUP(G79,'[4]Pob. Ext, Parroquial'!$B$9:$C$117,2,0)</f>
        <v>SOZORANGA</v>
      </c>
      <c r="I79" s="273" t="s">
        <v>173</v>
      </c>
      <c r="J79" s="273" t="s">
        <v>174</v>
      </c>
      <c r="K79" s="273"/>
      <c r="L79" s="273"/>
      <c r="M79" s="274">
        <f>IF(K79&gt;0,VLOOKUP(G79,'[4]Pob. Ext, Parroquial'!$B$8:$F$117,4,FALSE),0)</f>
        <v>0</v>
      </c>
      <c r="N79" s="275" t="s">
        <v>280</v>
      </c>
      <c r="O79" s="273" t="s">
        <v>181</v>
      </c>
      <c r="P79" s="273">
        <v>0.3</v>
      </c>
      <c r="Q79" s="273">
        <v>0</v>
      </c>
      <c r="R79" s="273"/>
      <c r="S79" s="276">
        <v>41640</v>
      </c>
      <c r="T79" s="276">
        <v>41759</v>
      </c>
      <c r="U79" s="276" t="str">
        <f t="shared" si="3"/>
        <v>EN EJECUCION</v>
      </c>
      <c r="V79" s="277">
        <f t="shared" si="4"/>
        <v>0</v>
      </c>
      <c r="W79" s="277"/>
      <c r="X79" s="277"/>
      <c r="Y79" s="1022"/>
      <c r="Z79" s="278"/>
      <c r="AA79" s="279" t="s">
        <v>278</v>
      </c>
      <c r="AB79" s="279" t="s">
        <v>178</v>
      </c>
      <c r="AC79" s="280" t="s">
        <v>179</v>
      </c>
      <c r="AD79" s="281">
        <v>2014</v>
      </c>
      <c r="AE79" s="320"/>
      <c r="AF79" s="267"/>
    </row>
    <row r="80" spans="1:32" s="268" customFormat="1" ht="50.1" customHeight="1">
      <c r="A80" s="1016"/>
      <c r="B80" s="1043"/>
      <c r="C80" s="270" t="s">
        <v>169</v>
      </c>
      <c r="D80" s="1019"/>
      <c r="E80" s="271" t="s">
        <v>274</v>
      </c>
      <c r="F80" s="272" t="s">
        <v>275</v>
      </c>
      <c r="G80" s="273" t="s">
        <v>247</v>
      </c>
      <c r="H80" s="273" t="str">
        <f>VLOOKUP(G80,'[4]Pob. Ext, Parroquial'!$B$9:$C$117,2,0)</f>
        <v>SOZORANGA</v>
      </c>
      <c r="I80" s="273" t="s">
        <v>173</v>
      </c>
      <c r="J80" s="273" t="s">
        <v>174</v>
      </c>
      <c r="K80" s="273"/>
      <c r="L80" s="273"/>
      <c r="M80" s="274">
        <f>IF(K80&gt;0,VLOOKUP(G80,'[4]Pob. Ext, Parroquial'!$B$8:$F$117,4,FALSE),0)</f>
        <v>0</v>
      </c>
      <c r="N80" s="275" t="s">
        <v>281</v>
      </c>
      <c r="O80" s="273" t="s">
        <v>181</v>
      </c>
      <c r="P80" s="273">
        <v>0.3</v>
      </c>
      <c r="Q80" s="273">
        <v>32520</v>
      </c>
      <c r="R80" s="273"/>
      <c r="S80" s="276">
        <v>41640</v>
      </c>
      <c r="T80" s="276">
        <v>41759</v>
      </c>
      <c r="U80" s="276" t="str">
        <f t="shared" si="3"/>
        <v>EN EJECUCION</v>
      </c>
      <c r="V80" s="277">
        <f t="shared" si="4"/>
        <v>9756</v>
      </c>
      <c r="W80" s="277"/>
      <c r="X80" s="277"/>
      <c r="Y80" s="1022"/>
      <c r="Z80" s="278"/>
      <c r="AA80" s="279" t="s">
        <v>278</v>
      </c>
      <c r="AB80" s="279" t="s">
        <v>178</v>
      </c>
      <c r="AC80" s="280" t="s">
        <v>187</v>
      </c>
      <c r="AD80" s="281">
        <v>2014</v>
      </c>
      <c r="AE80" s="320"/>
      <c r="AF80" s="267"/>
    </row>
    <row r="81" spans="1:32" s="268" customFormat="1" ht="50.1" customHeight="1">
      <c r="A81" s="1016"/>
      <c r="B81" s="1043"/>
      <c r="C81" s="270" t="s">
        <v>182</v>
      </c>
      <c r="D81" s="1019"/>
      <c r="E81" s="271" t="s">
        <v>274</v>
      </c>
      <c r="F81" s="272" t="s">
        <v>275</v>
      </c>
      <c r="G81" s="273" t="s">
        <v>247</v>
      </c>
      <c r="H81" s="273" t="str">
        <f>VLOOKUP(G81,'[4]Pob. Ext, Parroquial'!$B$9:$C$117,2,0)</f>
        <v>SOZORANGA</v>
      </c>
      <c r="I81" s="273" t="s">
        <v>173</v>
      </c>
      <c r="J81" s="273" t="s">
        <v>174</v>
      </c>
      <c r="K81" s="273"/>
      <c r="L81" s="273">
        <f>ROUNDUP(Q81/6/1000,2)</f>
        <v>10.84</v>
      </c>
      <c r="M81" s="274">
        <f>IF(K81&gt;0,VLOOKUP(G81,'[4]Pob. Ext, Parroquial'!$B$8:$F$117,4,FALSE),0)</f>
        <v>0</v>
      </c>
      <c r="N81" s="275" t="s">
        <v>185</v>
      </c>
      <c r="O81" s="273" t="s">
        <v>184</v>
      </c>
      <c r="P81" s="273">
        <v>0.06</v>
      </c>
      <c r="Q81" s="273">
        <v>65000</v>
      </c>
      <c r="R81" s="273"/>
      <c r="S81" s="276">
        <v>41640</v>
      </c>
      <c r="T81" s="276">
        <v>41759</v>
      </c>
      <c r="U81" s="276" t="str">
        <f t="shared" si="3"/>
        <v>EN EJECUCION</v>
      </c>
      <c r="V81" s="277">
        <f t="shared" si="4"/>
        <v>3900</v>
      </c>
      <c r="W81" s="277"/>
      <c r="X81" s="277"/>
      <c r="Y81" s="1022"/>
      <c r="Z81" s="278"/>
      <c r="AA81" s="279" t="s">
        <v>278</v>
      </c>
      <c r="AB81" s="279" t="s">
        <v>178</v>
      </c>
      <c r="AC81" s="280" t="s">
        <v>187</v>
      </c>
      <c r="AD81" s="281">
        <v>2014</v>
      </c>
      <c r="AE81" s="320"/>
      <c r="AF81" s="267"/>
    </row>
    <row r="82" spans="1:32" s="268" customFormat="1" ht="50.1" customHeight="1">
      <c r="A82" s="1016"/>
      <c r="B82" s="1043"/>
      <c r="C82" s="270" t="s">
        <v>182</v>
      </c>
      <c r="D82" s="1019"/>
      <c r="E82" s="271" t="s">
        <v>274</v>
      </c>
      <c r="F82" s="272" t="s">
        <v>275</v>
      </c>
      <c r="G82" s="273" t="s">
        <v>247</v>
      </c>
      <c r="H82" s="273" t="str">
        <f>VLOOKUP(G82,'[4]Pob. Ext, Parroquial'!$B$9:$C$117,2,0)</f>
        <v>SOZORANGA</v>
      </c>
      <c r="I82" s="273" t="s">
        <v>173</v>
      </c>
      <c r="J82" s="273" t="s">
        <v>174</v>
      </c>
      <c r="K82" s="273"/>
      <c r="L82" s="273">
        <f>+ROUND(Q82/6000,2)</f>
        <v>0</v>
      </c>
      <c r="M82" s="274">
        <f>IF(K82&gt;0,VLOOKUP(G82,'[4]Pob. Ext, Parroquial'!$B$8:$F$117,4,FALSE),0)</f>
        <v>0</v>
      </c>
      <c r="N82" s="275" t="s">
        <v>282</v>
      </c>
      <c r="O82" s="273" t="s">
        <v>184</v>
      </c>
      <c r="P82" s="273">
        <v>0.35</v>
      </c>
      <c r="Q82" s="273">
        <v>0</v>
      </c>
      <c r="R82" s="273"/>
      <c r="S82" s="276">
        <v>41640</v>
      </c>
      <c r="T82" s="276">
        <v>41759</v>
      </c>
      <c r="U82" s="276" t="str">
        <f t="shared" si="3"/>
        <v>EN EJECUCION</v>
      </c>
      <c r="V82" s="277">
        <f t="shared" si="4"/>
        <v>0</v>
      </c>
      <c r="W82" s="277"/>
      <c r="X82" s="277"/>
      <c r="Y82" s="1022"/>
      <c r="Z82" s="278"/>
      <c r="AA82" s="279" t="s">
        <v>278</v>
      </c>
      <c r="AB82" s="279" t="s">
        <v>178</v>
      </c>
      <c r="AC82" s="280" t="s">
        <v>179</v>
      </c>
      <c r="AD82" s="281">
        <v>2014</v>
      </c>
      <c r="AE82" s="320"/>
      <c r="AF82" s="267"/>
    </row>
    <row r="83" spans="1:32" s="268" customFormat="1" ht="50.1" customHeight="1" thickBot="1">
      <c r="A83" s="1017"/>
      <c r="B83" s="1044"/>
      <c r="C83" s="283" t="s">
        <v>169</v>
      </c>
      <c r="D83" s="1020"/>
      <c r="E83" s="284" t="s">
        <v>274</v>
      </c>
      <c r="F83" s="285" t="s">
        <v>275</v>
      </c>
      <c r="G83" s="286" t="s">
        <v>247</v>
      </c>
      <c r="H83" s="286" t="str">
        <f>VLOOKUP(G83,'[4]Pob. Ext, Parroquial'!$B$9:$C$117,2,0)</f>
        <v>SOZORANGA</v>
      </c>
      <c r="I83" s="286" t="s">
        <v>173</v>
      </c>
      <c r="J83" s="286" t="s">
        <v>174</v>
      </c>
      <c r="K83" s="286"/>
      <c r="L83" s="286">
        <f>+ROUND(Q83/6000/0.2,2)</f>
        <v>2.42</v>
      </c>
      <c r="M83" s="287">
        <f>IF(K83&gt;0,VLOOKUP(G83,'[4]Pob. Ext, Parroquial'!$B$8:$F$117,4,FALSE),0)</f>
        <v>0</v>
      </c>
      <c r="N83" s="288" t="s">
        <v>229</v>
      </c>
      <c r="O83" s="286" t="s">
        <v>176</v>
      </c>
      <c r="P83" s="286">
        <v>5.92</v>
      </c>
      <c r="Q83" s="286">
        <v>2904</v>
      </c>
      <c r="R83" s="286"/>
      <c r="S83" s="289">
        <v>41671</v>
      </c>
      <c r="T83" s="289">
        <v>41759</v>
      </c>
      <c r="U83" s="289" t="str">
        <f t="shared" si="3"/>
        <v>EN EJECUCION</v>
      </c>
      <c r="V83" s="290">
        <f t="shared" si="4"/>
        <v>17191.68</v>
      </c>
      <c r="W83" s="290"/>
      <c r="X83" s="290"/>
      <c r="Y83" s="1023"/>
      <c r="Z83" s="278"/>
      <c r="AA83" s="279" t="s">
        <v>278</v>
      </c>
      <c r="AB83" s="279" t="s">
        <v>178</v>
      </c>
      <c r="AC83" s="280" t="s">
        <v>187</v>
      </c>
      <c r="AD83" s="281">
        <v>2014</v>
      </c>
      <c r="AE83" s="320"/>
      <c r="AF83" s="267"/>
    </row>
    <row r="84" spans="1:32" s="268" customFormat="1" ht="50.1" customHeight="1" thickTop="1">
      <c r="A84" s="1015"/>
      <c r="B84" s="1042"/>
      <c r="C84" s="254" t="s">
        <v>182</v>
      </c>
      <c r="D84" s="1018" t="s">
        <v>283</v>
      </c>
      <c r="E84" s="255" t="s">
        <v>283</v>
      </c>
      <c r="F84" s="256" t="s">
        <v>275</v>
      </c>
      <c r="G84" s="257" t="s">
        <v>284</v>
      </c>
      <c r="H84" s="257" t="str">
        <f>VLOOKUP(G84,'[4]Pob. Ext, Parroquial'!$B$9:$C$117,2,0)</f>
        <v>PUYANGO</v>
      </c>
      <c r="I84" s="257" t="s">
        <v>173</v>
      </c>
      <c r="J84" s="257" t="s">
        <v>174</v>
      </c>
      <c r="K84" s="257">
        <v>16</v>
      </c>
      <c r="L84" s="257"/>
      <c r="M84" s="258">
        <f>IF(K84&gt;0,VLOOKUP(G84,'[4]Pob. Ext, Parroquial'!$B$8:$F$117,4,FALSE),0)</f>
        <v>640</v>
      </c>
      <c r="N84" s="259" t="s">
        <v>276</v>
      </c>
      <c r="O84" s="257" t="s">
        <v>277</v>
      </c>
      <c r="P84" s="257">
        <v>948.16</v>
      </c>
      <c r="Q84" s="257">
        <v>0</v>
      </c>
      <c r="R84" s="257"/>
      <c r="S84" s="261">
        <v>41671</v>
      </c>
      <c r="T84" s="261">
        <v>41759</v>
      </c>
      <c r="U84" s="261" t="str">
        <f t="shared" si="3"/>
        <v>EN EJECUCION</v>
      </c>
      <c r="V84" s="262">
        <f t="shared" si="4"/>
        <v>0</v>
      </c>
      <c r="W84" s="262"/>
      <c r="X84" s="262"/>
      <c r="Y84" s="1021">
        <f>SUM(V84:V92)</f>
        <v>53058</v>
      </c>
      <c r="Z84" s="278"/>
      <c r="AA84" s="279" t="s">
        <v>278</v>
      </c>
      <c r="AB84" s="279" t="s">
        <v>178</v>
      </c>
      <c r="AC84" s="280" t="s">
        <v>187</v>
      </c>
      <c r="AD84" s="281">
        <v>2014</v>
      </c>
      <c r="AE84" s="320"/>
      <c r="AF84" s="267"/>
    </row>
    <row r="85" spans="1:32" s="268" customFormat="1" ht="50.1" customHeight="1">
      <c r="A85" s="1016"/>
      <c r="B85" s="1043"/>
      <c r="C85" s="270" t="s">
        <v>169</v>
      </c>
      <c r="D85" s="1019"/>
      <c r="E85" s="271" t="s">
        <v>283</v>
      </c>
      <c r="F85" s="272" t="s">
        <v>275</v>
      </c>
      <c r="G85" s="273" t="s">
        <v>284</v>
      </c>
      <c r="H85" s="273" t="str">
        <f>VLOOKUP(G85,'[4]Pob. Ext, Parroquial'!$B$9:$C$117,2,0)</f>
        <v>PUYANGO</v>
      </c>
      <c r="I85" s="273" t="s">
        <v>173</v>
      </c>
      <c r="J85" s="273" t="s">
        <v>174</v>
      </c>
      <c r="K85" s="273"/>
      <c r="L85" s="273"/>
      <c r="M85" s="274">
        <f>IF(K85&gt;0,VLOOKUP(G85,'[4]Pob. Ext, Parroquial'!$B$8:$F$117,4,FALSE),0)</f>
        <v>0</v>
      </c>
      <c r="N85" s="275" t="s">
        <v>226</v>
      </c>
      <c r="O85" s="273" t="s">
        <v>176</v>
      </c>
      <c r="P85" s="273">
        <v>1.62</v>
      </c>
      <c r="Q85" s="273">
        <v>700</v>
      </c>
      <c r="R85" s="273"/>
      <c r="S85" s="276">
        <v>41671</v>
      </c>
      <c r="T85" s="276">
        <v>41759</v>
      </c>
      <c r="U85" s="276" t="str">
        <f t="shared" si="3"/>
        <v>EN EJECUCION</v>
      </c>
      <c r="V85" s="277">
        <f t="shared" si="4"/>
        <v>1134</v>
      </c>
      <c r="W85" s="277"/>
      <c r="X85" s="277"/>
      <c r="Y85" s="1022"/>
      <c r="Z85" s="278"/>
      <c r="AA85" s="279" t="s">
        <v>278</v>
      </c>
      <c r="AB85" s="279" t="s">
        <v>178</v>
      </c>
      <c r="AC85" s="280" t="s">
        <v>187</v>
      </c>
      <c r="AD85" s="281">
        <v>2014</v>
      </c>
      <c r="AE85" s="320">
        <f>SUM(Y264:Y277)</f>
        <v>456185.51</v>
      </c>
      <c r="AF85" s="267"/>
    </row>
    <row r="86" spans="1:32" s="268" customFormat="1" ht="50.1" customHeight="1">
      <c r="A86" s="1016"/>
      <c r="B86" s="1043"/>
      <c r="C86" s="270" t="s">
        <v>182</v>
      </c>
      <c r="D86" s="1019"/>
      <c r="E86" s="271" t="s">
        <v>283</v>
      </c>
      <c r="F86" s="272" t="s">
        <v>275</v>
      </c>
      <c r="G86" s="273" t="s">
        <v>284</v>
      </c>
      <c r="H86" s="273" t="str">
        <f>VLOOKUP(G86,'[4]Pob. Ext, Parroquial'!$B$9:$C$117,2,0)</f>
        <v>PUYANGO</v>
      </c>
      <c r="I86" s="273" t="s">
        <v>173</v>
      </c>
      <c r="J86" s="273" t="s">
        <v>174</v>
      </c>
      <c r="K86" s="273"/>
      <c r="L86" s="273"/>
      <c r="M86" s="274">
        <f>IF(K86&gt;0,VLOOKUP(G86,'[4]Pob. Ext, Parroquial'!$B$8:$F$117,4,FALSE),0)</f>
        <v>0</v>
      </c>
      <c r="N86" s="275" t="s">
        <v>200</v>
      </c>
      <c r="O86" s="273" t="s">
        <v>176</v>
      </c>
      <c r="P86" s="273">
        <v>1.46</v>
      </c>
      <c r="Q86" s="273">
        <v>1000</v>
      </c>
      <c r="R86" s="273"/>
      <c r="S86" s="276">
        <v>41671</v>
      </c>
      <c r="T86" s="276">
        <v>41759</v>
      </c>
      <c r="U86" s="276" t="str">
        <f t="shared" si="3"/>
        <v>EN EJECUCION</v>
      </c>
      <c r="V86" s="277">
        <f t="shared" si="4"/>
        <v>1460</v>
      </c>
      <c r="W86" s="277"/>
      <c r="X86" s="277"/>
      <c r="Y86" s="1022"/>
      <c r="Z86" s="278"/>
      <c r="AA86" s="279" t="s">
        <v>278</v>
      </c>
      <c r="AB86" s="279" t="s">
        <v>178</v>
      </c>
      <c r="AC86" s="280" t="s">
        <v>187</v>
      </c>
      <c r="AD86" s="281">
        <v>2014</v>
      </c>
      <c r="AE86" s="320"/>
      <c r="AF86" s="267"/>
    </row>
    <row r="87" spans="1:32" s="268" customFormat="1" ht="50.1" customHeight="1">
      <c r="A87" s="1016"/>
      <c r="B87" s="1043"/>
      <c r="C87" s="270" t="s">
        <v>182</v>
      </c>
      <c r="D87" s="1019"/>
      <c r="E87" s="271" t="s">
        <v>283</v>
      </c>
      <c r="F87" s="272" t="s">
        <v>275</v>
      </c>
      <c r="G87" s="273" t="s">
        <v>284</v>
      </c>
      <c r="H87" s="273" t="str">
        <f>VLOOKUP(G87,'[4]Pob. Ext, Parroquial'!$B$9:$C$117,2,0)</f>
        <v>PUYANGO</v>
      </c>
      <c r="I87" s="273" t="s">
        <v>173</v>
      </c>
      <c r="J87" s="273" t="s">
        <v>174</v>
      </c>
      <c r="K87" s="273"/>
      <c r="L87" s="273"/>
      <c r="M87" s="274">
        <f>IF(K87&gt;0,VLOOKUP(G87,'[4]Pob. Ext, Parroquial'!$B$8:$F$117,4,FALSE),0)</f>
        <v>0</v>
      </c>
      <c r="N87" s="275" t="s">
        <v>279</v>
      </c>
      <c r="O87" s="273" t="s">
        <v>176</v>
      </c>
      <c r="P87" s="273">
        <v>1.46</v>
      </c>
      <c r="Q87" s="273">
        <v>0</v>
      </c>
      <c r="R87" s="273"/>
      <c r="S87" s="276">
        <v>41671</v>
      </c>
      <c r="T87" s="276">
        <v>41759</v>
      </c>
      <c r="U87" s="276" t="str">
        <f t="shared" si="3"/>
        <v>EN EJECUCION</v>
      </c>
      <c r="V87" s="277">
        <f t="shared" si="4"/>
        <v>0</v>
      </c>
      <c r="W87" s="277"/>
      <c r="X87" s="277"/>
      <c r="Y87" s="1022"/>
      <c r="Z87" s="278"/>
      <c r="AA87" s="279" t="s">
        <v>278</v>
      </c>
      <c r="AB87" s="279" t="s">
        <v>178</v>
      </c>
      <c r="AC87" s="280" t="s">
        <v>187</v>
      </c>
      <c r="AD87" s="281">
        <v>2014</v>
      </c>
      <c r="AE87" s="320"/>
      <c r="AF87" s="267"/>
    </row>
    <row r="88" spans="1:32" s="268" customFormat="1" ht="50.1" customHeight="1">
      <c r="A88" s="1016"/>
      <c r="B88" s="1043"/>
      <c r="C88" s="270" t="s">
        <v>182</v>
      </c>
      <c r="D88" s="1019"/>
      <c r="E88" s="271" t="s">
        <v>283</v>
      </c>
      <c r="F88" s="272" t="s">
        <v>275</v>
      </c>
      <c r="G88" s="273" t="s">
        <v>284</v>
      </c>
      <c r="H88" s="273" t="str">
        <f>VLOOKUP(G88,'[4]Pob. Ext, Parroquial'!$B$9:$C$117,2,0)</f>
        <v>PUYANGO</v>
      </c>
      <c r="I88" s="273" t="s">
        <v>173</v>
      </c>
      <c r="J88" s="273" t="s">
        <v>174</v>
      </c>
      <c r="K88" s="273"/>
      <c r="L88" s="273"/>
      <c r="M88" s="274">
        <f>IF(K88&gt;0,VLOOKUP(G88,'[4]Pob. Ext, Parroquial'!$B$8:$F$117,4,FALSE),0)</f>
        <v>0</v>
      </c>
      <c r="N88" s="275" t="s">
        <v>280</v>
      </c>
      <c r="O88" s="273" t="s">
        <v>181</v>
      </c>
      <c r="P88" s="273">
        <v>0.3</v>
      </c>
      <c r="Q88" s="273">
        <v>0</v>
      </c>
      <c r="R88" s="273"/>
      <c r="S88" s="276">
        <v>41671</v>
      </c>
      <c r="T88" s="276">
        <v>41759</v>
      </c>
      <c r="U88" s="276" t="str">
        <f t="shared" si="3"/>
        <v>EN EJECUCION</v>
      </c>
      <c r="V88" s="277">
        <f t="shared" si="4"/>
        <v>0</v>
      </c>
      <c r="W88" s="277"/>
      <c r="X88" s="277"/>
      <c r="Y88" s="1022"/>
      <c r="Z88" s="278"/>
      <c r="AA88" s="279" t="s">
        <v>278</v>
      </c>
      <c r="AB88" s="279" t="s">
        <v>178</v>
      </c>
      <c r="AC88" s="280" t="s">
        <v>187</v>
      </c>
      <c r="AD88" s="281">
        <v>2014</v>
      </c>
      <c r="AE88" s="320"/>
      <c r="AF88" s="267"/>
    </row>
    <row r="89" spans="1:32" s="268" customFormat="1" ht="50.1" customHeight="1">
      <c r="A89" s="1016"/>
      <c r="B89" s="1043"/>
      <c r="C89" s="270" t="s">
        <v>169</v>
      </c>
      <c r="D89" s="1019"/>
      <c r="E89" s="271" t="s">
        <v>283</v>
      </c>
      <c r="F89" s="272" t="s">
        <v>275</v>
      </c>
      <c r="G89" s="273" t="s">
        <v>284</v>
      </c>
      <c r="H89" s="273" t="str">
        <f>VLOOKUP(G89,'[4]Pob. Ext, Parroquial'!$B$9:$C$117,2,0)</f>
        <v>PUYANGO</v>
      </c>
      <c r="I89" s="273" t="s">
        <v>173</v>
      </c>
      <c r="J89" s="273" t="s">
        <v>174</v>
      </c>
      <c r="K89" s="273"/>
      <c r="L89" s="273"/>
      <c r="M89" s="274">
        <f>IF(K89&gt;0,VLOOKUP(G89,'[4]Pob. Ext, Parroquial'!$B$8:$F$117,4,FALSE),0)</f>
        <v>0</v>
      </c>
      <c r="N89" s="275" t="s">
        <v>281</v>
      </c>
      <c r="O89" s="273" t="s">
        <v>181</v>
      </c>
      <c r="P89" s="273">
        <v>0.3</v>
      </c>
      <c r="Q89" s="273">
        <v>15900</v>
      </c>
      <c r="R89" s="273"/>
      <c r="S89" s="276">
        <v>41671</v>
      </c>
      <c r="T89" s="276">
        <v>41759</v>
      </c>
      <c r="U89" s="276" t="str">
        <f t="shared" si="3"/>
        <v>EN EJECUCION</v>
      </c>
      <c r="V89" s="277">
        <f t="shared" si="4"/>
        <v>4770</v>
      </c>
      <c r="W89" s="277"/>
      <c r="X89" s="277"/>
      <c r="Y89" s="1022"/>
      <c r="Z89" s="278"/>
      <c r="AA89" s="279" t="s">
        <v>278</v>
      </c>
      <c r="AB89" s="279" t="s">
        <v>178</v>
      </c>
      <c r="AC89" s="280" t="s">
        <v>187</v>
      </c>
      <c r="AD89" s="281">
        <v>2014</v>
      </c>
      <c r="AE89" s="320"/>
      <c r="AF89" s="267"/>
    </row>
    <row r="90" spans="1:32" s="268" customFormat="1" ht="50.1" customHeight="1">
      <c r="A90" s="1016"/>
      <c r="B90" s="1043"/>
      <c r="C90" s="270" t="s">
        <v>182</v>
      </c>
      <c r="D90" s="1019"/>
      <c r="E90" s="271" t="s">
        <v>283</v>
      </c>
      <c r="F90" s="272" t="s">
        <v>275</v>
      </c>
      <c r="G90" s="273" t="s">
        <v>284</v>
      </c>
      <c r="H90" s="273" t="str">
        <f>VLOOKUP(G90,'[4]Pob. Ext, Parroquial'!$B$9:$C$117,2,0)</f>
        <v>PUYANGO</v>
      </c>
      <c r="I90" s="273" t="s">
        <v>173</v>
      </c>
      <c r="J90" s="273" t="s">
        <v>174</v>
      </c>
      <c r="K90" s="273"/>
      <c r="L90" s="273">
        <f>ROUNDUP(Q90/6/1000,2)</f>
        <v>13.34</v>
      </c>
      <c r="M90" s="274">
        <f>IF(K90&gt;0,VLOOKUP(G90,'[4]Pob. Ext, Parroquial'!$B$8:$F$117,4,FALSE),0)</f>
        <v>0</v>
      </c>
      <c r="N90" s="275" t="s">
        <v>185</v>
      </c>
      <c r="O90" s="273" t="s">
        <v>184</v>
      </c>
      <c r="P90" s="273">
        <v>0.06</v>
      </c>
      <c r="Q90" s="273">
        <v>80000</v>
      </c>
      <c r="R90" s="273"/>
      <c r="S90" s="276">
        <v>41671</v>
      </c>
      <c r="T90" s="276">
        <v>41759</v>
      </c>
      <c r="U90" s="276" t="str">
        <f t="shared" si="3"/>
        <v>EN EJECUCION</v>
      </c>
      <c r="V90" s="277">
        <f t="shared" si="4"/>
        <v>4800</v>
      </c>
      <c r="W90" s="277"/>
      <c r="X90" s="277"/>
      <c r="Y90" s="1022"/>
      <c r="Z90" s="278"/>
      <c r="AA90" s="279" t="s">
        <v>278</v>
      </c>
      <c r="AB90" s="279" t="s">
        <v>178</v>
      </c>
      <c r="AC90" s="280" t="s">
        <v>187</v>
      </c>
      <c r="AD90" s="281">
        <v>2014</v>
      </c>
      <c r="AE90" s="320"/>
      <c r="AF90" s="267"/>
    </row>
    <row r="91" spans="1:32" s="268" customFormat="1" ht="50.1" customHeight="1">
      <c r="A91" s="1016"/>
      <c r="B91" s="1043"/>
      <c r="C91" s="270" t="s">
        <v>182</v>
      </c>
      <c r="D91" s="1019"/>
      <c r="E91" s="271" t="s">
        <v>283</v>
      </c>
      <c r="F91" s="272" t="s">
        <v>275</v>
      </c>
      <c r="G91" s="273" t="s">
        <v>284</v>
      </c>
      <c r="H91" s="273" t="str">
        <f>VLOOKUP(G91,'[4]Pob. Ext, Parroquial'!$B$9:$C$117,2,0)</f>
        <v>PUYANGO</v>
      </c>
      <c r="I91" s="273" t="s">
        <v>173</v>
      </c>
      <c r="J91" s="273" t="s">
        <v>174</v>
      </c>
      <c r="K91" s="273"/>
      <c r="L91" s="273">
        <f>+ROUND(Q91/6000,2)</f>
        <v>17.5</v>
      </c>
      <c r="M91" s="274">
        <f>IF(K91&gt;0,VLOOKUP(G91,'[4]Pob. Ext, Parroquial'!$B$8:$F$117,4,FALSE),0)</f>
        <v>0</v>
      </c>
      <c r="N91" s="275" t="s">
        <v>282</v>
      </c>
      <c r="O91" s="273" t="s">
        <v>184</v>
      </c>
      <c r="P91" s="273">
        <v>0.35</v>
      </c>
      <c r="Q91" s="273">
        <v>105000</v>
      </c>
      <c r="R91" s="273"/>
      <c r="S91" s="276">
        <v>41671</v>
      </c>
      <c r="T91" s="276">
        <v>41759</v>
      </c>
      <c r="U91" s="276" t="str">
        <f t="shared" si="3"/>
        <v>EN EJECUCION</v>
      </c>
      <c r="V91" s="277">
        <f t="shared" si="4"/>
        <v>36750</v>
      </c>
      <c r="W91" s="277"/>
      <c r="X91" s="277"/>
      <c r="Y91" s="1022"/>
      <c r="Z91" s="278"/>
      <c r="AA91" s="279" t="s">
        <v>278</v>
      </c>
      <c r="AB91" s="279" t="s">
        <v>178</v>
      </c>
      <c r="AC91" s="280" t="s">
        <v>179</v>
      </c>
      <c r="AD91" s="281">
        <v>2014</v>
      </c>
      <c r="AE91" s="320"/>
      <c r="AF91" s="267"/>
    </row>
    <row r="92" spans="1:32" s="268" customFormat="1" ht="50.1" customHeight="1" thickBot="1">
      <c r="A92" s="1017"/>
      <c r="B92" s="1044"/>
      <c r="C92" s="283" t="s">
        <v>169</v>
      </c>
      <c r="D92" s="1020"/>
      <c r="E92" s="284" t="s">
        <v>283</v>
      </c>
      <c r="F92" s="285" t="s">
        <v>275</v>
      </c>
      <c r="G92" s="286" t="s">
        <v>284</v>
      </c>
      <c r="H92" s="286" t="str">
        <f>VLOOKUP(G92,'[4]Pob. Ext, Parroquial'!$B$9:$C$117,2,0)</f>
        <v>PUYANGO</v>
      </c>
      <c r="I92" s="286" t="s">
        <v>173</v>
      </c>
      <c r="J92" s="286" t="s">
        <v>174</v>
      </c>
      <c r="K92" s="286"/>
      <c r="L92" s="286">
        <f>+ROUND(Q92/6000/0.2,2)</f>
        <v>0.57999999999999996</v>
      </c>
      <c r="M92" s="287">
        <f>IF(K92&gt;0,VLOOKUP(G92,'[4]Pob. Ext, Parroquial'!$B$8:$F$117,4,FALSE),0)</f>
        <v>0</v>
      </c>
      <c r="N92" s="288" t="s">
        <v>229</v>
      </c>
      <c r="O92" s="286" t="s">
        <v>176</v>
      </c>
      <c r="P92" s="286">
        <v>5.92</v>
      </c>
      <c r="Q92" s="286">
        <v>700</v>
      </c>
      <c r="R92" s="286"/>
      <c r="S92" s="289">
        <v>41671</v>
      </c>
      <c r="T92" s="289">
        <v>41759</v>
      </c>
      <c r="U92" s="289" t="str">
        <f t="shared" si="3"/>
        <v>EN EJECUCION</v>
      </c>
      <c r="V92" s="290">
        <f t="shared" si="4"/>
        <v>4144</v>
      </c>
      <c r="W92" s="290"/>
      <c r="X92" s="290"/>
      <c r="Y92" s="1023"/>
      <c r="Z92" s="278"/>
      <c r="AA92" s="279" t="s">
        <v>278</v>
      </c>
      <c r="AB92" s="279" t="s">
        <v>178</v>
      </c>
      <c r="AC92" s="280" t="s">
        <v>187</v>
      </c>
      <c r="AD92" s="281">
        <v>2014</v>
      </c>
      <c r="AE92" s="320"/>
      <c r="AF92" s="267"/>
    </row>
    <row r="93" spans="1:32" s="268" customFormat="1" ht="50.1" customHeight="1" thickTop="1">
      <c r="A93" s="1015"/>
      <c r="B93" s="1042"/>
      <c r="C93" s="254" t="s">
        <v>182</v>
      </c>
      <c r="D93" s="1018" t="s">
        <v>285</v>
      </c>
      <c r="E93" s="255" t="s">
        <v>285</v>
      </c>
      <c r="F93" s="256" t="s">
        <v>275</v>
      </c>
      <c r="G93" s="257" t="s">
        <v>286</v>
      </c>
      <c r="H93" s="257" t="str">
        <f>VLOOKUP(G93,'[4]Pob. Ext, Parroquial'!$B$9:$C$117,2,0)</f>
        <v>PUYANGO</v>
      </c>
      <c r="I93" s="257" t="s">
        <v>173</v>
      </c>
      <c r="J93" s="257" t="s">
        <v>174</v>
      </c>
      <c r="K93" s="257">
        <v>16</v>
      </c>
      <c r="L93" s="257"/>
      <c r="M93" s="258">
        <f>IF(K93&gt;0,VLOOKUP(G93,'[4]Pob. Ext, Parroquial'!$B$8:$F$117,4,FALSE),0)</f>
        <v>1388</v>
      </c>
      <c r="N93" s="259" t="s">
        <v>276</v>
      </c>
      <c r="O93" s="257" t="s">
        <v>277</v>
      </c>
      <c r="P93" s="257">
        <v>948.16</v>
      </c>
      <c r="Q93" s="257">
        <v>0</v>
      </c>
      <c r="R93" s="257"/>
      <c r="S93" s="261">
        <v>41640</v>
      </c>
      <c r="T93" s="261">
        <v>41759</v>
      </c>
      <c r="U93" s="261" t="str">
        <f t="shared" si="3"/>
        <v>EN EJECUCION</v>
      </c>
      <c r="V93" s="262">
        <f t="shared" si="4"/>
        <v>0</v>
      </c>
      <c r="W93" s="262"/>
      <c r="X93" s="262"/>
      <c r="Y93" s="1021">
        <f>SUM(V93:V101)</f>
        <v>43646</v>
      </c>
      <c r="Z93" s="278"/>
      <c r="AA93" s="279" t="s">
        <v>278</v>
      </c>
      <c r="AB93" s="279" t="s">
        <v>178</v>
      </c>
      <c r="AC93" s="280" t="s">
        <v>179</v>
      </c>
      <c r="AD93" s="281">
        <v>2014</v>
      </c>
      <c r="AE93" s="320"/>
      <c r="AF93" s="267"/>
    </row>
    <row r="94" spans="1:32" s="268" customFormat="1" ht="50.1" customHeight="1">
      <c r="A94" s="1016"/>
      <c r="B94" s="1043"/>
      <c r="C94" s="270" t="s">
        <v>169</v>
      </c>
      <c r="D94" s="1019"/>
      <c r="E94" s="271" t="s">
        <v>285</v>
      </c>
      <c r="F94" s="272" t="s">
        <v>275</v>
      </c>
      <c r="G94" s="273" t="s">
        <v>286</v>
      </c>
      <c r="H94" s="273" t="str">
        <f>VLOOKUP(G94,'[4]Pob. Ext, Parroquial'!$B$9:$C$117,2,0)</f>
        <v>PUYANGO</v>
      </c>
      <c r="I94" s="273" t="s">
        <v>173</v>
      </c>
      <c r="J94" s="273" t="s">
        <v>174</v>
      </c>
      <c r="K94" s="273"/>
      <c r="L94" s="273"/>
      <c r="M94" s="274">
        <f>IF(K94&gt;0,VLOOKUP(G94,'[4]Pob. Ext, Parroquial'!$B$8:$F$117,4,FALSE),0)</f>
        <v>0</v>
      </c>
      <c r="N94" s="275" t="s">
        <v>226</v>
      </c>
      <c r="O94" s="273" t="s">
        <v>176</v>
      </c>
      <c r="P94" s="273">
        <v>1.62</v>
      </c>
      <c r="Q94" s="273">
        <v>500</v>
      </c>
      <c r="R94" s="273"/>
      <c r="S94" s="276">
        <v>41640</v>
      </c>
      <c r="T94" s="276">
        <v>41759</v>
      </c>
      <c r="U94" s="276" t="str">
        <f t="shared" si="3"/>
        <v>EN EJECUCION</v>
      </c>
      <c r="V94" s="277">
        <f t="shared" si="4"/>
        <v>810</v>
      </c>
      <c r="W94" s="277"/>
      <c r="X94" s="277"/>
      <c r="Y94" s="1022"/>
      <c r="Z94" s="278"/>
      <c r="AA94" s="279" t="s">
        <v>278</v>
      </c>
      <c r="AB94" s="279" t="s">
        <v>178</v>
      </c>
      <c r="AC94" s="280" t="s">
        <v>179</v>
      </c>
      <c r="AD94" s="281">
        <v>2014</v>
      </c>
      <c r="AE94" s="320"/>
      <c r="AF94" s="267"/>
    </row>
    <row r="95" spans="1:32" s="268" customFormat="1" ht="50.1" customHeight="1">
      <c r="A95" s="1016"/>
      <c r="B95" s="1043"/>
      <c r="C95" s="270" t="s">
        <v>182</v>
      </c>
      <c r="D95" s="1019"/>
      <c r="E95" s="271" t="s">
        <v>285</v>
      </c>
      <c r="F95" s="272" t="s">
        <v>275</v>
      </c>
      <c r="G95" s="273" t="s">
        <v>286</v>
      </c>
      <c r="H95" s="273" t="str">
        <f>VLOOKUP(G95,'[4]Pob. Ext, Parroquial'!$B$9:$C$117,2,0)</f>
        <v>PUYANGO</v>
      </c>
      <c r="I95" s="273" t="s">
        <v>173</v>
      </c>
      <c r="J95" s="273" t="s">
        <v>174</v>
      </c>
      <c r="K95" s="273"/>
      <c r="L95" s="273"/>
      <c r="M95" s="274">
        <f>IF(K95&gt;0,VLOOKUP(G95,'[4]Pob. Ext, Parroquial'!$B$8:$F$117,4,FALSE),0)</f>
        <v>0</v>
      </c>
      <c r="N95" s="275" t="s">
        <v>200</v>
      </c>
      <c r="O95" s="273" t="s">
        <v>176</v>
      </c>
      <c r="P95" s="273">
        <v>1.46</v>
      </c>
      <c r="Q95" s="273">
        <v>600</v>
      </c>
      <c r="R95" s="273"/>
      <c r="S95" s="276">
        <v>41640</v>
      </c>
      <c r="T95" s="276">
        <v>41759</v>
      </c>
      <c r="U95" s="276" t="str">
        <f t="shared" si="3"/>
        <v>EN EJECUCION</v>
      </c>
      <c r="V95" s="277">
        <f t="shared" si="4"/>
        <v>876</v>
      </c>
      <c r="W95" s="277"/>
      <c r="X95" s="277"/>
      <c r="Y95" s="1022"/>
      <c r="Z95" s="278"/>
      <c r="AA95" s="279" t="s">
        <v>278</v>
      </c>
      <c r="AB95" s="279" t="s">
        <v>178</v>
      </c>
      <c r="AC95" s="280" t="s">
        <v>179</v>
      </c>
      <c r="AD95" s="281">
        <v>2014</v>
      </c>
      <c r="AE95" s="320"/>
      <c r="AF95" s="267"/>
    </row>
    <row r="96" spans="1:32" s="268" customFormat="1" ht="50.1" customHeight="1">
      <c r="A96" s="1016"/>
      <c r="B96" s="1043"/>
      <c r="C96" s="270" t="s">
        <v>182</v>
      </c>
      <c r="D96" s="1019"/>
      <c r="E96" s="271" t="s">
        <v>285</v>
      </c>
      <c r="F96" s="272" t="s">
        <v>275</v>
      </c>
      <c r="G96" s="273" t="s">
        <v>286</v>
      </c>
      <c r="H96" s="273" t="str">
        <f>VLOOKUP(G96,'[4]Pob. Ext, Parroquial'!$B$9:$C$117,2,0)</f>
        <v>PUYANGO</v>
      </c>
      <c r="I96" s="273" t="s">
        <v>173</v>
      </c>
      <c r="J96" s="273" t="s">
        <v>174</v>
      </c>
      <c r="K96" s="273"/>
      <c r="L96" s="273"/>
      <c r="M96" s="274">
        <f>IF(K96&gt;0,VLOOKUP(G96,'[4]Pob. Ext, Parroquial'!$B$8:$F$117,4,FALSE),0)</f>
        <v>0</v>
      </c>
      <c r="N96" s="275" t="s">
        <v>279</v>
      </c>
      <c r="O96" s="273" t="s">
        <v>176</v>
      </c>
      <c r="P96" s="273">
        <v>1.46</v>
      </c>
      <c r="Q96" s="273">
        <v>0</v>
      </c>
      <c r="R96" s="273"/>
      <c r="S96" s="276">
        <v>41640</v>
      </c>
      <c r="T96" s="276">
        <v>41759</v>
      </c>
      <c r="U96" s="276" t="str">
        <f t="shared" si="3"/>
        <v>EN EJECUCION</v>
      </c>
      <c r="V96" s="277">
        <f t="shared" si="4"/>
        <v>0</v>
      </c>
      <c r="W96" s="277"/>
      <c r="X96" s="277"/>
      <c r="Y96" s="1022"/>
      <c r="Z96" s="278"/>
      <c r="AA96" s="279" t="s">
        <v>278</v>
      </c>
      <c r="AB96" s="279" t="s">
        <v>178</v>
      </c>
      <c r="AC96" s="280" t="s">
        <v>179</v>
      </c>
      <c r="AD96" s="281">
        <v>2014</v>
      </c>
      <c r="AE96" s="320">
        <f>SUM(Y264:Y290)</f>
        <v>456185.51</v>
      </c>
      <c r="AF96" s="267"/>
    </row>
    <row r="97" spans="1:32" s="268" customFormat="1" ht="50.1" customHeight="1">
      <c r="A97" s="1016"/>
      <c r="B97" s="1043"/>
      <c r="C97" s="270" t="s">
        <v>182</v>
      </c>
      <c r="D97" s="1019"/>
      <c r="E97" s="271" t="s">
        <v>285</v>
      </c>
      <c r="F97" s="272" t="s">
        <v>275</v>
      </c>
      <c r="G97" s="273" t="s">
        <v>286</v>
      </c>
      <c r="H97" s="273" t="str">
        <f>VLOOKUP(G97,'[4]Pob. Ext, Parroquial'!$B$9:$C$117,2,0)</f>
        <v>PUYANGO</v>
      </c>
      <c r="I97" s="273" t="s">
        <v>173</v>
      </c>
      <c r="J97" s="273" t="s">
        <v>174</v>
      </c>
      <c r="K97" s="273"/>
      <c r="L97" s="273"/>
      <c r="M97" s="274">
        <f>IF(K97&gt;0,VLOOKUP(G97,'[4]Pob. Ext, Parroquial'!$B$8:$F$117,4,FALSE),0)</f>
        <v>0</v>
      </c>
      <c r="N97" s="275" t="s">
        <v>280</v>
      </c>
      <c r="O97" s="273" t="s">
        <v>181</v>
      </c>
      <c r="P97" s="273">
        <v>0.3</v>
      </c>
      <c r="Q97" s="273">
        <v>0</v>
      </c>
      <c r="R97" s="273"/>
      <c r="S97" s="276">
        <v>41640</v>
      </c>
      <c r="T97" s="276">
        <v>41759</v>
      </c>
      <c r="U97" s="276" t="str">
        <f t="shared" si="3"/>
        <v>EN EJECUCION</v>
      </c>
      <c r="V97" s="277">
        <f t="shared" si="4"/>
        <v>0</v>
      </c>
      <c r="W97" s="277"/>
      <c r="X97" s="277"/>
      <c r="Y97" s="1022"/>
      <c r="Z97" s="278"/>
      <c r="AA97" s="279" t="s">
        <v>278</v>
      </c>
      <c r="AB97" s="279" t="s">
        <v>178</v>
      </c>
      <c r="AC97" s="280" t="s">
        <v>179</v>
      </c>
      <c r="AD97" s="281">
        <v>2014</v>
      </c>
      <c r="AE97" s="320"/>
      <c r="AF97" s="267"/>
    </row>
    <row r="98" spans="1:32" s="268" customFormat="1" ht="50.1" customHeight="1">
      <c r="A98" s="1016"/>
      <c r="B98" s="1043"/>
      <c r="C98" s="270" t="s">
        <v>169</v>
      </c>
      <c r="D98" s="1019"/>
      <c r="E98" s="271" t="s">
        <v>285</v>
      </c>
      <c r="F98" s="272" t="s">
        <v>275</v>
      </c>
      <c r="G98" s="273" t="s">
        <v>286</v>
      </c>
      <c r="H98" s="273" t="str">
        <f>VLOOKUP(G98,'[4]Pob. Ext, Parroquial'!$B$9:$C$117,2,0)</f>
        <v>PUYANGO</v>
      </c>
      <c r="I98" s="273" t="s">
        <v>173</v>
      </c>
      <c r="J98" s="273" t="s">
        <v>174</v>
      </c>
      <c r="K98" s="273"/>
      <c r="L98" s="273"/>
      <c r="M98" s="274">
        <f>IF(K98&gt;0,VLOOKUP(G98,'[4]Pob. Ext, Parroquial'!$B$8:$F$117,4,FALSE),0)</f>
        <v>0</v>
      </c>
      <c r="N98" s="275" t="s">
        <v>281</v>
      </c>
      <c r="O98" s="273" t="s">
        <v>181</v>
      </c>
      <c r="P98" s="273">
        <v>0.3</v>
      </c>
      <c r="Q98" s="273">
        <v>7500</v>
      </c>
      <c r="R98" s="273"/>
      <c r="S98" s="276">
        <v>41640</v>
      </c>
      <c r="T98" s="276">
        <v>41759</v>
      </c>
      <c r="U98" s="276" t="str">
        <f t="shared" si="3"/>
        <v>EN EJECUCION</v>
      </c>
      <c r="V98" s="277">
        <f t="shared" si="4"/>
        <v>2250</v>
      </c>
      <c r="W98" s="277"/>
      <c r="X98" s="277"/>
      <c r="Y98" s="1022"/>
      <c r="Z98" s="278"/>
      <c r="AA98" s="279" t="s">
        <v>278</v>
      </c>
      <c r="AB98" s="279" t="s">
        <v>178</v>
      </c>
      <c r="AC98" s="280" t="s">
        <v>179</v>
      </c>
      <c r="AD98" s="281">
        <v>2014</v>
      </c>
      <c r="AE98" s="320"/>
      <c r="AF98" s="267"/>
    </row>
    <row r="99" spans="1:32" s="268" customFormat="1" ht="50.1" customHeight="1">
      <c r="A99" s="1016"/>
      <c r="B99" s="1043"/>
      <c r="C99" s="270" t="s">
        <v>182</v>
      </c>
      <c r="D99" s="1019"/>
      <c r="E99" s="271" t="s">
        <v>285</v>
      </c>
      <c r="F99" s="272" t="s">
        <v>275</v>
      </c>
      <c r="G99" s="273" t="s">
        <v>286</v>
      </c>
      <c r="H99" s="273" t="str">
        <f>VLOOKUP(G99,'[4]Pob. Ext, Parroquial'!$B$9:$C$117,2,0)</f>
        <v>PUYANGO</v>
      </c>
      <c r="I99" s="273" t="s">
        <v>173</v>
      </c>
      <c r="J99" s="273" t="s">
        <v>174</v>
      </c>
      <c r="K99" s="273"/>
      <c r="L99" s="273">
        <f>ROUNDUP(Q99/6/1000,2)</f>
        <v>0</v>
      </c>
      <c r="M99" s="274">
        <f>IF(K99&gt;0,VLOOKUP(G99,'[4]Pob. Ext, Parroquial'!$B$8:$F$117,4,FALSE),0)</f>
        <v>0</v>
      </c>
      <c r="N99" s="275" t="s">
        <v>185</v>
      </c>
      <c r="O99" s="273" t="s">
        <v>184</v>
      </c>
      <c r="P99" s="273">
        <v>0.06</v>
      </c>
      <c r="Q99" s="273"/>
      <c r="R99" s="273"/>
      <c r="S99" s="276">
        <v>41673</v>
      </c>
      <c r="T99" s="276">
        <v>41759</v>
      </c>
      <c r="U99" s="276" t="str">
        <f t="shared" si="3"/>
        <v>EN EJECUCION</v>
      </c>
      <c r="V99" s="277">
        <f t="shared" si="4"/>
        <v>0</v>
      </c>
      <c r="W99" s="277"/>
      <c r="X99" s="277"/>
      <c r="Y99" s="1022"/>
      <c r="Z99" s="278"/>
      <c r="AA99" s="279" t="s">
        <v>278</v>
      </c>
      <c r="AB99" s="279" t="s">
        <v>178</v>
      </c>
      <c r="AC99" s="280" t="s">
        <v>179</v>
      </c>
      <c r="AD99" s="281">
        <v>2014</v>
      </c>
      <c r="AE99" s="320"/>
      <c r="AF99" s="267"/>
    </row>
    <row r="100" spans="1:32" s="268" customFormat="1" ht="50.1" customHeight="1">
      <c r="A100" s="1016"/>
      <c r="B100" s="1043"/>
      <c r="C100" s="270" t="s">
        <v>182</v>
      </c>
      <c r="D100" s="1019"/>
      <c r="E100" s="271" t="s">
        <v>285</v>
      </c>
      <c r="F100" s="272" t="s">
        <v>275</v>
      </c>
      <c r="G100" s="273" t="s">
        <v>286</v>
      </c>
      <c r="H100" s="273" t="str">
        <f>VLOOKUP(G100,'[4]Pob. Ext, Parroquial'!$B$9:$C$117,2,0)</f>
        <v>PUYANGO</v>
      </c>
      <c r="I100" s="273" t="s">
        <v>173</v>
      </c>
      <c r="J100" s="273" t="s">
        <v>174</v>
      </c>
      <c r="K100" s="273"/>
      <c r="L100" s="273">
        <f>+ROUND(Q100/6000,2)</f>
        <v>17.5</v>
      </c>
      <c r="M100" s="274">
        <f>IF(K100&gt;0,VLOOKUP(G100,'[4]Pob. Ext, Parroquial'!$B$8:$F$117,4,FALSE),0)</f>
        <v>0</v>
      </c>
      <c r="N100" s="275" t="s">
        <v>282</v>
      </c>
      <c r="O100" s="273" t="s">
        <v>184</v>
      </c>
      <c r="P100" s="273">
        <v>0.35</v>
      </c>
      <c r="Q100" s="273">
        <v>105000</v>
      </c>
      <c r="R100" s="273"/>
      <c r="S100" s="276">
        <v>41640</v>
      </c>
      <c r="T100" s="276">
        <v>41759</v>
      </c>
      <c r="U100" s="276" t="str">
        <f t="shared" si="3"/>
        <v>EN EJECUCION</v>
      </c>
      <c r="V100" s="277">
        <f t="shared" si="4"/>
        <v>36750</v>
      </c>
      <c r="W100" s="277"/>
      <c r="X100" s="277"/>
      <c r="Y100" s="1022"/>
      <c r="Z100" s="278"/>
      <c r="AA100" s="279" t="s">
        <v>278</v>
      </c>
      <c r="AB100" s="279" t="s">
        <v>178</v>
      </c>
      <c r="AC100" s="280" t="s">
        <v>179</v>
      </c>
      <c r="AD100" s="281">
        <v>2014</v>
      </c>
      <c r="AE100" s="320"/>
      <c r="AF100" s="267"/>
    </row>
    <row r="101" spans="1:32" s="268" customFormat="1" ht="50.1" customHeight="1" thickBot="1">
      <c r="A101" s="1017"/>
      <c r="B101" s="1044"/>
      <c r="C101" s="283" t="s">
        <v>169</v>
      </c>
      <c r="D101" s="1020"/>
      <c r="E101" s="284" t="s">
        <v>285</v>
      </c>
      <c r="F101" s="285" t="s">
        <v>275</v>
      </c>
      <c r="G101" s="286" t="s">
        <v>286</v>
      </c>
      <c r="H101" s="286" t="str">
        <f>VLOOKUP(G101,'[4]Pob. Ext, Parroquial'!$B$9:$C$117,2,0)</f>
        <v>PUYANGO</v>
      </c>
      <c r="I101" s="286" t="s">
        <v>173</v>
      </c>
      <c r="J101" s="286" t="s">
        <v>174</v>
      </c>
      <c r="K101" s="286"/>
      <c r="L101" s="286">
        <f>+ROUND(Q101/6000/0.2,2)</f>
        <v>0.42</v>
      </c>
      <c r="M101" s="287">
        <f>IF(K101&gt;0,VLOOKUP(G101,'[4]Pob. Ext, Parroquial'!$B$8:$F$117,4,FALSE),0)</f>
        <v>0</v>
      </c>
      <c r="N101" s="288" t="s">
        <v>229</v>
      </c>
      <c r="O101" s="286" t="s">
        <v>176</v>
      </c>
      <c r="P101" s="286">
        <v>5.92</v>
      </c>
      <c r="Q101" s="286">
        <v>500</v>
      </c>
      <c r="R101" s="286"/>
      <c r="S101" s="289">
        <v>41640</v>
      </c>
      <c r="T101" s="289">
        <v>41759</v>
      </c>
      <c r="U101" s="289" t="str">
        <f t="shared" si="3"/>
        <v>EN EJECUCION</v>
      </c>
      <c r="V101" s="290">
        <f t="shared" si="4"/>
        <v>2960</v>
      </c>
      <c r="W101" s="290"/>
      <c r="X101" s="290"/>
      <c r="Y101" s="1023"/>
      <c r="Z101" s="278"/>
      <c r="AA101" s="279" t="s">
        <v>278</v>
      </c>
      <c r="AB101" s="279" t="s">
        <v>178</v>
      </c>
      <c r="AC101" s="280" t="s">
        <v>179</v>
      </c>
      <c r="AD101" s="281">
        <v>2014</v>
      </c>
      <c r="AE101" s="320"/>
      <c r="AF101" s="267"/>
    </row>
    <row r="102" spans="1:32" s="268" customFormat="1" ht="50.1" customHeight="1" thickTop="1">
      <c r="A102" s="1015"/>
      <c r="B102" s="1042"/>
      <c r="C102" s="254" t="s">
        <v>182</v>
      </c>
      <c r="D102" s="1018" t="s">
        <v>287</v>
      </c>
      <c r="E102" s="255" t="s">
        <v>287</v>
      </c>
      <c r="F102" s="256" t="s">
        <v>275</v>
      </c>
      <c r="G102" s="257" t="s">
        <v>284</v>
      </c>
      <c r="H102" s="257" t="str">
        <f>VLOOKUP(G102,'[4]Pob. Ext, Parroquial'!$B$9:$C$117,2,0)</f>
        <v>PUYANGO</v>
      </c>
      <c r="I102" s="257" t="s">
        <v>173</v>
      </c>
      <c r="J102" s="257" t="s">
        <v>174</v>
      </c>
      <c r="K102" s="257">
        <v>6.5</v>
      </c>
      <c r="L102" s="257"/>
      <c r="M102" s="258">
        <f>IF(K102&gt;0,VLOOKUP(G102,'[4]Pob. Ext, Parroquial'!$B$8:$F$117,4,FALSE),0)</f>
        <v>640</v>
      </c>
      <c r="N102" s="259" t="s">
        <v>276</v>
      </c>
      <c r="O102" s="257" t="s">
        <v>277</v>
      </c>
      <c r="P102" s="257">
        <v>948.16</v>
      </c>
      <c r="Q102" s="257">
        <v>0</v>
      </c>
      <c r="R102" s="257"/>
      <c r="S102" s="261">
        <v>41640</v>
      </c>
      <c r="T102" s="261">
        <v>41759</v>
      </c>
      <c r="U102" s="261" t="str">
        <f t="shared" si="3"/>
        <v>EN EJECUCION</v>
      </c>
      <c r="V102" s="262">
        <f t="shared" si="4"/>
        <v>0</v>
      </c>
      <c r="W102" s="262"/>
      <c r="X102" s="262"/>
      <c r="Y102" s="1021">
        <f>SUM(V102:V110)</f>
        <v>46718.2</v>
      </c>
      <c r="Z102" s="278"/>
      <c r="AA102" s="279" t="s">
        <v>278</v>
      </c>
      <c r="AB102" s="279" t="s">
        <v>178</v>
      </c>
      <c r="AC102" s="280" t="s">
        <v>187</v>
      </c>
      <c r="AD102" s="281">
        <v>2014</v>
      </c>
      <c r="AE102" s="320"/>
      <c r="AF102" s="267"/>
    </row>
    <row r="103" spans="1:32" s="268" customFormat="1" ht="50.1" customHeight="1">
      <c r="A103" s="1016"/>
      <c r="B103" s="1043"/>
      <c r="C103" s="270" t="s">
        <v>169</v>
      </c>
      <c r="D103" s="1019"/>
      <c r="E103" s="271" t="s">
        <v>287</v>
      </c>
      <c r="F103" s="272" t="s">
        <v>275</v>
      </c>
      <c r="G103" s="273" t="s">
        <v>284</v>
      </c>
      <c r="H103" s="273" t="str">
        <f>VLOOKUP(G103,'[4]Pob. Ext, Parroquial'!$B$9:$C$117,2,0)</f>
        <v>PUYANGO</v>
      </c>
      <c r="I103" s="273" t="s">
        <v>173</v>
      </c>
      <c r="J103" s="273" t="s">
        <v>174</v>
      </c>
      <c r="K103" s="273"/>
      <c r="L103" s="273"/>
      <c r="M103" s="274">
        <f>IF(K103&gt;0,VLOOKUP(G103,'[4]Pob. Ext, Parroquial'!$B$8:$F$117,4,FALSE),0)</f>
        <v>0</v>
      </c>
      <c r="N103" s="275" t="s">
        <v>226</v>
      </c>
      <c r="O103" s="273" t="s">
        <v>176</v>
      </c>
      <c r="P103" s="273">
        <v>1.62</v>
      </c>
      <c r="Q103" s="273">
        <v>1800</v>
      </c>
      <c r="R103" s="273"/>
      <c r="S103" s="276">
        <v>41640</v>
      </c>
      <c r="T103" s="276">
        <v>41759</v>
      </c>
      <c r="U103" s="276" t="str">
        <f t="shared" si="3"/>
        <v>EN EJECUCION</v>
      </c>
      <c r="V103" s="277">
        <f t="shared" si="4"/>
        <v>2916</v>
      </c>
      <c r="W103" s="277"/>
      <c r="X103" s="277"/>
      <c r="Y103" s="1022"/>
      <c r="Z103" s="278"/>
      <c r="AA103" s="279" t="s">
        <v>278</v>
      </c>
      <c r="AB103" s="279" t="s">
        <v>178</v>
      </c>
      <c r="AC103" s="280" t="s">
        <v>187</v>
      </c>
      <c r="AD103" s="281">
        <v>2014</v>
      </c>
      <c r="AE103" s="320"/>
      <c r="AF103" s="267"/>
    </row>
    <row r="104" spans="1:32" s="268" customFormat="1" ht="50.1" customHeight="1">
      <c r="A104" s="1016"/>
      <c r="B104" s="1043"/>
      <c r="C104" s="270" t="s">
        <v>182</v>
      </c>
      <c r="D104" s="1019"/>
      <c r="E104" s="271" t="s">
        <v>287</v>
      </c>
      <c r="F104" s="272" t="s">
        <v>275</v>
      </c>
      <c r="G104" s="273" t="s">
        <v>284</v>
      </c>
      <c r="H104" s="273" t="str">
        <f>VLOOKUP(G104,'[4]Pob. Ext, Parroquial'!$B$9:$C$117,2,0)</f>
        <v>PUYANGO</v>
      </c>
      <c r="I104" s="273" t="s">
        <v>173</v>
      </c>
      <c r="J104" s="273" t="s">
        <v>174</v>
      </c>
      <c r="K104" s="273"/>
      <c r="L104" s="273"/>
      <c r="M104" s="274">
        <f>IF(K104&gt;0,VLOOKUP(G104,'[4]Pob. Ext, Parroquial'!$B$8:$F$117,4,FALSE),0)</f>
        <v>0</v>
      </c>
      <c r="N104" s="275" t="s">
        <v>200</v>
      </c>
      <c r="O104" s="273" t="s">
        <v>176</v>
      </c>
      <c r="P104" s="273">
        <v>1.46</v>
      </c>
      <c r="Q104" s="273">
        <v>900</v>
      </c>
      <c r="R104" s="273"/>
      <c r="S104" s="276">
        <v>41640</v>
      </c>
      <c r="T104" s="276">
        <v>41759</v>
      </c>
      <c r="U104" s="276" t="str">
        <f t="shared" si="3"/>
        <v>EN EJECUCION</v>
      </c>
      <c r="V104" s="277">
        <f t="shared" si="4"/>
        <v>1314</v>
      </c>
      <c r="W104" s="277"/>
      <c r="X104" s="277"/>
      <c r="Y104" s="1022"/>
      <c r="Z104" s="278"/>
      <c r="AA104" s="279" t="s">
        <v>278</v>
      </c>
      <c r="AB104" s="279" t="s">
        <v>178</v>
      </c>
      <c r="AC104" s="280" t="s">
        <v>187</v>
      </c>
      <c r="AD104" s="281">
        <v>2014</v>
      </c>
      <c r="AE104" s="320"/>
      <c r="AF104" s="267"/>
    </row>
    <row r="105" spans="1:32" s="268" customFormat="1" ht="50.1" customHeight="1">
      <c r="A105" s="1016"/>
      <c r="B105" s="1043"/>
      <c r="C105" s="270" t="s">
        <v>182</v>
      </c>
      <c r="D105" s="1019"/>
      <c r="E105" s="271" t="s">
        <v>287</v>
      </c>
      <c r="F105" s="272" t="s">
        <v>275</v>
      </c>
      <c r="G105" s="273" t="s">
        <v>284</v>
      </c>
      <c r="H105" s="273" t="str">
        <f>VLOOKUP(G105,'[4]Pob. Ext, Parroquial'!$B$9:$C$117,2,0)</f>
        <v>PUYANGO</v>
      </c>
      <c r="I105" s="273" t="s">
        <v>173</v>
      </c>
      <c r="J105" s="273" t="s">
        <v>174</v>
      </c>
      <c r="K105" s="273"/>
      <c r="L105" s="273"/>
      <c r="M105" s="274">
        <f>IF(K105&gt;0,VLOOKUP(G105,'[4]Pob. Ext, Parroquial'!$B$8:$F$117,4,FALSE),0)</f>
        <v>0</v>
      </c>
      <c r="N105" s="275" t="s">
        <v>279</v>
      </c>
      <c r="O105" s="273" t="s">
        <v>176</v>
      </c>
      <c r="P105" s="273">
        <v>1.46</v>
      </c>
      <c r="Q105" s="273">
        <v>70</v>
      </c>
      <c r="R105" s="273"/>
      <c r="S105" s="276">
        <v>41673</v>
      </c>
      <c r="T105" s="276">
        <v>41759</v>
      </c>
      <c r="U105" s="276" t="str">
        <f t="shared" si="3"/>
        <v>EN EJECUCION</v>
      </c>
      <c r="V105" s="277">
        <f t="shared" si="4"/>
        <v>102.2</v>
      </c>
      <c r="W105" s="277"/>
      <c r="X105" s="277"/>
      <c r="Y105" s="1022"/>
      <c r="Z105" s="278"/>
      <c r="AA105" s="279" t="s">
        <v>278</v>
      </c>
      <c r="AB105" s="279" t="s">
        <v>178</v>
      </c>
      <c r="AC105" s="280" t="s">
        <v>187</v>
      </c>
      <c r="AD105" s="281">
        <v>2014</v>
      </c>
      <c r="AE105" s="320"/>
      <c r="AF105" s="267"/>
    </row>
    <row r="106" spans="1:32" s="268" customFormat="1" ht="50.1" customHeight="1">
      <c r="A106" s="1016"/>
      <c r="B106" s="1043"/>
      <c r="C106" s="270" t="s">
        <v>182</v>
      </c>
      <c r="D106" s="1019"/>
      <c r="E106" s="271" t="s">
        <v>287</v>
      </c>
      <c r="F106" s="272" t="s">
        <v>275</v>
      </c>
      <c r="G106" s="273" t="s">
        <v>284</v>
      </c>
      <c r="H106" s="273" t="str">
        <f>VLOOKUP(G106,'[4]Pob. Ext, Parroquial'!$B$9:$C$117,2,0)</f>
        <v>PUYANGO</v>
      </c>
      <c r="I106" s="273" t="s">
        <v>173</v>
      </c>
      <c r="J106" s="273" t="s">
        <v>174</v>
      </c>
      <c r="K106" s="273"/>
      <c r="L106" s="273"/>
      <c r="M106" s="274">
        <f>IF(K106&gt;0,VLOOKUP(G106,'[4]Pob. Ext, Parroquial'!$B$8:$F$117,4,FALSE),0)</f>
        <v>0</v>
      </c>
      <c r="N106" s="275" t="s">
        <v>280</v>
      </c>
      <c r="O106" s="273" t="s">
        <v>181</v>
      </c>
      <c r="P106" s="273">
        <v>0.3</v>
      </c>
      <c r="Q106" s="273">
        <v>0</v>
      </c>
      <c r="R106" s="273"/>
      <c r="S106" s="276">
        <v>41640</v>
      </c>
      <c r="T106" s="276">
        <v>41759</v>
      </c>
      <c r="U106" s="276" t="str">
        <f t="shared" si="3"/>
        <v>EN EJECUCION</v>
      </c>
      <c r="V106" s="277">
        <f t="shared" si="4"/>
        <v>0</v>
      </c>
      <c r="W106" s="277"/>
      <c r="X106" s="277"/>
      <c r="Y106" s="1022"/>
      <c r="Z106" s="278"/>
      <c r="AA106" s="279" t="s">
        <v>278</v>
      </c>
      <c r="AB106" s="279" t="s">
        <v>178</v>
      </c>
      <c r="AC106" s="280" t="s">
        <v>187</v>
      </c>
      <c r="AD106" s="281">
        <v>2014</v>
      </c>
      <c r="AE106" s="320"/>
      <c r="AF106" s="267"/>
    </row>
    <row r="107" spans="1:32" s="268" customFormat="1" ht="50.1" customHeight="1">
      <c r="A107" s="1016"/>
      <c r="B107" s="1043"/>
      <c r="C107" s="270" t="s">
        <v>169</v>
      </c>
      <c r="D107" s="1019"/>
      <c r="E107" s="271" t="s">
        <v>287</v>
      </c>
      <c r="F107" s="272" t="s">
        <v>275</v>
      </c>
      <c r="G107" s="273" t="s">
        <v>284</v>
      </c>
      <c r="H107" s="273" t="str">
        <f>VLOOKUP(G107,'[4]Pob. Ext, Parroquial'!$B$9:$C$117,2,0)</f>
        <v>PUYANGO</v>
      </c>
      <c r="I107" s="273" t="s">
        <v>173</v>
      </c>
      <c r="J107" s="273" t="s">
        <v>174</v>
      </c>
      <c r="K107" s="273"/>
      <c r="L107" s="273"/>
      <c r="M107" s="274">
        <f>IF(K107&gt;0,VLOOKUP(G107,'[4]Pob. Ext, Parroquial'!$B$8:$F$117,4,FALSE),0)</f>
        <v>0</v>
      </c>
      <c r="N107" s="275" t="s">
        <v>281</v>
      </c>
      <c r="O107" s="273" t="s">
        <v>181</v>
      </c>
      <c r="P107" s="273">
        <v>0.3</v>
      </c>
      <c r="Q107" s="273">
        <v>75600</v>
      </c>
      <c r="R107" s="273"/>
      <c r="S107" s="276">
        <v>41640</v>
      </c>
      <c r="T107" s="276">
        <v>41759</v>
      </c>
      <c r="U107" s="276" t="str">
        <f t="shared" si="3"/>
        <v>EN EJECUCION</v>
      </c>
      <c r="V107" s="277">
        <f t="shared" si="4"/>
        <v>22680</v>
      </c>
      <c r="W107" s="277"/>
      <c r="X107" s="277"/>
      <c r="Y107" s="1022"/>
      <c r="Z107" s="278"/>
      <c r="AA107" s="279" t="s">
        <v>278</v>
      </c>
      <c r="AB107" s="279" t="s">
        <v>178</v>
      </c>
      <c r="AC107" s="280" t="s">
        <v>187</v>
      </c>
      <c r="AD107" s="281">
        <v>2014</v>
      </c>
      <c r="AE107" s="320"/>
      <c r="AF107" s="267"/>
    </row>
    <row r="108" spans="1:32" s="268" customFormat="1" ht="50.1" customHeight="1">
      <c r="A108" s="1016"/>
      <c r="B108" s="1043"/>
      <c r="C108" s="270" t="s">
        <v>182</v>
      </c>
      <c r="D108" s="1019"/>
      <c r="E108" s="271" t="s">
        <v>287</v>
      </c>
      <c r="F108" s="272" t="s">
        <v>275</v>
      </c>
      <c r="G108" s="273" t="s">
        <v>284</v>
      </c>
      <c r="H108" s="273" t="str">
        <f>VLOOKUP(G108,'[4]Pob. Ext, Parroquial'!$B$9:$C$117,2,0)</f>
        <v>PUYANGO</v>
      </c>
      <c r="I108" s="273" t="s">
        <v>173</v>
      </c>
      <c r="J108" s="273" t="s">
        <v>174</v>
      </c>
      <c r="K108" s="273"/>
      <c r="L108" s="273">
        <f>ROUNDUP(Q108/6/1000,2)</f>
        <v>0.84</v>
      </c>
      <c r="M108" s="274">
        <f>IF(K108&gt;0,VLOOKUP(G108,'[4]Pob. Ext, Parroquial'!$B$8:$F$117,4,FALSE),0)</f>
        <v>0</v>
      </c>
      <c r="N108" s="275" t="s">
        <v>185</v>
      </c>
      <c r="O108" s="273" t="s">
        <v>184</v>
      </c>
      <c r="P108" s="273">
        <v>0.06</v>
      </c>
      <c r="Q108" s="273">
        <v>5000</v>
      </c>
      <c r="R108" s="273"/>
      <c r="S108" s="276">
        <v>41640</v>
      </c>
      <c r="T108" s="276">
        <v>41759</v>
      </c>
      <c r="U108" s="276" t="str">
        <f t="shared" si="3"/>
        <v>EN EJECUCION</v>
      </c>
      <c r="V108" s="277">
        <f t="shared" si="4"/>
        <v>300</v>
      </c>
      <c r="W108" s="277"/>
      <c r="X108" s="277"/>
      <c r="Y108" s="1022"/>
      <c r="Z108" s="278"/>
      <c r="AA108" s="279" t="s">
        <v>278</v>
      </c>
      <c r="AB108" s="279" t="s">
        <v>178</v>
      </c>
      <c r="AC108" s="280" t="s">
        <v>179</v>
      </c>
      <c r="AD108" s="281">
        <v>2014</v>
      </c>
      <c r="AE108" s="320"/>
      <c r="AF108" s="267"/>
    </row>
    <row r="109" spans="1:32" s="268" customFormat="1" ht="50.1" customHeight="1">
      <c r="A109" s="1016"/>
      <c r="B109" s="1043"/>
      <c r="C109" s="270" t="s">
        <v>182</v>
      </c>
      <c r="D109" s="1019"/>
      <c r="E109" s="271" t="s">
        <v>287</v>
      </c>
      <c r="F109" s="272" t="s">
        <v>275</v>
      </c>
      <c r="G109" s="273" t="s">
        <v>284</v>
      </c>
      <c r="H109" s="273" t="str">
        <f>VLOOKUP(G109,'[4]Pob. Ext, Parroquial'!$B$9:$C$117,2,0)</f>
        <v>PUYANGO</v>
      </c>
      <c r="I109" s="273" t="s">
        <v>173</v>
      </c>
      <c r="J109" s="273" t="s">
        <v>174</v>
      </c>
      <c r="K109" s="273"/>
      <c r="L109" s="273">
        <f>+ROUND(Q109/6000,2)</f>
        <v>4.17</v>
      </c>
      <c r="M109" s="274">
        <f>IF(K109&gt;0,VLOOKUP(G109,'[4]Pob. Ext, Parroquial'!$B$8:$F$117,4,FALSE),0)</f>
        <v>0</v>
      </c>
      <c r="N109" s="275" t="s">
        <v>282</v>
      </c>
      <c r="O109" s="273" t="s">
        <v>184</v>
      </c>
      <c r="P109" s="273">
        <v>0.35</v>
      </c>
      <c r="Q109" s="273">
        <v>25000</v>
      </c>
      <c r="R109" s="273"/>
      <c r="S109" s="276">
        <v>41640</v>
      </c>
      <c r="T109" s="276">
        <v>41759</v>
      </c>
      <c r="U109" s="276" t="str">
        <f t="shared" si="3"/>
        <v>EN EJECUCION</v>
      </c>
      <c r="V109" s="277">
        <f t="shared" si="4"/>
        <v>8750</v>
      </c>
      <c r="W109" s="277"/>
      <c r="X109" s="277"/>
      <c r="Y109" s="1022"/>
      <c r="Z109" s="278"/>
      <c r="AA109" s="279" t="s">
        <v>278</v>
      </c>
      <c r="AB109" s="279" t="s">
        <v>178</v>
      </c>
      <c r="AC109" s="280" t="s">
        <v>187</v>
      </c>
      <c r="AD109" s="281">
        <v>2014</v>
      </c>
      <c r="AE109" s="320"/>
      <c r="AF109" s="267"/>
    </row>
    <row r="110" spans="1:32" s="268" customFormat="1" ht="50.1" customHeight="1" thickBot="1">
      <c r="A110" s="1017"/>
      <c r="B110" s="1044"/>
      <c r="C110" s="283" t="s">
        <v>169</v>
      </c>
      <c r="D110" s="1020"/>
      <c r="E110" s="284" t="s">
        <v>287</v>
      </c>
      <c r="F110" s="285" t="s">
        <v>275</v>
      </c>
      <c r="G110" s="286" t="s">
        <v>284</v>
      </c>
      <c r="H110" s="286" t="str">
        <f>VLOOKUP(G110,'[4]Pob. Ext, Parroquial'!$B$9:$C$117,2,0)</f>
        <v>PUYANGO</v>
      </c>
      <c r="I110" s="286" t="s">
        <v>173</v>
      </c>
      <c r="J110" s="286" t="s">
        <v>174</v>
      </c>
      <c r="K110" s="286"/>
      <c r="L110" s="286">
        <f>+ROUND(Q110/6000/0.2,2)</f>
        <v>1.5</v>
      </c>
      <c r="M110" s="287">
        <f>IF(K110&gt;0,VLOOKUP(G110,'[4]Pob. Ext, Parroquial'!$B$8:$F$117,4,FALSE),0)</f>
        <v>0</v>
      </c>
      <c r="N110" s="288" t="s">
        <v>229</v>
      </c>
      <c r="O110" s="286" t="s">
        <v>176</v>
      </c>
      <c r="P110" s="286">
        <v>5.92</v>
      </c>
      <c r="Q110" s="286">
        <v>1800</v>
      </c>
      <c r="R110" s="286"/>
      <c r="S110" s="289">
        <v>41640</v>
      </c>
      <c r="T110" s="289">
        <v>41759</v>
      </c>
      <c r="U110" s="289" t="str">
        <f t="shared" si="3"/>
        <v>EN EJECUCION</v>
      </c>
      <c r="V110" s="290">
        <f t="shared" si="4"/>
        <v>10656</v>
      </c>
      <c r="W110" s="290"/>
      <c r="X110" s="290"/>
      <c r="Y110" s="1023"/>
      <c r="Z110" s="278"/>
      <c r="AA110" s="279" t="s">
        <v>278</v>
      </c>
      <c r="AB110" s="279" t="s">
        <v>178</v>
      </c>
      <c r="AC110" s="280" t="s">
        <v>187</v>
      </c>
      <c r="AD110" s="281">
        <v>2014</v>
      </c>
      <c r="AE110" s="320"/>
      <c r="AF110" s="267"/>
    </row>
    <row r="111" spans="1:32" s="268" customFormat="1" ht="50.1" customHeight="1" thickTop="1">
      <c r="A111" s="1015" t="s">
        <v>385</v>
      </c>
      <c r="B111" s="1042" t="str">
        <f>+U112</f>
        <v>EN EJECUCION</v>
      </c>
      <c r="C111" s="254" t="s">
        <v>182</v>
      </c>
      <c r="D111" s="1018" t="s">
        <v>289</v>
      </c>
      <c r="E111" s="255" t="s">
        <v>289</v>
      </c>
      <c r="F111" s="256" t="s">
        <v>275</v>
      </c>
      <c r="G111" s="257" t="s">
        <v>290</v>
      </c>
      <c r="H111" s="257" t="str">
        <f>VLOOKUP(G111,'[4]Pob. Ext, Parroquial'!$B$9:$C$117,2,0)</f>
        <v>PUYANGO</v>
      </c>
      <c r="I111" s="257" t="s">
        <v>173</v>
      </c>
      <c r="J111" s="257" t="s">
        <v>174</v>
      </c>
      <c r="K111" s="257">
        <v>15</v>
      </c>
      <c r="L111" s="257"/>
      <c r="M111" s="258">
        <f>IF(K111&gt;0,VLOOKUP(G111,'[4]Pob. Ext, Parroquial'!$B$8:$F$117,4,FALSE),0)</f>
        <v>567</v>
      </c>
      <c r="N111" s="259" t="s">
        <v>276</v>
      </c>
      <c r="O111" s="257" t="s">
        <v>277</v>
      </c>
      <c r="P111" s="257">
        <v>948.16</v>
      </c>
      <c r="Q111" s="257">
        <v>0</v>
      </c>
      <c r="R111" s="257"/>
      <c r="S111" s="261">
        <v>41699</v>
      </c>
      <c r="T111" s="261">
        <v>41759</v>
      </c>
      <c r="U111" s="261" t="str">
        <f t="shared" si="3"/>
        <v>EN EJECUCION</v>
      </c>
      <c r="V111" s="262">
        <f t="shared" si="4"/>
        <v>0</v>
      </c>
      <c r="W111" s="262"/>
      <c r="X111" s="262"/>
      <c r="Y111" s="1021">
        <f>SUM(V111:V119)</f>
        <v>31009</v>
      </c>
      <c r="Z111" s="278"/>
      <c r="AA111" s="279" t="s">
        <v>278</v>
      </c>
      <c r="AB111" s="279" t="s">
        <v>178</v>
      </c>
      <c r="AC111" s="280" t="s">
        <v>187</v>
      </c>
      <c r="AD111" s="281">
        <v>2014</v>
      </c>
      <c r="AE111" s="267"/>
    </row>
    <row r="112" spans="1:32" s="268" customFormat="1" ht="50.1" customHeight="1">
      <c r="A112" s="1016"/>
      <c r="B112" s="1043"/>
      <c r="C112" s="270" t="s">
        <v>182</v>
      </c>
      <c r="D112" s="1019"/>
      <c r="E112" s="271" t="s">
        <v>289</v>
      </c>
      <c r="F112" s="272" t="s">
        <v>275</v>
      </c>
      <c r="G112" s="273" t="s">
        <v>290</v>
      </c>
      <c r="H112" s="273" t="str">
        <f>VLOOKUP(G112,'[4]Pob. Ext, Parroquial'!$B$9:$C$117,2,0)</f>
        <v>PUYANGO</v>
      </c>
      <c r="I112" s="273" t="s">
        <v>173</v>
      </c>
      <c r="J112" s="273" t="s">
        <v>174</v>
      </c>
      <c r="K112" s="273"/>
      <c r="L112" s="273"/>
      <c r="M112" s="274"/>
      <c r="N112" s="275" t="s">
        <v>175</v>
      </c>
      <c r="O112" s="273" t="s">
        <v>176</v>
      </c>
      <c r="P112" s="273">
        <v>1.62</v>
      </c>
      <c r="Q112" s="273">
        <v>1250</v>
      </c>
      <c r="R112" s="273"/>
      <c r="S112" s="276">
        <v>41699</v>
      </c>
      <c r="T112" s="276">
        <v>41759</v>
      </c>
      <c r="U112" s="276" t="str">
        <f t="shared" si="3"/>
        <v>EN EJECUCION</v>
      </c>
      <c r="V112" s="277">
        <f t="shared" si="4"/>
        <v>2025</v>
      </c>
      <c r="W112" s="277"/>
      <c r="X112" s="277"/>
      <c r="Y112" s="1022"/>
      <c r="Z112" s="278"/>
      <c r="AA112" s="279" t="s">
        <v>278</v>
      </c>
      <c r="AB112" s="279" t="s">
        <v>178</v>
      </c>
      <c r="AC112" s="280" t="s">
        <v>187</v>
      </c>
      <c r="AD112" s="281">
        <v>2014</v>
      </c>
      <c r="AE112" s="267"/>
    </row>
    <row r="113" spans="1:32" s="268" customFormat="1" ht="50.1" customHeight="1">
      <c r="A113" s="1016"/>
      <c r="B113" s="1043"/>
      <c r="C113" s="270" t="s">
        <v>182</v>
      </c>
      <c r="D113" s="1019"/>
      <c r="E113" s="271" t="s">
        <v>289</v>
      </c>
      <c r="F113" s="272" t="s">
        <v>275</v>
      </c>
      <c r="G113" s="273" t="s">
        <v>290</v>
      </c>
      <c r="H113" s="273" t="str">
        <f>VLOOKUP(G113,'[4]Pob. Ext, Parroquial'!$B$9:$C$117,2,0)</f>
        <v>PUYANGO</v>
      </c>
      <c r="I113" s="273" t="s">
        <v>173</v>
      </c>
      <c r="J113" s="273" t="s">
        <v>174</v>
      </c>
      <c r="K113" s="273"/>
      <c r="L113" s="273"/>
      <c r="M113" s="274"/>
      <c r="N113" s="275" t="s">
        <v>200</v>
      </c>
      <c r="O113" s="273" t="s">
        <v>176</v>
      </c>
      <c r="P113" s="273">
        <v>1.46</v>
      </c>
      <c r="Q113" s="273">
        <v>5740</v>
      </c>
      <c r="R113" s="273"/>
      <c r="S113" s="276">
        <v>41699</v>
      </c>
      <c r="T113" s="276">
        <v>41759</v>
      </c>
      <c r="U113" s="276" t="str">
        <f t="shared" si="3"/>
        <v>EN EJECUCION</v>
      </c>
      <c r="V113" s="277">
        <f t="shared" si="4"/>
        <v>8380.4</v>
      </c>
      <c r="W113" s="277"/>
      <c r="X113" s="277"/>
      <c r="Y113" s="1022"/>
      <c r="Z113" s="278"/>
      <c r="AA113" s="279" t="s">
        <v>278</v>
      </c>
      <c r="AB113" s="279" t="s">
        <v>178</v>
      </c>
      <c r="AC113" s="280" t="s">
        <v>187</v>
      </c>
      <c r="AD113" s="281">
        <v>2014</v>
      </c>
      <c r="AE113" s="267"/>
    </row>
    <row r="114" spans="1:32" s="268" customFormat="1" ht="50.1" customHeight="1">
      <c r="A114" s="1016"/>
      <c r="B114" s="1043"/>
      <c r="C114" s="270" t="s">
        <v>182</v>
      </c>
      <c r="D114" s="1019"/>
      <c r="E114" s="271" t="s">
        <v>289</v>
      </c>
      <c r="F114" s="272" t="s">
        <v>275</v>
      </c>
      <c r="G114" s="273" t="s">
        <v>290</v>
      </c>
      <c r="H114" s="273" t="str">
        <f>VLOOKUP(G114,'[4]Pob. Ext, Parroquial'!$B$9:$C$117,2,0)</f>
        <v>PUYANGO</v>
      </c>
      <c r="I114" s="273" t="s">
        <v>173</v>
      </c>
      <c r="J114" s="273" t="s">
        <v>174</v>
      </c>
      <c r="K114" s="273"/>
      <c r="L114" s="273"/>
      <c r="M114" s="274"/>
      <c r="N114" s="275" t="s">
        <v>291</v>
      </c>
      <c r="O114" s="273" t="s">
        <v>176</v>
      </c>
      <c r="P114" s="273">
        <v>1.46</v>
      </c>
      <c r="Q114" s="273">
        <v>960</v>
      </c>
      <c r="R114" s="273"/>
      <c r="S114" s="276">
        <v>41699</v>
      </c>
      <c r="T114" s="276">
        <v>41759</v>
      </c>
      <c r="U114" s="276" t="str">
        <f t="shared" si="3"/>
        <v>EN EJECUCION</v>
      </c>
      <c r="V114" s="277">
        <f t="shared" si="4"/>
        <v>1401.6</v>
      </c>
      <c r="W114" s="277"/>
      <c r="X114" s="277"/>
      <c r="Y114" s="1022"/>
      <c r="Z114" s="278"/>
      <c r="AA114" s="279" t="s">
        <v>278</v>
      </c>
      <c r="AB114" s="279" t="s">
        <v>178</v>
      </c>
      <c r="AC114" s="280" t="s">
        <v>187</v>
      </c>
      <c r="AD114" s="281">
        <v>2014</v>
      </c>
      <c r="AE114" s="267"/>
    </row>
    <row r="115" spans="1:32" s="268" customFormat="1" ht="50.1" customHeight="1">
      <c r="A115" s="1016"/>
      <c r="B115" s="1043"/>
      <c r="C115" s="270" t="s">
        <v>182</v>
      </c>
      <c r="D115" s="1019"/>
      <c r="E115" s="271" t="s">
        <v>289</v>
      </c>
      <c r="F115" s="272" t="s">
        <v>275</v>
      </c>
      <c r="G115" s="273" t="s">
        <v>290</v>
      </c>
      <c r="H115" s="273" t="str">
        <f>VLOOKUP(G115,'[4]Pob. Ext, Parroquial'!$B$9:$C$117,2,0)</f>
        <v>PUYANGO</v>
      </c>
      <c r="I115" s="273" t="s">
        <v>173</v>
      </c>
      <c r="J115" s="273" t="s">
        <v>174</v>
      </c>
      <c r="K115" s="273"/>
      <c r="L115" s="273"/>
      <c r="M115" s="274"/>
      <c r="N115" s="275" t="s">
        <v>292</v>
      </c>
      <c r="O115" s="273" t="s">
        <v>181</v>
      </c>
      <c r="P115" s="273">
        <v>0.3</v>
      </c>
      <c r="Q115" s="273">
        <v>10892</v>
      </c>
      <c r="R115" s="273"/>
      <c r="S115" s="276">
        <v>41699</v>
      </c>
      <c r="T115" s="276">
        <v>41759</v>
      </c>
      <c r="U115" s="276" t="str">
        <f t="shared" si="3"/>
        <v>EN EJECUCION</v>
      </c>
      <c r="V115" s="277">
        <f t="shared" si="4"/>
        <v>3267.6</v>
      </c>
      <c r="W115" s="277"/>
      <c r="X115" s="277"/>
      <c r="Y115" s="1022"/>
      <c r="Z115" s="278"/>
      <c r="AA115" s="279" t="s">
        <v>278</v>
      </c>
      <c r="AB115" s="279" t="s">
        <v>178</v>
      </c>
      <c r="AC115" s="280" t="s">
        <v>187</v>
      </c>
      <c r="AD115" s="281">
        <v>2014</v>
      </c>
      <c r="AE115" s="267"/>
    </row>
    <row r="116" spans="1:32" s="268" customFormat="1" ht="50.1" customHeight="1">
      <c r="A116" s="1016"/>
      <c r="B116" s="1043"/>
      <c r="C116" s="270" t="s">
        <v>169</v>
      </c>
      <c r="D116" s="1019"/>
      <c r="E116" s="271" t="s">
        <v>289</v>
      </c>
      <c r="F116" s="272" t="s">
        <v>275</v>
      </c>
      <c r="G116" s="273" t="s">
        <v>290</v>
      </c>
      <c r="H116" s="273" t="str">
        <f>VLOOKUP(G116,'[4]Pob. Ext, Parroquial'!$B$9:$C$117,2,0)</f>
        <v>PUYANGO</v>
      </c>
      <c r="I116" s="273" t="s">
        <v>173</v>
      </c>
      <c r="J116" s="273" t="s">
        <v>174</v>
      </c>
      <c r="K116" s="273"/>
      <c r="L116" s="273"/>
      <c r="M116" s="274"/>
      <c r="N116" s="275" t="s">
        <v>180</v>
      </c>
      <c r="O116" s="273" t="s">
        <v>181</v>
      </c>
      <c r="P116" s="273">
        <v>0.3</v>
      </c>
      <c r="Q116" s="273">
        <v>6848</v>
      </c>
      <c r="R116" s="273"/>
      <c r="S116" s="276">
        <v>41699</v>
      </c>
      <c r="T116" s="276">
        <v>41759</v>
      </c>
      <c r="U116" s="276" t="str">
        <f t="shared" si="3"/>
        <v>EN EJECUCION</v>
      </c>
      <c r="V116" s="277">
        <f t="shared" si="4"/>
        <v>2054.4</v>
      </c>
      <c r="W116" s="277"/>
      <c r="X116" s="277"/>
      <c r="Y116" s="1022"/>
      <c r="Z116" s="278"/>
      <c r="AA116" s="279" t="s">
        <v>278</v>
      </c>
      <c r="AB116" s="279" t="s">
        <v>178</v>
      </c>
      <c r="AC116" s="280" t="s">
        <v>187</v>
      </c>
      <c r="AD116" s="281">
        <v>2014</v>
      </c>
      <c r="AE116" s="267"/>
    </row>
    <row r="117" spans="1:32" s="268" customFormat="1" ht="50.1" customHeight="1">
      <c r="A117" s="1016"/>
      <c r="B117" s="1043"/>
      <c r="C117" s="270" t="s">
        <v>182</v>
      </c>
      <c r="D117" s="1019"/>
      <c r="E117" s="271" t="s">
        <v>289</v>
      </c>
      <c r="F117" s="272" t="s">
        <v>275</v>
      </c>
      <c r="G117" s="273" t="s">
        <v>290</v>
      </c>
      <c r="H117" s="273" t="str">
        <f>VLOOKUP(G117,'[4]Pob. Ext, Parroquial'!$B$9:$C$117,2,0)</f>
        <v>PUYANGO</v>
      </c>
      <c r="I117" s="273" t="s">
        <v>173</v>
      </c>
      <c r="J117" s="273" t="s">
        <v>174</v>
      </c>
      <c r="K117" s="273"/>
      <c r="L117" s="273">
        <f>ROUNDUP(Q117/6/1000,2)</f>
        <v>18</v>
      </c>
      <c r="M117" s="274"/>
      <c r="N117" s="275" t="s">
        <v>185</v>
      </c>
      <c r="O117" s="273" t="s">
        <v>184</v>
      </c>
      <c r="P117" s="273">
        <v>0.06</v>
      </c>
      <c r="Q117" s="273">
        <v>108000</v>
      </c>
      <c r="R117" s="273"/>
      <c r="S117" s="276">
        <v>41699</v>
      </c>
      <c r="T117" s="276">
        <v>41759</v>
      </c>
      <c r="U117" s="276" t="str">
        <f t="shared" si="3"/>
        <v>EN EJECUCION</v>
      </c>
      <c r="V117" s="277">
        <f t="shared" si="4"/>
        <v>6480</v>
      </c>
      <c r="W117" s="277"/>
      <c r="X117" s="277"/>
      <c r="Y117" s="1022"/>
      <c r="Z117" s="278"/>
      <c r="AA117" s="279" t="s">
        <v>278</v>
      </c>
      <c r="AB117" s="279" t="s">
        <v>178</v>
      </c>
      <c r="AC117" s="280" t="s">
        <v>187</v>
      </c>
      <c r="AD117" s="281">
        <v>2014</v>
      </c>
      <c r="AE117" s="267"/>
    </row>
    <row r="118" spans="1:32" s="268" customFormat="1" ht="50.1" customHeight="1">
      <c r="A118" s="1016"/>
      <c r="B118" s="1043"/>
      <c r="C118" s="270" t="s">
        <v>182</v>
      </c>
      <c r="D118" s="1019"/>
      <c r="E118" s="271" t="s">
        <v>289</v>
      </c>
      <c r="F118" s="272" t="s">
        <v>275</v>
      </c>
      <c r="G118" s="273" t="s">
        <v>290</v>
      </c>
      <c r="H118" s="273" t="str">
        <f>VLOOKUP(G118,'[4]Pob. Ext, Parroquial'!$B$9:$C$117,2,0)</f>
        <v>PUYANGO</v>
      </c>
      <c r="I118" s="273" t="s">
        <v>173</v>
      </c>
      <c r="J118" s="273" t="s">
        <v>174</v>
      </c>
      <c r="K118" s="273"/>
      <c r="L118" s="273">
        <f>+ROUND(Q118/6000,2)</f>
        <v>0</v>
      </c>
      <c r="M118" s="274"/>
      <c r="N118" s="275" t="s">
        <v>282</v>
      </c>
      <c r="O118" s="273" t="s">
        <v>184</v>
      </c>
      <c r="P118" s="273">
        <v>0.35</v>
      </c>
      <c r="Q118" s="273">
        <v>0</v>
      </c>
      <c r="R118" s="273"/>
      <c r="S118" s="276">
        <v>41699</v>
      </c>
      <c r="T118" s="276">
        <v>41759</v>
      </c>
      <c r="U118" s="276" t="str">
        <f t="shared" si="3"/>
        <v>EN EJECUCION</v>
      </c>
      <c r="V118" s="277">
        <f t="shared" si="4"/>
        <v>0</v>
      </c>
      <c r="W118" s="277"/>
      <c r="X118" s="277"/>
      <c r="Y118" s="1022"/>
      <c r="Z118" s="278"/>
      <c r="AA118" s="279" t="s">
        <v>278</v>
      </c>
      <c r="AB118" s="279" t="s">
        <v>178</v>
      </c>
      <c r="AC118" s="280" t="s">
        <v>187</v>
      </c>
      <c r="AD118" s="281">
        <v>2014</v>
      </c>
      <c r="AE118" s="267"/>
    </row>
    <row r="119" spans="1:32" s="268" customFormat="1" ht="50.1" customHeight="1" thickBot="1">
      <c r="A119" s="1017"/>
      <c r="B119" s="1044"/>
      <c r="C119" s="283" t="s">
        <v>169</v>
      </c>
      <c r="D119" s="1020"/>
      <c r="E119" s="284" t="s">
        <v>289</v>
      </c>
      <c r="F119" s="285" t="s">
        <v>275</v>
      </c>
      <c r="G119" s="286" t="s">
        <v>290</v>
      </c>
      <c r="H119" s="286" t="str">
        <f>VLOOKUP(G119,'[4]Pob. Ext, Parroquial'!$B$9:$C$117,2,0)</f>
        <v>PUYANGO</v>
      </c>
      <c r="I119" s="286" t="s">
        <v>173</v>
      </c>
      <c r="J119" s="286" t="s">
        <v>174</v>
      </c>
      <c r="K119" s="286"/>
      <c r="L119" s="286">
        <f>+ROUND(Q119/6000/0.2,2)</f>
        <v>1.04</v>
      </c>
      <c r="M119" s="287"/>
      <c r="N119" s="288" t="s">
        <v>229</v>
      </c>
      <c r="O119" s="286" t="s">
        <v>176</v>
      </c>
      <c r="P119" s="286">
        <v>5.92</v>
      </c>
      <c r="Q119" s="286">
        <v>1250</v>
      </c>
      <c r="R119" s="286"/>
      <c r="S119" s="289">
        <v>41699</v>
      </c>
      <c r="T119" s="289">
        <v>41759</v>
      </c>
      <c r="U119" s="289" t="str">
        <f t="shared" si="3"/>
        <v>EN EJECUCION</v>
      </c>
      <c r="V119" s="290">
        <f t="shared" si="4"/>
        <v>7400</v>
      </c>
      <c r="W119" s="290"/>
      <c r="X119" s="290"/>
      <c r="Y119" s="1023"/>
      <c r="Z119" s="278"/>
      <c r="AA119" s="279" t="s">
        <v>278</v>
      </c>
      <c r="AB119" s="279" t="s">
        <v>178</v>
      </c>
      <c r="AC119" s="280" t="s">
        <v>187</v>
      </c>
      <c r="AD119" s="281">
        <v>2014</v>
      </c>
      <c r="AE119" s="267"/>
    </row>
    <row r="120" spans="1:32" s="268" customFormat="1" ht="50.1" customHeight="1" thickTop="1">
      <c r="A120" s="1015" t="s">
        <v>390</v>
      </c>
      <c r="B120" s="1042" t="s">
        <v>187</v>
      </c>
      <c r="C120" s="254" t="s">
        <v>169</v>
      </c>
      <c r="D120" s="1018" t="s">
        <v>294</v>
      </c>
      <c r="E120" s="255" t="s">
        <v>294</v>
      </c>
      <c r="F120" s="256" t="s">
        <v>275</v>
      </c>
      <c r="G120" s="257" t="s">
        <v>295</v>
      </c>
      <c r="H120" s="257" t="str">
        <f>VLOOKUP(G120,'[4]Pob. Ext, Parroquial'!$B$9:$C$117,2,0)</f>
        <v>CELICA</v>
      </c>
      <c r="I120" s="257" t="s">
        <v>265</v>
      </c>
      <c r="J120" s="257" t="s">
        <v>174</v>
      </c>
      <c r="K120" s="257">
        <v>26</v>
      </c>
      <c r="L120" s="257">
        <f>+ROUND(Q120/0.2/6000,2)</f>
        <v>0.83</v>
      </c>
      <c r="M120" s="258">
        <f>IF(K120&gt;0,VLOOKUP(G120,'[4]Pob. Ext, Parroquial'!$B$8:$F$117,4,FALSE),0)</f>
        <v>1969</v>
      </c>
      <c r="N120" s="259" t="s">
        <v>296</v>
      </c>
      <c r="O120" s="257" t="s">
        <v>176</v>
      </c>
      <c r="P120" s="257">
        <v>19.149999999999999</v>
      </c>
      <c r="Q120" s="257">
        <v>990</v>
      </c>
      <c r="R120" s="257"/>
      <c r="S120" s="261">
        <v>41673</v>
      </c>
      <c r="T120" s="261">
        <v>41759</v>
      </c>
      <c r="U120" s="261" t="str">
        <f t="shared" si="3"/>
        <v>EN EJECUCION</v>
      </c>
      <c r="V120" s="262">
        <f t="shared" si="4"/>
        <v>18958.5</v>
      </c>
      <c r="W120" s="262"/>
      <c r="X120" s="262"/>
      <c r="Y120" s="1021">
        <f>SUM(V120:V124)</f>
        <v>437458</v>
      </c>
      <c r="Z120" s="278"/>
      <c r="AA120" s="279" t="s">
        <v>278</v>
      </c>
      <c r="AB120" s="279" t="s">
        <v>178</v>
      </c>
      <c r="AC120" s="280" t="s">
        <v>187</v>
      </c>
      <c r="AD120" s="281">
        <v>2014</v>
      </c>
      <c r="AE120" s="267"/>
    </row>
    <row r="121" spans="1:32" s="268" customFormat="1" ht="50.1" customHeight="1">
      <c r="A121" s="1016"/>
      <c r="B121" s="1043"/>
      <c r="C121" s="270" t="s">
        <v>297</v>
      </c>
      <c r="D121" s="1019"/>
      <c r="E121" s="271" t="s">
        <v>294</v>
      </c>
      <c r="F121" s="272" t="s">
        <v>275</v>
      </c>
      <c r="G121" s="273" t="s">
        <v>295</v>
      </c>
      <c r="H121" s="273" t="str">
        <f>VLOOKUP(G121,'[4]Pob. Ext, Parroquial'!$B$9:$C$117,2,0)</f>
        <v>CELICA</v>
      </c>
      <c r="I121" s="273" t="s">
        <v>265</v>
      </c>
      <c r="J121" s="273" t="s">
        <v>174</v>
      </c>
      <c r="K121" s="273"/>
      <c r="L121" s="273"/>
      <c r="M121" s="274">
        <f>IF(K121&gt;0,VLOOKUP(G121,'[4]Pob. Ext, Parroquial'!$B$8:$F$117,4,FALSE),0)</f>
        <v>0</v>
      </c>
      <c r="N121" s="275" t="s">
        <v>298</v>
      </c>
      <c r="O121" s="273" t="s">
        <v>299</v>
      </c>
      <c r="P121" s="273">
        <v>0.98</v>
      </c>
      <c r="Q121" s="273">
        <v>19300</v>
      </c>
      <c r="R121" s="273"/>
      <c r="S121" s="276">
        <v>41673</v>
      </c>
      <c r="T121" s="276">
        <v>41759</v>
      </c>
      <c r="U121" s="276" t="str">
        <f t="shared" si="3"/>
        <v>EN EJECUCION</v>
      </c>
      <c r="V121" s="277">
        <f t="shared" si="4"/>
        <v>18914</v>
      </c>
      <c r="W121" s="277"/>
      <c r="X121" s="277"/>
      <c r="Y121" s="1022"/>
      <c r="Z121" s="278"/>
      <c r="AA121" s="279" t="s">
        <v>278</v>
      </c>
      <c r="AB121" s="279" t="s">
        <v>178</v>
      </c>
      <c r="AC121" s="280" t="s">
        <v>187</v>
      </c>
      <c r="AD121" s="281">
        <v>2014</v>
      </c>
      <c r="AE121" s="267"/>
    </row>
    <row r="122" spans="1:32" s="268" customFormat="1" ht="50.1" customHeight="1">
      <c r="A122" s="1016"/>
      <c r="B122" s="1043"/>
      <c r="C122" s="270" t="s">
        <v>297</v>
      </c>
      <c r="D122" s="1019"/>
      <c r="E122" s="271" t="s">
        <v>294</v>
      </c>
      <c r="F122" s="272" t="s">
        <v>275</v>
      </c>
      <c r="G122" s="273" t="s">
        <v>295</v>
      </c>
      <c r="H122" s="273" t="str">
        <f>VLOOKUP(G122,'[4]Pob. Ext, Parroquial'!$B$9:$C$117,2,0)</f>
        <v>CELICA</v>
      </c>
      <c r="I122" s="273" t="s">
        <v>265</v>
      </c>
      <c r="J122" s="273" t="s">
        <v>174</v>
      </c>
      <c r="K122" s="273"/>
      <c r="L122" s="273">
        <f>+ROUND(Q122/0.2/6000,2)</f>
        <v>14.96</v>
      </c>
      <c r="M122" s="274">
        <f>IF(K122&gt;0,VLOOKUP(G122,'[4]Pob. Ext, Parroquial'!$B$8:$F$117,4,FALSE),0)</f>
        <v>0</v>
      </c>
      <c r="N122" s="275" t="s">
        <v>300</v>
      </c>
      <c r="O122" s="273" t="s">
        <v>184</v>
      </c>
      <c r="P122" s="273">
        <v>3.17</v>
      </c>
      <c r="Q122" s="273">
        <v>17950</v>
      </c>
      <c r="R122" s="273"/>
      <c r="S122" s="276">
        <v>41673</v>
      </c>
      <c r="T122" s="276">
        <v>41759</v>
      </c>
      <c r="U122" s="276" t="str">
        <f t="shared" si="3"/>
        <v>EN EJECUCION</v>
      </c>
      <c r="V122" s="277">
        <f t="shared" si="4"/>
        <v>56901.5</v>
      </c>
      <c r="W122" s="277"/>
      <c r="X122" s="277"/>
      <c r="Y122" s="1022"/>
      <c r="Z122" s="278"/>
      <c r="AA122" s="279" t="s">
        <v>278</v>
      </c>
      <c r="AB122" s="279" t="s">
        <v>178</v>
      </c>
      <c r="AC122" s="280" t="s">
        <v>187</v>
      </c>
      <c r="AD122" s="281">
        <v>2014</v>
      </c>
      <c r="AE122" s="267"/>
    </row>
    <row r="123" spans="1:32" s="268" customFormat="1" ht="50.1" customHeight="1">
      <c r="A123" s="1016"/>
      <c r="B123" s="1043"/>
      <c r="C123" s="270" t="s">
        <v>297</v>
      </c>
      <c r="D123" s="1019"/>
      <c r="E123" s="271" t="s">
        <v>294</v>
      </c>
      <c r="F123" s="272" t="s">
        <v>275</v>
      </c>
      <c r="G123" s="273" t="s">
        <v>295</v>
      </c>
      <c r="H123" s="273" t="str">
        <f>VLOOKUP(G123,'[4]Pob. Ext, Parroquial'!$B$9:$C$117,2,0)</f>
        <v>CELICA</v>
      </c>
      <c r="I123" s="273" t="s">
        <v>265</v>
      </c>
      <c r="J123" s="273" t="s">
        <v>174</v>
      </c>
      <c r="K123" s="273"/>
      <c r="L123" s="273">
        <f>+ROUND(Q123/6200,2)</f>
        <v>10.65</v>
      </c>
      <c r="M123" s="274">
        <f>IF(K123&gt;0,VLOOKUP(G123,'[4]Pob. Ext, Parroquial'!$B$8:$F$117,4,FALSE),0)</f>
        <v>0</v>
      </c>
      <c r="N123" s="275" t="s">
        <v>301</v>
      </c>
      <c r="O123" s="273" t="s">
        <v>184</v>
      </c>
      <c r="P123" s="273">
        <v>2.8</v>
      </c>
      <c r="Q123" s="273">
        <v>66030</v>
      </c>
      <c r="R123" s="273"/>
      <c r="S123" s="276">
        <v>41699</v>
      </c>
      <c r="T123" s="276">
        <v>41759</v>
      </c>
      <c r="U123" s="276" t="str">
        <f t="shared" si="3"/>
        <v>EN EJECUCION</v>
      </c>
      <c r="V123" s="277">
        <f t="shared" si="4"/>
        <v>184884</v>
      </c>
      <c r="W123" s="277"/>
      <c r="X123" s="277"/>
      <c r="Y123" s="1022"/>
      <c r="Z123" s="278"/>
      <c r="AA123" s="279" t="s">
        <v>278</v>
      </c>
      <c r="AB123" s="279" t="s">
        <v>178</v>
      </c>
      <c r="AC123" s="280" t="s">
        <v>187</v>
      </c>
      <c r="AD123" s="281">
        <v>2014</v>
      </c>
      <c r="AE123" s="267"/>
    </row>
    <row r="124" spans="1:32" s="268" customFormat="1" ht="50.1" customHeight="1" thickBot="1">
      <c r="A124" s="1017"/>
      <c r="B124" s="1044"/>
      <c r="C124" s="283" t="s">
        <v>169</v>
      </c>
      <c r="D124" s="1020"/>
      <c r="E124" s="284" t="s">
        <v>294</v>
      </c>
      <c r="F124" s="285" t="s">
        <v>275</v>
      </c>
      <c r="G124" s="286" t="s">
        <v>295</v>
      </c>
      <c r="H124" s="286" t="str">
        <f>VLOOKUP(G124,'[4]Pob. Ext, Parroquial'!$B$9:$C$117,2,0)</f>
        <v>CELICA</v>
      </c>
      <c r="I124" s="286" t="s">
        <v>265</v>
      </c>
      <c r="J124" s="286" t="s">
        <v>174</v>
      </c>
      <c r="K124" s="286"/>
      <c r="L124" s="286"/>
      <c r="M124" s="287">
        <f>IF(K124&gt;0,VLOOKUP(G124,'[4]Pob. Ext, Parroquial'!$B$8:$F$117,4,FALSE),0)</f>
        <v>0</v>
      </c>
      <c r="N124" s="288" t="s">
        <v>303</v>
      </c>
      <c r="O124" s="286" t="s">
        <v>181</v>
      </c>
      <c r="P124" s="286">
        <v>0.3</v>
      </c>
      <c r="Q124" s="286">
        <v>526000</v>
      </c>
      <c r="R124" s="286"/>
      <c r="S124" s="289">
        <v>41673</v>
      </c>
      <c r="T124" s="289">
        <v>41759</v>
      </c>
      <c r="U124" s="289" t="str">
        <f t="shared" si="3"/>
        <v>EN EJECUCION</v>
      </c>
      <c r="V124" s="290">
        <f t="shared" si="4"/>
        <v>157800</v>
      </c>
      <c r="W124" s="290"/>
      <c r="X124" s="290"/>
      <c r="Y124" s="1023"/>
      <c r="Z124" s="278"/>
      <c r="AA124" s="279" t="s">
        <v>278</v>
      </c>
      <c r="AB124" s="279" t="s">
        <v>178</v>
      </c>
      <c r="AC124" s="280" t="s">
        <v>187</v>
      </c>
      <c r="AD124" s="281">
        <v>2014</v>
      </c>
      <c r="AE124" s="320"/>
      <c r="AF124" s="267"/>
    </row>
    <row r="125" spans="1:32" s="268" customFormat="1" ht="50.1" customHeight="1" thickTop="1">
      <c r="A125" s="1015" t="s">
        <v>393</v>
      </c>
      <c r="B125" s="1042" t="str">
        <f>+U125</f>
        <v>EN EJECUCION</v>
      </c>
      <c r="C125" s="254" t="s">
        <v>169</v>
      </c>
      <c r="D125" s="1018" t="s">
        <v>305</v>
      </c>
      <c r="E125" s="255" t="s">
        <v>305</v>
      </c>
      <c r="F125" s="256" t="s">
        <v>275</v>
      </c>
      <c r="G125" s="257" t="s">
        <v>306</v>
      </c>
      <c r="H125" s="257" t="str">
        <f>VLOOKUP(G125,'[4]Pob. Ext, Parroquial'!$B$9:$C$117,2,0)</f>
        <v>MACARA</v>
      </c>
      <c r="I125" s="257" t="s">
        <v>265</v>
      </c>
      <c r="J125" s="257" t="s">
        <v>174</v>
      </c>
      <c r="K125" s="257">
        <v>42</v>
      </c>
      <c r="L125" s="257">
        <f>+ROUND(Q125/0.2/6000,2)</f>
        <v>0.06</v>
      </c>
      <c r="M125" s="258">
        <f>IF(K125&gt;0,VLOOKUP(G125,'[4]Pob. Ext, Parroquial'!$B$8:$F$117,4,FALSE),0)</f>
        <v>6573</v>
      </c>
      <c r="N125" s="259" t="s">
        <v>296</v>
      </c>
      <c r="O125" s="257" t="s">
        <v>176</v>
      </c>
      <c r="P125" s="257">
        <v>19.149999999999999</v>
      </c>
      <c r="Q125" s="257">
        <v>72.5</v>
      </c>
      <c r="R125" s="257"/>
      <c r="S125" s="261">
        <v>41699</v>
      </c>
      <c r="T125" s="261">
        <v>41759</v>
      </c>
      <c r="U125" s="261" t="str">
        <f t="shared" si="3"/>
        <v>EN EJECUCION</v>
      </c>
      <c r="V125" s="262">
        <f t="shared" si="4"/>
        <v>1388.38</v>
      </c>
      <c r="W125" s="262"/>
      <c r="X125" s="262"/>
      <c r="Y125" s="1021">
        <f>SUM(V125:V128)</f>
        <v>42562.880000000005</v>
      </c>
      <c r="Z125" s="278"/>
      <c r="AA125" s="279" t="s">
        <v>278</v>
      </c>
      <c r="AB125" s="279" t="s">
        <v>178</v>
      </c>
      <c r="AC125" s="280" t="s">
        <v>187</v>
      </c>
      <c r="AD125" s="281">
        <v>2014</v>
      </c>
      <c r="AE125" s="320"/>
      <c r="AF125" s="267"/>
    </row>
    <row r="126" spans="1:32" s="268" customFormat="1" ht="50.1" customHeight="1">
      <c r="A126" s="1016"/>
      <c r="B126" s="1043"/>
      <c r="C126" s="270" t="s">
        <v>297</v>
      </c>
      <c r="D126" s="1019"/>
      <c r="E126" s="271" t="s">
        <v>305</v>
      </c>
      <c r="F126" s="272" t="s">
        <v>275</v>
      </c>
      <c r="G126" s="273" t="s">
        <v>306</v>
      </c>
      <c r="H126" s="273" t="str">
        <f>VLOOKUP(G126,'[4]Pob. Ext, Parroquial'!$B$9:$C$117,2,0)</f>
        <v>MACARA</v>
      </c>
      <c r="I126" s="273" t="s">
        <v>265</v>
      </c>
      <c r="J126" s="273" t="s">
        <v>174</v>
      </c>
      <c r="K126" s="273"/>
      <c r="L126" s="273"/>
      <c r="M126" s="274">
        <f>IF(K126&gt;0,VLOOKUP(G126,'[4]Pob. Ext, Parroquial'!$B$8:$F$117,4,FALSE),0)</f>
        <v>0</v>
      </c>
      <c r="N126" s="275" t="s">
        <v>307</v>
      </c>
      <c r="O126" s="273" t="s">
        <v>308</v>
      </c>
      <c r="P126" s="273">
        <v>0.98</v>
      </c>
      <c r="Q126" s="273">
        <v>1700</v>
      </c>
      <c r="R126" s="273"/>
      <c r="S126" s="276">
        <v>41699</v>
      </c>
      <c r="T126" s="276">
        <v>41759</v>
      </c>
      <c r="U126" s="276" t="str">
        <f t="shared" si="3"/>
        <v>EN EJECUCION</v>
      </c>
      <c r="V126" s="277">
        <f t="shared" si="4"/>
        <v>1666</v>
      </c>
      <c r="W126" s="277"/>
      <c r="X126" s="277"/>
      <c r="Y126" s="1022"/>
      <c r="Z126" s="278"/>
      <c r="AA126" s="279" t="s">
        <v>278</v>
      </c>
      <c r="AB126" s="279" t="s">
        <v>178</v>
      </c>
      <c r="AC126" s="280" t="s">
        <v>187</v>
      </c>
      <c r="AD126" s="281">
        <v>2014</v>
      </c>
      <c r="AE126" s="320"/>
      <c r="AF126" s="267"/>
    </row>
    <row r="127" spans="1:32" s="268" customFormat="1" ht="50.1" customHeight="1">
      <c r="A127" s="1016"/>
      <c r="B127" s="1043"/>
      <c r="C127" s="270" t="s">
        <v>297</v>
      </c>
      <c r="D127" s="1019"/>
      <c r="E127" s="271" t="s">
        <v>305</v>
      </c>
      <c r="F127" s="272" t="s">
        <v>275</v>
      </c>
      <c r="G127" s="273" t="s">
        <v>306</v>
      </c>
      <c r="H127" s="273" t="str">
        <f>VLOOKUP(G127,'[4]Pob. Ext, Parroquial'!$B$9:$C$117,2,0)</f>
        <v>MACARA</v>
      </c>
      <c r="I127" s="273" t="s">
        <v>265</v>
      </c>
      <c r="J127" s="273" t="s">
        <v>174</v>
      </c>
      <c r="K127" s="273"/>
      <c r="L127" s="273">
        <f>+ROUND(Q127/6200,2)</f>
        <v>0.27</v>
      </c>
      <c r="M127" s="274">
        <f>IF(K127&gt;0,VLOOKUP(G127,'[4]Pob. Ext, Parroquial'!$B$8:$F$117,4,FALSE),0)</f>
        <v>0</v>
      </c>
      <c r="N127" s="275" t="s">
        <v>309</v>
      </c>
      <c r="O127" s="273" t="s">
        <v>184</v>
      </c>
      <c r="P127" s="273">
        <v>3.17</v>
      </c>
      <c r="Q127" s="273">
        <v>1650</v>
      </c>
      <c r="R127" s="273"/>
      <c r="S127" s="276">
        <v>41699</v>
      </c>
      <c r="T127" s="276">
        <v>41759</v>
      </c>
      <c r="U127" s="276" t="str">
        <f t="shared" si="3"/>
        <v>EN EJECUCION</v>
      </c>
      <c r="V127" s="277">
        <f t="shared" si="4"/>
        <v>5230.5</v>
      </c>
      <c r="W127" s="277"/>
      <c r="X127" s="277"/>
      <c r="Y127" s="1022"/>
      <c r="Z127" s="278"/>
      <c r="AA127" s="279" t="s">
        <v>278</v>
      </c>
      <c r="AB127" s="279" t="s">
        <v>178</v>
      </c>
      <c r="AC127" s="280" t="s">
        <v>187</v>
      </c>
      <c r="AD127" s="281">
        <v>2014</v>
      </c>
      <c r="AE127" s="320"/>
      <c r="AF127" s="267"/>
    </row>
    <row r="128" spans="1:32" s="268" customFormat="1" ht="50.1" customHeight="1" thickBot="1">
      <c r="A128" s="1017"/>
      <c r="B128" s="1044"/>
      <c r="C128" s="283" t="s">
        <v>169</v>
      </c>
      <c r="D128" s="1020"/>
      <c r="E128" s="284" t="s">
        <v>305</v>
      </c>
      <c r="F128" s="285" t="s">
        <v>275</v>
      </c>
      <c r="G128" s="286" t="s">
        <v>306</v>
      </c>
      <c r="H128" s="286" t="str">
        <f>VLOOKUP(G128,'[4]Pob. Ext, Parroquial'!$B$9:$C$117,2,0)</f>
        <v>MACARA</v>
      </c>
      <c r="I128" s="286" t="s">
        <v>265</v>
      </c>
      <c r="J128" s="286" t="s">
        <v>174</v>
      </c>
      <c r="K128" s="286"/>
      <c r="L128" s="286"/>
      <c r="M128" s="287">
        <f>IF(K128&gt;0,VLOOKUP(G128,'[4]Pob. Ext, Parroquial'!$B$8:$F$117,4,FALSE),0)</f>
        <v>0</v>
      </c>
      <c r="N128" s="288" t="s">
        <v>310</v>
      </c>
      <c r="O128" s="286" t="s">
        <v>181</v>
      </c>
      <c r="P128" s="286">
        <v>0.3</v>
      </c>
      <c r="Q128" s="286">
        <v>114260</v>
      </c>
      <c r="R128" s="286"/>
      <c r="S128" s="289">
        <v>41699</v>
      </c>
      <c r="T128" s="289">
        <v>41759</v>
      </c>
      <c r="U128" s="289" t="str">
        <f t="shared" si="3"/>
        <v>EN EJECUCION</v>
      </c>
      <c r="V128" s="290">
        <f t="shared" si="4"/>
        <v>34278</v>
      </c>
      <c r="W128" s="290"/>
      <c r="X128" s="290"/>
      <c r="Y128" s="1023"/>
      <c r="Z128" s="278"/>
      <c r="AA128" s="279" t="s">
        <v>278</v>
      </c>
      <c r="AB128" s="279" t="s">
        <v>178</v>
      </c>
      <c r="AC128" s="280" t="s">
        <v>187</v>
      </c>
      <c r="AD128" s="281">
        <v>2014</v>
      </c>
      <c r="AE128" s="320"/>
      <c r="AF128" s="267"/>
    </row>
    <row r="129" spans="1:32" s="268" customFormat="1" ht="50.1" customHeight="1" thickTop="1">
      <c r="A129" s="1052"/>
      <c r="B129" s="1048"/>
      <c r="C129" s="254" t="s">
        <v>182</v>
      </c>
      <c r="D129" s="1042" t="s">
        <v>312</v>
      </c>
      <c r="E129" s="321" t="s">
        <v>312</v>
      </c>
      <c r="F129" s="256" t="s">
        <v>275</v>
      </c>
      <c r="G129" s="257" t="s">
        <v>313</v>
      </c>
      <c r="H129" s="257" t="str">
        <f>VLOOKUP(G129,'[4]Pob. Ext, Parroquial'!$B$9:$C$117,2,0)</f>
        <v>PINDAL</v>
      </c>
      <c r="I129" s="257" t="s">
        <v>270</v>
      </c>
      <c r="J129" s="257" t="s">
        <v>174</v>
      </c>
      <c r="K129" s="257">
        <v>3.1</v>
      </c>
      <c r="L129" s="257">
        <v>14.5</v>
      </c>
      <c r="M129" s="258">
        <f>IF(K129&gt;0,VLOOKUP(G129,'[4]Pob. Ext, Parroquial'!$B$8:$F$117,4,FALSE),0)</f>
        <v>2919</v>
      </c>
      <c r="N129" s="259" t="s">
        <v>185</v>
      </c>
      <c r="O129" s="257" t="s">
        <v>314</v>
      </c>
      <c r="P129" s="257">
        <v>6.7599999999999993E-2</v>
      </c>
      <c r="Q129" s="257">
        <v>86355</v>
      </c>
      <c r="R129" s="257"/>
      <c r="S129" s="261">
        <v>41687</v>
      </c>
      <c r="T129" s="261">
        <v>41759</v>
      </c>
      <c r="U129" s="261" t="str">
        <f t="shared" si="3"/>
        <v>EN EJECUCION</v>
      </c>
      <c r="V129" s="262">
        <f t="shared" si="4"/>
        <v>5837.6</v>
      </c>
      <c r="W129" s="262"/>
      <c r="X129" s="262"/>
      <c r="Y129" s="322">
        <f t="shared" ref="Y129:Y136" si="5">V129+W129+X129</f>
        <v>5837.6</v>
      </c>
      <c r="Z129" s="278"/>
      <c r="AA129" s="279"/>
      <c r="AB129" s="279"/>
      <c r="AC129" s="280"/>
      <c r="AD129" s="281"/>
      <c r="AE129" s="320"/>
      <c r="AF129" s="267"/>
    </row>
    <row r="130" spans="1:32" s="268" customFormat="1" ht="50.1" customHeight="1">
      <c r="A130" s="1052"/>
      <c r="B130" s="1049"/>
      <c r="C130" s="270" t="s">
        <v>182</v>
      </c>
      <c r="D130" s="1043"/>
      <c r="E130" s="323" t="s">
        <v>312</v>
      </c>
      <c r="F130" s="272" t="s">
        <v>275</v>
      </c>
      <c r="G130" s="273" t="s">
        <v>315</v>
      </c>
      <c r="H130" s="273" t="str">
        <f>VLOOKUP(G130,'[4]Pob. Ext, Parroquial'!$B$9:$C$117,2,0)</f>
        <v>ZAPOTILLO</v>
      </c>
      <c r="I130" s="273" t="s">
        <v>270</v>
      </c>
      <c r="J130" s="273" t="s">
        <v>174</v>
      </c>
      <c r="K130" s="273">
        <v>3.1</v>
      </c>
      <c r="L130" s="273">
        <v>12</v>
      </c>
      <c r="M130" s="274">
        <f>IF(K130&gt;0,VLOOKUP(G130,'[4]Pob. Ext, Parroquial'!$B$8:$F$117,4,FALSE),0)</f>
        <v>889</v>
      </c>
      <c r="N130" s="275" t="s">
        <v>185</v>
      </c>
      <c r="O130" s="273" t="s">
        <v>314</v>
      </c>
      <c r="P130" s="273">
        <v>6.7599999999999993E-2</v>
      </c>
      <c r="Q130" s="273">
        <v>70865</v>
      </c>
      <c r="R130" s="273"/>
      <c r="S130" s="276">
        <v>41687</v>
      </c>
      <c r="T130" s="276">
        <v>41759</v>
      </c>
      <c r="U130" s="276" t="str">
        <f t="shared" si="3"/>
        <v>EN EJECUCION</v>
      </c>
      <c r="V130" s="277">
        <f t="shared" si="4"/>
        <v>4790.47</v>
      </c>
      <c r="W130" s="277"/>
      <c r="X130" s="277"/>
      <c r="Y130" s="324">
        <f t="shared" si="5"/>
        <v>4790.47</v>
      </c>
      <c r="Z130" s="278"/>
      <c r="AA130" s="279"/>
      <c r="AB130" s="279"/>
      <c r="AC130" s="280"/>
      <c r="AD130" s="281"/>
      <c r="AE130" s="320"/>
      <c r="AF130" s="267"/>
    </row>
    <row r="131" spans="1:32" s="268" customFormat="1" ht="50.1" customHeight="1">
      <c r="A131" s="1052"/>
      <c r="B131" s="1049"/>
      <c r="C131" s="270" t="s">
        <v>182</v>
      </c>
      <c r="D131" s="1043"/>
      <c r="E131" s="323" t="s">
        <v>312</v>
      </c>
      <c r="F131" s="272" t="s">
        <v>275</v>
      </c>
      <c r="G131" s="273" t="s">
        <v>316</v>
      </c>
      <c r="H131" s="273" t="str">
        <f>VLOOKUP(G131,'[4]Pob. Ext, Parroquial'!$B$9:$C$117,2,0)</f>
        <v>ZAPOTILLO</v>
      </c>
      <c r="I131" s="273" t="s">
        <v>270</v>
      </c>
      <c r="J131" s="273" t="s">
        <v>174</v>
      </c>
      <c r="K131" s="273">
        <v>3.1</v>
      </c>
      <c r="L131" s="273">
        <v>16.7</v>
      </c>
      <c r="M131" s="274">
        <f>IF(K131&gt;0,VLOOKUP(G131,'[4]Pob. Ext, Parroquial'!$B$8:$F$117,4,FALSE),0)</f>
        <v>1426</v>
      </c>
      <c r="N131" s="275" t="s">
        <v>185</v>
      </c>
      <c r="O131" s="273" t="s">
        <v>314</v>
      </c>
      <c r="P131" s="273">
        <v>6.7599999999999993E-2</v>
      </c>
      <c r="Q131" s="273">
        <v>107820</v>
      </c>
      <c r="R131" s="273"/>
      <c r="S131" s="276">
        <v>41699</v>
      </c>
      <c r="T131" s="276">
        <v>41759</v>
      </c>
      <c r="U131" s="276" t="str">
        <f t="shared" si="3"/>
        <v>EN EJECUCION</v>
      </c>
      <c r="V131" s="277">
        <f t="shared" si="4"/>
        <v>7288.63</v>
      </c>
      <c r="W131" s="277"/>
      <c r="X131" s="277"/>
      <c r="Y131" s="324">
        <f t="shared" si="5"/>
        <v>7288.63</v>
      </c>
      <c r="Z131" s="278"/>
      <c r="AA131" s="279"/>
      <c r="AB131" s="279"/>
      <c r="AC131" s="280"/>
      <c r="AD131" s="281"/>
      <c r="AE131" s="320"/>
      <c r="AF131" s="267"/>
    </row>
    <row r="132" spans="1:32" s="268" customFormat="1" ht="50.1" customHeight="1">
      <c r="A132" s="1052"/>
      <c r="B132" s="1049"/>
      <c r="C132" s="270" t="s">
        <v>182</v>
      </c>
      <c r="D132" s="1043"/>
      <c r="E132" s="323" t="s">
        <v>312</v>
      </c>
      <c r="F132" s="272" t="s">
        <v>275</v>
      </c>
      <c r="G132" s="273" t="s">
        <v>317</v>
      </c>
      <c r="H132" s="273" t="str">
        <f>VLOOKUP(G132,'[4]Pob. Ext, Parroquial'!$B$9:$C$117,2,0)</f>
        <v>ZAPOTILLO</v>
      </c>
      <c r="I132" s="273" t="s">
        <v>270</v>
      </c>
      <c r="J132" s="273" t="s">
        <v>174</v>
      </c>
      <c r="K132" s="273">
        <v>3.1</v>
      </c>
      <c r="L132" s="273">
        <v>39.200000000000003</v>
      </c>
      <c r="M132" s="274">
        <f>IF(K132&gt;0,VLOOKUP(G132,'[4]Pob. Ext, Parroquial'!$B$8:$F$117,4,FALSE),0)</f>
        <v>879</v>
      </c>
      <c r="N132" s="275" t="s">
        <v>185</v>
      </c>
      <c r="O132" s="273" t="s">
        <v>314</v>
      </c>
      <c r="P132" s="273">
        <v>6.7599999999999993E-2</v>
      </c>
      <c r="Q132" s="273">
        <v>264017.5</v>
      </c>
      <c r="R132" s="273"/>
      <c r="S132" s="276">
        <v>41699</v>
      </c>
      <c r="T132" s="276">
        <v>41759</v>
      </c>
      <c r="U132" s="276" t="str">
        <f t="shared" si="3"/>
        <v>EN EJECUCION</v>
      </c>
      <c r="V132" s="277">
        <f t="shared" si="4"/>
        <v>17847.580000000002</v>
      </c>
      <c r="W132" s="277"/>
      <c r="X132" s="277"/>
      <c r="Y132" s="324">
        <f t="shared" si="5"/>
        <v>17847.580000000002</v>
      </c>
      <c r="Z132" s="278"/>
      <c r="AA132" s="279"/>
      <c r="AB132" s="279"/>
      <c r="AC132" s="280"/>
      <c r="AD132" s="281"/>
      <c r="AE132" s="320"/>
      <c r="AF132" s="267"/>
    </row>
    <row r="133" spans="1:32" s="268" customFormat="1" ht="50.1" customHeight="1">
      <c r="A133" s="1052"/>
      <c r="B133" s="1049"/>
      <c r="C133" s="270" t="s">
        <v>182</v>
      </c>
      <c r="D133" s="1043"/>
      <c r="E133" s="323" t="s">
        <v>312</v>
      </c>
      <c r="F133" s="272" t="s">
        <v>275</v>
      </c>
      <c r="G133" s="273" t="s">
        <v>286</v>
      </c>
      <c r="H133" s="273" t="str">
        <f>VLOOKUP(G133,'[4]Pob. Ext, Parroquial'!$B$9:$C$117,2,0)</f>
        <v>PUYANGO</v>
      </c>
      <c r="I133" s="273" t="s">
        <v>270</v>
      </c>
      <c r="J133" s="273" t="s">
        <v>174</v>
      </c>
      <c r="K133" s="273">
        <v>3.1</v>
      </c>
      <c r="L133" s="273">
        <v>19.899999999999999</v>
      </c>
      <c r="M133" s="274">
        <f>IF(K133&gt;0,VLOOKUP(G133,'[4]Pob. Ext, Parroquial'!$B$8:$F$117,4,FALSE),0)</f>
        <v>1388</v>
      </c>
      <c r="N133" s="275" t="s">
        <v>185</v>
      </c>
      <c r="O133" s="273" t="s">
        <v>314</v>
      </c>
      <c r="P133" s="273">
        <v>6.7599999999999993E-2</v>
      </c>
      <c r="Q133" s="273">
        <v>133350</v>
      </c>
      <c r="R133" s="273"/>
      <c r="S133" s="276">
        <v>41699</v>
      </c>
      <c r="T133" s="276">
        <v>41759</v>
      </c>
      <c r="U133" s="276" t="str">
        <f t="shared" si="3"/>
        <v>EN EJECUCION</v>
      </c>
      <c r="V133" s="277">
        <f t="shared" si="4"/>
        <v>9014.4599999999991</v>
      </c>
      <c r="W133" s="277"/>
      <c r="X133" s="277"/>
      <c r="Y133" s="324">
        <f t="shared" si="5"/>
        <v>9014.4599999999991</v>
      </c>
      <c r="Z133" s="278"/>
      <c r="AA133" s="279"/>
      <c r="AB133" s="279"/>
      <c r="AC133" s="280"/>
      <c r="AD133" s="281"/>
      <c r="AE133" s="320"/>
      <c r="AF133" s="267"/>
    </row>
    <row r="134" spans="1:32" s="268" customFormat="1" ht="50.1" customHeight="1" thickBot="1">
      <c r="A134" s="1052"/>
      <c r="B134" s="1049"/>
      <c r="C134" s="325" t="s">
        <v>182</v>
      </c>
      <c r="D134" s="1043"/>
      <c r="E134" s="326" t="s">
        <v>312</v>
      </c>
      <c r="F134" s="327" t="s">
        <v>275</v>
      </c>
      <c r="G134" s="328" t="s">
        <v>318</v>
      </c>
      <c r="H134" s="328" t="str">
        <f>VLOOKUP(G134,'[4]Pob. Ext, Parroquial'!$B$9:$C$117,2,0)</f>
        <v>CELICA</v>
      </c>
      <c r="I134" s="328" t="s">
        <v>270</v>
      </c>
      <c r="J134" s="328" t="s">
        <v>174</v>
      </c>
      <c r="K134" s="328">
        <v>3.1</v>
      </c>
      <c r="L134" s="328">
        <v>9.9</v>
      </c>
      <c r="M134" s="329">
        <f>IF(K134&gt;0,VLOOKUP(G134,'[4]Pob. Ext, Parroquial'!$B$8:$F$117,4,FALSE),0)</f>
        <v>661</v>
      </c>
      <c r="N134" s="330" t="s">
        <v>185</v>
      </c>
      <c r="O134" s="328" t="s">
        <v>314</v>
      </c>
      <c r="P134" s="328">
        <v>6.7599999999999993E-2</v>
      </c>
      <c r="Q134" s="328">
        <v>107820</v>
      </c>
      <c r="R134" s="328"/>
      <c r="S134" s="331">
        <v>41699</v>
      </c>
      <c r="T134" s="331">
        <v>41759</v>
      </c>
      <c r="U134" s="331" t="str">
        <f t="shared" si="3"/>
        <v>EN EJECUCION</v>
      </c>
      <c r="V134" s="332">
        <f t="shared" si="4"/>
        <v>7288.63</v>
      </c>
      <c r="W134" s="332"/>
      <c r="X134" s="332"/>
      <c r="Y134" s="333">
        <f t="shared" si="5"/>
        <v>7288.63</v>
      </c>
      <c r="Z134" s="278"/>
      <c r="AA134" s="279"/>
      <c r="AB134" s="279"/>
      <c r="AC134" s="280"/>
      <c r="AD134" s="281"/>
      <c r="AE134" s="320"/>
      <c r="AF134" s="267"/>
    </row>
    <row r="135" spans="1:32" s="268" customFormat="1" ht="140.25" customHeight="1" thickTop="1" thickBot="1">
      <c r="A135" s="317"/>
      <c r="B135" s="299"/>
      <c r="C135" s="299" t="s">
        <v>323</v>
      </c>
      <c r="D135" s="299" t="s">
        <v>324</v>
      </c>
      <c r="E135" s="300" t="s">
        <v>324</v>
      </c>
      <c r="F135" s="301" t="s">
        <v>275</v>
      </c>
      <c r="G135" s="302" t="s">
        <v>325</v>
      </c>
      <c r="H135" s="302" t="str">
        <f>VLOOKUP(G135,'[4]Pob. Ext, Parroquial'!$B$9:$C$117,2,0)</f>
        <v>PUYANGO</v>
      </c>
      <c r="I135" s="302" t="s">
        <v>265</v>
      </c>
      <c r="J135" s="302" t="s">
        <v>174</v>
      </c>
      <c r="K135" s="302">
        <v>3.1</v>
      </c>
      <c r="L135" s="302">
        <f>ROUNDUP(Q135/6/1000,2)</f>
        <v>0</v>
      </c>
      <c r="M135" s="303">
        <f>IF(K135&gt;0,VLOOKUP(G135,'[4]Pob. Ext, Parroquial'!$B$8:$F$117,4,FALSE),0)</f>
        <v>467</v>
      </c>
      <c r="N135" s="304"/>
      <c r="O135" s="302" t="s">
        <v>176</v>
      </c>
      <c r="P135" s="302"/>
      <c r="Q135" s="302">
        <v>0</v>
      </c>
      <c r="R135" s="302"/>
      <c r="S135" s="305"/>
      <c r="T135" s="305">
        <v>41759</v>
      </c>
      <c r="U135" s="305" t="str">
        <f t="shared" si="3"/>
        <v>EN EJECUCION</v>
      </c>
      <c r="V135" s="306">
        <f t="shared" si="4"/>
        <v>0</v>
      </c>
      <c r="W135" s="306"/>
      <c r="X135" s="306"/>
      <c r="Y135" s="318">
        <f t="shared" si="5"/>
        <v>0</v>
      </c>
      <c r="Z135" s="278"/>
      <c r="AA135" s="279"/>
      <c r="AB135" s="279"/>
      <c r="AC135" s="280"/>
      <c r="AD135" s="281"/>
      <c r="AE135" s="320"/>
      <c r="AF135" s="267"/>
    </row>
    <row r="136" spans="1:32" s="268" customFormat="1" ht="143.25" customHeight="1" thickTop="1" thickBot="1">
      <c r="A136" s="317"/>
      <c r="B136" s="299"/>
      <c r="C136" s="299" t="s">
        <v>323</v>
      </c>
      <c r="D136" s="299" t="s">
        <v>326</v>
      </c>
      <c r="E136" s="300" t="s">
        <v>326</v>
      </c>
      <c r="F136" s="301" t="s">
        <v>275</v>
      </c>
      <c r="G136" s="302" t="s">
        <v>290</v>
      </c>
      <c r="H136" s="302" t="str">
        <f>VLOOKUP(G136,'[4]Pob. Ext, Parroquial'!$B$9:$C$117,2,0)</f>
        <v>PUYANGO</v>
      </c>
      <c r="I136" s="302" t="s">
        <v>265</v>
      </c>
      <c r="J136" s="302" t="s">
        <v>174</v>
      </c>
      <c r="K136" s="302">
        <v>3.1</v>
      </c>
      <c r="L136" s="302">
        <f>ROUNDUP(Q136/6/1000,2)</f>
        <v>0</v>
      </c>
      <c r="M136" s="303">
        <f>IF(K136&gt;0,VLOOKUP(G136,'[4]Pob. Ext, Parroquial'!$B$8:$F$117,4,FALSE),0)</f>
        <v>567</v>
      </c>
      <c r="N136" s="304" t="s">
        <v>327</v>
      </c>
      <c r="O136" s="302" t="s">
        <v>176</v>
      </c>
      <c r="P136" s="302"/>
      <c r="Q136" s="302">
        <v>0</v>
      </c>
      <c r="R136" s="302"/>
      <c r="S136" s="305"/>
      <c r="T136" s="305">
        <v>41759</v>
      </c>
      <c r="U136" s="305" t="str">
        <f t="shared" si="3"/>
        <v>EN EJECUCION</v>
      </c>
      <c r="V136" s="306">
        <v>10000</v>
      </c>
      <c r="W136" s="306"/>
      <c r="X136" s="306"/>
      <c r="Y136" s="318">
        <f t="shared" si="5"/>
        <v>10000</v>
      </c>
      <c r="Z136" s="278"/>
      <c r="AA136" s="279"/>
      <c r="AB136" s="279"/>
      <c r="AC136" s="280"/>
      <c r="AD136" s="281"/>
      <c r="AE136" s="320"/>
      <c r="AF136" s="267"/>
    </row>
    <row r="137" spans="1:32" s="268" customFormat="1" ht="50.1" customHeight="1" thickTop="1">
      <c r="A137" s="1015" t="s">
        <v>396</v>
      </c>
      <c r="B137" s="1018" t="str">
        <f>+U137</f>
        <v>EN EJECUCION</v>
      </c>
      <c r="C137" s="254" t="s">
        <v>182</v>
      </c>
      <c r="D137" s="1018" t="s">
        <v>329</v>
      </c>
      <c r="E137" s="255" t="s">
        <v>329</v>
      </c>
      <c r="F137" s="256" t="s">
        <v>330</v>
      </c>
      <c r="G137" s="257" t="s">
        <v>331</v>
      </c>
      <c r="H137" s="257" t="str">
        <f>VLOOKUP(G137,'[4]Pob. Ext, Parroquial'!$B$9:$C$117,2,0)</f>
        <v>CATAMAYO</v>
      </c>
      <c r="I137" s="257" t="s">
        <v>173</v>
      </c>
      <c r="J137" s="257" t="s">
        <v>174</v>
      </c>
      <c r="K137" s="257">
        <v>15</v>
      </c>
      <c r="L137" s="257"/>
      <c r="M137" s="258">
        <f>IF(K137&gt;0,VLOOKUP(G137,'[4]Pob. Ext, Parroquial'!$B$8:$F$117,4,FALSE),0)</f>
        <v>267</v>
      </c>
      <c r="N137" s="259" t="s">
        <v>200</v>
      </c>
      <c r="O137" s="257" t="s">
        <v>333</v>
      </c>
      <c r="P137" s="257">
        <v>1.47</v>
      </c>
      <c r="Q137" s="257">
        <v>6095</v>
      </c>
      <c r="R137" s="257"/>
      <c r="S137" s="261">
        <v>41640</v>
      </c>
      <c r="T137" s="261">
        <v>41759</v>
      </c>
      <c r="U137" s="261" t="str">
        <f t="shared" si="3"/>
        <v>EN EJECUCION</v>
      </c>
      <c r="V137" s="262">
        <f t="shared" si="4"/>
        <v>8959.65</v>
      </c>
      <c r="W137" s="262"/>
      <c r="X137" s="262"/>
      <c r="Y137" s="1021">
        <f>SUM(V137:V139)</f>
        <v>84712.950000000012</v>
      </c>
      <c r="Z137" s="278"/>
      <c r="AA137" s="279" t="s">
        <v>334</v>
      </c>
      <c r="AB137" s="279" t="s">
        <v>178</v>
      </c>
      <c r="AC137" s="280" t="s">
        <v>187</v>
      </c>
      <c r="AD137" s="281">
        <v>2014</v>
      </c>
      <c r="AE137" s="320"/>
      <c r="AF137" s="267"/>
    </row>
    <row r="138" spans="1:32" s="268" customFormat="1" ht="50.1" customHeight="1">
      <c r="A138" s="1016"/>
      <c r="B138" s="1019"/>
      <c r="C138" s="270" t="s">
        <v>182</v>
      </c>
      <c r="D138" s="1019"/>
      <c r="E138" s="271" t="s">
        <v>329</v>
      </c>
      <c r="F138" s="272" t="s">
        <v>330</v>
      </c>
      <c r="G138" s="273" t="s">
        <v>338</v>
      </c>
      <c r="H138" s="273" t="str">
        <f>VLOOKUP(G138,'[4]Pob. Ext, Parroquial'!$B$9:$C$117,2,0)</f>
        <v>CATAMAYO</v>
      </c>
      <c r="I138" s="273" t="s">
        <v>173</v>
      </c>
      <c r="J138" s="273" t="s">
        <v>174</v>
      </c>
      <c r="K138" s="273">
        <v>17</v>
      </c>
      <c r="L138" s="273">
        <f>ROUNDUP(Q138/6/1000,2)</f>
        <v>7.79</v>
      </c>
      <c r="M138" s="274">
        <f>IF(K138&gt;0,VLOOKUP(G138,'[4]Pob. Ext, Parroquial'!$B$8:$F$117,4,FALSE),0)</f>
        <v>144</v>
      </c>
      <c r="N138" s="275" t="s">
        <v>185</v>
      </c>
      <c r="O138" s="273" t="s">
        <v>314</v>
      </c>
      <c r="P138" s="273">
        <v>0.1</v>
      </c>
      <c r="Q138" s="273">
        <v>46732</v>
      </c>
      <c r="R138" s="273"/>
      <c r="S138" s="276">
        <v>41640</v>
      </c>
      <c r="T138" s="276">
        <v>41759</v>
      </c>
      <c r="U138" s="276" t="str">
        <f t="shared" si="3"/>
        <v>EN EJECUCION</v>
      </c>
      <c r="V138" s="277">
        <f t="shared" si="4"/>
        <v>4673.2</v>
      </c>
      <c r="W138" s="277"/>
      <c r="X138" s="277"/>
      <c r="Y138" s="1022"/>
      <c r="Z138" s="278"/>
      <c r="AA138" s="279" t="s">
        <v>334</v>
      </c>
      <c r="AB138" s="279" t="s">
        <v>178</v>
      </c>
      <c r="AC138" s="280" t="s">
        <v>187</v>
      </c>
      <c r="AD138" s="281">
        <v>2014</v>
      </c>
      <c r="AE138" s="320"/>
      <c r="AF138" s="267"/>
    </row>
    <row r="139" spans="1:32" s="268" customFormat="1" ht="50.1" customHeight="1" thickBot="1">
      <c r="A139" s="1017"/>
      <c r="B139" s="1020"/>
      <c r="C139" s="283" t="s">
        <v>182</v>
      </c>
      <c r="D139" s="1020"/>
      <c r="E139" s="284" t="s">
        <v>329</v>
      </c>
      <c r="F139" s="285" t="s">
        <v>330</v>
      </c>
      <c r="G139" s="286" t="s">
        <v>342</v>
      </c>
      <c r="H139" s="286" t="str">
        <f>VLOOKUP(G139,'[4]Pob. Ext, Parroquial'!$B$9:$C$117,2,0)</f>
        <v>CHAGUARPAMBA</v>
      </c>
      <c r="I139" s="286" t="s">
        <v>173</v>
      </c>
      <c r="J139" s="286" t="s">
        <v>174</v>
      </c>
      <c r="K139" s="286">
        <v>24</v>
      </c>
      <c r="L139" s="286">
        <f>ROUNDUP(Q139/6/1000,2)</f>
        <v>33.85</v>
      </c>
      <c r="M139" s="287">
        <f>IF(K139&gt;0,VLOOKUP(G139,'[4]Pob. Ext, Parroquial'!$B$8:$F$117,4,FALSE),0)</f>
        <v>200</v>
      </c>
      <c r="N139" s="288" t="s">
        <v>282</v>
      </c>
      <c r="O139" s="286" t="s">
        <v>314</v>
      </c>
      <c r="P139" s="286">
        <v>0.35</v>
      </c>
      <c r="Q139" s="286">
        <v>203086</v>
      </c>
      <c r="R139" s="286"/>
      <c r="S139" s="289">
        <v>41640</v>
      </c>
      <c r="T139" s="289">
        <v>41759</v>
      </c>
      <c r="U139" s="289" t="str">
        <f>IF(T139&lt;$G$4,"EJECUTADO","EN EJECUCION")</f>
        <v>EN EJECUCION</v>
      </c>
      <c r="V139" s="290">
        <f t="shared" ref="V139:V202" si="6">ROUND(P139*Q139,2)</f>
        <v>71080.100000000006</v>
      </c>
      <c r="W139" s="290"/>
      <c r="X139" s="290"/>
      <c r="Y139" s="1023"/>
      <c r="Z139" s="278"/>
      <c r="AA139" s="279" t="s">
        <v>334</v>
      </c>
      <c r="AB139" s="279" t="s">
        <v>178</v>
      </c>
      <c r="AC139" s="280" t="s">
        <v>187</v>
      </c>
      <c r="AD139" s="281">
        <v>2014</v>
      </c>
      <c r="AE139" s="320"/>
      <c r="AF139" s="267"/>
    </row>
    <row r="140" spans="1:32" s="268" customFormat="1" ht="50.1" customHeight="1" thickTop="1">
      <c r="A140" s="334"/>
      <c r="B140" s="254"/>
      <c r="C140" s="254" t="s">
        <v>182</v>
      </c>
      <c r="D140" s="254" t="s">
        <v>343</v>
      </c>
      <c r="E140" s="321" t="s">
        <v>343</v>
      </c>
      <c r="F140" s="256" t="s">
        <v>330</v>
      </c>
      <c r="G140" s="257" t="s">
        <v>355</v>
      </c>
      <c r="H140" s="257" t="str">
        <f>VLOOKUP(G140,'[4]Pob. Ext, Parroquial'!$B$9:$C$117,2,0)</f>
        <v>CATAMAYO</v>
      </c>
      <c r="I140" s="257" t="s">
        <v>173</v>
      </c>
      <c r="J140" s="257" t="s">
        <v>174</v>
      </c>
      <c r="K140" s="257">
        <v>4.5</v>
      </c>
      <c r="L140" s="257"/>
      <c r="M140" s="258">
        <f>IF(K140&gt;0,VLOOKUP(G140,'[4]Pob. Ext, Parroquial'!$B$8:$F$117,4,FALSE),0)</f>
        <v>2886</v>
      </c>
      <c r="N140" s="259" t="s">
        <v>200</v>
      </c>
      <c r="O140" s="257" t="s">
        <v>333</v>
      </c>
      <c r="P140" s="257">
        <v>1.47</v>
      </c>
      <c r="Q140" s="257">
        <v>200</v>
      </c>
      <c r="R140" s="257"/>
      <c r="S140" s="261">
        <v>41740</v>
      </c>
      <c r="T140" s="261">
        <v>41759</v>
      </c>
      <c r="U140" s="261" t="str">
        <f>IF(T140&lt;$G$4,"EJECUTADO","EN EJECUCION")</f>
        <v>EN EJECUCION</v>
      </c>
      <c r="V140" s="262">
        <f>ROUND(P140*Q140,2)</f>
        <v>294</v>
      </c>
      <c r="W140" s="262"/>
      <c r="X140" s="262"/>
      <c r="Y140" s="322">
        <f>V140+W140+X140</f>
        <v>294</v>
      </c>
      <c r="Z140" s="278"/>
      <c r="AA140" s="279" t="s">
        <v>334</v>
      </c>
      <c r="AB140" s="279" t="s">
        <v>178</v>
      </c>
      <c r="AC140" s="280" t="s">
        <v>187</v>
      </c>
      <c r="AD140" s="281">
        <v>2014</v>
      </c>
      <c r="AE140" s="320"/>
      <c r="AF140" s="267"/>
    </row>
    <row r="141" spans="1:32" s="268" customFormat="1" ht="50.1" customHeight="1" thickBot="1">
      <c r="A141" s="335"/>
      <c r="B141" s="283"/>
      <c r="C141" s="283" t="s">
        <v>182</v>
      </c>
      <c r="D141" s="283" t="s">
        <v>344</v>
      </c>
      <c r="E141" s="336" t="s">
        <v>344</v>
      </c>
      <c r="F141" s="285" t="s">
        <v>330</v>
      </c>
      <c r="G141" s="286" t="s">
        <v>331</v>
      </c>
      <c r="H141" s="286" t="str">
        <f>VLOOKUP(G141,'[4]Pob. Ext, Parroquial'!$B$9:$C$117,2,0)</f>
        <v>CATAMAYO</v>
      </c>
      <c r="I141" s="286" t="s">
        <v>173</v>
      </c>
      <c r="J141" s="286" t="s">
        <v>174</v>
      </c>
      <c r="K141" s="286">
        <v>3.1</v>
      </c>
      <c r="L141" s="286">
        <f>ROUNDUP(Q141/6/1000,2)</f>
        <v>2.0799999999999996</v>
      </c>
      <c r="M141" s="287">
        <f>IF(K141&gt;0,VLOOKUP(G141,'[4]Pob. Ext, Parroquial'!$B$8:$F$117,4,FALSE),0)</f>
        <v>267</v>
      </c>
      <c r="N141" s="288" t="s">
        <v>185</v>
      </c>
      <c r="O141" s="286" t="s">
        <v>314</v>
      </c>
      <c r="P141" s="286">
        <v>0.1</v>
      </c>
      <c r="Q141" s="286">
        <v>12460</v>
      </c>
      <c r="R141" s="286"/>
      <c r="S141" s="289">
        <v>41677</v>
      </c>
      <c r="T141" s="289">
        <v>41759</v>
      </c>
      <c r="U141" s="289" t="str">
        <f>IF(T141&lt;$G$4,"EJECUTADO","EN EJECUCION")</f>
        <v>EN EJECUCION</v>
      </c>
      <c r="V141" s="290">
        <f t="shared" si="6"/>
        <v>1246</v>
      </c>
      <c r="W141" s="290"/>
      <c r="X141" s="290"/>
      <c r="Y141" s="337">
        <f>V141+W141+X141</f>
        <v>1246</v>
      </c>
      <c r="Z141" s="278"/>
      <c r="AA141" s="279" t="s">
        <v>334</v>
      </c>
      <c r="AB141" s="279" t="s">
        <v>178</v>
      </c>
      <c r="AC141" s="280" t="s">
        <v>187</v>
      </c>
      <c r="AD141" s="281">
        <v>2014</v>
      </c>
      <c r="AE141" s="320"/>
      <c r="AF141" s="267"/>
    </row>
    <row r="142" spans="1:32" s="268" customFormat="1" ht="50.1" customHeight="1" thickTop="1">
      <c r="A142" s="1048"/>
      <c r="B142" s="1042"/>
      <c r="C142" s="254" t="s">
        <v>182</v>
      </c>
      <c r="D142" s="1042" t="s">
        <v>346</v>
      </c>
      <c r="E142" s="321" t="s">
        <v>346</v>
      </c>
      <c r="F142" s="256" t="s">
        <v>330</v>
      </c>
      <c r="G142" s="257" t="s">
        <v>331</v>
      </c>
      <c r="H142" s="257" t="str">
        <f>VLOOKUP(G142,'[4]Pob. Ext, Parroquial'!$B$9:$C$117,2,0)</f>
        <v>CATAMAYO</v>
      </c>
      <c r="I142" s="257" t="s">
        <v>173</v>
      </c>
      <c r="J142" s="257" t="s">
        <v>174</v>
      </c>
      <c r="K142" s="257"/>
      <c r="L142" s="257"/>
      <c r="M142" s="258">
        <f>IF(K142&gt;0,VLOOKUP(G142,'[4]Pob. Ext, Parroquial'!$B$8:$F$117,4,FALSE),0)</f>
        <v>0</v>
      </c>
      <c r="N142" s="338" t="s">
        <v>200</v>
      </c>
      <c r="O142" s="339" t="s">
        <v>333</v>
      </c>
      <c r="P142" s="340">
        <v>1.47</v>
      </c>
      <c r="Q142" s="257">
        <v>550</v>
      </c>
      <c r="R142" s="257"/>
      <c r="S142" s="261">
        <v>41738</v>
      </c>
      <c r="T142" s="261">
        <v>41759</v>
      </c>
      <c r="U142" s="261" t="str">
        <f t="shared" ref="U142:U205" si="7">IF(T142&lt;$G$4,"EJECUTADO","EN EJECUCION")</f>
        <v>EN EJECUCION</v>
      </c>
      <c r="V142" s="262">
        <f t="shared" si="6"/>
        <v>808.5</v>
      </c>
      <c r="W142" s="262"/>
      <c r="X142" s="262"/>
      <c r="Y142" s="1021">
        <f>+V142+V143+V144</f>
        <v>7191.5</v>
      </c>
      <c r="Z142" s="278"/>
      <c r="AA142" s="279" t="s">
        <v>334</v>
      </c>
      <c r="AB142" s="279" t="s">
        <v>178</v>
      </c>
      <c r="AC142" s="280" t="s">
        <v>187</v>
      </c>
      <c r="AD142" s="281">
        <v>2014</v>
      </c>
      <c r="AE142" s="320"/>
      <c r="AF142" s="267"/>
    </row>
    <row r="143" spans="1:32" s="268" customFormat="1" ht="50.1" customHeight="1">
      <c r="A143" s="1049"/>
      <c r="B143" s="1043"/>
      <c r="C143" s="270" t="s">
        <v>182</v>
      </c>
      <c r="D143" s="1043"/>
      <c r="E143" s="323" t="s">
        <v>346</v>
      </c>
      <c r="F143" s="272" t="s">
        <v>330</v>
      </c>
      <c r="G143" s="273" t="s">
        <v>331</v>
      </c>
      <c r="H143" s="273" t="str">
        <f>VLOOKUP(G143,'[4]Pob. Ext, Parroquial'!$B$9:$C$117,2,0)</f>
        <v>CATAMAYO</v>
      </c>
      <c r="I143" s="273" t="s">
        <v>173</v>
      </c>
      <c r="J143" s="273" t="s">
        <v>174</v>
      </c>
      <c r="K143" s="273"/>
      <c r="L143" s="273">
        <f>ROUNDUP(Q143/6/1000,2)</f>
        <v>1.7</v>
      </c>
      <c r="M143" s="274">
        <f>IF(K143&gt;0,VLOOKUP(G143,'[4]Pob. Ext, Parroquial'!$B$8:$F$117,4,FALSE),0)</f>
        <v>0</v>
      </c>
      <c r="N143" s="341" t="s">
        <v>185</v>
      </c>
      <c r="O143" s="342" t="s">
        <v>314</v>
      </c>
      <c r="P143" s="343">
        <v>0.1</v>
      </c>
      <c r="Q143" s="273">
        <v>10175</v>
      </c>
      <c r="R143" s="273"/>
      <c r="S143" s="276">
        <v>41738</v>
      </c>
      <c r="T143" s="276">
        <v>41759</v>
      </c>
      <c r="U143" s="276" t="str">
        <f t="shared" si="7"/>
        <v>EN EJECUCION</v>
      </c>
      <c r="V143" s="277">
        <f t="shared" si="6"/>
        <v>1017.5</v>
      </c>
      <c r="W143" s="277"/>
      <c r="X143" s="277"/>
      <c r="Y143" s="1022"/>
      <c r="Z143" s="278"/>
      <c r="AA143" s="279" t="s">
        <v>334</v>
      </c>
      <c r="AB143" s="279" t="s">
        <v>178</v>
      </c>
      <c r="AC143" s="280" t="s">
        <v>187</v>
      </c>
      <c r="AD143" s="281">
        <v>2014</v>
      </c>
      <c r="AE143" s="320"/>
      <c r="AF143" s="267"/>
    </row>
    <row r="144" spans="1:32" s="268" customFormat="1" ht="50.1" customHeight="1" thickBot="1">
      <c r="A144" s="1050"/>
      <c r="B144" s="1051"/>
      <c r="C144" s="283" t="s">
        <v>182</v>
      </c>
      <c r="D144" s="1051"/>
      <c r="E144" s="336" t="s">
        <v>346</v>
      </c>
      <c r="F144" s="285" t="s">
        <v>330</v>
      </c>
      <c r="G144" s="286" t="s">
        <v>331</v>
      </c>
      <c r="H144" s="286" t="str">
        <f>VLOOKUP(G144,'[4]Pob. Ext, Parroquial'!$B$9:$C$117,2,0)</f>
        <v>CATAMAYO</v>
      </c>
      <c r="I144" s="286" t="s">
        <v>173</v>
      </c>
      <c r="J144" s="286" t="s">
        <v>174</v>
      </c>
      <c r="K144" s="286">
        <v>7.8</v>
      </c>
      <c r="L144" s="286">
        <f>ROUNDUP(Q144/6/1000,2)</f>
        <v>2.5599999999999996</v>
      </c>
      <c r="M144" s="287">
        <f>IF(K144&gt;0,VLOOKUP(G144,'[4]Pob. Ext, Parroquial'!$B$8:$F$117,4,FALSE),0)</f>
        <v>267</v>
      </c>
      <c r="N144" s="344" t="s">
        <v>255</v>
      </c>
      <c r="O144" s="345" t="s">
        <v>314</v>
      </c>
      <c r="P144" s="346">
        <v>0.35</v>
      </c>
      <c r="Q144" s="286">
        <v>15330</v>
      </c>
      <c r="R144" s="286"/>
      <c r="S144" s="289">
        <v>41738</v>
      </c>
      <c r="T144" s="289">
        <v>41759</v>
      </c>
      <c r="U144" s="289" t="str">
        <f t="shared" si="7"/>
        <v>EN EJECUCION</v>
      </c>
      <c r="V144" s="290">
        <f t="shared" si="6"/>
        <v>5365.5</v>
      </c>
      <c r="W144" s="290"/>
      <c r="X144" s="290"/>
      <c r="Y144" s="1023"/>
      <c r="Z144" s="278"/>
      <c r="AA144" s="279" t="s">
        <v>334</v>
      </c>
      <c r="AB144" s="279" t="s">
        <v>178</v>
      </c>
      <c r="AC144" s="280" t="s">
        <v>187</v>
      </c>
      <c r="AD144" s="281">
        <v>2014</v>
      </c>
      <c r="AE144" s="320"/>
      <c r="AF144" s="267"/>
    </row>
    <row r="145" spans="1:32" s="268" customFormat="1" ht="50.1" customHeight="1" thickTop="1">
      <c r="A145" s="1048" t="s">
        <v>452</v>
      </c>
      <c r="B145" s="1042" t="str">
        <f>+U145</f>
        <v>EN EJECUCION</v>
      </c>
      <c r="C145" s="254" t="s">
        <v>169</v>
      </c>
      <c r="D145" s="1042" t="s">
        <v>347</v>
      </c>
      <c r="E145" s="321" t="s">
        <v>347</v>
      </c>
      <c r="F145" s="256" t="s">
        <v>330</v>
      </c>
      <c r="G145" s="257" t="s">
        <v>348</v>
      </c>
      <c r="H145" s="257" t="str">
        <f>VLOOKUP(G145,'[4]Pob. Ext, Parroquial'!$B$9:$C$117,2,0)</f>
        <v>CATAMAYO</v>
      </c>
      <c r="I145" s="257" t="s">
        <v>173</v>
      </c>
      <c r="J145" s="257" t="s">
        <v>174</v>
      </c>
      <c r="K145" s="257">
        <v>1.65</v>
      </c>
      <c r="L145" s="257"/>
      <c r="M145" s="258">
        <f>IF(K145&gt;0,VLOOKUP(G145,'[4]Pob. Ext, Parroquial'!$B$8:$F$117,4,FALSE),0)</f>
        <v>245</v>
      </c>
      <c r="N145" s="347" t="s">
        <v>349</v>
      </c>
      <c r="O145" s="339" t="s">
        <v>333</v>
      </c>
      <c r="P145" s="340">
        <v>1.62</v>
      </c>
      <c r="Q145" s="340">
        <v>700</v>
      </c>
      <c r="R145" s="257"/>
      <c r="S145" s="261">
        <v>41745</v>
      </c>
      <c r="T145" s="261">
        <v>41759</v>
      </c>
      <c r="U145" s="261" t="str">
        <f t="shared" si="7"/>
        <v>EN EJECUCION</v>
      </c>
      <c r="V145" s="262">
        <f t="shared" si="6"/>
        <v>1134</v>
      </c>
      <c r="W145" s="262"/>
      <c r="X145" s="262"/>
      <c r="Y145" s="1021">
        <f>+V145+V146+V147+V148+V149+V150</f>
        <v>4325.37</v>
      </c>
      <c r="Z145" s="278"/>
      <c r="AA145" s="279" t="s">
        <v>334</v>
      </c>
      <c r="AB145" s="279" t="s">
        <v>178</v>
      </c>
      <c r="AC145" s="280" t="s">
        <v>187</v>
      </c>
      <c r="AD145" s="281">
        <v>2014</v>
      </c>
      <c r="AE145" s="320"/>
      <c r="AF145" s="267"/>
    </row>
    <row r="146" spans="1:32" s="268" customFormat="1" ht="50.1" customHeight="1">
      <c r="A146" s="1049"/>
      <c r="B146" s="1043"/>
      <c r="C146" s="270" t="s">
        <v>182</v>
      </c>
      <c r="D146" s="1043"/>
      <c r="E146" s="323" t="s">
        <v>347</v>
      </c>
      <c r="F146" s="272" t="s">
        <v>330</v>
      </c>
      <c r="G146" s="273" t="s">
        <v>348</v>
      </c>
      <c r="H146" s="273" t="str">
        <f>VLOOKUP(G146,'[4]Pob. Ext, Parroquial'!$B$9:$C$117,2,0)</f>
        <v>CATAMAYO</v>
      </c>
      <c r="I146" s="273" t="s">
        <v>173</v>
      </c>
      <c r="J146" s="273" t="s">
        <v>174</v>
      </c>
      <c r="K146" s="273"/>
      <c r="L146" s="273"/>
      <c r="M146" s="274">
        <f>IF(K146&gt;0,VLOOKUP(G146,'[4]Pob. Ext, Parroquial'!$B$8:$F$117,4,FALSE),0)</f>
        <v>0</v>
      </c>
      <c r="N146" s="341" t="s">
        <v>200</v>
      </c>
      <c r="O146" s="342" t="s">
        <v>333</v>
      </c>
      <c r="P146" s="343">
        <v>1.47</v>
      </c>
      <c r="Q146" s="343">
        <v>875</v>
      </c>
      <c r="R146" s="273"/>
      <c r="S146" s="276">
        <v>41745</v>
      </c>
      <c r="T146" s="276">
        <v>41759</v>
      </c>
      <c r="U146" s="276" t="str">
        <f t="shared" si="7"/>
        <v>EN EJECUCION</v>
      </c>
      <c r="V146" s="277">
        <f t="shared" si="6"/>
        <v>1286.25</v>
      </c>
      <c r="W146" s="277"/>
      <c r="X146" s="277"/>
      <c r="Y146" s="1022"/>
      <c r="Z146" s="278"/>
      <c r="AA146" s="279" t="s">
        <v>334</v>
      </c>
      <c r="AB146" s="279" t="s">
        <v>178</v>
      </c>
      <c r="AC146" s="280" t="s">
        <v>187</v>
      </c>
      <c r="AD146" s="281">
        <v>2014</v>
      </c>
      <c r="AE146" s="320"/>
      <c r="AF146" s="267"/>
    </row>
    <row r="147" spans="1:32" s="268" customFormat="1" ht="50.1" customHeight="1">
      <c r="A147" s="1049"/>
      <c r="B147" s="1043"/>
      <c r="C147" s="270" t="s">
        <v>182</v>
      </c>
      <c r="D147" s="1043"/>
      <c r="E147" s="323" t="s">
        <v>347</v>
      </c>
      <c r="F147" s="272" t="s">
        <v>330</v>
      </c>
      <c r="G147" s="273" t="s">
        <v>348</v>
      </c>
      <c r="H147" s="273" t="str">
        <f>VLOOKUP(G147,'[4]Pob. Ext, Parroquial'!$B$9:$C$117,2,0)</f>
        <v>CATAMAYO</v>
      </c>
      <c r="I147" s="273" t="s">
        <v>173</v>
      </c>
      <c r="J147" s="273" t="s">
        <v>174</v>
      </c>
      <c r="K147" s="273"/>
      <c r="L147" s="273">
        <f>ROUNDUP(Q147/6/1000,2)</f>
        <v>1.4</v>
      </c>
      <c r="M147" s="274">
        <f>IF(K147&gt;0,VLOOKUP(G147,'[4]Pob. Ext, Parroquial'!$B$8:$F$117,4,FALSE),0)</f>
        <v>0</v>
      </c>
      <c r="N147" s="341" t="s">
        <v>185</v>
      </c>
      <c r="O147" s="342" t="s">
        <v>314</v>
      </c>
      <c r="P147" s="343">
        <v>0.1</v>
      </c>
      <c r="Q147" s="343">
        <v>8370</v>
      </c>
      <c r="R147" s="273"/>
      <c r="S147" s="276">
        <v>41745</v>
      </c>
      <c r="T147" s="276">
        <v>41759</v>
      </c>
      <c r="U147" s="276" t="str">
        <f t="shared" si="7"/>
        <v>EN EJECUCION</v>
      </c>
      <c r="V147" s="277">
        <f t="shared" si="6"/>
        <v>837</v>
      </c>
      <c r="W147" s="277"/>
      <c r="X147" s="277"/>
      <c r="Y147" s="1022"/>
      <c r="Z147" s="278"/>
      <c r="AA147" s="279" t="s">
        <v>334</v>
      </c>
      <c r="AB147" s="279" t="s">
        <v>178</v>
      </c>
      <c r="AC147" s="280" t="s">
        <v>187</v>
      </c>
      <c r="AD147" s="281">
        <v>2014</v>
      </c>
      <c r="AE147" s="320"/>
      <c r="AF147" s="267"/>
    </row>
    <row r="148" spans="1:32" s="268" customFormat="1" ht="50.1" customHeight="1">
      <c r="A148" s="1049"/>
      <c r="B148" s="1043"/>
      <c r="C148" s="270" t="s">
        <v>182</v>
      </c>
      <c r="D148" s="1043"/>
      <c r="E148" s="323" t="s">
        <v>347</v>
      </c>
      <c r="F148" s="272" t="s">
        <v>330</v>
      </c>
      <c r="G148" s="273" t="s">
        <v>348</v>
      </c>
      <c r="H148" s="273" t="str">
        <f>VLOOKUP(G148,'[4]Pob. Ext, Parroquial'!$B$9:$C$117,2,0)</f>
        <v>CATAMAYO</v>
      </c>
      <c r="I148" s="273" t="s">
        <v>173</v>
      </c>
      <c r="J148" s="273" t="s">
        <v>174</v>
      </c>
      <c r="K148" s="273"/>
      <c r="L148" s="273"/>
      <c r="M148" s="274">
        <f>IF(K148&gt;0,VLOOKUP(G148,'[4]Pob. Ext, Parroquial'!$B$8:$F$117,4,FALSE),0)</f>
        <v>0</v>
      </c>
      <c r="N148" s="341" t="s">
        <v>351</v>
      </c>
      <c r="O148" s="342" t="s">
        <v>352</v>
      </c>
      <c r="P148" s="343">
        <v>0.38</v>
      </c>
      <c r="Q148" s="343">
        <v>780</v>
      </c>
      <c r="R148" s="273"/>
      <c r="S148" s="276">
        <v>41745</v>
      </c>
      <c r="T148" s="276">
        <v>41759</v>
      </c>
      <c r="U148" s="276" t="str">
        <f t="shared" si="7"/>
        <v>EN EJECUCION</v>
      </c>
      <c r="V148" s="277">
        <f t="shared" si="6"/>
        <v>296.39999999999998</v>
      </c>
      <c r="W148" s="277"/>
      <c r="X148" s="277"/>
      <c r="Y148" s="1022"/>
      <c r="Z148" s="278"/>
      <c r="AA148" s="279" t="s">
        <v>334</v>
      </c>
      <c r="AB148" s="279" t="s">
        <v>178</v>
      </c>
      <c r="AC148" s="280" t="s">
        <v>187</v>
      </c>
      <c r="AD148" s="281">
        <v>2014</v>
      </c>
      <c r="AE148" s="320"/>
      <c r="AF148" s="267"/>
    </row>
    <row r="149" spans="1:32" s="268" customFormat="1" ht="50.1" customHeight="1">
      <c r="A149" s="1049"/>
      <c r="B149" s="1043"/>
      <c r="C149" s="270" t="s">
        <v>169</v>
      </c>
      <c r="D149" s="1043"/>
      <c r="E149" s="323" t="s">
        <v>347</v>
      </c>
      <c r="F149" s="272" t="s">
        <v>330</v>
      </c>
      <c r="G149" s="273" t="s">
        <v>348</v>
      </c>
      <c r="H149" s="273" t="str">
        <f>VLOOKUP(G149,'[4]Pob. Ext, Parroquial'!$B$9:$C$117,2,0)</f>
        <v>CATAMAYO</v>
      </c>
      <c r="I149" s="273" t="s">
        <v>173</v>
      </c>
      <c r="J149" s="273" t="s">
        <v>174</v>
      </c>
      <c r="K149" s="273"/>
      <c r="L149" s="273"/>
      <c r="M149" s="274">
        <f>IF(K149&gt;0,VLOOKUP(G149,'[4]Pob. Ext, Parroquial'!$B$8:$F$117,4,FALSE),0)</f>
        <v>0</v>
      </c>
      <c r="N149" s="341" t="s">
        <v>180</v>
      </c>
      <c r="O149" s="342" t="s">
        <v>352</v>
      </c>
      <c r="P149" s="343">
        <v>0.3</v>
      </c>
      <c r="Q149" s="343">
        <v>260.39999999999998</v>
      </c>
      <c r="R149" s="273"/>
      <c r="S149" s="276">
        <v>41745</v>
      </c>
      <c r="T149" s="276">
        <v>41759</v>
      </c>
      <c r="U149" s="276" t="str">
        <f t="shared" si="7"/>
        <v>EN EJECUCION</v>
      </c>
      <c r="V149" s="277">
        <f t="shared" si="6"/>
        <v>78.12</v>
      </c>
      <c r="W149" s="277"/>
      <c r="X149" s="277"/>
      <c r="Y149" s="1022"/>
      <c r="Z149" s="278"/>
      <c r="AA149" s="279" t="s">
        <v>334</v>
      </c>
      <c r="AB149" s="279" t="s">
        <v>178</v>
      </c>
      <c r="AC149" s="280" t="s">
        <v>187</v>
      </c>
      <c r="AD149" s="281">
        <v>2014</v>
      </c>
      <c r="AE149" s="320"/>
      <c r="AF149" s="267"/>
    </row>
    <row r="150" spans="1:32" s="268" customFormat="1" ht="50.1" customHeight="1" thickBot="1">
      <c r="A150" s="1050"/>
      <c r="B150" s="1051"/>
      <c r="C150" s="283" t="s">
        <v>169</v>
      </c>
      <c r="D150" s="1051"/>
      <c r="E150" s="336" t="s">
        <v>347</v>
      </c>
      <c r="F150" s="285" t="s">
        <v>330</v>
      </c>
      <c r="G150" s="286" t="s">
        <v>348</v>
      </c>
      <c r="H150" s="286" t="str">
        <f>VLOOKUP(G150,'[4]Pob. Ext, Parroquial'!$B$9:$C$117,2,0)</f>
        <v>CATAMAYO</v>
      </c>
      <c r="I150" s="286" t="s">
        <v>173</v>
      </c>
      <c r="J150" s="286" t="s">
        <v>174</v>
      </c>
      <c r="K150" s="286"/>
      <c r="L150" s="286">
        <f>ROUNDUP(Q150/6/1000,2)</f>
        <v>0.02</v>
      </c>
      <c r="M150" s="287">
        <f>IF(K150&gt;0,VLOOKUP(G150,'[4]Pob. Ext, Parroquial'!$B$8:$F$117,4,FALSE),0)</f>
        <v>0</v>
      </c>
      <c r="N150" s="348" t="s">
        <v>229</v>
      </c>
      <c r="O150" s="345" t="s">
        <v>333</v>
      </c>
      <c r="P150" s="346">
        <v>5.78</v>
      </c>
      <c r="Q150" s="346">
        <v>120</v>
      </c>
      <c r="R150" s="286"/>
      <c r="S150" s="289">
        <v>41745</v>
      </c>
      <c r="T150" s="289">
        <v>41759</v>
      </c>
      <c r="U150" s="289" t="str">
        <f t="shared" si="7"/>
        <v>EN EJECUCION</v>
      </c>
      <c r="V150" s="290">
        <f t="shared" si="6"/>
        <v>693.6</v>
      </c>
      <c r="W150" s="290"/>
      <c r="X150" s="290"/>
      <c r="Y150" s="1023"/>
      <c r="Z150" s="278"/>
      <c r="AA150" s="279" t="s">
        <v>334</v>
      </c>
      <c r="AB150" s="279" t="s">
        <v>178</v>
      </c>
      <c r="AC150" s="280" t="s">
        <v>187</v>
      </c>
      <c r="AD150" s="281">
        <v>2014</v>
      </c>
      <c r="AE150" s="320"/>
      <c r="AF150" s="267"/>
    </row>
    <row r="151" spans="1:32" s="268" customFormat="1" ht="50.1" customHeight="1" thickTop="1">
      <c r="A151" s="1048"/>
      <c r="B151" s="1042"/>
      <c r="C151" s="254" t="s">
        <v>169</v>
      </c>
      <c r="D151" s="1042" t="s">
        <v>354</v>
      </c>
      <c r="E151" s="255" t="s">
        <v>354</v>
      </c>
      <c r="F151" s="256" t="s">
        <v>330</v>
      </c>
      <c r="G151" s="257" t="s">
        <v>355</v>
      </c>
      <c r="H151" s="257" t="str">
        <f>VLOOKUP(G151,'[4]Pob. Ext, Parroquial'!$B$9:$C$117,2,0)</f>
        <v>CATAMAYO</v>
      </c>
      <c r="I151" s="257" t="s">
        <v>173</v>
      </c>
      <c r="J151" s="257" t="s">
        <v>174</v>
      </c>
      <c r="K151" s="257">
        <v>12.7</v>
      </c>
      <c r="L151" s="257"/>
      <c r="M151" s="258">
        <f>IF(K151&gt;0,VLOOKUP(G151,'[4]Pob. Ext, Parroquial'!$B$8:$F$117,4,FALSE),0)</f>
        <v>2886</v>
      </c>
      <c r="N151" s="259" t="s">
        <v>361</v>
      </c>
      <c r="O151" s="257" t="s">
        <v>333</v>
      </c>
      <c r="P151" s="257">
        <v>2.54</v>
      </c>
      <c r="Q151" s="257">
        <v>1300</v>
      </c>
      <c r="R151" s="257"/>
      <c r="S151" s="261">
        <v>41705</v>
      </c>
      <c r="T151" s="261">
        <v>41759</v>
      </c>
      <c r="U151" s="261" t="str">
        <f t="shared" si="7"/>
        <v>EN EJECUCION</v>
      </c>
      <c r="V151" s="262">
        <f t="shared" si="6"/>
        <v>3302</v>
      </c>
      <c r="W151" s="262"/>
      <c r="X151" s="262"/>
      <c r="Y151" s="1021">
        <f>SUM(V151:V157)</f>
        <v>25556.400000000001</v>
      </c>
      <c r="Z151" s="278"/>
      <c r="AA151" s="279" t="s">
        <v>334</v>
      </c>
      <c r="AB151" s="279" t="s">
        <v>178</v>
      </c>
      <c r="AC151" s="280" t="s">
        <v>187</v>
      </c>
      <c r="AD151" s="281">
        <v>2014</v>
      </c>
      <c r="AE151" s="320"/>
      <c r="AF151" s="267"/>
    </row>
    <row r="152" spans="1:32" s="268" customFormat="1" ht="50.1" customHeight="1">
      <c r="A152" s="1049"/>
      <c r="B152" s="1043"/>
      <c r="C152" s="270" t="s">
        <v>169</v>
      </c>
      <c r="D152" s="1043"/>
      <c r="E152" s="271" t="s">
        <v>354</v>
      </c>
      <c r="F152" s="272" t="s">
        <v>330</v>
      </c>
      <c r="G152" s="273" t="s">
        <v>355</v>
      </c>
      <c r="H152" s="273" t="str">
        <f>VLOOKUP(G152,'[4]Pob. Ext, Parroquial'!$B$9:$C$117,2,0)</f>
        <v>CATAMAYO</v>
      </c>
      <c r="I152" s="273" t="s">
        <v>173</v>
      </c>
      <c r="J152" s="273" t="s">
        <v>174</v>
      </c>
      <c r="K152" s="273"/>
      <c r="L152" s="273"/>
      <c r="M152" s="274">
        <f>IF(K152&gt;0,VLOOKUP(G152,'[4]Pob. Ext, Parroquial'!$B$8:$F$117,4,FALSE),0)</f>
        <v>0</v>
      </c>
      <c r="N152" s="275" t="s">
        <v>362</v>
      </c>
      <c r="O152" s="273" t="s">
        <v>333</v>
      </c>
      <c r="P152" s="273">
        <v>1.62</v>
      </c>
      <c r="Q152" s="273">
        <v>4930</v>
      </c>
      <c r="R152" s="273"/>
      <c r="S152" s="276">
        <v>41705</v>
      </c>
      <c r="T152" s="276">
        <v>41759</v>
      </c>
      <c r="U152" s="276" t="str">
        <f t="shared" si="7"/>
        <v>EN EJECUCION</v>
      </c>
      <c r="V152" s="277">
        <f>ROUND(P152*Q152,2)</f>
        <v>7986.6</v>
      </c>
      <c r="W152" s="277"/>
      <c r="X152" s="277"/>
      <c r="Y152" s="1022"/>
      <c r="Z152" s="278"/>
      <c r="AA152" s="279" t="s">
        <v>334</v>
      </c>
      <c r="AB152" s="279" t="s">
        <v>178</v>
      </c>
      <c r="AC152" s="280" t="s">
        <v>187</v>
      </c>
      <c r="AD152" s="281">
        <v>2014</v>
      </c>
      <c r="AE152" s="320"/>
      <c r="AF152" s="267"/>
    </row>
    <row r="153" spans="1:32" s="268" customFormat="1" ht="50.1" customHeight="1">
      <c r="A153" s="1049"/>
      <c r="B153" s="1043"/>
      <c r="C153" s="270" t="s">
        <v>169</v>
      </c>
      <c r="D153" s="1043"/>
      <c r="E153" s="271" t="s">
        <v>354</v>
      </c>
      <c r="F153" s="272" t="s">
        <v>330</v>
      </c>
      <c r="G153" s="273" t="s">
        <v>355</v>
      </c>
      <c r="H153" s="273" t="str">
        <f>VLOOKUP(G153,'[4]Pob. Ext, Parroquial'!$B$9:$C$117,2,0)</f>
        <v>CATAMAYO</v>
      </c>
      <c r="I153" s="273" t="s">
        <v>173</v>
      </c>
      <c r="J153" s="273" t="s">
        <v>174</v>
      </c>
      <c r="K153" s="273"/>
      <c r="L153" s="273"/>
      <c r="M153" s="274">
        <f>IF(K153&gt;0,VLOOKUP(G153,'[4]Pob. Ext, Parroquial'!$B$8:$F$117,4,FALSE),0)</f>
        <v>0</v>
      </c>
      <c r="N153" s="275" t="s">
        <v>395</v>
      </c>
      <c r="O153" s="273" t="s">
        <v>333</v>
      </c>
      <c r="P153" s="273">
        <v>1.47</v>
      </c>
      <c r="Q153" s="273">
        <v>2130</v>
      </c>
      <c r="R153" s="273"/>
      <c r="S153" s="276">
        <v>41705</v>
      </c>
      <c r="T153" s="276">
        <v>41759</v>
      </c>
      <c r="U153" s="276" t="str">
        <f t="shared" si="7"/>
        <v>EN EJECUCION</v>
      </c>
      <c r="V153" s="277">
        <f t="shared" si="6"/>
        <v>3131.1</v>
      </c>
      <c r="W153" s="277"/>
      <c r="X153" s="277"/>
      <c r="Y153" s="1022"/>
      <c r="Z153" s="278"/>
      <c r="AA153" s="279" t="s">
        <v>334</v>
      </c>
      <c r="AB153" s="279" t="s">
        <v>178</v>
      </c>
      <c r="AC153" s="280" t="s">
        <v>187</v>
      </c>
      <c r="AD153" s="281">
        <v>2014</v>
      </c>
      <c r="AE153" s="320"/>
      <c r="AF153" s="267"/>
    </row>
    <row r="154" spans="1:32" s="268" customFormat="1" ht="50.1" customHeight="1">
      <c r="A154" s="1049"/>
      <c r="B154" s="1043"/>
      <c r="C154" s="270" t="s">
        <v>169</v>
      </c>
      <c r="D154" s="1043"/>
      <c r="E154" s="271" t="s">
        <v>354</v>
      </c>
      <c r="F154" s="272" t="s">
        <v>330</v>
      </c>
      <c r="G154" s="273" t="s">
        <v>355</v>
      </c>
      <c r="H154" s="273" t="str">
        <f>VLOOKUP(G154,'[4]Pob. Ext, Parroquial'!$B$9:$C$117,2,0)</f>
        <v>CATAMAYO</v>
      </c>
      <c r="I154" s="273" t="s">
        <v>173</v>
      </c>
      <c r="J154" s="273" t="s">
        <v>174</v>
      </c>
      <c r="K154" s="273"/>
      <c r="L154" s="273"/>
      <c r="M154" s="274">
        <f>IF(K154&gt;0,VLOOKUP(G154,'[4]Pob. Ext, Parroquial'!$B$8:$F$117,4,FALSE),0)</f>
        <v>0</v>
      </c>
      <c r="N154" s="275" t="s">
        <v>351</v>
      </c>
      <c r="O154" s="273" t="s">
        <v>352</v>
      </c>
      <c r="P154" s="273">
        <v>0.38</v>
      </c>
      <c r="Q154" s="273">
        <v>1457</v>
      </c>
      <c r="R154" s="273"/>
      <c r="S154" s="276">
        <v>41705</v>
      </c>
      <c r="T154" s="276">
        <v>41759</v>
      </c>
      <c r="U154" s="276" t="str">
        <f t="shared" si="7"/>
        <v>EN EJECUCION</v>
      </c>
      <c r="V154" s="277">
        <f t="shared" si="6"/>
        <v>553.66</v>
      </c>
      <c r="W154" s="277"/>
      <c r="X154" s="277"/>
      <c r="Y154" s="1022"/>
      <c r="Z154" s="278"/>
      <c r="AA154" s="279" t="s">
        <v>334</v>
      </c>
      <c r="AB154" s="279" t="s">
        <v>178</v>
      </c>
      <c r="AC154" s="280" t="s">
        <v>187</v>
      </c>
      <c r="AD154" s="281">
        <v>2014</v>
      </c>
      <c r="AE154" s="320"/>
      <c r="AF154" s="267"/>
    </row>
    <row r="155" spans="1:32" s="268" customFormat="1" ht="50.1" customHeight="1">
      <c r="A155" s="1049"/>
      <c r="B155" s="1043"/>
      <c r="C155" s="270" t="s">
        <v>169</v>
      </c>
      <c r="D155" s="1043"/>
      <c r="E155" s="271" t="s">
        <v>354</v>
      </c>
      <c r="F155" s="272" t="s">
        <v>330</v>
      </c>
      <c r="G155" s="273" t="s">
        <v>355</v>
      </c>
      <c r="H155" s="273" t="str">
        <f>VLOOKUP(G155,'[4]Pob. Ext, Parroquial'!$B$9:$C$117,2,0)</f>
        <v>CATAMAYO</v>
      </c>
      <c r="I155" s="273" t="s">
        <v>173</v>
      </c>
      <c r="J155" s="273" t="s">
        <v>174</v>
      </c>
      <c r="K155" s="273"/>
      <c r="L155" s="273"/>
      <c r="M155" s="274">
        <f>IF(K155&gt;0,VLOOKUP(G155,'[4]Pob. Ext, Parroquial'!$B$8:$F$117,4,FALSE),0)</f>
        <v>0</v>
      </c>
      <c r="N155" s="275" t="s">
        <v>363</v>
      </c>
      <c r="O155" s="273" t="s">
        <v>352</v>
      </c>
      <c r="P155" s="273">
        <v>0.3</v>
      </c>
      <c r="Q155" s="273">
        <v>5902.4</v>
      </c>
      <c r="R155" s="273"/>
      <c r="S155" s="276">
        <v>41705</v>
      </c>
      <c r="T155" s="276">
        <v>41759</v>
      </c>
      <c r="U155" s="276" t="str">
        <f t="shared" si="7"/>
        <v>EN EJECUCION</v>
      </c>
      <c r="V155" s="277">
        <f t="shared" si="6"/>
        <v>1770.72</v>
      </c>
      <c r="W155" s="277"/>
      <c r="X155" s="277"/>
      <c r="Y155" s="1022"/>
      <c r="Z155" s="278"/>
      <c r="AA155" s="279" t="s">
        <v>334</v>
      </c>
      <c r="AB155" s="279" t="s">
        <v>178</v>
      </c>
      <c r="AC155" s="280" t="s">
        <v>187</v>
      </c>
      <c r="AD155" s="281">
        <v>2014</v>
      </c>
      <c r="AE155" s="320"/>
      <c r="AF155" s="267"/>
    </row>
    <row r="156" spans="1:32" s="268" customFormat="1" ht="50.1" customHeight="1">
      <c r="A156" s="1049"/>
      <c r="B156" s="1043"/>
      <c r="C156" s="270" t="s">
        <v>169</v>
      </c>
      <c r="D156" s="1043"/>
      <c r="E156" s="271" t="s">
        <v>354</v>
      </c>
      <c r="F156" s="272" t="s">
        <v>330</v>
      </c>
      <c r="G156" s="273" t="s">
        <v>355</v>
      </c>
      <c r="H156" s="273" t="str">
        <f>VLOOKUP(G156,'[4]Pob. Ext, Parroquial'!$B$9:$C$117,2,0)</f>
        <v>CATAMAYO</v>
      </c>
      <c r="I156" s="273" t="s">
        <v>173</v>
      </c>
      <c r="J156" s="273" t="s">
        <v>174</v>
      </c>
      <c r="K156" s="273"/>
      <c r="L156" s="273"/>
      <c r="M156" s="274">
        <f>IF(K156&gt;0,VLOOKUP(G156,'[4]Pob. Ext, Parroquial'!$B$8:$F$117,4,FALSE),0)</f>
        <v>0</v>
      </c>
      <c r="N156" s="275" t="s">
        <v>180</v>
      </c>
      <c r="O156" s="273" t="s">
        <v>352</v>
      </c>
      <c r="P156" s="273">
        <v>0.3</v>
      </c>
      <c r="Q156" s="273">
        <v>11572</v>
      </c>
      <c r="R156" s="273"/>
      <c r="S156" s="276">
        <v>41705</v>
      </c>
      <c r="T156" s="276">
        <v>41759</v>
      </c>
      <c r="U156" s="276" t="str">
        <f t="shared" si="7"/>
        <v>EN EJECUCION</v>
      </c>
      <c r="V156" s="277">
        <f>ROUND(P156*Q156,2)</f>
        <v>3471.6</v>
      </c>
      <c r="W156" s="277"/>
      <c r="X156" s="277"/>
      <c r="Y156" s="1022"/>
      <c r="Z156" s="278"/>
      <c r="AA156" s="279" t="s">
        <v>334</v>
      </c>
      <c r="AB156" s="279" t="s">
        <v>178</v>
      </c>
      <c r="AC156" s="280" t="s">
        <v>187</v>
      </c>
      <c r="AD156" s="281">
        <v>2014</v>
      </c>
      <c r="AE156" s="320"/>
      <c r="AF156" s="267"/>
    </row>
    <row r="157" spans="1:32" s="268" customFormat="1" ht="50.1" customHeight="1" thickBot="1">
      <c r="A157" s="1050"/>
      <c r="B157" s="1051"/>
      <c r="C157" s="283" t="s">
        <v>169</v>
      </c>
      <c r="D157" s="1051"/>
      <c r="E157" s="284" t="s">
        <v>354</v>
      </c>
      <c r="F157" s="285" t="s">
        <v>330</v>
      </c>
      <c r="G157" s="286" t="s">
        <v>355</v>
      </c>
      <c r="H157" s="286" t="str">
        <f>VLOOKUP(G157,'[4]Pob. Ext, Parroquial'!$B$9:$C$117,2,0)</f>
        <v>CATAMAYO</v>
      </c>
      <c r="I157" s="286" t="s">
        <v>173</v>
      </c>
      <c r="J157" s="286" t="s">
        <v>174</v>
      </c>
      <c r="K157" s="286"/>
      <c r="L157" s="286">
        <f>+ROUND(Q157/6000/0.2,2)</f>
        <v>0.77</v>
      </c>
      <c r="M157" s="287">
        <f>IF(K157&gt;0,VLOOKUP(G157,'[4]Pob. Ext, Parroquial'!$B$8:$F$117,4,FALSE),0)</f>
        <v>0</v>
      </c>
      <c r="N157" s="288" t="s">
        <v>229</v>
      </c>
      <c r="O157" s="286" t="s">
        <v>364</v>
      </c>
      <c r="P157" s="286">
        <v>5.78</v>
      </c>
      <c r="Q157" s="286">
        <v>924</v>
      </c>
      <c r="R157" s="286"/>
      <c r="S157" s="289">
        <v>41705</v>
      </c>
      <c r="T157" s="289">
        <v>41759</v>
      </c>
      <c r="U157" s="289" t="str">
        <f t="shared" si="7"/>
        <v>EN EJECUCION</v>
      </c>
      <c r="V157" s="290">
        <f t="shared" si="6"/>
        <v>5340.72</v>
      </c>
      <c r="W157" s="290"/>
      <c r="X157" s="290"/>
      <c r="Y157" s="1023"/>
      <c r="Z157" s="278"/>
      <c r="AA157" s="279" t="s">
        <v>334</v>
      </c>
      <c r="AB157" s="279" t="s">
        <v>178</v>
      </c>
      <c r="AC157" s="280" t="s">
        <v>187</v>
      </c>
      <c r="AD157" s="281">
        <v>2014</v>
      </c>
      <c r="AE157" s="320"/>
      <c r="AF157" s="267"/>
    </row>
    <row r="158" spans="1:32" s="268" customFormat="1" ht="50.1" customHeight="1" thickTop="1" thickBot="1">
      <c r="A158" s="317" t="s">
        <v>493</v>
      </c>
      <c r="B158" s="299" t="str">
        <f>+U158</f>
        <v>EN EJECUCION</v>
      </c>
      <c r="C158" s="299" t="s">
        <v>182</v>
      </c>
      <c r="D158" s="299" t="s">
        <v>365</v>
      </c>
      <c r="E158" s="300" t="s">
        <v>746</v>
      </c>
      <c r="F158" s="301" t="s">
        <v>330</v>
      </c>
      <c r="G158" s="302" t="s">
        <v>355</v>
      </c>
      <c r="H158" s="302" t="str">
        <f>VLOOKUP(G158,'[4]Pob. Ext, Parroquial'!$B$9:$C$117,2,0)</f>
        <v>CATAMAYO</v>
      </c>
      <c r="I158" s="302" t="s">
        <v>173</v>
      </c>
      <c r="J158" s="302" t="s">
        <v>174</v>
      </c>
      <c r="K158" s="302">
        <v>12.7</v>
      </c>
      <c r="L158" s="302"/>
      <c r="M158" s="303">
        <f>IF(K158&gt;0,VLOOKUP(G158,'[4]Pob. Ext, Parroquial'!$B$8:$F$117,4,FALSE),0)</f>
        <v>2886</v>
      </c>
      <c r="N158" s="304" t="s">
        <v>200</v>
      </c>
      <c r="O158" s="302" t="s">
        <v>333</v>
      </c>
      <c r="P158" s="302">
        <v>1.47</v>
      </c>
      <c r="Q158" s="302">
        <v>1415</v>
      </c>
      <c r="R158" s="302"/>
      <c r="S158" s="305">
        <v>41688</v>
      </c>
      <c r="T158" s="305">
        <v>41759</v>
      </c>
      <c r="U158" s="305" t="str">
        <f t="shared" si="7"/>
        <v>EN EJECUCION</v>
      </c>
      <c r="V158" s="306">
        <f t="shared" si="6"/>
        <v>2080.0500000000002</v>
      </c>
      <c r="W158" s="306"/>
      <c r="X158" s="306"/>
      <c r="Y158" s="318">
        <f>V158+W158+X158</f>
        <v>2080.0500000000002</v>
      </c>
      <c r="Z158" s="278"/>
      <c r="AA158" s="279" t="s">
        <v>334</v>
      </c>
      <c r="AB158" s="279" t="s">
        <v>178</v>
      </c>
      <c r="AC158" s="280" t="s">
        <v>187</v>
      </c>
      <c r="AD158" s="281">
        <v>2014</v>
      </c>
      <c r="AE158" s="320"/>
      <c r="AF158" s="267"/>
    </row>
    <row r="159" spans="1:32" s="268" customFormat="1" ht="50.1" customHeight="1" thickTop="1" thickBot="1">
      <c r="A159" s="317"/>
      <c r="B159" s="299"/>
      <c r="C159" s="299" t="s">
        <v>182</v>
      </c>
      <c r="D159" s="299" t="s">
        <v>366</v>
      </c>
      <c r="E159" s="300" t="s">
        <v>366</v>
      </c>
      <c r="F159" s="301" t="s">
        <v>330</v>
      </c>
      <c r="G159" s="302" t="s">
        <v>355</v>
      </c>
      <c r="H159" s="302" t="str">
        <f>VLOOKUP(G159,'[4]Pob. Ext, Parroquial'!$B$9:$C$117,2,0)</f>
        <v>CATAMAYO</v>
      </c>
      <c r="I159" s="302" t="s">
        <v>173</v>
      </c>
      <c r="J159" s="302" t="s">
        <v>174</v>
      </c>
      <c r="K159" s="302">
        <v>18.2</v>
      </c>
      <c r="L159" s="302"/>
      <c r="M159" s="303">
        <f>IF(K159&gt;0,VLOOKUP(G159,'[4]Pob. Ext, Parroquial'!$B$8:$F$117,4,FALSE),0)</f>
        <v>2886</v>
      </c>
      <c r="N159" s="304" t="s">
        <v>200</v>
      </c>
      <c r="O159" s="302" t="s">
        <v>333</v>
      </c>
      <c r="P159" s="302">
        <v>1.47</v>
      </c>
      <c r="Q159" s="302">
        <v>925</v>
      </c>
      <c r="R159" s="302"/>
      <c r="S159" s="305">
        <v>41733</v>
      </c>
      <c r="T159" s="305">
        <v>41759</v>
      </c>
      <c r="U159" s="305" t="str">
        <f t="shared" si="7"/>
        <v>EN EJECUCION</v>
      </c>
      <c r="V159" s="306">
        <f t="shared" si="6"/>
        <v>1359.75</v>
      </c>
      <c r="W159" s="306"/>
      <c r="X159" s="306"/>
      <c r="Y159" s="318">
        <f>V159+W159+X159</f>
        <v>1359.75</v>
      </c>
      <c r="Z159" s="278"/>
      <c r="AA159" s="279" t="s">
        <v>334</v>
      </c>
      <c r="AB159" s="279" t="s">
        <v>178</v>
      </c>
      <c r="AC159" s="280" t="s">
        <v>187</v>
      </c>
      <c r="AD159" s="281">
        <v>2014</v>
      </c>
      <c r="AE159" s="320"/>
      <c r="AF159" s="267"/>
    </row>
    <row r="160" spans="1:32" s="268" customFormat="1" ht="50.1" customHeight="1" thickTop="1" thickBot="1">
      <c r="A160" s="317"/>
      <c r="B160" s="299"/>
      <c r="C160" s="299" t="s">
        <v>182</v>
      </c>
      <c r="D160" s="299" t="s">
        <v>367</v>
      </c>
      <c r="E160" s="300" t="s">
        <v>367</v>
      </c>
      <c r="F160" s="301" t="s">
        <v>330</v>
      </c>
      <c r="G160" s="302" t="s">
        <v>355</v>
      </c>
      <c r="H160" s="302" t="str">
        <f>VLOOKUP(G160,'[4]Pob. Ext, Parroquial'!$B$9:$C$117,2,0)</f>
        <v>CATAMAYO</v>
      </c>
      <c r="I160" s="302" t="s">
        <v>173</v>
      </c>
      <c r="J160" s="302" t="s">
        <v>174</v>
      </c>
      <c r="K160" s="302">
        <v>8.6</v>
      </c>
      <c r="L160" s="302"/>
      <c r="M160" s="303">
        <f>IF(K160&gt;0,VLOOKUP(G160,'[4]Pob. Ext, Parroquial'!$B$8:$F$117,4,FALSE),0)</f>
        <v>2886</v>
      </c>
      <c r="N160" s="304" t="s">
        <v>200</v>
      </c>
      <c r="O160" s="302" t="s">
        <v>333</v>
      </c>
      <c r="P160" s="302">
        <v>1.47</v>
      </c>
      <c r="Q160" s="302">
        <v>350</v>
      </c>
      <c r="R160" s="302"/>
      <c r="S160" s="305">
        <v>41739</v>
      </c>
      <c r="T160" s="305">
        <v>41759</v>
      </c>
      <c r="U160" s="305" t="str">
        <f t="shared" si="7"/>
        <v>EN EJECUCION</v>
      </c>
      <c r="V160" s="306">
        <f t="shared" si="6"/>
        <v>514.5</v>
      </c>
      <c r="W160" s="306"/>
      <c r="X160" s="306"/>
      <c r="Y160" s="318">
        <f>V160+W160+X160</f>
        <v>514.5</v>
      </c>
      <c r="Z160" s="278"/>
      <c r="AA160" s="279" t="s">
        <v>334</v>
      </c>
      <c r="AB160" s="279" t="s">
        <v>178</v>
      </c>
      <c r="AC160" s="280" t="s">
        <v>187</v>
      </c>
      <c r="AD160" s="281">
        <v>2014</v>
      </c>
      <c r="AE160" s="320"/>
      <c r="AF160" s="267"/>
    </row>
    <row r="161" spans="1:32" s="268" customFormat="1" ht="50.1" customHeight="1" thickTop="1">
      <c r="A161" s="1048"/>
      <c r="B161" s="1042"/>
      <c r="C161" s="254" t="s">
        <v>169</v>
      </c>
      <c r="D161" s="1042" t="s">
        <v>371</v>
      </c>
      <c r="E161" s="321" t="s">
        <v>371</v>
      </c>
      <c r="F161" s="256" t="s">
        <v>330</v>
      </c>
      <c r="G161" s="257" t="s">
        <v>355</v>
      </c>
      <c r="H161" s="257" t="str">
        <f>VLOOKUP(G161,'[4]Pob. Ext, Parroquial'!$B$9:$C$117,2,0)</f>
        <v>CATAMAYO</v>
      </c>
      <c r="I161" s="257" t="s">
        <v>173</v>
      </c>
      <c r="J161" s="257" t="s">
        <v>174</v>
      </c>
      <c r="K161" s="257">
        <v>4.7</v>
      </c>
      <c r="L161" s="257"/>
      <c r="M161" s="258">
        <f>IF(K161&gt;0,VLOOKUP(G161,'[4]Pob. Ext, Parroquial'!$B$8:$F$117,4,FALSE),0)</f>
        <v>2886</v>
      </c>
      <c r="N161" s="349" t="s">
        <v>336</v>
      </c>
      <c r="O161" s="339" t="s">
        <v>333</v>
      </c>
      <c r="P161" s="340">
        <v>1.47</v>
      </c>
      <c r="Q161" s="340">
        <v>100</v>
      </c>
      <c r="R161" s="257"/>
      <c r="S161" s="261">
        <v>41739</v>
      </c>
      <c r="T161" s="261">
        <v>41759</v>
      </c>
      <c r="U161" s="261" t="str">
        <f t="shared" si="7"/>
        <v>EN EJECUCION</v>
      </c>
      <c r="V161" s="262">
        <f t="shared" si="6"/>
        <v>147</v>
      </c>
      <c r="W161" s="262"/>
      <c r="X161" s="262"/>
      <c r="Y161" s="1021">
        <f>+V161+V162+V163</f>
        <v>617.16000000000008</v>
      </c>
      <c r="Z161" s="278"/>
      <c r="AA161" s="279" t="s">
        <v>334</v>
      </c>
      <c r="AB161" s="279" t="s">
        <v>178</v>
      </c>
      <c r="AC161" s="280" t="s">
        <v>187</v>
      </c>
      <c r="AD161" s="281">
        <v>2014</v>
      </c>
      <c r="AE161" s="320"/>
      <c r="AF161" s="267"/>
    </row>
    <row r="162" spans="1:32" s="268" customFormat="1" ht="50.1" customHeight="1">
      <c r="A162" s="1049"/>
      <c r="B162" s="1043"/>
      <c r="C162" s="270" t="s">
        <v>169</v>
      </c>
      <c r="D162" s="1043"/>
      <c r="E162" s="323" t="s">
        <v>371</v>
      </c>
      <c r="F162" s="272" t="s">
        <v>330</v>
      </c>
      <c r="G162" s="273" t="s">
        <v>355</v>
      </c>
      <c r="H162" s="273" t="str">
        <f>VLOOKUP(G162,'[4]Pob. Ext, Parroquial'!$B$9:$C$117,2,0)</f>
        <v>CATAMAYO</v>
      </c>
      <c r="I162" s="273" t="s">
        <v>173</v>
      </c>
      <c r="J162" s="273" t="s">
        <v>174</v>
      </c>
      <c r="K162" s="273">
        <v>4.7</v>
      </c>
      <c r="L162" s="273"/>
      <c r="M162" s="274">
        <f>IF(K162&gt;0,VLOOKUP(G162,'[4]Pob. Ext, Parroquial'!$B$8:$F$117,4,FALSE),0)</f>
        <v>2886</v>
      </c>
      <c r="N162" s="350" t="s">
        <v>180</v>
      </c>
      <c r="O162" s="342" t="s">
        <v>352</v>
      </c>
      <c r="P162" s="343">
        <v>0.3</v>
      </c>
      <c r="Q162" s="343">
        <v>180</v>
      </c>
      <c r="R162" s="273"/>
      <c r="S162" s="276">
        <v>41739</v>
      </c>
      <c r="T162" s="276">
        <v>41759</v>
      </c>
      <c r="U162" s="276" t="str">
        <f t="shared" si="7"/>
        <v>EN EJECUCION</v>
      </c>
      <c r="V162" s="277">
        <f t="shared" si="6"/>
        <v>54</v>
      </c>
      <c r="W162" s="277"/>
      <c r="X162" s="277"/>
      <c r="Y162" s="1022"/>
      <c r="Z162" s="278"/>
      <c r="AA162" s="279" t="s">
        <v>334</v>
      </c>
      <c r="AB162" s="279" t="s">
        <v>178</v>
      </c>
      <c r="AC162" s="280" t="s">
        <v>187</v>
      </c>
      <c r="AD162" s="281">
        <v>2014</v>
      </c>
      <c r="AE162" s="320"/>
      <c r="AF162" s="267"/>
    </row>
    <row r="163" spans="1:32" s="268" customFormat="1" ht="50.1" customHeight="1" thickBot="1">
      <c r="A163" s="1050"/>
      <c r="B163" s="1051"/>
      <c r="C163" s="283" t="s">
        <v>169</v>
      </c>
      <c r="D163" s="1051"/>
      <c r="E163" s="336" t="s">
        <v>371</v>
      </c>
      <c r="F163" s="285" t="s">
        <v>330</v>
      </c>
      <c r="G163" s="286" t="s">
        <v>355</v>
      </c>
      <c r="H163" s="286" t="str">
        <f>VLOOKUP(G163,'[4]Pob. Ext, Parroquial'!$B$9:$C$117,2,0)</f>
        <v>CATAMAYO</v>
      </c>
      <c r="I163" s="286" t="s">
        <v>173</v>
      </c>
      <c r="J163" s="286" t="s">
        <v>174</v>
      </c>
      <c r="K163" s="286">
        <v>4.7</v>
      </c>
      <c r="L163" s="286">
        <f>+ROUND(Q163/6000/0.2,2)</f>
        <v>0.06</v>
      </c>
      <c r="M163" s="287">
        <f>IF(K163&gt;0,VLOOKUP(G163,'[4]Pob. Ext, Parroquial'!$B$8:$F$117,4,FALSE),0)</f>
        <v>2886</v>
      </c>
      <c r="N163" s="351" t="s">
        <v>229</v>
      </c>
      <c r="O163" s="345" t="s">
        <v>333</v>
      </c>
      <c r="P163" s="346">
        <v>5.78</v>
      </c>
      <c r="Q163" s="346">
        <v>72</v>
      </c>
      <c r="R163" s="286"/>
      <c r="S163" s="289">
        <v>41739</v>
      </c>
      <c r="T163" s="289">
        <v>41759</v>
      </c>
      <c r="U163" s="289" t="str">
        <f t="shared" si="7"/>
        <v>EN EJECUCION</v>
      </c>
      <c r="V163" s="290">
        <f t="shared" si="6"/>
        <v>416.16</v>
      </c>
      <c r="W163" s="290"/>
      <c r="X163" s="290"/>
      <c r="Y163" s="1023"/>
      <c r="Z163" s="278"/>
      <c r="AA163" s="279" t="s">
        <v>334</v>
      </c>
      <c r="AB163" s="279" t="s">
        <v>178</v>
      </c>
      <c r="AC163" s="280" t="s">
        <v>187</v>
      </c>
      <c r="AD163" s="281">
        <v>2014</v>
      </c>
      <c r="AE163" s="320"/>
      <c r="AF163" s="267"/>
    </row>
    <row r="164" spans="1:32" s="268" customFormat="1" ht="50.1" customHeight="1" thickTop="1" thickBot="1">
      <c r="A164" s="317"/>
      <c r="B164" s="299"/>
      <c r="C164" s="299" t="s">
        <v>182</v>
      </c>
      <c r="D164" s="299" t="s">
        <v>373</v>
      </c>
      <c r="E164" s="300" t="s">
        <v>373</v>
      </c>
      <c r="F164" s="301" t="s">
        <v>330</v>
      </c>
      <c r="G164" s="302" t="s">
        <v>342</v>
      </c>
      <c r="H164" s="302" t="str">
        <f>VLOOKUP(G164,'[4]Pob. Ext, Parroquial'!$B$9:$C$117,2,0)</f>
        <v>CHAGUARPAMBA</v>
      </c>
      <c r="I164" s="302" t="s">
        <v>173</v>
      </c>
      <c r="J164" s="302" t="s">
        <v>174</v>
      </c>
      <c r="K164" s="302">
        <v>15.4</v>
      </c>
      <c r="L164" s="302"/>
      <c r="M164" s="303">
        <f>IF(K164&gt;0,VLOOKUP(G164,'[4]Pob. Ext, Parroquial'!$B$8:$F$117,4,FALSE),0)</f>
        <v>200</v>
      </c>
      <c r="N164" s="304" t="s">
        <v>200</v>
      </c>
      <c r="O164" s="302" t="s">
        <v>333</v>
      </c>
      <c r="P164" s="302">
        <v>1.47</v>
      </c>
      <c r="Q164" s="302">
        <v>2510</v>
      </c>
      <c r="R164" s="302"/>
      <c r="S164" s="305">
        <v>41688</v>
      </c>
      <c r="T164" s="305">
        <v>41759</v>
      </c>
      <c r="U164" s="305" t="str">
        <f t="shared" si="7"/>
        <v>EN EJECUCION</v>
      </c>
      <c r="V164" s="306">
        <f t="shared" si="6"/>
        <v>3689.7</v>
      </c>
      <c r="W164" s="306"/>
      <c r="X164" s="306"/>
      <c r="Y164" s="318">
        <f>V164+W164+X164</f>
        <v>3689.7</v>
      </c>
      <c r="Z164" s="278"/>
      <c r="AA164" s="279" t="s">
        <v>334</v>
      </c>
      <c r="AB164" s="279" t="s">
        <v>178</v>
      </c>
      <c r="AC164" s="280" t="s">
        <v>187</v>
      </c>
      <c r="AD164" s="281">
        <v>2014</v>
      </c>
      <c r="AE164" s="320"/>
      <c r="AF164" s="267"/>
    </row>
    <row r="165" spans="1:32" s="268" customFormat="1" ht="50.1" customHeight="1" thickTop="1">
      <c r="A165" s="1048"/>
      <c r="B165" s="1042"/>
      <c r="C165" s="254" t="s">
        <v>169</v>
      </c>
      <c r="D165" s="1042" t="s">
        <v>747</v>
      </c>
      <c r="E165" s="255" t="s">
        <v>747</v>
      </c>
      <c r="F165" s="256" t="s">
        <v>330</v>
      </c>
      <c r="G165" s="257" t="s">
        <v>379</v>
      </c>
      <c r="H165" s="257" t="str">
        <f>VLOOKUP(G165,'[4]Pob. Ext, Parroquial'!$B$9:$C$117,2,0)</f>
        <v>CHAGUARPAMBA</v>
      </c>
      <c r="I165" s="257" t="s">
        <v>173</v>
      </c>
      <c r="J165" s="257" t="s">
        <v>174</v>
      </c>
      <c r="K165" s="257">
        <v>7.3</v>
      </c>
      <c r="L165" s="257"/>
      <c r="M165" s="258">
        <f>IF(K165&gt;0,VLOOKUP(G165,'[4]Pob. Ext, Parroquial'!$B$8:$F$117,4,FALSE),0)</f>
        <v>483</v>
      </c>
      <c r="N165" s="259" t="s">
        <v>361</v>
      </c>
      <c r="O165" s="257" t="s">
        <v>333</v>
      </c>
      <c r="P165" s="257">
        <v>2.54</v>
      </c>
      <c r="Q165" s="257">
        <v>4430</v>
      </c>
      <c r="R165" s="257"/>
      <c r="S165" s="261">
        <v>41660</v>
      </c>
      <c r="T165" s="261">
        <v>41759</v>
      </c>
      <c r="U165" s="261" t="str">
        <f t="shared" si="7"/>
        <v>EN EJECUCION</v>
      </c>
      <c r="V165" s="262">
        <f t="shared" si="6"/>
        <v>11252.2</v>
      </c>
      <c r="W165" s="262"/>
      <c r="X165" s="262"/>
      <c r="Y165" s="1021">
        <f>SUM(V165:V170)</f>
        <v>39878.92</v>
      </c>
      <c r="Z165" s="278"/>
      <c r="AA165" s="279" t="s">
        <v>334</v>
      </c>
      <c r="AB165" s="279" t="s">
        <v>178</v>
      </c>
      <c r="AC165" s="280" t="s">
        <v>187</v>
      </c>
      <c r="AD165" s="281">
        <v>2014</v>
      </c>
      <c r="AE165" s="320"/>
      <c r="AF165" s="267"/>
    </row>
    <row r="166" spans="1:32" s="268" customFormat="1" ht="50.1" customHeight="1">
      <c r="A166" s="1049"/>
      <c r="B166" s="1043"/>
      <c r="C166" s="270" t="s">
        <v>169</v>
      </c>
      <c r="D166" s="1043"/>
      <c r="E166" s="271" t="s">
        <v>747</v>
      </c>
      <c r="F166" s="272" t="s">
        <v>330</v>
      </c>
      <c r="G166" s="273" t="s">
        <v>379</v>
      </c>
      <c r="H166" s="273" t="str">
        <f>VLOOKUP(G166,'[4]Pob. Ext, Parroquial'!$B$9:$C$117,2,0)</f>
        <v>CHAGUARPAMBA</v>
      </c>
      <c r="I166" s="273" t="s">
        <v>173</v>
      </c>
      <c r="J166" s="273" t="s">
        <v>174</v>
      </c>
      <c r="K166" s="273"/>
      <c r="L166" s="273"/>
      <c r="M166" s="274">
        <f>IF(K166&gt;0,VLOOKUP(G166,'[4]Pob. Ext, Parroquial'!$B$8:$F$117,4,FALSE),0)</f>
        <v>0</v>
      </c>
      <c r="N166" s="275" t="s">
        <v>395</v>
      </c>
      <c r="O166" s="273" t="s">
        <v>333</v>
      </c>
      <c r="P166" s="273">
        <v>1.47</v>
      </c>
      <c r="Q166" s="273">
        <v>1350</v>
      </c>
      <c r="R166" s="273"/>
      <c r="S166" s="276">
        <v>41660</v>
      </c>
      <c r="T166" s="276">
        <v>41759</v>
      </c>
      <c r="U166" s="276" t="str">
        <f t="shared" si="7"/>
        <v>EN EJECUCION</v>
      </c>
      <c r="V166" s="277">
        <f t="shared" si="6"/>
        <v>1984.5</v>
      </c>
      <c r="W166" s="277"/>
      <c r="X166" s="277"/>
      <c r="Y166" s="1022"/>
      <c r="Z166" s="278"/>
      <c r="AA166" s="279" t="s">
        <v>334</v>
      </c>
      <c r="AB166" s="279" t="s">
        <v>178</v>
      </c>
      <c r="AC166" s="280" t="s">
        <v>187</v>
      </c>
      <c r="AD166" s="281">
        <v>2014</v>
      </c>
      <c r="AE166" s="320"/>
      <c r="AF166" s="267"/>
    </row>
    <row r="167" spans="1:32" s="268" customFormat="1" ht="50.1" customHeight="1">
      <c r="A167" s="1049"/>
      <c r="B167" s="1043"/>
      <c r="C167" s="270" t="s">
        <v>182</v>
      </c>
      <c r="D167" s="1043"/>
      <c r="E167" s="271" t="s">
        <v>747</v>
      </c>
      <c r="F167" s="272" t="s">
        <v>330</v>
      </c>
      <c r="G167" s="273" t="s">
        <v>379</v>
      </c>
      <c r="H167" s="273" t="str">
        <f>VLOOKUP(G167,'[4]Pob. Ext, Parroquial'!$B$9:$C$117,2,0)</f>
        <v>CHAGUARPAMBA</v>
      </c>
      <c r="I167" s="273" t="s">
        <v>173</v>
      </c>
      <c r="J167" s="273" t="s">
        <v>174</v>
      </c>
      <c r="K167" s="273"/>
      <c r="L167" s="273"/>
      <c r="M167" s="274">
        <f>IF(K167&gt;0,VLOOKUP(G167,'[4]Pob. Ext, Parroquial'!$B$8:$F$117,4,FALSE),0)</f>
        <v>0</v>
      </c>
      <c r="N167" s="275" t="s">
        <v>200</v>
      </c>
      <c r="O167" s="273" t="s">
        <v>333</v>
      </c>
      <c r="P167" s="273">
        <v>1.47</v>
      </c>
      <c r="Q167" s="273">
        <v>1820</v>
      </c>
      <c r="R167" s="273"/>
      <c r="S167" s="276">
        <v>41660</v>
      </c>
      <c r="T167" s="276">
        <v>41759</v>
      </c>
      <c r="U167" s="276" t="str">
        <f t="shared" si="7"/>
        <v>EN EJECUCION</v>
      </c>
      <c r="V167" s="277">
        <f t="shared" si="6"/>
        <v>2675.4</v>
      </c>
      <c r="W167" s="277"/>
      <c r="X167" s="277"/>
      <c r="Y167" s="1022"/>
      <c r="Z167" s="278"/>
      <c r="AA167" s="279" t="s">
        <v>334</v>
      </c>
      <c r="AB167" s="279" t="s">
        <v>178</v>
      </c>
      <c r="AC167" s="280" t="s">
        <v>187</v>
      </c>
      <c r="AD167" s="281">
        <v>2014</v>
      </c>
      <c r="AE167" s="320"/>
      <c r="AF167" s="267"/>
    </row>
    <row r="168" spans="1:32" s="268" customFormat="1" ht="50.1" customHeight="1">
      <c r="A168" s="1049"/>
      <c r="B168" s="1043"/>
      <c r="C168" s="270" t="s">
        <v>182</v>
      </c>
      <c r="D168" s="1043"/>
      <c r="E168" s="271" t="s">
        <v>747</v>
      </c>
      <c r="F168" s="272" t="s">
        <v>330</v>
      </c>
      <c r="G168" s="273" t="s">
        <v>379</v>
      </c>
      <c r="H168" s="273" t="str">
        <f>VLOOKUP(G168,'[4]Pob. Ext, Parroquial'!$B$9:$C$117,2,0)</f>
        <v>CHAGUARPAMBA</v>
      </c>
      <c r="I168" s="273" t="s">
        <v>173</v>
      </c>
      <c r="J168" s="273" t="s">
        <v>174</v>
      </c>
      <c r="K168" s="273"/>
      <c r="L168" s="273">
        <f>ROUNDUP(Q168/6/1000,2)</f>
        <v>7.04</v>
      </c>
      <c r="M168" s="274">
        <f>IF(K168&gt;0,VLOOKUP(G168,'[4]Pob. Ext, Parroquial'!$B$8:$F$117,4,FALSE),0)</f>
        <v>0</v>
      </c>
      <c r="N168" s="275" t="s">
        <v>185</v>
      </c>
      <c r="O168" s="273" t="s">
        <v>314</v>
      </c>
      <c r="P168" s="273">
        <v>0.1</v>
      </c>
      <c r="Q168" s="273">
        <v>42195</v>
      </c>
      <c r="R168" s="273"/>
      <c r="S168" s="276">
        <v>41660</v>
      </c>
      <c r="T168" s="276">
        <v>41759</v>
      </c>
      <c r="U168" s="276" t="str">
        <f t="shared" si="7"/>
        <v>EN EJECUCION</v>
      </c>
      <c r="V168" s="277">
        <f t="shared" si="6"/>
        <v>4219.5</v>
      </c>
      <c r="W168" s="277"/>
      <c r="X168" s="277"/>
      <c r="Y168" s="1022"/>
      <c r="Z168" s="278"/>
      <c r="AA168" s="279" t="s">
        <v>334</v>
      </c>
      <c r="AB168" s="279" t="s">
        <v>178</v>
      </c>
      <c r="AC168" s="280" t="s">
        <v>187</v>
      </c>
      <c r="AD168" s="281">
        <v>2014</v>
      </c>
      <c r="AE168" s="320"/>
      <c r="AF168" s="267"/>
    </row>
    <row r="169" spans="1:32" s="268" customFormat="1" ht="50.1" customHeight="1">
      <c r="A169" s="1049"/>
      <c r="B169" s="1043"/>
      <c r="C169" s="270" t="s">
        <v>169</v>
      </c>
      <c r="D169" s="1043"/>
      <c r="E169" s="271" t="s">
        <v>747</v>
      </c>
      <c r="F169" s="272" t="s">
        <v>330</v>
      </c>
      <c r="G169" s="273" t="s">
        <v>379</v>
      </c>
      <c r="H169" s="273" t="str">
        <f>VLOOKUP(G169,'[4]Pob. Ext, Parroquial'!$B$9:$C$117,2,0)</f>
        <v>CHAGUARPAMBA</v>
      </c>
      <c r="I169" s="273" t="s">
        <v>173</v>
      </c>
      <c r="J169" s="273" t="s">
        <v>174</v>
      </c>
      <c r="K169" s="273"/>
      <c r="L169" s="273">
        <f>+ROUND(Q169/6000/0.2,2)</f>
        <v>2.54</v>
      </c>
      <c r="M169" s="274">
        <f>IF(K169&gt;0,VLOOKUP(G169,'[4]Pob. Ext, Parroquial'!$B$8:$F$117,4,FALSE),0)</f>
        <v>0</v>
      </c>
      <c r="N169" s="275" t="s">
        <v>229</v>
      </c>
      <c r="O169" s="273" t="s">
        <v>333</v>
      </c>
      <c r="P169" s="273">
        <v>5.78</v>
      </c>
      <c r="Q169" s="273">
        <v>3044</v>
      </c>
      <c r="R169" s="273"/>
      <c r="S169" s="276">
        <v>41660</v>
      </c>
      <c r="T169" s="276">
        <v>41759</v>
      </c>
      <c r="U169" s="276" t="str">
        <f t="shared" si="7"/>
        <v>EN EJECUCION</v>
      </c>
      <c r="V169" s="277">
        <f t="shared" si="6"/>
        <v>17594.32</v>
      </c>
      <c r="W169" s="277"/>
      <c r="X169" s="277"/>
      <c r="Y169" s="1022"/>
      <c r="Z169" s="278"/>
      <c r="AA169" s="279" t="s">
        <v>334</v>
      </c>
      <c r="AB169" s="279" t="s">
        <v>178</v>
      </c>
      <c r="AC169" s="280" t="s">
        <v>187</v>
      </c>
      <c r="AD169" s="281">
        <v>2014</v>
      </c>
      <c r="AE169" s="320"/>
      <c r="AF169" s="267"/>
    </row>
    <row r="170" spans="1:32" s="268" customFormat="1" ht="50.1" customHeight="1" thickBot="1">
      <c r="A170" s="1050"/>
      <c r="B170" s="1051"/>
      <c r="C170" s="283" t="s">
        <v>169</v>
      </c>
      <c r="D170" s="1051"/>
      <c r="E170" s="284" t="s">
        <v>747</v>
      </c>
      <c r="F170" s="285" t="s">
        <v>330</v>
      </c>
      <c r="G170" s="286" t="s">
        <v>379</v>
      </c>
      <c r="H170" s="286" t="str">
        <f>VLOOKUP(G170,'[4]Pob. Ext, Parroquial'!$B$9:$C$117,2,0)</f>
        <v>CHAGUARPAMBA</v>
      </c>
      <c r="I170" s="286" t="s">
        <v>173</v>
      </c>
      <c r="J170" s="286" t="s">
        <v>174</v>
      </c>
      <c r="K170" s="286"/>
      <c r="L170" s="286"/>
      <c r="M170" s="287">
        <f>IF(K170&gt;0,VLOOKUP(G170,'[4]Pob. Ext, Parroquial'!$B$8:$F$117,4,FALSE),0)</f>
        <v>0</v>
      </c>
      <c r="N170" s="288" t="s">
        <v>180</v>
      </c>
      <c r="O170" s="286" t="s">
        <v>352</v>
      </c>
      <c r="P170" s="286">
        <v>0.38</v>
      </c>
      <c r="Q170" s="286">
        <v>5665.78</v>
      </c>
      <c r="R170" s="286"/>
      <c r="S170" s="289">
        <v>41660</v>
      </c>
      <c r="T170" s="289">
        <v>41759</v>
      </c>
      <c r="U170" s="289" t="str">
        <f t="shared" si="7"/>
        <v>EN EJECUCION</v>
      </c>
      <c r="V170" s="290">
        <f t="shared" si="6"/>
        <v>2153</v>
      </c>
      <c r="W170" s="290"/>
      <c r="X170" s="290"/>
      <c r="Y170" s="1023"/>
      <c r="Z170" s="278"/>
      <c r="AA170" s="279" t="s">
        <v>334</v>
      </c>
      <c r="AB170" s="279" t="s">
        <v>178</v>
      </c>
      <c r="AC170" s="280" t="s">
        <v>187</v>
      </c>
      <c r="AD170" s="281">
        <v>2014</v>
      </c>
      <c r="AE170" s="320"/>
      <c r="AF170" s="267"/>
    </row>
    <row r="171" spans="1:32" s="268" customFormat="1" ht="50.1" customHeight="1" thickTop="1">
      <c r="A171" s="1048"/>
      <c r="B171" s="1042"/>
      <c r="C171" s="254" t="s">
        <v>169</v>
      </c>
      <c r="D171" s="1042" t="s">
        <v>380</v>
      </c>
      <c r="E171" s="255" t="s">
        <v>380</v>
      </c>
      <c r="F171" s="256" t="s">
        <v>330</v>
      </c>
      <c r="G171" s="257" t="s">
        <v>381</v>
      </c>
      <c r="H171" s="257" t="str">
        <f>VLOOKUP(G171,'[4]Pob. Ext, Parroquial'!$B$9:$C$117,2,0)</f>
        <v>CHAGUARPAMBA</v>
      </c>
      <c r="I171" s="257" t="s">
        <v>173</v>
      </c>
      <c r="J171" s="257" t="s">
        <v>174</v>
      </c>
      <c r="K171" s="257">
        <v>9.9</v>
      </c>
      <c r="L171" s="257"/>
      <c r="M171" s="258">
        <f>IF(K171&gt;0,VLOOKUP(G171,'[4]Pob. Ext, Parroquial'!$B$8:$F$117,4,FALSE),0)</f>
        <v>350</v>
      </c>
      <c r="N171" s="259" t="s">
        <v>361</v>
      </c>
      <c r="O171" s="257" t="s">
        <v>333</v>
      </c>
      <c r="P171" s="257">
        <v>2.54</v>
      </c>
      <c r="Q171" s="257">
        <v>1600</v>
      </c>
      <c r="R171" s="257"/>
      <c r="S171" s="261">
        <v>41686</v>
      </c>
      <c r="T171" s="261">
        <v>41759</v>
      </c>
      <c r="U171" s="261" t="str">
        <f t="shared" si="7"/>
        <v>EN EJECUCION</v>
      </c>
      <c r="V171" s="262">
        <f t="shared" si="6"/>
        <v>4064</v>
      </c>
      <c r="W171" s="262"/>
      <c r="X171" s="262"/>
      <c r="Y171" s="1021">
        <f>SUM(V171:V176)</f>
        <v>16042.55</v>
      </c>
      <c r="Z171" s="278"/>
      <c r="AA171" s="279" t="s">
        <v>334</v>
      </c>
      <c r="AB171" s="279" t="s">
        <v>178</v>
      </c>
      <c r="AC171" s="280" t="s">
        <v>187</v>
      </c>
      <c r="AD171" s="281">
        <v>2014</v>
      </c>
      <c r="AE171" s="320"/>
      <c r="AF171" s="267"/>
    </row>
    <row r="172" spans="1:32" s="268" customFormat="1" ht="50.1" customHeight="1">
      <c r="A172" s="1049"/>
      <c r="B172" s="1043"/>
      <c r="C172" s="270" t="s">
        <v>169</v>
      </c>
      <c r="D172" s="1043"/>
      <c r="E172" s="271" t="s">
        <v>380</v>
      </c>
      <c r="F172" s="272" t="s">
        <v>330</v>
      </c>
      <c r="G172" s="273" t="s">
        <v>381</v>
      </c>
      <c r="H172" s="273" t="str">
        <f>VLOOKUP(G172,'[4]Pob. Ext, Parroquial'!$B$9:$C$117,2,0)</f>
        <v>CHAGUARPAMBA</v>
      </c>
      <c r="I172" s="273" t="s">
        <v>173</v>
      </c>
      <c r="J172" s="273" t="s">
        <v>174</v>
      </c>
      <c r="K172" s="273"/>
      <c r="L172" s="273"/>
      <c r="M172" s="274">
        <f>IF(K172&gt;0,VLOOKUP(G172,'[4]Pob. Ext, Parroquial'!$B$8:$F$117,4,FALSE),0)</f>
        <v>0</v>
      </c>
      <c r="N172" s="275" t="s">
        <v>395</v>
      </c>
      <c r="O172" s="273" t="s">
        <v>333</v>
      </c>
      <c r="P172" s="273">
        <v>1.47</v>
      </c>
      <c r="Q172" s="273">
        <v>300</v>
      </c>
      <c r="R172" s="273"/>
      <c r="S172" s="276">
        <v>41686</v>
      </c>
      <c r="T172" s="276">
        <v>41759</v>
      </c>
      <c r="U172" s="276" t="str">
        <f t="shared" si="7"/>
        <v>EN EJECUCION</v>
      </c>
      <c r="V172" s="277">
        <f t="shared" si="6"/>
        <v>441</v>
      </c>
      <c r="W172" s="277"/>
      <c r="X172" s="277"/>
      <c r="Y172" s="1022"/>
      <c r="Z172" s="278"/>
      <c r="AA172" s="279" t="s">
        <v>334</v>
      </c>
      <c r="AB172" s="279" t="s">
        <v>178</v>
      </c>
      <c r="AC172" s="280" t="s">
        <v>187</v>
      </c>
      <c r="AD172" s="281">
        <v>2014</v>
      </c>
      <c r="AE172" s="320"/>
      <c r="AF172" s="267"/>
    </row>
    <row r="173" spans="1:32" s="268" customFormat="1" ht="50.1" customHeight="1">
      <c r="A173" s="1049"/>
      <c r="B173" s="1043"/>
      <c r="C173" s="270" t="s">
        <v>182</v>
      </c>
      <c r="D173" s="1043"/>
      <c r="E173" s="271" t="s">
        <v>380</v>
      </c>
      <c r="F173" s="272" t="s">
        <v>330</v>
      </c>
      <c r="G173" s="273" t="s">
        <v>381</v>
      </c>
      <c r="H173" s="273" t="str">
        <f>VLOOKUP(G173,'[4]Pob. Ext, Parroquial'!$B$9:$C$117,2,0)</f>
        <v>CHAGUARPAMBA</v>
      </c>
      <c r="I173" s="273" t="s">
        <v>173</v>
      </c>
      <c r="J173" s="273" t="s">
        <v>174</v>
      </c>
      <c r="K173" s="273"/>
      <c r="L173" s="273"/>
      <c r="M173" s="274">
        <f>IF(K173&gt;0,VLOOKUP(G173,'[4]Pob. Ext, Parroquial'!$B$8:$F$117,4,FALSE),0)</f>
        <v>0</v>
      </c>
      <c r="N173" s="275" t="s">
        <v>200</v>
      </c>
      <c r="O173" s="273" t="s">
        <v>333</v>
      </c>
      <c r="P173" s="273">
        <v>1.47</v>
      </c>
      <c r="Q173" s="273">
        <v>1650</v>
      </c>
      <c r="R173" s="273"/>
      <c r="S173" s="276">
        <v>41686</v>
      </c>
      <c r="T173" s="276">
        <v>41759</v>
      </c>
      <c r="U173" s="276" t="str">
        <f t="shared" si="7"/>
        <v>EN EJECUCION</v>
      </c>
      <c r="V173" s="277">
        <f t="shared" si="6"/>
        <v>2425.5</v>
      </c>
      <c r="W173" s="277"/>
      <c r="X173" s="277"/>
      <c r="Y173" s="1022"/>
      <c r="Z173" s="278"/>
      <c r="AA173" s="279" t="s">
        <v>334</v>
      </c>
      <c r="AB173" s="279" t="s">
        <v>178</v>
      </c>
      <c r="AC173" s="280" t="s">
        <v>187</v>
      </c>
      <c r="AD173" s="281">
        <v>2014</v>
      </c>
      <c r="AE173" s="320"/>
      <c r="AF173" s="267"/>
    </row>
    <row r="174" spans="1:32" s="268" customFormat="1" ht="50.1" customHeight="1">
      <c r="A174" s="1049"/>
      <c r="B174" s="1043"/>
      <c r="C174" s="270" t="s">
        <v>182</v>
      </c>
      <c r="D174" s="1043"/>
      <c r="E174" s="271" t="s">
        <v>380</v>
      </c>
      <c r="F174" s="272" t="s">
        <v>330</v>
      </c>
      <c r="G174" s="273" t="s">
        <v>381</v>
      </c>
      <c r="H174" s="273" t="str">
        <f>VLOOKUP(G174,'[4]Pob. Ext, Parroquial'!$B$9:$C$117,2,0)</f>
        <v>CHAGUARPAMBA</v>
      </c>
      <c r="I174" s="273" t="s">
        <v>173</v>
      </c>
      <c r="J174" s="273" t="s">
        <v>174</v>
      </c>
      <c r="K174" s="273"/>
      <c r="L174" s="273">
        <f>ROUNDUP(Q174/6/1000,2)</f>
        <v>2.21</v>
      </c>
      <c r="M174" s="274">
        <f>IF(K174&gt;0,VLOOKUP(G174,'[4]Pob. Ext, Parroquial'!$B$8:$F$117,4,FALSE),0)</f>
        <v>0</v>
      </c>
      <c r="N174" s="275" t="s">
        <v>185</v>
      </c>
      <c r="O174" s="273" t="s">
        <v>314</v>
      </c>
      <c r="P174" s="273">
        <v>0.1</v>
      </c>
      <c r="Q174" s="273">
        <v>13260</v>
      </c>
      <c r="R174" s="273"/>
      <c r="S174" s="276">
        <v>41686</v>
      </c>
      <c r="T174" s="276">
        <v>41759</v>
      </c>
      <c r="U174" s="276" t="str">
        <f t="shared" si="7"/>
        <v>EN EJECUCION</v>
      </c>
      <c r="V174" s="277">
        <f t="shared" si="6"/>
        <v>1326</v>
      </c>
      <c r="W174" s="277"/>
      <c r="X174" s="277"/>
      <c r="Y174" s="1022"/>
      <c r="Z174" s="278"/>
      <c r="AA174" s="279" t="s">
        <v>334</v>
      </c>
      <c r="AB174" s="279" t="s">
        <v>178</v>
      </c>
      <c r="AC174" s="280" t="s">
        <v>187</v>
      </c>
      <c r="AD174" s="281">
        <v>2014</v>
      </c>
      <c r="AE174" s="320"/>
      <c r="AF174" s="267"/>
    </row>
    <row r="175" spans="1:32" s="268" customFormat="1" ht="50.1" customHeight="1">
      <c r="A175" s="1049"/>
      <c r="B175" s="1043"/>
      <c r="C175" s="270" t="s">
        <v>169</v>
      </c>
      <c r="D175" s="1043"/>
      <c r="E175" s="271" t="s">
        <v>380</v>
      </c>
      <c r="F175" s="272" t="s">
        <v>330</v>
      </c>
      <c r="G175" s="273" t="s">
        <v>381</v>
      </c>
      <c r="H175" s="273" t="str">
        <f>VLOOKUP(G175,'[4]Pob. Ext, Parroquial'!$B$9:$C$117,2,0)</f>
        <v>CHAGUARPAMBA</v>
      </c>
      <c r="I175" s="273" t="s">
        <v>173</v>
      </c>
      <c r="J175" s="273" t="s">
        <v>174</v>
      </c>
      <c r="K175" s="273"/>
      <c r="L175" s="273">
        <f>+ROUND(Q175/6000/0.2,2)</f>
        <v>0.9</v>
      </c>
      <c r="M175" s="274">
        <f>IF(K175&gt;0,VLOOKUP(G175,'[4]Pob. Ext, Parroquial'!$B$8:$F$117,4,FALSE),0)</f>
        <v>0</v>
      </c>
      <c r="N175" s="275" t="s">
        <v>229</v>
      </c>
      <c r="O175" s="273" t="s">
        <v>333</v>
      </c>
      <c r="P175" s="273">
        <v>5.78</v>
      </c>
      <c r="Q175" s="273">
        <v>1079</v>
      </c>
      <c r="R175" s="273"/>
      <c r="S175" s="276">
        <v>41686</v>
      </c>
      <c r="T175" s="276">
        <v>41759</v>
      </c>
      <c r="U175" s="276" t="str">
        <f t="shared" si="7"/>
        <v>EN EJECUCION</v>
      </c>
      <c r="V175" s="277">
        <f t="shared" si="6"/>
        <v>6236.62</v>
      </c>
      <c r="W175" s="277"/>
      <c r="X175" s="277"/>
      <c r="Y175" s="1022"/>
      <c r="Z175" s="278"/>
      <c r="AA175" s="279" t="s">
        <v>334</v>
      </c>
      <c r="AB175" s="279" t="s">
        <v>178</v>
      </c>
      <c r="AC175" s="280" t="s">
        <v>187</v>
      </c>
      <c r="AD175" s="281">
        <v>2014</v>
      </c>
      <c r="AE175" s="320"/>
      <c r="AF175" s="267"/>
    </row>
    <row r="176" spans="1:32" s="268" customFormat="1" ht="50.1" customHeight="1" thickBot="1">
      <c r="A176" s="1050"/>
      <c r="B176" s="1051"/>
      <c r="C176" s="283" t="s">
        <v>169</v>
      </c>
      <c r="D176" s="1051"/>
      <c r="E176" s="284" t="s">
        <v>380</v>
      </c>
      <c r="F176" s="285" t="s">
        <v>330</v>
      </c>
      <c r="G176" s="286" t="s">
        <v>381</v>
      </c>
      <c r="H176" s="286" t="str">
        <f>VLOOKUP(G176,'[4]Pob. Ext, Parroquial'!$B$9:$C$117,2,0)</f>
        <v>CHAGUARPAMBA</v>
      </c>
      <c r="I176" s="286" t="s">
        <v>173</v>
      </c>
      <c r="J176" s="286" t="s">
        <v>174</v>
      </c>
      <c r="K176" s="286"/>
      <c r="L176" s="286"/>
      <c r="M176" s="287">
        <f>IF(K176&gt;0,VLOOKUP(G176,'[4]Pob. Ext, Parroquial'!$B$8:$F$117,4,FALSE),0)</f>
        <v>0</v>
      </c>
      <c r="N176" s="288" t="s">
        <v>180</v>
      </c>
      <c r="O176" s="286" t="s">
        <v>352</v>
      </c>
      <c r="P176" s="286">
        <v>0.38</v>
      </c>
      <c r="Q176" s="286">
        <v>4077.45</v>
      </c>
      <c r="R176" s="286"/>
      <c r="S176" s="289">
        <v>41686</v>
      </c>
      <c r="T176" s="289">
        <v>41759</v>
      </c>
      <c r="U176" s="289" t="str">
        <f t="shared" si="7"/>
        <v>EN EJECUCION</v>
      </c>
      <c r="V176" s="290">
        <f t="shared" si="6"/>
        <v>1549.43</v>
      </c>
      <c r="W176" s="290"/>
      <c r="X176" s="290"/>
      <c r="Y176" s="1023"/>
      <c r="Z176" s="278"/>
      <c r="AA176" s="279" t="s">
        <v>334</v>
      </c>
      <c r="AB176" s="279" t="s">
        <v>178</v>
      </c>
      <c r="AC176" s="280" t="s">
        <v>187</v>
      </c>
      <c r="AD176" s="281">
        <v>2014</v>
      </c>
      <c r="AE176" s="320"/>
      <c r="AF176" s="267"/>
    </row>
    <row r="177" spans="1:32" s="268" customFormat="1" ht="50.1" customHeight="1" thickTop="1">
      <c r="A177" s="1048" t="s">
        <v>540</v>
      </c>
      <c r="B177" s="1042" t="str">
        <f>+U178</f>
        <v>EN EJECUCION</v>
      </c>
      <c r="C177" s="254" t="s">
        <v>182</v>
      </c>
      <c r="D177" s="1042" t="s">
        <v>382</v>
      </c>
      <c r="E177" s="255" t="s">
        <v>382</v>
      </c>
      <c r="F177" s="256" t="s">
        <v>330</v>
      </c>
      <c r="G177" s="257" t="s">
        <v>379</v>
      </c>
      <c r="H177" s="257" t="str">
        <f>VLOOKUP(G177,'[4]Pob. Ext, Parroquial'!$B$9:$C$117,2,0)</f>
        <v>CHAGUARPAMBA</v>
      </c>
      <c r="I177" s="257" t="s">
        <v>173</v>
      </c>
      <c r="J177" s="257" t="s">
        <v>174</v>
      </c>
      <c r="K177" s="257">
        <v>13.6</v>
      </c>
      <c r="L177" s="257">
        <f>ROUNDUP(Q177/6/1000,2)</f>
        <v>3.92</v>
      </c>
      <c r="M177" s="258">
        <f>IF(K177&gt;0,VLOOKUP(G177,'[4]Pob. Ext, Parroquial'!$B$8:$F$117,4,FALSE),0)</f>
        <v>483</v>
      </c>
      <c r="N177" s="259" t="s">
        <v>185</v>
      </c>
      <c r="O177" s="257" t="s">
        <v>314</v>
      </c>
      <c r="P177" s="257">
        <v>0.1</v>
      </c>
      <c r="Q177" s="257">
        <v>23520</v>
      </c>
      <c r="R177" s="257"/>
      <c r="S177" s="261">
        <v>41695</v>
      </c>
      <c r="T177" s="261">
        <v>41759</v>
      </c>
      <c r="U177" s="261" t="str">
        <f t="shared" si="7"/>
        <v>EN EJECUCION</v>
      </c>
      <c r="V177" s="262">
        <f t="shared" si="6"/>
        <v>2352</v>
      </c>
      <c r="W177" s="262"/>
      <c r="X177" s="262"/>
      <c r="Y177" s="1021">
        <f>SUM(V177:V178)</f>
        <v>4101.3</v>
      </c>
      <c r="Z177" s="278"/>
      <c r="AA177" s="279" t="s">
        <v>334</v>
      </c>
      <c r="AB177" s="279" t="s">
        <v>178</v>
      </c>
      <c r="AC177" s="280" t="s">
        <v>187</v>
      </c>
      <c r="AD177" s="281">
        <v>2014</v>
      </c>
      <c r="AE177" s="267"/>
      <c r="AF177" s="267"/>
    </row>
    <row r="178" spans="1:32" s="268" customFormat="1" ht="50.1" customHeight="1" thickBot="1">
      <c r="A178" s="1050"/>
      <c r="B178" s="1051"/>
      <c r="C178" s="283" t="s">
        <v>182</v>
      </c>
      <c r="D178" s="1051"/>
      <c r="E178" s="284" t="s">
        <v>382</v>
      </c>
      <c r="F178" s="285" t="s">
        <v>330</v>
      </c>
      <c r="G178" s="286" t="s">
        <v>379</v>
      </c>
      <c r="H178" s="286" t="str">
        <f>VLOOKUP(G178,'[4]Pob. Ext, Parroquial'!$B$9:$C$117,2,0)</f>
        <v>CHAGUARPAMBA</v>
      </c>
      <c r="I178" s="286" t="s">
        <v>173</v>
      </c>
      <c r="J178" s="286" t="s">
        <v>174</v>
      </c>
      <c r="K178" s="286"/>
      <c r="L178" s="286"/>
      <c r="M178" s="287">
        <f>IF(K178&gt;0,VLOOKUP(G178,'[4]Pob. Ext, Parroquial'!$B$8:$F$117,4,FALSE),0)</f>
        <v>0</v>
      </c>
      <c r="N178" s="288" t="s">
        <v>200</v>
      </c>
      <c r="O178" s="286" t="s">
        <v>333</v>
      </c>
      <c r="P178" s="286">
        <v>1.47</v>
      </c>
      <c r="Q178" s="286">
        <v>1190</v>
      </c>
      <c r="R178" s="286"/>
      <c r="S178" s="289">
        <v>41695</v>
      </c>
      <c r="T178" s="289">
        <v>41759</v>
      </c>
      <c r="U178" s="289" t="str">
        <f t="shared" si="7"/>
        <v>EN EJECUCION</v>
      </c>
      <c r="V178" s="290">
        <f t="shared" si="6"/>
        <v>1749.3</v>
      </c>
      <c r="W178" s="290"/>
      <c r="X178" s="290"/>
      <c r="Y178" s="1023"/>
      <c r="Z178" s="278"/>
      <c r="AA178" s="279" t="s">
        <v>334</v>
      </c>
      <c r="AB178" s="279" t="s">
        <v>178</v>
      </c>
      <c r="AC178" s="280" t="s">
        <v>187</v>
      </c>
      <c r="AD178" s="281">
        <v>2014</v>
      </c>
      <c r="AE178" s="267"/>
      <c r="AF178" s="267"/>
    </row>
    <row r="179" spans="1:32" s="268" customFormat="1" ht="50.1" customHeight="1" thickTop="1">
      <c r="A179" s="1048"/>
      <c r="B179" s="1042"/>
      <c r="C179" s="254" t="s">
        <v>169</v>
      </c>
      <c r="D179" s="1042" t="s">
        <v>748</v>
      </c>
      <c r="E179" s="255" t="s">
        <v>748</v>
      </c>
      <c r="F179" s="256" t="s">
        <v>330</v>
      </c>
      <c r="G179" s="352" t="s">
        <v>401</v>
      </c>
      <c r="H179" s="257" t="str">
        <f>VLOOKUP(G179,'[4]Pob. Ext, Parroquial'!$B$9:$C$117,2,0)</f>
        <v>PALTAS</v>
      </c>
      <c r="I179" s="257" t="s">
        <v>173</v>
      </c>
      <c r="J179" s="257" t="s">
        <v>174</v>
      </c>
      <c r="K179" s="257">
        <v>4.2</v>
      </c>
      <c r="L179" s="257"/>
      <c r="M179" s="258">
        <f>IF(K179&gt;0,VLOOKUP(G179,'[4]Pob. Ext, Parroquial'!$B$8:$F$117,4,FALSE),0)</f>
        <v>1092</v>
      </c>
      <c r="N179" s="259" t="s">
        <v>336</v>
      </c>
      <c r="O179" s="257" t="s">
        <v>333</v>
      </c>
      <c r="P179" s="257">
        <v>1.47</v>
      </c>
      <c r="Q179" s="257">
        <v>870</v>
      </c>
      <c r="R179" s="257"/>
      <c r="S179" s="261">
        <v>41646</v>
      </c>
      <c r="T179" s="261">
        <v>41759</v>
      </c>
      <c r="U179" s="261" t="str">
        <f t="shared" si="7"/>
        <v>EN EJECUCION</v>
      </c>
      <c r="V179" s="262">
        <f t="shared" si="6"/>
        <v>1278.9000000000001</v>
      </c>
      <c r="W179" s="262"/>
      <c r="X179" s="262"/>
      <c r="Y179" s="1021">
        <f>SUM(V179:V182)</f>
        <v>5025.09</v>
      </c>
      <c r="Z179" s="278"/>
      <c r="AA179" s="279" t="s">
        <v>334</v>
      </c>
      <c r="AB179" s="279" t="s">
        <v>178</v>
      </c>
      <c r="AC179" s="280" t="s">
        <v>179</v>
      </c>
      <c r="AD179" s="281">
        <v>2014</v>
      </c>
      <c r="AE179" s="267"/>
      <c r="AF179" s="267"/>
    </row>
    <row r="180" spans="1:32" s="268" customFormat="1" ht="50.1" customHeight="1">
      <c r="A180" s="1049"/>
      <c r="B180" s="1043"/>
      <c r="C180" s="270" t="s">
        <v>182</v>
      </c>
      <c r="D180" s="1043"/>
      <c r="E180" s="271" t="s">
        <v>748</v>
      </c>
      <c r="F180" s="272" t="s">
        <v>330</v>
      </c>
      <c r="G180" s="353" t="s">
        <v>401</v>
      </c>
      <c r="H180" s="273" t="str">
        <f>VLOOKUP(G180,'[4]Pob. Ext, Parroquial'!$B$9:$C$117,2,0)</f>
        <v>PALTAS</v>
      </c>
      <c r="I180" s="273" t="s">
        <v>173</v>
      </c>
      <c r="J180" s="273" t="s">
        <v>174</v>
      </c>
      <c r="K180" s="273"/>
      <c r="L180" s="273">
        <f>ROUNDUP(Q180/6/1000,2)</f>
        <v>1.02</v>
      </c>
      <c r="M180" s="274">
        <f>IF(K180&gt;0,VLOOKUP(G180,'[4]Pob. Ext, Parroquial'!$B$8:$F$117,4,FALSE),0)</f>
        <v>0</v>
      </c>
      <c r="N180" s="275" t="s">
        <v>185</v>
      </c>
      <c r="O180" s="273" t="s">
        <v>314</v>
      </c>
      <c r="P180" s="273">
        <v>0.1</v>
      </c>
      <c r="Q180" s="273">
        <v>6080</v>
      </c>
      <c r="R180" s="273"/>
      <c r="S180" s="276">
        <v>41646</v>
      </c>
      <c r="T180" s="276">
        <v>41759</v>
      </c>
      <c r="U180" s="276" t="str">
        <f t="shared" si="7"/>
        <v>EN EJECUCION</v>
      </c>
      <c r="V180" s="277">
        <f t="shared" si="6"/>
        <v>608</v>
      </c>
      <c r="W180" s="277"/>
      <c r="X180" s="277"/>
      <c r="Y180" s="1022"/>
      <c r="Z180" s="278"/>
      <c r="AA180" s="279" t="s">
        <v>334</v>
      </c>
      <c r="AB180" s="279" t="s">
        <v>178</v>
      </c>
      <c r="AC180" s="280" t="s">
        <v>179</v>
      </c>
      <c r="AD180" s="281">
        <v>2014</v>
      </c>
      <c r="AE180" s="267"/>
      <c r="AF180" s="267"/>
    </row>
    <row r="181" spans="1:32" s="268" customFormat="1" ht="50.1" customHeight="1">
      <c r="A181" s="1049"/>
      <c r="B181" s="1043"/>
      <c r="C181" s="270" t="s">
        <v>169</v>
      </c>
      <c r="D181" s="1043"/>
      <c r="E181" s="271" t="s">
        <v>748</v>
      </c>
      <c r="F181" s="272" t="s">
        <v>330</v>
      </c>
      <c r="G181" s="353" t="s">
        <v>401</v>
      </c>
      <c r="H181" s="273" t="str">
        <f>VLOOKUP(G181,'[4]Pob. Ext, Parroquial'!$B$9:$C$117,2,0)</f>
        <v>PALTAS</v>
      </c>
      <c r="I181" s="273" t="s">
        <v>173</v>
      </c>
      <c r="J181" s="273" t="s">
        <v>174</v>
      </c>
      <c r="K181" s="273"/>
      <c r="L181" s="273">
        <f>+ROUND(Q181/6000/0.2,2)</f>
        <v>0.38</v>
      </c>
      <c r="M181" s="274">
        <f>IF(K181&gt;0,VLOOKUP(G181,'[4]Pob. Ext, Parroquial'!$B$8:$F$117,4,FALSE),0)</f>
        <v>0</v>
      </c>
      <c r="N181" s="275" t="s">
        <v>229</v>
      </c>
      <c r="O181" s="273" t="s">
        <v>333</v>
      </c>
      <c r="P181" s="273">
        <v>5.78</v>
      </c>
      <c r="Q181" s="273">
        <v>456</v>
      </c>
      <c r="R181" s="273"/>
      <c r="S181" s="276">
        <v>41646</v>
      </c>
      <c r="T181" s="276">
        <v>41759</v>
      </c>
      <c r="U181" s="276" t="str">
        <f t="shared" si="7"/>
        <v>EN EJECUCION</v>
      </c>
      <c r="V181" s="277">
        <f t="shared" si="6"/>
        <v>2635.68</v>
      </c>
      <c r="W181" s="277"/>
      <c r="X181" s="277"/>
      <c r="Y181" s="1022"/>
      <c r="Z181" s="278"/>
      <c r="AA181" s="279" t="s">
        <v>334</v>
      </c>
      <c r="AB181" s="279" t="s">
        <v>178</v>
      </c>
      <c r="AC181" s="280" t="s">
        <v>179</v>
      </c>
      <c r="AD181" s="281">
        <v>2014</v>
      </c>
      <c r="AE181" s="267"/>
      <c r="AF181" s="267"/>
    </row>
    <row r="182" spans="1:32" s="268" customFormat="1" ht="50.1" customHeight="1" thickBot="1">
      <c r="A182" s="1050"/>
      <c r="B182" s="1051"/>
      <c r="C182" s="283" t="s">
        <v>169</v>
      </c>
      <c r="D182" s="1051"/>
      <c r="E182" s="284" t="s">
        <v>748</v>
      </c>
      <c r="F182" s="285" t="s">
        <v>330</v>
      </c>
      <c r="G182" s="354" t="s">
        <v>401</v>
      </c>
      <c r="H182" s="286" t="str">
        <f>VLOOKUP(G182,'[4]Pob. Ext, Parroquial'!$B$9:$C$117,2,0)</f>
        <v>PALTAS</v>
      </c>
      <c r="I182" s="286" t="s">
        <v>173</v>
      </c>
      <c r="J182" s="286" t="s">
        <v>174</v>
      </c>
      <c r="K182" s="286"/>
      <c r="L182" s="286"/>
      <c r="M182" s="287">
        <f>IF(K182&gt;0,VLOOKUP(G182,'[4]Pob. Ext, Parroquial'!$B$8:$F$117,4,FALSE),0)</f>
        <v>0</v>
      </c>
      <c r="N182" s="288" t="s">
        <v>180</v>
      </c>
      <c r="O182" s="286" t="s">
        <v>352</v>
      </c>
      <c r="P182" s="286">
        <v>0.38</v>
      </c>
      <c r="Q182" s="286">
        <v>1322.4</v>
      </c>
      <c r="R182" s="286"/>
      <c r="S182" s="289">
        <v>41646</v>
      </c>
      <c r="T182" s="289">
        <v>41759</v>
      </c>
      <c r="U182" s="289" t="str">
        <f t="shared" si="7"/>
        <v>EN EJECUCION</v>
      </c>
      <c r="V182" s="290">
        <f t="shared" si="6"/>
        <v>502.51</v>
      </c>
      <c r="W182" s="290"/>
      <c r="X182" s="290"/>
      <c r="Y182" s="1023"/>
      <c r="Z182" s="278"/>
      <c r="AA182" s="279" t="s">
        <v>334</v>
      </c>
      <c r="AB182" s="279" t="s">
        <v>178</v>
      </c>
      <c r="AC182" s="280" t="s">
        <v>179</v>
      </c>
      <c r="AD182" s="281">
        <v>2014</v>
      </c>
      <c r="AE182" s="267"/>
      <c r="AF182" s="267"/>
    </row>
    <row r="183" spans="1:32" s="268" customFormat="1" ht="50.1" customHeight="1" thickTop="1">
      <c r="A183" s="1048"/>
      <c r="B183" s="1042"/>
      <c r="C183" s="254" t="s">
        <v>169</v>
      </c>
      <c r="D183" s="1042" t="s">
        <v>388</v>
      </c>
      <c r="E183" s="255" t="s">
        <v>388</v>
      </c>
      <c r="F183" s="256" t="s">
        <v>330</v>
      </c>
      <c r="G183" s="352" t="s">
        <v>389</v>
      </c>
      <c r="H183" s="257" t="str">
        <f>VLOOKUP(G183,'[4]Pob. Ext, Parroquial'!$B$9:$C$117,2,0)</f>
        <v>PALTAS</v>
      </c>
      <c r="I183" s="257" t="s">
        <v>173</v>
      </c>
      <c r="J183" s="257" t="s">
        <v>174</v>
      </c>
      <c r="K183" s="257">
        <v>11</v>
      </c>
      <c r="L183" s="257"/>
      <c r="M183" s="258">
        <f>IF(K183&gt;0,VLOOKUP(G183,'[4]Pob. Ext, Parroquial'!$B$8:$F$117,4,FALSE),0)</f>
        <v>1083</v>
      </c>
      <c r="N183" s="259" t="s">
        <v>361</v>
      </c>
      <c r="O183" s="257" t="s">
        <v>333</v>
      </c>
      <c r="P183" s="257">
        <v>2.54</v>
      </c>
      <c r="Q183" s="257">
        <v>960</v>
      </c>
      <c r="R183" s="257"/>
      <c r="S183" s="261">
        <v>41641</v>
      </c>
      <c r="T183" s="261">
        <v>41759</v>
      </c>
      <c r="U183" s="261" t="str">
        <f t="shared" si="7"/>
        <v>EN EJECUCION</v>
      </c>
      <c r="V183" s="262">
        <f t="shared" si="6"/>
        <v>2438.4</v>
      </c>
      <c r="W183" s="262"/>
      <c r="X183" s="262"/>
      <c r="Y183" s="1021">
        <f>SUM(V183:V187)</f>
        <v>19766.7</v>
      </c>
      <c r="Z183" s="278"/>
      <c r="AA183" s="279" t="s">
        <v>334</v>
      </c>
      <c r="AB183" s="279" t="s">
        <v>178</v>
      </c>
      <c r="AC183" s="280" t="s">
        <v>179</v>
      </c>
      <c r="AD183" s="281">
        <v>2014</v>
      </c>
      <c r="AE183" s="267"/>
      <c r="AF183" s="267"/>
    </row>
    <row r="184" spans="1:32" s="268" customFormat="1" ht="50.1" customHeight="1">
      <c r="A184" s="1049"/>
      <c r="B184" s="1043"/>
      <c r="C184" s="270" t="s">
        <v>169</v>
      </c>
      <c r="D184" s="1043"/>
      <c r="E184" s="271" t="s">
        <v>388</v>
      </c>
      <c r="F184" s="272" t="s">
        <v>330</v>
      </c>
      <c r="G184" s="353" t="s">
        <v>389</v>
      </c>
      <c r="H184" s="273" t="str">
        <f>VLOOKUP(G184,'[4]Pob. Ext, Parroquial'!$B$9:$C$117,2,0)</f>
        <v>PALTAS</v>
      </c>
      <c r="I184" s="273" t="s">
        <v>173</v>
      </c>
      <c r="J184" s="273" t="s">
        <v>174</v>
      </c>
      <c r="K184" s="273"/>
      <c r="L184" s="273"/>
      <c r="M184" s="274">
        <f>IF(K184&gt;0,VLOOKUP(G184,'[4]Pob. Ext, Parroquial'!$B$8:$F$117,4,FALSE),0)</f>
        <v>0</v>
      </c>
      <c r="N184" s="275" t="s">
        <v>395</v>
      </c>
      <c r="O184" s="273" t="s">
        <v>333</v>
      </c>
      <c r="P184" s="273">
        <v>1.47</v>
      </c>
      <c r="Q184" s="273">
        <v>1700</v>
      </c>
      <c r="R184" s="273"/>
      <c r="S184" s="276">
        <v>41641</v>
      </c>
      <c r="T184" s="276">
        <v>41759</v>
      </c>
      <c r="U184" s="276" t="str">
        <f t="shared" si="7"/>
        <v>EN EJECUCION</v>
      </c>
      <c r="V184" s="277">
        <f t="shared" si="6"/>
        <v>2499</v>
      </c>
      <c r="W184" s="277"/>
      <c r="X184" s="277"/>
      <c r="Y184" s="1022"/>
      <c r="Z184" s="278"/>
      <c r="AA184" s="279" t="s">
        <v>334</v>
      </c>
      <c r="AB184" s="279" t="s">
        <v>178</v>
      </c>
      <c r="AC184" s="280" t="s">
        <v>179</v>
      </c>
      <c r="AD184" s="281">
        <v>2014</v>
      </c>
      <c r="AE184" s="267"/>
      <c r="AF184" s="267"/>
    </row>
    <row r="185" spans="1:32" s="268" customFormat="1" ht="50.1" customHeight="1">
      <c r="A185" s="1049"/>
      <c r="B185" s="1043"/>
      <c r="C185" s="270" t="s">
        <v>182</v>
      </c>
      <c r="D185" s="1043"/>
      <c r="E185" s="271" t="s">
        <v>388</v>
      </c>
      <c r="F185" s="272" t="s">
        <v>330</v>
      </c>
      <c r="G185" s="353" t="s">
        <v>389</v>
      </c>
      <c r="H185" s="273" t="str">
        <f>VLOOKUP(G185,'[4]Pob. Ext, Parroquial'!$B$9:$C$117,2,0)</f>
        <v>PALTAS</v>
      </c>
      <c r="I185" s="273" t="s">
        <v>173</v>
      </c>
      <c r="J185" s="273" t="s">
        <v>174</v>
      </c>
      <c r="K185" s="273"/>
      <c r="L185" s="273">
        <f>ROUNDUP(Q185/6/1000,2)</f>
        <v>4.4399999999999995</v>
      </c>
      <c r="M185" s="274">
        <f>IF(K185&gt;0,VLOOKUP(G185,'[4]Pob. Ext, Parroquial'!$B$8:$F$117,4,FALSE),0)</f>
        <v>0</v>
      </c>
      <c r="N185" s="275" t="s">
        <v>185</v>
      </c>
      <c r="O185" s="273" t="s">
        <v>314</v>
      </c>
      <c r="P185" s="273">
        <v>0.1</v>
      </c>
      <c r="Q185" s="273">
        <v>26600</v>
      </c>
      <c r="R185" s="273"/>
      <c r="S185" s="276">
        <v>41641</v>
      </c>
      <c r="T185" s="276">
        <v>41759</v>
      </c>
      <c r="U185" s="276" t="str">
        <f t="shared" si="7"/>
        <v>EN EJECUCION</v>
      </c>
      <c r="V185" s="277">
        <f t="shared" si="6"/>
        <v>2660</v>
      </c>
      <c r="W185" s="277"/>
      <c r="X185" s="277"/>
      <c r="Y185" s="1022"/>
      <c r="Z185" s="278"/>
      <c r="AA185" s="279" t="s">
        <v>334</v>
      </c>
      <c r="AB185" s="279" t="s">
        <v>178</v>
      </c>
      <c r="AC185" s="280" t="s">
        <v>179</v>
      </c>
      <c r="AD185" s="281">
        <v>2014</v>
      </c>
      <c r="AE185" s="267"/>
      <c r="AF185" s="267"/>
    </row>
    <row r="186" spans="1:32" s="268" customFormat="1" ht="50.1" customHeight="1">
      <c r="A186" s="1049"/>
      <c r="B186" s="1043"/>
      <c r="C186" s="270" t="s">
        <v>169</v>
      </c>
      <c r="D186" s="1043"/>
      <c r="E186" s="271" t="s">
        <v>388</v>
      </c>
      <c r="F186" s="272" t="s">
        <v>330</v>
      </c>
      <c r="G186" s="353" t="s">
        <v>389</v>
      </c>
      <c r="H186" s="273" t="str">
        <f>VLOOKUP(G186,'[4]Pob. Ext, Parroquial'!$B$9:$C$117,2,0)</f>
        <v>PALTAS</v>
      </c>
      <c r="I186" s="273" t="s">
        <v>173</v>
      </c>
      <c r="J186" s="273" t="s">
        <v>174</v>
      </c>
      <c r="K186" s="273"/>
      <c r="L186" s="273">
        <f>+ROUND(Q186/6000/0.2,2)</f>
        <v>1.19</v>
      </c>
      <c r="M186" s="274">
        <f>IF(K186&gt;0,VLOOKUP(G186,'[4]Pob. Ext, Parroquial'!$B$8:$F$117,4,FALSE),0)</f>
        <v>0</v>
      </c>
      <c r="N186" s="275" t="s">
        <v>229</v>
      </c>
      <c r="O186" s="273" t="s">
        <v>333</v>
      </c>
      <c r="P186" s="273">
        <v>5.78</v>
      </c>
      <c r="Q186" s="273">
        <v>1430</v>
      </c>
      <c r="R186" s="273"/>
      <c r="S186" s="276">
        <v>41641</v>
      </c>
      <c r="T186" s="276">
        <v>41759</v>
      </c>
      <c r="U186" s="276" t="str">
        <f t="shared" si="7"/>
        <v>EN EJECUCION</v>
      </c>
      <c r="V186" s="277">
        <f t="shared" si="6"/>
        <v>8265.4</v>
      </c>
      <c r="W186" s="277"/>
      <c r="X186" s="277"/>
      <c r="Y186" s="1022"/>
      <c r="Z186" s="278"/>
      <c r="AA186" s="279" t="s">
        <v>334</v>
      </c>
      <c r="AB186" s="279" t="s">
        <v>178</v>
      </c>
      <c r="AC186" s="280" t="s">
        <v>179</v>
      </c>
      <c r="AD186" s="281">
        <v>2014</v>
      </c>
      <c r="AE186" s="267"/>
      <c r="AF186" s="267"/>
    </row>
    <row r="187" spans="1:32" s="268" customFormat="1" ht="50.1" customHeight="1" thickBot="1">
      <c r="A187" s="1050"/>
      <c r="B187" s="1051"/>
      <c r="C187" s="283" t="s">
        <v>169</v>
      </c>
      <c r="D187" s="1051"/>
      <c r="E187" s="284" t="s">
        <v>388</v>
      </c>
      <c r="F187" s="285" t="s">
        <v>330</v>
      </c>
      <c r="G187" s="354" t="s">
        <v>389</v>
      </c>
      <c r="H187" s="286" t="str">
        <f>VLOOKUP(G187,'[4]Pob. Ext, Parroquial'!$B$9:$C$117,2,0)</f>
        <v>PALTAS</v>
      </c>
      <c r="I187" s="286" t="s">
        <v>173</v>
      </c>
      <c r="J187" s="286" t="s">
        <v>174</v>
      </c>
      <c r="K187" s="286"/>
      <c r="L187" s="286"/>
      <c r="M187" s="287">
        <f>IF(K187&gt;0,VLOOKUP(G187,'[4]Pob. Ext, Parroquial'!$B$8:$F$117,4,FALSE),0)</f>
        <v>0</v>
      </c>
      <c r="N187" s="288" t="s">
        <v>180</v>
      </c>
      <c r="O187" s="286" t="s">
        <v>352</v>
      </c>
      <c r="P187" s="286">
        <v>0.3</v>
      </c>
      <c r="Q187" s="286">
        <v>13013</v>
      </c>
      <c r="R187" s="286"/>
      <c r="S187" s="289">
        <v>41641</v>
      </c>
      <c r="T187" s="289">
        <v>41759</v>
      </c>
      <c r="U187" s="289" t="str">
        <f t="shared" si="7"/>
        <v>EN EJECUCION</v>
      </c>
      <c r="V187" s="290">
        <f t="shared" si="6"/>
        <v>3903.9</v>
      </c>
      <c r="W187" s="290"/>
      <c r="X187" s="290"/>
      <c r="Y187" s="1023"/>
      <c r="Z187" s="278"/>
      <c r="AA187" s="279" t="s">
        <v>334</v>
      </c>
      <c r="AB187" s="279" t="s">
        <v>178</v>
      </c>
      <c r="AC187" s="280" t="s">
        <v>179</v>
      </c>
      <c r="AD187" s="281">
        <v>2014</v>
      </c>
      <c r="AE187" s="267"/>
      <c r="AF187" s="267"/>
    </row>
    <row r="188" spans="1:32" s="268" customFormat="1" ht="50.1" customHeight="1" thickTop="1" thickBot="1">
      <c r="A188" s="317" t="s">
        <v>541</v>
      </c>
      <c r="B188" s="299" t="str">
        <f>+U188</f>
        <v>EN EJECUCION</v>
      </c>
      <c r="C188" s="299" t="s">
        <v>182</v>
      </c>
      <c r="D188" s="299" t="s">
        <v>749</v>
      </c>
      <c r="E188" s="300" t="s">
        <v>749</v>
      </c>
      <c r="F188" s="301" t="s">
        <v>330</v>
      </c>
      <c r="G188" s="355" t="s">
        <v>389</v>
      </c>
      <c r="H188" s="302" t="str">
        <f>VLOOKUP(G188,'[4]Pob. Ext, Parroquial'!$B$9:$C$117,2,0)</f>
        <v>PALTAS</v>
      </c>
      <c r="I188" s="302" t="s">
        <v>173</v>
      </c>
      <c r="J188" s="302" t="s">
        <v>174</v>
      </c>
      <c r="K188" s="302">
        <v>17.8</v>
      </c>
      <c r="L188" s="302"/>
      <c r="M188" s="303">
        <f>IF(K188&gt;0,VLOOKUP(G188,'[4]Pob. Ext, Parroquial'!$B$8:$F$117,4,FALSE),0)</f>
        <v>1083</v>
      </c>
      <c r="N188" s="304" t="s">
        <v>200</v>
      </c>
      <c r="O188" s="302" t="s">
        <v>333</v>
      </c>
      <c r="P188" s="302">
        <v>1.47</v>
      </c>
      <c r="Q188" s="302">
        <v>6320</v>
      </c>
      <c r="R188" s="302"/>
      <c r="S188" s="305">
        <v>41658</v>
      </c>
      <c r="T188" s="305">
        <v>41759</v>
      </c>
      <c r="U188" s="305" t="str">
        <f t="shared" si="7"/>
        <v>EN EJECUCION</v>
      </c>
      <c r="V188" s="306">
        <f t="shared" si="6"/>
        <v>9290.4</v>
      </c>
      <c r="W188" s="306"/>
      <c r="X188" s="306"/>
      <c r="Y188" s="318">
        <f>V188+W188+X188</f>
        <v>9290.4</v>
      </c>
      <c r="Z188" s="278"/>
      <c r="AA188" s="279" t="s">
        <v>334</v>
      </c>
      <c r="AB188" s="279" t="s">
        <v>178</v>
      </c>
      <c r="AC188" s="280" t="s">
        <v>187</v>
      </c>
      <c r="AD188" s="281">
        <v>2014</v>
      </c>
      <c r="AE188" s="267"/>
      <c r="AF188" s="267"/>
    </row>
    <row r="189" spans="1:32" s="268" customFormat="1" ht="50.1" customHeight="1" thickTop="1" thickBot="1">
      <c r="A189" s="317"/>
      <c r="B189" s="299"/>
      <c r="C189" s="299" t="s">
        <v>182</v>
      </c>
      <c r="D189" s="299" t="s">
        <v>398</v>
      </c>
      <c r="E189" s="300" t="s">
        <v>398</v>
      </c>
      <c r="F189" s="301" t="s">
        <v>330</v>
      </c>
      <c r="G189" s="355" t="s">
        <v>389</v>
      </c>
      <c r="H189" s="302" t="str">
        <f>VLOOKUP(G189,'[4]Pob. Ext, Parroquial'!$B$9:$C$117,2,0)</f>
        <v>PALTAS</v>
      </c>
      <c r="I189" s="302" t="s">
        <v>173</v>
      </c>
      <c r="J189" s="302" t="s">
        <v>174</v>
      </c>
      <c r="K189" s="302">
        <v>7.7</v>
      </c>
      <c r="L189" s="302"/>
      <c r="M189" s="303">
        <f>IF(K189&gt;0,VLOOKUP(G189,'[4]Pob. Ext, Parroquial'!$B$8:$F$117,4,FALSE),0)</f>
        <v>1083</v>
      </c>
      <c r="N189" s="304" t="s">
        <v>200</v>
      </c>
      <c r="O189" s="302" t="s">
        <v>333</v>
      </c>
      <c r="P189" s="302">
        <v>1.47</v>
      </c>
      <c r="Q189" s="302">
        <v>960</v>
      </c>
      <c r="R189" s="302"/>
      <c r="S189" s="305">
        <v>41684</v>
      </c>
      <c r="T189" s="305">
        <v>41759</v>
      </c>
      <c r="U189" s="305" t="str">
        <f t="shared" si="7"/>
        <v>EN EJECUCION</v>
      </c>
      <c r="V189" s="306">
        <f t="shared" si="6"/>
        <v>1411.2</v>
      </c>
      <c r="W189" s="306"/>
      <c r="X189" s="306"/>
      <c r="Y189" s="318">
        <f>V189+W189+X189</f>
        <v>1411.2</v>
      </c>
      <c r="Z189" s="278"/>
      <c r="AA189" s="279" t="s">
        <v>334</v>
      </c>
      <c r="AB189" s="279" t="s">
        <v>178</v>
      </c>
      <c r="AC189" s="280" t="s">
        <v>187</v>
      </c>
      <c r="AD189" s="281">
        <v>2014</v>
      </c>
      <c r="AE189" s="267"/>
      <c r="AF189" s="267"/>
    </row>
    <row r="190" spans="1:32" s="268" customFormat="1" ht="50.1" customHeight="1" thickTop="1" thickBot="1">
      <c r="A190" s="317" t="s">
        <v>750</v>
      </c>
      <c r="B190" s="299" t="str">
        <f>+U190</f>
        <v>EN EJECUCION</v>
      </c>
      <c r="C190" s="299" t="s">
        <v>182</v>
      </c>
      <c r="D190" s="299" t="s">
        <v>399</v>
      </c>
      <c r="E190" s="300" t="s">
        <v>399</v>
      </c>
      <c r="F190" s="301" t="s">
        <v>330</v>
      </c>
      <c r="G190" s="355" t="s">
        <v>389</v>
      </c>
      <c r="H190" s="302" t="str">
        <f>VLOOKUP(G190,'[4]Pob. Ext, Parroquial'!$B$9:$C$117,2,0)</f>
        <v>PALTAS</v>
      </c>
      <c r="I190" s="302" t="s">
        <v>173</v>
      </c>
      <c r="J190" s="302" t="s">
        <v>174</v>
      </c>
      <c r="K190" s="302">
        <v>4.5</v>
      </c>
      <c r="L190" s="302"/>
      <c r="M190" s="303">
        <f>IF(K190&gt;0,VLOOKUP(G190,'[4]Pob. Ext, Parroquial'!$B$8:$F$117,4,FALSE),0)</f>
        <v>1083</v>
      </c>
      <c r="N190" s="304" t="s">
        <v>200</v>
      </c>
      <c r="O190" s="302" t="s">
        <v>333</v>
      </c>
      <c r="P190" s="302">
        <v>1.47</v>
      </c>
      <c r="Q190" s="302">
        <v>2880</v>
      </c>
      <c r="R190" s="302"/>
      <c r="S190" s="305">
        <v>41687</v>
      </c>
      <c r="T190" s="305">
        <v>41759</v>
      </c>
      <c r="U190" s="305" t="str">
        <f t="shared" si="7"/>
        <v>EN EJECUCION</v>
      </c>
      <c r="V190" s="306">
        <f t="shared" si="6"/>
        <v>4233.6000000000004</v>
      </c>
      <c r="W190" s="306"/>
      <c r="X190" s="306"/>
      <c r="Y190" s="318">
        <f>V190+W190+X190</f>
        <v>4233.6000000000004</v>
      </c>
      <c r="Z190" s="278"/>
      <c r="AA190" s="279" t="s">
        <v>334</v>
      </c>
      <c r="AB190" s="279" t="s">
        <v>178</v>
      </c>
      <c r="AC190" s="280" t="s">
        <v>187</v>
      </c>
      <c r="AD190" s="281">
        <v>2014</v>
      </c>
      <c r="AE190" s="267"/>
      <c r="AF190" s="267"/>
    </row>
    <row r="191" spans="1:32" s="268" customFormat="1" ht="50.1" customHeight="1" thickTop="1">
      <c r="A191" s="1048"/>
      <c r="B191" s="1042"/>
      <c r="C191" s="254" t="s">
        <v>169</v>
      </c>
      <c r="D191" s="1042" t="s">
        <v>751</v>
      </c>
      <c r="E191" s="255" t="s">
        <v>751</v>
      </c>
      <c r="F191" s="256" t="s">
        <v>330</v>
      </c>
      <c r="G191" s="352" t="s">
        <v>389</v>
      </c>
      <c r="H191" s="257" t="str">
        <f>VLOOKUP(G191,'[4]Pob. Ext, Parroquial'!$B$9:$C$117,2,0)</f>
        <v>PALTAS</v>
      </c>
      <c r="I191" s="257" t="s">
        <v>173</v>
      </c>
      <c r="J191" s="257" t="s">
        <v>174</v>
      </c>
      <c r="K191" s="257">
        <v>11.1</v>
      </c>
      <c r="L191" s="257"/>
      <c r="M191" s="258">
        <f>IF(K191&gt;0,VLOOKUP(G191,'[4]Pob. Ext, Parroquial'!$B$8:$F$117,4,FALSE),0)</f>
        <v>1083</v>
      </c>
      <c r="N191" s="259" t="s">
        <v>361</v>
      </c>
      <c r="O191" s="257" t="s">
        <v>333</v>
      </c>
      <c r="P191" s="257">
        <v>2.54</v>
      </c>
      <c r="Q191" s="257">
        <v>640</v>
      </c>
      <c r="R191" s="257"/>
      <c r="S191" s="261">
        <v>41673</v>
      </c>
      <c r="T191" s="261">
        <v>41759</v>
      </c>
      <c r="U191" s="261" t="str">
        <f t="shared" si="7"/>
        <v>EN EJECUCION</v>
      </c>
      <c r="V191" s="262">
        <f t="shared" si="6"/>
        <v>1625.6</v>
      </c>
      <c r="W191" s="262"/>
      <c r="X191" s="262"/>
      <c r="Y191" s="1021">
        <f>SUM(V191:V192)</f>
        <v>1821.11</v>
      </c>
      <c r="Z191" s="278"/>
      <c r="AA191" s="279" t="s">
        <v>334</v>
      </c>
      <c r="AB191" s="279" t="s">
        <v>178</v>
      </c>
      <c r="AC191" s="280" t="s">
        <v>187</v>
      </c>
      <c r="AD191" s="281">
        <v>2014</v>
      </c>
      <c r="AE191" s="267"/>
      <c r="AF191" s="267"/>
    </row>
    <row r="192" spans="1:32" s="268" customFormat="1" ht="50.1" customHeight="1" thickBot="1">
      <c r="A192" s="1050"/>
      <c r="B192" s="1051"/>
      <c r="C192" s="283" t="s">
        <v>169</v>
      </c>
      <c r="D192" s="1051"/>
      <c r="E192" s="284" t="s">
        <v>751</v>
      </c>
      <c r="F192" s="285" t="s">
        <v>330</v>
      </c>
      <c r="G192" s="354" t="s">
        <v>389</v>
      </c>
      <c r="H192" s="286" t="str">
        <f>VLOOKUP(G192,'[4]Pob. Ext, Parroquial'!$B$9:$C$117,2,0)</f>
        <v>PALTAS</v>
      </c>
      <c r="I192" s="286" t="s">
        <v>173</v>
      </c>
      <c r="J192" s="286" t="s">
        <v>174</v>
      </c>
      <c r="K192" s="286"/>
      <c r="L192" s="286"/>
      <c r="M192" s="287">
        <f>IF(K192&gt;0,VLOOKUP(G192,'[4]Pob. Ext, Parroquial'!$B$8:$F$117,4,FALSE),0)</f>
        <v>0</v>
      </c>
      <c r="N192" s="288" t="s">
        <v>180</v>
      </c>
      <c r="O192" s="286" t="s">
        <v>352</v>
      </c>
      <c r="P192" s="286">
        <v>0.38</v>
      </c>
      <c r="Q192" s="286">
        <v>514.5</v>
      </c>
      <c r="R192" s="286"/>
      <c r="S192" s="289">
        <v>41673</v>
      </c>
      <c r="T192" s="289">
        <v>41759</v>
      </c>
      <c r="U192" s="289" t="str">
        <f t="shared" si="7"/>
        <v>EN EJECUCION</v>
      </c>
      <c r="V192" s="290">
        <f t="shared" si="6"/>
        <v>195.51</v>
      </c>
      <c r="W192" s="290"/>
      <c r="X192" s="290"/>
      <c r="Y192" s="1023"/>
      <c r="Z192" s="278"/>
      <c r="AA192" s="279" t="s">
        <v>334</v>
      </c>
      <c r="AB192" s="279" t="s">
        <v>178</v>
      </c>
      <c r="AC192" s="280" t="s">
        <v>187</v>
      </c>
      <c r="AD192" s="281">
        <v>2014</v>
      </c>
      <c r="AE192" s="267"/>
      <c r="AF192" s="267"/>
    </row>
    <row r="193" spans="1:32" s="268" customFormat="1" ht="50.1" customHeight="1" thickTop="1" thickBot="1">
      <c r="A193" s="317"/>
      <c r="B193" s="299"/>
      <c r="C193" s="299" t="s">
        <v>182</v>
      </c>
      <c r="D193" s="299" t="s">
        <v>402</v>
      </c>
      <c r="E193" s="300" t="s">
        <v>402</v>
      </c>
      <c r="F193" s="301" t="s">
        <v>330</v>
      </c>
      <c r="G193" s="355" t="s">
        <v>389</v>
      </c>
      <c r="H193" s="302" t="str">
        <f>VLOOKUP(G193,'[4]Pob. Ext, Parroquial'!$B$9:$C$117,2,0)</f>
        <v>PALTAS</v>
      </c>
      <c r="I193" s="302" t="s">
        <v>173</v>
      </c>
      <c r="J193" s="302" t="s">
        <v>174</v>
      </c>
      <c r="K193" s="302">
        <v>6.9</v>
      </c>
      <c r="L193" s="302">
        <f>ROUNDUP(Q193/6/1000,2)</f>
        <v>4.55</v>
      </c>
      <c r="M193" s="303">
        <f>IF(K193&gt;0,VLOOKUP(G193,'[4]Pob. Ext, Parroquial'!$B$8:$F$117,4,FALSE),0)</f>
        <v>1083</v>
      </c>
      <c r="N193" s="304" t="s">
        <v>185</v>
      </c>
      <c r="O193" s="302" t="s">
        <v>314</v>
      </c>
      <c r="P193" s="302">
        <v>0.1</v>
      </c>
      <c r="Q193" s="302">
        <v>27300</v>
      </c>
      <c r="R193" s="302"/>
      <c r="S193" s="305">
        <v>41641</v>
      </c>
      <c r="T193" s="305">
        <v>41759</v>
      </c>
      <c r="U193" s="305" t="str">
        <f t="shared" si="7"/>
        <v>EN EJECUCION</v>
      </c>
      <c r="V193" s="306">
        <f t="shared" si="6"/>
        <v>2730</v>
      </c>
      <c r="W193" s="306"/>
      <c r="X193" s="306"/>
      <c r="Y193" s="318">
        <f>V193+W193+X193</f>
        <v>2730</v>
      </c>
      <c r="Z193" s="278"/>
      <c r="AA193" s="279" t="s">
        <v>334</v>
      </c>
      <c r="AB193" s="279" t="s">
        <v>178</v>
      </c>
      <c r="AC193" s="280" t="s">
        <v>179</v>
      </c>
      <c r="AD193" s="281">
        <v>2014</v>
      </c>
      <c r="AE193" s="267"/>
      <c r="AF193" s="267"/>
    </row>
    <row r="194" spans="1:32" s="268" customFormat="1" ht="50.1" customHeight="1" thickTop="1">
      <c r="A194" s="1048"/>
      <c r="B194" s="1042"/>
      <c r="C194" s="254" t="s">
        <v>169</v>
      </c>
      <c r="D194" s="1042" t="s">
        <v>404</v>
      </c>
      <c r="E194" s="255" t="s">
        <v>404</v>
      </c>
      <c r="F194" s="256" t="s">
        <v>330</v>
      </c>
      <c r="G194" s="352" t="s">
        <v>389</v>
      </c>
      <c r="H194" s="257" t="str">
        <f>VLOOKUP(G194,'[4]Pob. Ext, Parroquial'!$B$9:$C$117,2,0)</f>
        <v>PALTAS</v>
      </c>
      <c r="I194" s="257" t="s">
        <v>173</v>
      </c>
      <c r="J194" s="257" t="s">
        <v>174</v>
      </c>
      <c r="K194" s="257">
        <v>3.8</v>
      </c>
      <c r="L194" s="257"/>
      <c r="M194" s="258">
        <f>IF(K194&gt;0,VLOOKUP(G194,'[4]Pob. Ext, Parroquial'!$B$8:$F$117,4,FALSE),0)</f>
        <v>1083</v>
      </c>
      <c r="N194" s="259" t="s">
        <v>395</v>
      </c>
      <c r="O194" s="257" t="s">
        <v>333</v>
      </c>
      <c r="P194" s="257">
        <v>1.47</v>
      </c>
      <c r="Q194" s="257">
        <v>1325</v>
      </c>
      <c r="R194" s="257"/>
      <c r="S194" s="261">
        <v>41641</v>
      </c>
      <c r="T194" s="261">
        <v>41759</v>
      </c>
      <c r="U194" s="261" t="str">
        <f t="shared" si="7"/>
        <v>EN EJECUCION</v>
      </c>
      <c r="V194" s="262">
        <f t="shared" si="6"/>
        <v>1947.75</v>
      </c>
      <c r="W194" s="262"/>
      <c r="X194" s="262"/>
      <c r="Y194" s="1021">
        <f>SUM(V194:V196)</f>
        <v>9127.98</v>
      </c>
      <c r="Z194" s="278"/>
      <c r="AA194" s="279" t="s">
        <v>334</v>
      </c>
      <c r="AB194" s="279" t="s">
        <v>178</v>
      </c>
      <c r="AC194" s="280" t="s">
        <v>179</v>
      </c>
      <c r="AD194" s="281">
        <v>2014</v>
      </c>
      <c r="AE194" s="267"/>
      <c r="AF194" s="267"/>
    </row>
    <row r="195" spans="1:32" s="268" customFormat="1" ht="50.1" customHeight="1">
      <c r="A195" s="1049"/>
      <c r="B195" s="1043"/>
      <c r="C195" s="270" t="s">
        <v>169</v>
      </c>
      <c r="D195" s="1043"/>
      <c r="E195" s="271" t="s">
        <v>404</v>
      </c>
      <c r="F195" s="272" t="s">
        <v>330</v>
      </c>
      <c r="G195" s="353" t="s">
        <v>389</v>
      </c>
      <c r="H195" s="273" t="str">
        <f>VLOOKUP(G195,'[4]Pob. Ext, Parroquial'!$B$9:$C$117,2,0)</f>
        <v>PALTAS</v>
      </c>
      <c r="I195" s="273" t="s">
        <v>173</v>
      </c>
      <c r="J195" s="273" t="s">
        <v>174</v>
      </c>
      <c r="K195" s="273"/>
      <c r="L195" s="273">
        <f>+ROUND(Q195/6000/0.2,2)</f>
        <v>0.99</v>
      </c>
      <c r="M195" s="274">
        <f>IF(K195&gt;0,VLOOKUP(G195,'[4]Pob. Ext, Parroquial'!$B$8:$F$117,4,FALSE),0)</f>
        <v>0</v>
      </c>
      <c r="N195" s="275" t="s">
        <v>229</v>
      </c>
      <c r="O195" s="273" t="s">
        <v>333</v>
      </c>
      <c r="P195" s="273">
        <v>5.78</v>
      </c>
      <c r="Q195" s="273">
        <v>1192</v>
      </c>
      <c r="R195" s="273"/>
      <c r="S195" s="276">
        <v>41641</v>
      </c>
      <c r="T195" s="276">
        <v>41759</v>
      </c>
      <c r="U195" s="276" t="str">
        <f t="shared" si="7"/>
        <v>EN EJECUCION</v>
      </c>
      <c r="V195" s="277">
        <f t="shared" si="6"/>
        <v>6889.76</v>
      </c>
      <c r="W195" s="277"/>
      <c r="X195" s="277"/>
      <c r="Y195" s="1022"/>
      <c r="Z195" s="278"/>
      <c r="AA195" s="279" t="s">
        <v>334</v>
      </c>
      <c r="AB195" s="279" t="s">
        <v>178</v>
      </c>
      <c r="AC195" s="280" t="s">
        <v>179</v>
      </c>
      <c r="AD195" s="281">
        <v>2014</v>
      </c>
      <c r="AE195" s="267"/>
      <c r="AF195" s="267"/>
    </row>
    <row r="196" spans="1:32" s="268" customFormat="1" ht="50.1" customHeight="1" thickBot="1">
      <c r="A196" s="1050"/>
      <c r="B196" s="1051"/>
      <c r="C196" s="283" t="s">
        <v>169</v>
      </c>
      <c r="D196" s="1051"/>
      <c r="E196" s="284" t="s">
        <v>404</v>
      </c>
      <c r="F196" s="285" t="s">
        <v>330</v>
      </c>
      <c r="G196" s="354" t="s">
        <v>389</v>
      </c>
      <c r="H196" s="286" t="str">
        <f>VLOOKUP(G196,'[4]Pob. Ext, Parroquial'!$B$9:$C$117,2,0)</f>
        <v>PALTAS</v>
      </c>
      <c r="I196" s="286" t="s">
        <v>173</v>
      </c>
      <c r="J196" s="286" t="s">
        <v>174</v>
      </c>
      <c r="K196" s="286"/>
      <c r="L196" s="286"/>
      <c r="M196" s="287">
        <f>IF(K196&gt;0,VLOOKUP(G196,'[4]Pob. Ext, Parroquial'!$B$8:$F$117,4,FALSE),0)</f>
        <v>0</v>
      </c>
      <c r="N196" s="288" t="s">
        <v>180</v>
      </c>
      <c r="O196" s="286" t="s">
        <v>352</v>
      </c>
      <c r="P196" s="286">
        <v>0.38</v>
      </c>
      <c r="Q196" s="286">
        <v>764.4</v>
      </c>
      <c r="R196" s="286"/>
      <c r="S196" s="289">
        <v>41641</v>
      </c>
      <c r="T196" s="289">
        <v>41759</v>
      </c>
      <c r="U196" s="289" t="str">
        <f t="shared" si="7"/>
        <v>EN EJECUCION</v>
      </c>
      <c r="V196" s="290">
        <f t="shared" si="6"/>
        <v>290.47000000000003</v>
      </c>
      <c r="W196" s="290"/>
      <c r="X196" s="290"/>
      <c r="Y196" s="1023"/>
      <c r="Z196" s="278"/>
      <c r="AA196" s="279" t="s">
        <v>334</v>
      </c>
      <c r="AB196" s="279" t="s">
        <v>178</v>
      </c>
      <c r="AC196" s="280" t="s">
        <v>179</v>
      </c>
      <c r="AD196" s="281">
        <v>2014</v>
      </c>
      <c r="AE196" s="267"/>
      <c r="AF196" s="267"/>
    </row>
    <row r="197" spans="1:32" s="268" customFormat="1" ht="50.1" customHeight="1" thickTop="1">
      <c r="A197" s="1048"/>
      <c r="B197" s="1042"/>
      <c r="C197" s="254" t="s">
        <v>169</v>
      </c>
      <c r="D197" s="1042" t="s">
        <v>405</v>
      </c>
      <c r="E197" s="255" t="s">
        <v>405</v>
      </c>
      <c r="F197" s="256" t="s">
        <v>330</v>
      </c>
      <c r="G197" s="352" t="s">
        <v>406</v>
      </c>
      <c r="H197" s="257" t="str">
        <f>VLOOKUP(G197,'[4]Pob. Ext, Parroquial'!$B$9:$C$117,2,0)</f>
        <v>PALTAS</v>
      </c>
      <c r="I197" s="257" t="s">
        <v>173</v>
      </c>
      <c r="J197" s="257" t="s">
        <v>174</v>
      </c>
      <c r="K197" s="257">
        <v>9.6999999999999993</v>
      </c>
      <c r="L197" s="257"/>
      <c r="M197" s="258">
        <f>IF(K197&gt;0,VLOOKUP(G197,'[4]Pob. Ext, Parroquial'!$B$8:$F$117,4,FALSE),0)</f>
        <v>639</v>
      </c>
      <c r="N197" s="259" t="s">
        <v>361</v>
      </c>
      <c r="O197" s="257" t="s">
        <v>333</v>
      </c>
      <c r="P197" s="257">
        <v>2.54</v>
      </c>
      <c r="Q197" s="257">
        <v>10895</v>
      </c>
      <c r="R197" s="257"/>
      <c r="S197" s="261">
        <v>41655</v>
      </c>
      <c r="T197" s="261">
        <v>41759</v>
      </c>
      <c r="U197" s="261" t="str">
        <f t="shared" si="7"/>
        <v>EN EJECUCION</v>
      </c>
      <c r="V197" s="262">
        <f t="shared" si="6"/>
        <v>27673.3</v>
      </c>
      <c r="W197" s="262"/>
      <c r="X197" s="262"/>
      <c r="Y197" s="1021">
        <f>SUM(V197:V201)</f>
        <v>104985.86000000002</v>
      </c>
      <c r="Z197" s="278"/>
      <c r="AA197" s="279" t="s">
        <v>334</v>
      </c>
      <c r="AB197" s="279" t="s">
        <v>178</v>
      </c>
      <c r="AC197" s="280" t="s">
        <v>187</v>
      </c>
      <c r="AD197" s="281">
        <v>2014</v>
      </c>
      <c r="AE197" s="267"/>
      <c r="AF197" s="267"/>
    </row>
    <row r="198" spans="1:32" s="268" customFormat="1" ht="50.1" customHeight="1">
      <c r="A198" s="1049"/>
      <c r="B198" s="1043"/>
      <c r="C198" s="270" t="s">
        <v>169</v>
      </c>
      <c r="D198" s="1043"/>
      <c r="E198" s="271" t="s">
        <v>405</v>
      </c>
      <c r="F198" s="272" t="s">
        <v>330</v>
      </c>
      <c r="G198" s="353" t="s">
        <v>406</v>
      </c>
      <c r="H198" s="273" t="str">
        <f>VLOOKUP(G198,'[4]Pob. Ext, Parroquial'!$B$9:$C$117,2,0)</f>
        <v>PALTAS</v>
      </c>
      <c r="I198" s="273" t="s">
        <v>173</v>
      </c>
      <c r="J198" s="273" t="s">
        <v>174</v>
      </c>
      <c r="K198" s="273"/>
      <c r="L198" s="273"/>
      <c r="M198" s="274"/>
      <c r="N198" s="275" t="s">
        <v>395</v>
      </c>
      <c r="O198" s="273" t="s">
        <v>333</v>
      </c>
      <c r="P198" s="273">
        <v>1.47</v>
      </c>
      <c r="Q198" s="273">
        <v>8985</v>
      </c>
      <c r="R198" s="273"/>
      <c r="S198" s="276">
        <v>41655</v>
      </c>
      <c r="T198" s="276">
        <v>41759</v>
      </c>
      <c r="U198" s="276" t="str">
        <f t="shared" si="7"/>
        <v>EN EJECUCION</v>
      </c>
      <c r="V198" s="277">
        <f t="shared" si="6"/>
        <v>13207.95</v>
      </c>
      <c r="W198" s="277"/>
      <c r="X198" s="277"/>
      <c r="Y198" s="1022"/>
      <c r="Z198" s="278"/>
      <c r="AA198" s="279" t="s">
        <v>334</v>
      </c>
      <c r="AB198" s="279" t="s">
        <v>178</v>
      </c>
      <c r="AC198" s="280" t="s">
        <v>187</v>
      </c>
      <c r="AD198" s="281">
        <v>2014</v>
      </c>
      <c r="AE198" s="267"/>
      <c r="AF198" s="267"/>
    </row>
    <row r="199" spans="1:32" s="268" customFormat="1" ht="50.1" customHeight="1">
      <c r="A199" s="1049"/>
      <c r="B199" s="1043"/>
      <c r="C199" s="270" t="s">
        <v>182</v>
      </c>
      <c r="D199" s="1043"/>
      <c r="E199" s="271" t="s">
        <v>405</v>
      </c>
      <c r="F199" s="272" t="s">
        <v>330</v>
      </c>
      <c r="G199" s="353" t="s">
        <v>406</v>
      </c>
      <c r="H199" s="273" t="str">
        <f>VLOOKUP(G199,'[4]Pob. Ext, Parroquial'!$B$9:$C$117,2,0)</f>
        <v>PALTAS</v>
      </c>
      <c r="I199" s="273" t="s">
        <v>173</v>
      </c>
      <c r="J199" s="273" t="s">
        <v>174</v>
      </c>
      <c r="K199" s="273"/>
      <c r="L199" s="273">
        <f>ROUNDUP(Q199/6/1000,2)</f>
        <v>3.73</v>
      </c>
      <c r="M199" s="274"/>
      <c r="N199" s="275" t="s">
        <v>185</v>
      </c>
      <c r="O199" s="273" t="s">
        <v>314</v>
      </c>
      <c r="P199" s="273">
        <v>0.1</v>
      </c>
      <c r="Q199" s="273">
        <v>22344</v>
      </c>
      <c r="R199" s="273"/>
      <c r="S199" s="276">
        <v>41655</v>
      </c>
      <c r="T199" s="276">
        <v>41759</v>
      </c>
      <c r="U199" s="276" t="str">
        <f t="shared" si="7"/>
        <v>EN EJECUCION</v>
      </c>
      <c r="V199" s="277">
        <f t="shared" si="6"/>
        <v>2234.4</v>
      </c>
      <c r="W199" s="277"/>
      <c r="X199" s="277"/>
      <c r="Y199" s="1022"/>
      <c r="Z199" s="278"/>
      <c r="AA199" s="279" t="s">
        <v>334</v>
      </c>
      <c r="AB199" s="279" t="s">
        <v>178</v>
      </c>
      <c r="AC199" s="280" t="s">
        <v>187</v>
      </c>
      <c r="AD199" s="281">
        <v>2014</v>
      </c>
      <c r="AE199" s="267"/>
      <c r="AF199" s="267"/>
    </row>
    <row r="200" spans="1:32" s="268" customFormat="1" ht="50.1" customHeight="1">
      <c r="A200" s="1049"/>
      <c r="B200" s="1043"/>
      <c r="C200" s="270" t="s">
        <v>169</v>
      </c>
      <c r="D200" s="1043"/>
      <c r="E200" s="271" t="s">
        <v>405</v>
      </c>
      <c r="F200" s="272" t="s">
        <v>330</v>
      </c>
      <c r="G200" s="353" t="s">
        <v>406</v>
      </c>
      <c r="H200" s="273" t="str">
        <f>VLOOKUP(G200,'[4]Pob. Ext, Parroquial'!$B$9:$C$117,2,0)</f>
        <v>PALTAS</v>
      </c>
      <c r="I200" s="273" t="s">
        <v>173</v>
      </c>
      <c r="J200" s="273" t="s">
        <v>174</v>
      </c>
      <c r="K200" s="273"/>
      <c r="L200" s="273">
        <f>+ROUND(Q200/6000/0.2,2)</f>
        <v>7.51</v>
      </c>
      <c r="M200" s="274"/>
      <c r="N200" s="275" t="s">
        <v>229</v>
      </c>
      <c r="O200" s="273" t="s">
        <v>333</v>
      </c>
      <c r="P200" s="273">
        <v>5.78</v>
      </c>
      <c r="Q200" s="273">
        <v>9011</v>
      </c>
      <c r="R200" s="273"/>
      <c r="S200" s="276">
        <v>41655</v>
      </c>
      <c r="T200" s="276">
        <v>41759</v>
      </c>
      <c r="U200" s="276" t="str">
        <f t="shared" si="7"/>
        <v>EN EJECUCION</v>
      </c>
      <c r="V200" s="277">
        <f t="shared" si="6"/>
        <v>52083.58</v>
      </c>
      <c r="W200" s="277"/>
      <c r="X200" s="277"/>
      <c r="Y200" s="1022"/>
      <c r="Z200" s="278"/>
      <c r="AA200" s="279" t="s">
        <v>334</v>
      </c>
      <c r="AB200" s="279" t="s">
        <v>178</v>
      </c>
      <c r="AC200" s="280" t="s">
        <v>187</v>
      </c>
      <c r="AD200" s="281">
        <v>2014</v>
      </c>
      <c r="AE200" s="267"/>
      <c r="AF200" s="267"/>
    </row>
    <row r="201" spans="1:32" s="268" customFormat="1" ht="50.1" customHeight="1" thickBot="1">
      <c r="A201" s="1050"/>
      <c r="B201" s="1051"/>
      <c r="C201" s="283" t="s">
        <v>169</v>
      </c>
      <c r="D201" s="1051"/>
      <c r="E201" s="284" t="s">
        <v>405</v>
      </c>
      <c r="F201" s="285" t="s">
        <v>330</v>
      </c>
      <c r="G201" s="354" t="s">
        <v>406</v>
      </c>
      <c r="H201" s="286" t="str">
        <f>VLOOKUP(G201,'[4]Pob. Ext, Parroquial'!$B$9:$C$117,2,0)</f>
        <v>PALTAS</v>
      </c>
      <c r="I201" s="286" t="s">
        <v>173</v>
      </c>
      <c r="J201" s="286" t="s">
        <v>174</v>
      </c>
      <c r="K201" s="286"/>
      <c r="L201" s="286"/>
      <c r="M201" s="287"/>
      <c r="N201" s="288" t="s">
        <v>180</v>
      </c>
      <c r="O201" s="286" t="s">
        <v>352</v>
      </c>
      <c r="P201" s="286">
        <v>0.35</v>
      </c>
      <c r="Q201" s="286">
        <v>27961.8</v>
      </c>
      <c r="R201" s="286"/>
      <c r="S201" s="289">
        <v>41655</v>
      </c>
      <c r="T201" s="289">
        <v>41759</v>
      </c>
      <c r="U201" s="289" t="str">
        <f t="shared" si="7"/>
        <v>EN EJECUCION</v>
      </c>
      <c r="V201" s="290">
        <f t="shared" si="6"/>
        <v>9786.6299999999992</v>
      </c>
      <c r="W201" s="290"/>
      <c r="X201" s="290"/>
      <c r="Y201" s="1023"/>
      <c r="Z201" s="278"/>
      <c r="AA201" s="279" t="s">
        <v>334</v>
      </c>
      <c r="AB201" s="279" t="s">
        <v>178</v>
      </c>
      <c r="AC201" s="280" t="s">
        <v>187</v>
      </c>
      <c r="AD201" s="281">
        <v>2014</v>
      </c>
      <c r="AE201" s="267"/>
      <c r="AF201" s="267"/>
    </row>
    <row r="202" spans="1:32" s="268" customFormat="1" ht="50.1" customHeight="1" thickTop="1">
      <c r="A202" s="1048" t="s">
        <v>752</v>
      </c>
      <c r="B202" s="1042" t="str">
        <f>+U204</f>
        <v>EN EJECUCION</v>
      </c>
      <c r="C202" s="254" t="s">
        <v>169</v>
      </c>
      <c r="D202" s="1042" t="s">
        <v>753</v>
      </c>
      <c r="E202" s="255" t="s">
        <v>753</v>
      </c>
      <c r="F202" s="256" t="s">
        <v>330</v>
      </c>
      <c r="G202" s="352" t="s">
        <v>403</v>
      </c>
      <c r="H202" s="257" t="str">
        <f>VLOOKUP(G202,'[4]Pob. Ext, Parroquial'!$B$9:$C$117,2,0)</f>
        <v>PALTAS</v>
      </c>
      <c r="I202" s="257" t="s">
        <v>173</v>
      </c>
      <c r="J202" s="257" t="s">
        <v>174</v>
      </c>
      <c r="K202" s="257">
        <v>5.7</v>
      </c>
      <c r="L202" s="257"/>
      <c r="M202" s="258"/>
      <c r="N202" s="259" t="s">
        <v>361</v>
      </c>
      <c r="O202" s="257" t="s">
        <v>333</v>
      </c>
      <c r="P202" s="257">
        <v>2.54</v>
      </c>
      <c r="Q202" s="257">
        <v>880</v>
      </c>
      <c r="R202" s="257"/>
      <c r="S202" s="261">
        <v>41719</v>
      </c>
      <c r="T202" s="261">
        <v>41759</v>
      </c>
      <c r="U202" s="261" t="str">
        <f t="shared" si="7"/>
        <v>EN EJECUCION</v>
      </c>
      <c r="V202" s="262">
        <f t="shared" si="6"/>
        <v>2235.1999999999998</v>
      </c>
      <c r="W202" s="262"/>
      <c r="X202" s="262"/>
      <c r="Y202" s="1021">
        <f>SUM(V202:V207)</f>
        <v>19487.68</v>
      </c>
      <c r="Z202" s="278"/>
      <c r="AA202" s="279" t="s">
        <v>334</v>
      </c>
      <c r="AB202" s="279" t="s">
        <v>178</v>
      </c>
      <c r="AC202" s="280" t="s">
        <v>187</v>
      </c>
      <c r="AD202" s="281">
        <v>2014</v>
      </c>
      <c r="AE202" s="267"/>
      <c r="AF202" s="267"/>
    </row>
    <row r="203" spans="1:32" s="268" customFormat="1" ht="50.1" customHeight="1">
      <c r="A203" s="1049"/>
      <c r="B203" s="1043"/>
      <c r="C203" s="270" t="s">
        <v>169</v>
      </c>
      <c r="D203" s="1043"/>
      <c r="E203" s="271" t="s">
        <v>753</v>
      </c>
      <c r="F203" s="272" t="s">
        <v>330</v>
      </c>
      <c r="G203" s="353" t="s">
        <v>403</v>
      </c>
      <c r="H203" s="273" t="str">
        <f>VLOOKUP(G203,'[4]Pob. Ext, Parroquial'!$B$9:$C$117,2,0)</f>
        <v>PALTAS</v>
      </c>
      <c r="I203" s="273" t="s">
        <v>173</v>
      </c>
      <c r="J203" s="273" t="s">
        <v>174</v>
      </c>
      <c r="K203" s="273"/>
      <c r="L203" s="273"/>
      <c r="M203" s="274"/>
      <c r="N203" s="275" t="s">
        <v>362</v>
      </c>
      <c r="O203" s="273" t="s">
        <v>333</v>
      </c>
      <c r="P203" s="273">
        <v>1.62</v>
      </c>
      <c r="Q203" s="273">
        <v>4070</v>
      </c>
      <c r="R203" s="273"/>
      <c r="S203" s="276">
        <v>41719</v>
      </c>
      <c r="T203" s="276">
        <v>41759</v>
      </c>
      <c r="U203" s="276" t="str">
        <f t="shared" si="7"/>
        <v>EN EJECUCION</v>
      </c>
      <c r="V203" s="277">
        <f t="shared" ref="V203:V266" si="8">ROUND(P203*Q203,2)</f>
        <v>6593.4</v>
      </c>
      <c r="W203" s="277"/>
      <c r="X203" s="277"/>
      <c r="Y203" s="1022"/>
      <c r="Z203" s="278"/>
      <c r="AA203" s="279" t="s">
        <v>334</v>
      </c>
      <c r="AB203" s="279" t="s">
        <v>178</v>
      </c>
      <c r="AC203" s="280" t="s">
        <v>187</v>
      </c>
      <c r="AD203" s="281">
        <v>2014</v>
      </c>
      <c r="AE203" s="267"/>
      <c r="AF203" s="267"/>
    </row>
    <row r="204" spans="1:32" s="268" customFormat="1" ht="50.1" customHeight="1">
      <c r="A204" s="1049"/>
      <c r="B204" s="1043"/>
      <c r="C204" s="270" t="s">
        <v>169</v>
      </c>
      <c r="D204" s="1043"/>
      <c r="E204" s="271" t="s">
        <v>753</v>
      </c>
      <c r="F204" s="272" t="s">
        <v>330</v>
      </c>
      <c r="G204" s="353" t="s">
        <v>403</v>
      </c>
      <c r="H204" s="273" t="str">
        <f>VLOOKUP(G204,'[4]Pob. Ext, Parroquial'!$B$9:$C$117,2,0)</f>
        <v>PALTAS</v>
      </c>
      <c r="I204" s="273" t="s">
        <v>173</v>
      </c>
      <c r="J204" s="273" t="s">
        <v>174</v>
      </c>
      <c r="K204" s="273"/>
      <c r="L204" s="273"/>
      <c r="M204" s="274"/>
      <c r="N204" s="275" t="s">
        <v>395</v>
      </c>
      <c r="O204" s="273" t="s">
        <v>333</v>
      </c>
      <c r="P204" s="273">
        <v>1.47</v>
      </c>
      <c r="Q204" s="273">
        <v>2400</v>
      </c>
      <c r="R204" s="273"/>
      <c r="S204" s="276">
        <v>41719</v>
      </c>
      <c r="T204" s="276">
        <v>41759</v>
      </c>
      <c r="U204" s="276" t="str">
        <f t="shared" si="7"/>
        <v>EN EJECUCION</v>
      </c>
      <c r="V204" s="277">
        <f t="shared" si="8"/>
        <v>3528</v>
      </c>
      <c r="W204" s="277"/>
      <c r="X204" s="277"/>
      <c r="Y204" s="1022"/>
      <c r="Z204" s="278"/>
      <c r="AA204" s="279" t="s">
        <v>334</v>
      </c>
      <c r="AB204" s="279" t="s">
        <v>178</v>
      </c>
      <c r="AC204" s="280" t="s">
        <v>187</v>
      </c>
      <c r="AD204" s="281">
        <v>2014</v>
      </c>
      <c r="AE204" s="267"/>
      <c r="AF204" s="267"/>
    </row>
    <row r="205" spans="1:32" s="268" customFormat="1" ht="50.1" customHeight="1">
      <c r="A205" s="1049"/>
      <c r="B205" s="1043"/>
      <c r="C205" s="270" t="s">
        <v>182</v>
      </c>
      <c r="D205" s="1043"/>
      <c r="E205" s="271" t="s">
        <v>753</v>
      </c>
      <c r="F205" s="272" t="s">
        <v>330</v>
      </c>
      <c r="G205" s="353" t="s">
        <v>403</v>
      </c>
      <c r="H205" s="273" t="str">
        <f>VLOOKUP(G205,'[4]Pob. Ext, Parroquial'!$B$9:$C$117,2,0)</f>
        <v>PALTAS</v>
      </c>
      <c r="I205" s="273" t="s">
        <v>173</v>
      </c>
      <c r="J205" s="273" t="s">
        <v>174</v>
      </c>
      <c r="K205" s="273"/>
      <c r="L205" s="273">
        <f>ROUNDUP(Q205/6/1000,2)</f>
        <v>3.34</v>
      </c>
      <c r="M205" s="274"/>
      <c r="N205" s="275" t="s">
        <v>185</v>
      </c>
      <c r="O205" s="273" t="s">
        <v>314</v>
      </c>
      <c r="P205" s="273">
        <v>0.1</v>
      </c>
      <c r="Q205" s="273">
        <v>20000</v>
      </c>
      <c r="R205" s="273"/>
      <c r="S205" s="276">
        <v>41719</v>
      </c>
      <c r="T205" s="276">
        <v>41759</v>
      </c>
      <c r="U205" s="276" t="str">
        <f t="shared" si="7"/>
        <v>EN EJECUCION</v>
      </c>
      <c r="V205" s="277">
        <f t="shared" si="8"/>
        <v>2000</v>
      </c>
      <c r="W205" s="277"/>
      <c r="X205" s="277"/>
      <c r="Y205" s="1022"/>
      <c r="Z205" s="278"/>
      <c r="AA205" s="279" t="s">
        <v>334</v>
      </c>
      <c r="AB205" s="279" t="s">
        <v>178</v>
      </c>
      <c r="AC205" s="280" t="s">
        <v>187</v>
      </c>
      <c r="AD205" s="281">
        <v>2014</v>
      </c>
      <c r="AE205" s="267"/>
      <c r="AF205" s="267"/>
    </row>
    <row r="206" spans="1:32" s="268" customFormat="1" ht="50.1" customHeight="1">
      <c r="A206" s="1049"/>
      <c r="B206" s="1043"/>
      <c r="C206" s="270" t="s">
        <v>169</v>
      </c>
      <c r="D206" s="1043"/>
      <c r="E206" s="271" t="s">
        <v>753</v>
      </c>
      <c r="F206" s="272" t="s">
        <v>330</v>
      </c>
      <c r="G206" s="353" t="s">
        <v>403</v>
      </c>
      <c r="H206" s="273" t="str">
        <f>VLOOKUP(G206,'[4]Pob. Ext, Parroquial'!$B$9:$C$117,2,0)</f>
        <v>PALTAS</v>
      </c>
      <c r="I206" s="273" t="s">
        <v>173</v>
      </c>
      <c r="J206" s="273" t="s">
        <v>174</v>
      </c>
      <c r="K206" s="273"/>
      <c r="L206" s="273">
        <f>+ROUND(Q206/6000/0.2,2)</f>
        <v>0.7</v>
      </c>
      <c r="M206" s="274"/>
      <c r="N206" s="275" t="s">
        <v>229</v>
      </c>
      <c r="O206" s="273" t="s">
        <v>333</v>
      </c>
      <c r="P206" s="273">
        <v>5.78</v>
      </c>
      <c r="Q206" s="273">
        <v>840</v>
      </c>
      <c r="R206" s="273"/>
      <c r="S206" s="276">
        <v>41719</v>
      </c>
      <c r="T206" s="276">
        <v>41759</v>
      </c>
      <c r="U206" s="276" t="str">
        <f t="shared" ref="U206:U269" si="9">IF(T206&lt;$G$4,"EJECUTADO","EN EJECUCION")</f>
        <v>EN EJECUCION</v>
      </c>
      <c r="V206" s="277">
        <f t="shared" si="8"/>
        <v>4855.2</v>
      </c>
      <c r="W206" s="277"/>
      <c r="X206" s="277"/>
      <c r="Y206" s="1022"/>
      <c r="Z206" s="278"/>
      <c r="AA206" s="279" t="s">
        <v>334</v>
      </c>
      <c r="AB206" s="279" t="s">
        <v>178</v>
      </c>
      <c r="AC206" s="280" t="s">
        <v>187</v>
      </c>
      <c r="AD206" s="281">
        <v>2014</v>
      </c>
      <c r="AE206" s="267"/>
      <c r="AF206" s="267"/>
    </row>
    <row r="207" spans="1:32" s="268" customFormat="1" ht="50.1" customHeight="1" thickBot="1">
      <c r="A207" s="1050"/>
      <c r="B207" s="1051"/>
      <c r="C207" s="283" t="s">
        <v>169</v>
      </c>
      <c r="D207" s="1051"/>
      <c r="E207" s="284" t="s">
        <v>753</v>
      </c>
      <c r="F207" s="285" t="s">
        <v>330</v>
      </c>
      <c r="G207" s="354" t="s">
        <v>403</v>
      </c>
      <c r="H207" s="286" t="str">
        <f>VLOOKUP(G207,'[4]Pob. Ext, Parroquial'!$B$9:$C$117,2,0)</f>
        <v>PALTAS</v>
      </c>
      <c r="I207" s="286" t="s">
        <v>173</v>
      </c>
      <c r="J207" s="286" t="s">
        <v>174</v>
      </c>
      <c r="K207" s="286"/>
      <c r="L207" s="286"/>
      <c r="M207" s="287"/>
      <c r="N207" s="288" t="s">
        <v>180</v>
      </c>
      <c r="O207" s="286" t="s">
        <v>352</v>
      </c>
      <c r="P207" s="286">
        <v>0.38</v>
      </c>
      <c r="Q207" s="286">
        <v>726</v>
      </c>
      <c r="R207" s="286"/>
      <c r="S207" s="289">
        <v>41719</v>
      </c>
      <c r="T207" s="289">
        <v>41759</v>
      </c>
      <c r="U207" s="289" t="str">
        <f t="shared" si="9"/>
        <v>EN EJECUCION</v>
      </c>
      <c r="V207" s="290">
        <f t="shared" si="8"/>
        <v>275.88</v>
      </c>
      <c r="W207" s="290"/>
      <c r="X207" s="290"/>
      <c r="Y207" s="1023"/>
      <c r="Z207" s="278"/>
      <c r="AA207" s="279" t="s">
        <v>334</v>
      </c>
      <c r="AB207" s="279" t="s">
        <v>178</v>
      </c>
      <c r="AC207" s="280" t="s">
        <v>187</v>
      </c>
      <c r="AD207" s="281">
        <v>2014</v>
      </c>
      <c r="AE207" s="267"/>
      <c r="AF207" s="267"/>
    </row>
    <row r="208" spans="1:32" s="268" customFormat="1" ht="50.1" customHeight="1" thickTop="1" thickBot="1">
      <c r="A208" s="317" t="s">
        <v>754</v>
      </c>
      <c r="B208" s="299" t="str">
        <f>+U208</f>
        <v>EN EJECUCION</v>
      </c>
      <c r="C208" s="299" t="s">
        <v>182</v>
      </c>
      <c r="D208" s="299" t="s">
        <v>408</v>
      </c>
      <c r="E208" s="300" t="s">
        <v>408</v>
      </c>
      <c r="F208" s="301" t="s">
        <v>330</v>
      </c>
      <c r="G208" s="355" t="s">
        <v>406</v>
      </c>
      <c r="H208" s="302" t="str">
        <f>VLOOKUP(G208,'[4]Pob. Ext, Parroquial'!$B$9:$C$117,2,0)</f>
        <v>PALTAS</v>
      </c>
      <c r="I208" s="302" t="s">
        <v>173</v>
      </c>
      <c r="J208" s="302" t="s">
        <v>174</v>
      </c>
      <c r="K208" s="302">
        <v>0.8</v>
      </c>
      <c r="L208" s="302">
        <f>ROUNDUP(Q208/6/1000,2)</f>
        <v>2.7199999999999998</v>
      </c>
      <c r="M208" s="303">
        <f>IF(K208&gt;0,VLOOKUP(G208,'[4]Pob. Ext, Parroquial'!$B$8:$F$117,4,FALSE),0)</f>
        <v>639</v>
      </c>
      <c r="N208" s="304" t="s">
        <v>185</v>
      </c>
      <c r="O208" s="302" t="s">
        <v>314</v>
      </c>
      <c r="P208" s="302">
        <v>0.1</v>
      </c>
      <c r="Q208" s="302">
        <v>16280</v>
      </c>
      <c r="R208" s="302"/>
      <c r="S208" s="305">
        <v>41730</v>
      </c>
      <c r="T208" s="305">
        <v>41759</v>
      </c>
      <c r="U208" s="305" t="str">
        <f t="shared" si="9"/>
        <v>EN EJECUCION</v>
      </c>
      <c r="V208" s="306">
        <f>ROUND(P208*Q208,2)</f>
        <v>1628</v>
      </c>
      <c r="W208" s="306"/>
      <c r="X208" s="306"/>
      <c r="Y208" s="318">
        <f>V208+W208+X208</f>
        <v>1628</v>
      </c>
      <c r="Z208" s="278"/>
      <c r="AA208" s="279" t="s">
        <v>334</v>
      </c>
      <c r="AB208" s="279" t="s">
        <v>178</v>
      </c>
      <c r="AC208" s="280" t="s">
        <v>187</v>
      </c>
      <c r="AD208" s="281">
        <v>2014</v>
      </c>
      <c r="AE208" s="267"/>
      <c r="AF208" s="267"/>
    </row>
    <row r="209" spans="1:32" s="268" customFormat="1" ht="50.1" customHeight="1" thickTop="1" thickBot="1">
      <c r="A209" s="317"/>
      <c r="B209" s="299"/>
      <c r="C209" s="299" t="s">
        <v>182</v>
      </c>
      <c r="D209" s="299" t="s">
        <v>412</v>
      </c>
      <c r="E209" s="300" t="s">
        <v>412</v>
      </c>
      <c r="F209" s="301" t="s">
        <v>330</v>
      </c>
      <c r="G209" s="355" t="s">
        <v>411</v>
      </c>
      <c r="H209" s="302" t="str">
        <f>VLOOKUP(G209,'[4]Pob. Ext, Parroquial'!$B$9:$C$117,2,0)</f>
        <v>OLMEDO</v>
      </c>
      <c r="I209" s="302" t="s">
        <v>173</v>
      </c>
      <c r="J209" s="302" t="s">
        <v>174</v>
      </c>
      <c r="K209" s="302">
        <v>4.8</v>
      </c>
      <c r="L209" s="302"/>
      <c r="M209" s="303">
        <f>IF(K209&gt;0,VLOOKUP(G209,'[4]Pob. Ext, Parroquial'!$B$8:$F$117,4,FALSE),0)</f>
        <v>512</v>
      </c>
      <c r="N209" s="304" t="s">
        <v>200</v>
      </c>
      <c r="O209" s="302" t="s">
        <v>333</v>
      </c>
      <c r="P209" s="302">
        <v>1.47</v>
      </c>
      <c r="Q209" s="302">
        <v>280</v>
      </c>
      <c r="R209" s="302"/>
      <c r="S209" s="305">
        <v>41719</v>
      </c>
      <c r="T209" s="305">
        <v>41759</v>
      </c>
      <c r="U209" s="305" t="str">
        <f t="shared" si="9"/>
        <v>EN EJECUCION</v>
      </c>
      <c r="V209" s="306">
        <f t="shared" si="8"/>
        <v>411.6</v>
      </c>
      <c r="W209" s="306"/>
      <c r="X209" s="306"/>
      <c r="Y209" s="318">
        <f>V209+W209+X209</f>
        <v>411.6</v>
      </c>
      <c r="Z209" s="278"/>
      <c r="AA209" s="279" t="s">
        <v>334</v>
      </c>
      <c r="AB209" s="279" t="s">
        <v>178</v>
      </c>
      <c r="AC209" s="280" t="s">
        <v>187</v>
      </c>
      <c r="AD209" s="281">
        <v>2014</v>
      </c>
      <c r="AE209" s="267"/>
      <c r="AF209" s="267"/>
    </row>
    <row r="210" spans="1:32" s="268" customFormat="1" ht="50.1" customHeight="1" thickTop="1" thickBot="1">
      <c r="A210" s="317"/>
      <c r="B210" s="299"/>
      <c r="C210" s="299" t="s">
        <v>182</v>
      </c>
      <c r="D210" s="299" t="s">
        <v>413</v>
      </c>
      <c r="E210" s="300" t="s">
        <v>413</v>
      </c>
      <c r="F210" s="301" t="s">
        <v>330</v>
      </c>
      <c r="G210" s="355" t="s">
        <v>406</v>
      </c>
      <c r="H210" s="302" t="str">
        <f>VLOOKUP(G210,'[4]Pob. Ext, Parroquial'!$B$9:$C$117,2,0)</f>
        <v>PALTAS</v>
      </c>
      <c r="I210" s="302" t="s">
        <v>173</v>
      </c>
      <c r="J210" s="302" t="s">
        <v>174</v>
      </c>
      <c r="K210" s="302">
        <v>4.2</v>
      </c>
      <c r="L210" s="302">
        <f>ROUNDUP(Q210/6/1000,2)</f>
        <v>3.15</v>
      </c>
      <c r="M210" s="303">
        <f>IF(K210&gt;0,VLOOKUP(G210,'[4]Pob. Ext, Parroquial'!$B$8:$F$117,4,FALSE),0)</f>
        <v>639</v>
      </c>
      <c r="N210" s="304" t="s">
        <v>185</v>
      </c>
      <c r="O210" s="302" t="s">
        <v>314</v>
      </c>
      <c r="P210" s="302">
        <v>0.1</v>
      </c>
      <c r="Q210" s="302">
        <v>18900</v>
      </c>
      <c r="R210" s="302"/>
      <c r="S210" s="305">
        <v>41671</v>
      </c>
      <c r="T210" s="305">
        <v>41759</v>
      </c>
      <c r="U210" s="305" t="str">
        <f t="shared" si="9"/>
        <v>EN EJECUCION</v>
      </c>
      <c r="V210" s="306">
        <f t="shared" si="8"/>
        <v>1890</v>
      </c>
      <c r="W210" s="306"/>
      <c r="X210" s="306"/>
      <c r="Y210" s="318">
        <f>V210+W210+X210</f>
        <v>1890</v>
      </c>
      <c r="Z210" s="278"/>
      <c r="AA210" s="279" t="s">
        <v>334</v>
      </c>
      <c r="AB210" s="279" t="s">
        <v>178</v>
      </c>
      <c r="AC210" s="280" t="s">
        <v>187</v>
      </c>
      <c r="AD210" s="281">
        <v>2014</v>
      </c>
      <c r="AE210" s="267"/>
      <c r="AF210" s="267"/>
    </row>
    <row r="211" spans="1:32" s="268" customFormat="1" ht="50.1" customHeight="1" thickTop="1">
      <c r="A211" s="1048"/>
      <c r="B211" s="1042"/>
      <c r="C211" s="254" t="s">
        <v>182</v>
      </c>
      <c r="D211" s="1042" t="s">
        <v>414</v>
      </c>
      <c r="E211" s="255" t="s">
        <v>414</v>
      </c>
      <c r="F211" s="256" t="s">
        <v>415</v>
      </c>
      <c r="G211" s="257" t="s">
        <v>416</v>
      </c>
      <c r="H211" s="257" t="str">
        <f>VLOOKUP(G211,'[4]Pob. Ext, Parroquial'!$B$9:$C$117,2,0)</f>
        <v>SARAGURO</v>
      </c>
      <c r="I211" s="257" t="s">
        <v>173</v>
      </c>
      <c r="J211" s="257" t="s">
        <v>174</v>
      </c>
      <c r="K211" s="257">
        <v>18</v>
      </c>
      <c r="L211" s="257">
        <f>ROUNDUP(Q211/6/1000,2)</f>
        <v>11.67</v>
      </c>
      <c r="M211" s="258">
        <f>IF(K211&gt;0,VLOOKUP(G211,'[4]Pob. Ext, Parroquial'!$B$8:$F$117,4,FALSE),0)</f>
        <v>716</v>
      </c>
      <c r="N211" s="259" t="s">
        <v>185</v>
      </c>
      <c r="O211" s="257" t="s">
        <v>224</v>
      </c>
      <c r="P211" s="257">
        <v>0.08</v>
      </c>
      <c r="Q211" s="257">
        <v>70000</v>
      </c>
      <c r="R211" s="257"/>
      <c r="S211" s="261">
        <v>41640</v>
      </c>
      <c r="T211" s="261">
        <v>41759</v>
      </c>
      <c r="U211" s="261" t="str">
        <f t="shared" si="9"/>
        <v>EN EJECUCION</v>
      </c>
      <c r="V211" s="262">
        <f t="shared" si="8"/>
        <v>5600</v>
      </c>
      <c r="W211" s="262"/>
      <c r="X211" s="262"/>
      <c r="Y211" s="1021">
        <f>SUM(V211:V214)</f>
        <v>35035</v>
      </c>
      <c r="Z211" s="278">
        <v>0</v>
      </c>
      <c r="AA211" s="279" t="s">
        <v>417</v>
      </c>
      <c r="AB211" s="279" t="s">
        <v>178</v>
      </c>
      <c r="AC211" s="280" t="s">
        <v>187</v>
      </c>
      <c r="AD211" s="281">
        <v>2014</v>
      </c>
      <c r="AE211" s="320">
        <f>SUM(V75:V110)</f>
        <v>186999.96000000002</v>
      </c>
      <c r="AF211" s="267"/>
    </row>
    <row r="212" spans="1:32" s="268" customFormat="1" ht="50.1" customHeight="1">
      <c r="A212" s="1049"/>
      <c r="B212" s="1043"/>
      <c r="C212" s="270" t="s">
        <v>169</v>
      </c>
      <c r="D212" s="1043"/>
      <c r="E212" s="271" t="s">
        <v>414</v>
      </c>
      <c r="F212" s="272" t="s">
        <v>415</v>
      </c>
      <c r="G212" s="273" t="s">
        <v>416</v>
      </c>
      <c r="H212" s="273" t="str">
        <f>VLOOKUP(G212,'[4]Pob. Ext, Parroquial'!$B$9:$C$117,2,0)</f>
        <v>SARAGURO</v>
      </c>
      <c r="I212" s="273" t="s">
        <v>173</v>
      </c>
      <c r="J212" s="273" t="s">
        <v>174</v>
      </c>
      <c r="K212" s="273"/>
      <c r="L212" s="273">
        <f>+ROUND(Q212/6000/0.2,2)</f>
        <v>2.92</v>
      </c>
      <c r="M212" s="274">
        <f>IF(K212&gt;0,VLOOKUP(G212,'[4]Pob. Ext, Parroquial'!$B$8:$F$117,4,FALSE),0)</f>
        <v>0</v>
      </c>
      <c r="N212" s="275" t="s">
        <v>229</v>
      </c>
      <c r="O212" s="273" t="s">
        <v>418</v>
      </c>
      <c r="P212" s="273">
        <v>5.2</v>
      </c>
      <c r="Q212" s="273">
        <v>3500</v>
      </c>
      <c r="R212" s="273"/>
      <c r="S212" s="276">
        <v>41640</v>
      </c>
      <c r="T212" s="276">
        <v>41759</v>
      </c>
      <c r="U212" s="276" t="str">
        <f t="shared" si="9"/>
        <v>EN EJECUCION</v>
      </c>
      <c r="V212" s="277">
        <f t="shared" si="8"/>
        <v>18200</v>
      </c>
      <c r="W212" s="277"/>
      <c r="X212" s="277"/>
      <c r="Y212" s="1022"/>
      <c r="Z212" s="278"/>
      <c r="AA212" s="279" t="s">
        <v>417</v>
      </c>
      <c r="AB212" s="279" t="s">
        <v>178</v>
      </c>
      <c r="AC212" s="280" t="s">
        <v>187</v>
      </c>
      <c r="AD212" s="281">
        <v>2014</v>
      </c>
      <c r="AE212" s="320"/>
      <c r="AF212" s="267"/>
    </row>
    <row r="213" spans="1:32" s="268" customFormat="1" ht="50.1" customHeight="1">
      <c r="A213" s="1049"/>
      <c r="B213" s="1043"/>
      <c r="C213" s="270" t="s">
        <v>169</v>
      </c>
      <c r="D213" s="1043"/>
      <c r="E213" s="271" t="s">
        <v>414</v>
      </c>
      <c r="F213" s="272" t="s">
        <v>415</v>
      </c>
      <c r="G213" s="273" t="s">
        <v>416</v>
      </c>
      <c r="H213" s="273" t="str">
        <f>VLOOKUP(G213,'[4]Pob. Ext, Parroquial'!$B$9:$C$117,2,0)</f>
        <v>SARAGURO</v>
      </c>
      <c r="I213" s="273" t="s">
        <v>173</v>
      </c>
      <c r="J213" s="273" t="s">
        <v>174</v>
      </c>
      <c r="K213" s="273"/>
      <c r="L213" s="273"/>
      <c r="M213" s="274">
        <f>IF(K213&gt;0,VLOOKUP(G213,'[4]Pob. Ext, Parroquial'!$B$8:$F$117,4,FALSE),0)</f>
        <v>0</v>
      </c>
      <c r="N213" s="275" t="s">
        <v>419</v>
      </c>
      <c r="O213" s="273" t="s">
        <v>420</v>
      </c>
      <c r="P213" s="273">
        <v>0.25</v>
      </c>
      <c r="Q213" s="273">
        <v>28000</v>
      </c>
      <c r="R213" s="273"/>
      <c r="S213" s="276">
        <v>41640</v>
      </c>
      <c r="T213" s="276">
        <v>41759</v>
      </c>
      <c r="U213" s="276" t="str">
        <f t="shared" si="9"/>
        <v>EN EJECUCION</v>
      </c>
      <c r="V213" s="277">
        <f t="shared" si="8"/>
        <v>7000</v>
      </c>
      <c r="W213" s="277"/>
      <c r="X213" s="277"/>
      <c r="Y213" s="1022"/>
      <c r="Z213" s="278"/>
      <c r="AA213" s="279" t="s">
        <v>417</v>
      </c>
      <c r="AB213" s="279" t="s">
        <v>178</v>
      </c>
      <c r="AC213" s="280" t="s">
        <v>187</v>
      </c>
      <c r="AD213" s="281">
        <v>2014</v>
      </c>
      <c r="AE213" s="320"/>
      <c r="AF213" s="267"/>
    </row>
    <row r="214" spans="1:32" s="268" customFormat="1" ht="50.1" customHeight="1" thickBot="1">
      <c r="A214" s="1050"/>
      <c r="B214" s="1051"/>
      <c r="C214" s="283" t="s">
        <v>169</v>
      </c>
      <c r="D214" s="1051"/>
      <c r="E214" s="284" t="s">
        <v>414</v>
      </c>
      <c r="F214" s="285" t="s">
        <v>415</v>
      </c>
      <c r="G214" s="286" t="s">
        <v>416</v>
      </c>
      <c r="H214" s="286" t="str">
        <f>VLOOKUP(G214,'[4]Pob. Ext, Parroquial'!$B$9:$C$117,2,0)</f>
        <v>SARAGURO</v>
      </c>
      <c r="I214" s="286" t="s">
        <v>173</v>
      </c>
      <c r="J214" s="286" t="s">
        <v>174</v>
      </c>
      <c r="K214" s="286"/>
      <c r="L214" s="286"/>
      <c r="M214" s="287">
        <f>IF(K214&gt;0,VLOOKUP(G214,'[4]Pob. Ext, Parroquial'!$B$8:$F$117,4,FALSE),0)</f>
        <v>0</v>
      </c>
      <c r="N214" s="288" t="s">
        <v>421</v>
      </c>
      <c r="O214" s="286" t="s">
        <v>418</v>
      </c>
      <c r="P214" s="286">
        <v>1.21</v>
      </c>
      <c r="Q214" s="286">
        <v>3500</v>
      </c>
      <c r="R214" s="286"/>
      <c r="S214" s="289">
        <v>41640</v>
      </c>
      <c r="T214" s="289">
        <v>41759</v>
      </c>
      <c r="U214" s="289" t="str">
        <f t="shared" si="9"/>
        <v>EN EJECUCION</v>
      </c>
      <c r="V214" s="290">
        <f t="shared" si="8"/>
        <v>4235</v>
      </c>
      <c r="W214" s="290"/>
      <c r="X214" s="290"/>
      <c r="Y214" s="1023"/>
      <c r="Z214" s="278"/>
      <c r="AA214" s="279" t="s">
        <v>417</v>
      </c>
      <c r="AB214" s="279" t="s">
        <v>178</v>
      </c>
      <c r="AC214" s="280" t="s">
        <v>187</v>
      </c>
      <c r="AD214" s="281">
        <v>2014</v>
      </c>
      <c r="AE214" s="320"/>
      <c r="AF214" s="267"/>
    </row>
    <row r="215" spans="1:32" s="268" customFormat="1" ht="50.1" customHeight="1" thickTop="1">
      <c r="A215" s="1048"/>
      <c r="B215" s="1042"/>
      <c r="C215" s="254" t="s">
        <v>182</v>
      </c>
      <c r="D215" s="1042" t="s">
        <v>422</v>
      </c>
      <c r="E215" s="255" t="s">
        <v>422</v>
      </c>
      <c r="F215" s="256" t="s">
        <v>415</v>
      </c>
      <c r="G215" s="257" t="s">
        <v>423</v>
      </c>
      <c r="H215" s="257" t="str">
        <f>VLOOKUP(G215,'[4]Pob. Ext, Parroquial'!$B$9:$C$117,2,0)</f>
        <v>SARAGURO</v>
      </c>
      <c r="I215" s="257" t="s">
        <v>173</v>
      </c>
      <c r="J215" s="257" t="s">
        <v>174</v>
      </c>
      <c r="K215" s="257">
        <v>12</v>
      </c>
      <c r="L215" s="257">
        <f>ROUNDUP(Q215/6/1000,2)</f>
        <v>12</v>
      </c>
      <c r="M215" s="258">
        <f>IF(K215&gt;0,VLOOKUP(G215,'[4]Pob. Ext, Parroquial'!$B$8:$F$117,4,FALSE),0)</f>
        <v>2132</v>
      </c>
      <c r="N215" s="259" t="s">
        <v>185</v>
      </c>
      <c r="O215" s="257" t="s">
        <v>224</v>
      </c>
      <c r="P215" s="257">
        <v>0.06</v>
      </c>
      <c r="Q215" s="257">
        <v>72000</v>
      </c>
      <c r="R215" s="257"/>
      <c r="S215" s="261">
        <v>41640</v>
      </c>
      <c r="T215" s="261">
        <v>41759</v>
      </c>
      <c r="U215" s="261" t="str">
        <f t="shared" si="9"/>
        <v>EN EJECUCION</v>
      </c>
      <c r="V215" s="262">
        <f t="shared" si="8"/>
        <v>4320</v>
      </c>
      <c r="W215" s="262"/>
      <c r="X215" s="262"/>
      <c r="Y215" s="1021">
        <f>SUM(V215:V216)</f>
        <v>4404.4799999999996</v>
      </c>
      <c r="Z215" s="278"/>
      <c r="AA215" s="279" t="s">
        <v>417</v>
      </c>
      <c r="AB215" s="279" t="s">
        <v>178</v>
      </c>
      <c r="AC215" s="280" t="s">
        <v>179</v>
      </c>
      <c r="AD215" s="281">
        <v>2014</v>
      </c>
      <c r="AE215" s="320"/>
      <c r="AF215" s="267"/>
    </row>
    <row r="216" spans="1:32" s="268" customFormat="1" ht="50.1" customHeight="1" thickBot="1">
      <c r="A216" s="1050"/>
      <c r="B216" s="1051"/>
      <c r="C216" s="283" t="s">
        <v>169</v>
      </c>
      <c r="D216" s="1051"/>
      <c r="E216" s="284" t="s">
        <v>422</v>
      </c>
      <c r="F216" s="285" t="s">
        <v>415</v>
      </c>
      <c r="G216" s="286" t="s">
        <v>423</v>
      </c>
      <c r="H216" s="286" t="str">
        <f>VLOOKUP(G216,'[4]Pob. Ext, Parroquial'!$B$9:$C$117,2,0)</f>
        <v>SARAGURO</v>
      </c>
      <c r="I216" s="286" t="s">
        <v>173</v>
      </c>
      <c r="J216" s="286" t="s">
        <v>174</v>
      </c>
      <c r="K216" s="286"/>
      <c r="L216" s="286"/>
      <c r="M216" s="287">
        <f>IF(K216&gt;0,VLOOKUP(G216,'[4]Pob. Ext, Parroquial'!$B$8:$F$117,4,FALSE),0)</f>
        <v>0</v>
      </c>
      <c r="N216" s="288" t="s">
        <v>226</v>
      </c>
      <c r="O216" s="286" t="s">
        <v>418</v>
      </c>
      <c r="P216" s="286">
        <v>1.32</v>
      </c>
      <c r="Q216" s="286">
        <v>64</v>
      </c>
      <c r="R216" s="286"/>
      <c r="S216" s="289">
        <v>41640</v>
      </c>
      <c r="T216" s="289">
        <v>41759</v>
      </c>
      <c r="U216" s="289" t="str">
        <f t="shared" si="9"/>
        <v>EN EJECUCION</v>
      </c>
      <c r="V216" s="290">
        <f t="shared" si="8"/>
        <v>84.48</v>
      </c>
      <c r="W216" s="290"/>
      <c r="X216" s="290"/>
      <c r="Y216" s="1023"/>
      <c r="Z216" s="278"/>
      <c r="AA216" s="279" t="s">
        <v>417</v>
      </c>
      <c r="AB216" s="279" t="s">
        <v>178</v>
      </c>
      <c r="AC216" s="280" t="s">
        <v>179</v>
      </c>
      <c r="AD216" s="281">
        <v>2014</v>
      </c>
      <c r="AE216" s="320"/>
      <c r="AF216" s="267"/>
    </row>
    <row r="217" spans="1:32" s="268" customFormat="1" ht="50.1" customHeight="1" thickTop="1">
      <c r="A217" s="1048"/>
      <c r="B217" s="1042"/>
      <c r="C217" s="254" t="s">
        <v>182</v>
      </c>
      <c r="D217" s="1042" t="s">
        <v>424</v>
      </c>
      <c r="E217" s="255" t="s">
        <v>424</v>
      </c>
      <c r="F217" s="256" t="s">
        <v>415</v>
      </c>
      <c r="G217" s="257" t="s">
        <v>425</v>
      </c>
      <c r="H217" s="257" t="str">
        <f>VLOOKUP(G217,'[4]Pob. Ext, Parroquial'!$B$9:$C$117,2,0)</f>
        <v>LOJA</v>
      </c>
      <c r="I217" s="257" t="s">
        <v>173</v>
      </c>
      <c r="J217" s="257" t="s">
        <v>174</v>
      </c>
      <c r="K217" s="257">
        <v>3</v>
      </c>
      <c r="L217" s="257">
        <f>+ROUND(Q217/6000,2)</f>
        <v>1.74</v>
      </c>
      <c r="M217" s="258">
        <f>IF(K217&gt;0,VLOOKUP(G217,'[4]Pob. Ext, Parroquial'!$B$8:$F$117,4,FALSE),0)</f>
        <v>2611</v>
      </c>
      <c r="N217" s="259" t="s">
        <v>282</v>
      </c>
      <c r="O217" s="257" t="s">
        <v>224</v>
      </c>
      <c r="P217" s="257">
        <v>0.25</v>
      </c>
      <c r="Q217" s="257">
        <v>10450</v>
      </c>
      <c r="R217" s="257"/>
      <c r="S217" s="261">
        <v>41640</v>
      </c>
      <c r="T217" s="261">
        <v>41759</v>
      </c>
      <c r="U217" s="261" t="str">
        <f t="shared" si="9"/>
        <v>EN EJECUCION</v>
      </c>
      <c r="V217" s="262">
        <f t="shared" si="8"/>
        <v>2612.5</v>
      </c>
      <c r="W217" s="262"/>
      <c r="X217" s="262"/>
      <c r="Y217" s="1021">
        <f>SUM(V217:V219)</f>
        <v>3580.1</v>
      </c>
      <c r="Z217" s="278"/>
      <c r="AA217" s="279" t="s">
        <v>417</v>
      </c>
      <c r="AB217" s="279" t="s">
        <v>178</v>
      </c>
      <c r="AC217" s="280" t="s">
        <v>179</v>
      </c>
      <c r="AD217" s="281">
        <v>2014</v>
      </c>
      <c r="AE217" s="320"/>
      <c r="AF217" s="267"/>
    </row>
    <row r="218" spans="1:32" s="268" customFormat="1" ht="50.1" customHeight="1">
      <c r="A218" s="1049"/>
      <c r="B218" s="1043"/>
      <c r="C218" s="270" t="s">
        <v>169</v>
      </c>
      <c r="D218" s="1043"/>
      <c r="E218" s="271" t="s">
        <v>424</v>
      </c>
      <c r="F218" s="272" t="s">
        <v>415</v>
      </c>
      <c r="G218" s="273" t="s">
        <v>425</v>
      </c>
      <c r="H218" s="273" t="str">
        <f>VLOOKUP(G218,'[4]Pob. Ext, Parroquial'!$B$9:$C$117,2,0)</f>
        <v>LOJA</v>
      </c>
      <c r="I218" s="273" t="s">
        <v>173</v>
      </c>
      <c r="J218" s="273" t="s">
        <v>174</v>
      </c>
      <c r="K218" s="273"/>
      <c r="L218" s="273">
        <f>+ROUND(Q218/6000/0.2,2)</f>
        <v>0.1</v>
      </c>
      <c r="M218" s="274">
        <f>IF(K218&gt;0,VLOOKUP(G218,'[4]Pob. Ext, Parroquial'!$B$8:$F$117,4,FALSE),0)</f>
        <v>0</v>
      </c>
      <c r="N218" s="275" t="s">
        <v>229</v>
      </c>
      <c r="O218" s="273" t="s">
        <v>418</v>
      </c>
      <c r="P218" s="273">
        <v>5.2</v>
      </c>
      <c r="Q218" s="273">
        <v>118</v>
      </c>
      <c r="R218" s="273"/>
      <c r="S218" s="276">
        <v>41640</v>
      </c>
      <c r="T218" s="276">
        <v>41759</v>
      </c>
      <c r="U218" s="276" t="str">
        <f t="shared" si="9"/>
        <v>EN EJECUCION</v>
      </c>
      <c r="V218" s="277">
        <f t="shared" si="8"/>
        <v>613.6</v>
      </c>
      <c r="W218" s="277"/>
      <c r="X218" s="277"/>
      <c r="Y218" s="1022"/>
      <c r="Z218" s="278"/>
      <c r="AA218" s="279" t="s">
        <v>417</v>
      </c>
      <c r="AB218" s="279" t="s">
        <v>178</v>
      </c>
      <c r="AC218" s="280" t="s">
        <v>179</v>
      </c>
      <c r="AD218" s="281">
        <v>2014</v>
      </c>
      <c r="AE218" s="320"/>
      <c r="AF218" s="267"/>
    </row>
    <row r="219" spans="1:32" s="268" customFormat="1" ht="50.1" customHeight="1" thickBot="1">
      <c r="A219" s="1050"/>
      <c r="B219" s="1051"/>
      <c r="C219" s="283" t="s">
        <v>169</v>
      </c>
      <c r="D219" s="1051"/>
      <c r="E219" s="284" t="s">
        <v>424</v>
      </c>
      <c r="F219" s="285" t="s">
        <v>415</v>
      </c>
      <c r="G219" s="286" t="s">
        <v>425</v>
      </c>
      <c r="H219" s="286" t="str">
        <f>VLOOKUP(G219,'[4]Pob. Ext, Parroquial'!$B$9:$C$117,2,0)</f>
        <v>LOJA</v>
      </c>
      <c r="I219" s="286" t="s">
        <v>173</v>
      </c>
      <c r="J219" s="286" t="s">
        <v>174</v>
      </c>
      <c r="K219" s="286"/>
      <c r="L219" s="286"/>
      <c r="M219" s="287">
        <f>IF(K219&gt;0,VLOOKUP(G219,'[4]Pob. Ext, Parroquial'!$B$8:$F$117,4,FALSE),0)</f>
        <v>0</v>
      </c>
      <c r="N219" s="288" t="s">
        <v>419</v>
      </c>
      <c r="O219" s="286" t="s">
        <v>420</v>
      </c>
      <c r="P219" s="286">
        <v>0.25</v>
      </c>
      <c r="Q219" s="286">
        <v>1416</v>
      </c>
      <c r="R219" s="286"/>
      <c r="S219" s="289">
        <v>41640</v>
      </c>
      <c r="T219" s="289">
        <v>41759</v>
      </c>
      <c r="U219" s="289" t="str">
        <f t="shared" si="9"/>
        <v>EN EJECUCION</v>
      </c>
      <c r="V219" s="290">
        <f t="shared" si="8"/>
        <v>354</v>
      </c>
      <c r="W219" s="290"/>
      <c r="X219" s="290"/>
      <c r="Y219" s="1023"/>
      <c r="Z219" s="278"/>
      <c r="AA219" s="279" t="s">
        <v>417</v>
      </c>
      <c r="AB219" s="279" t="s">
        <v>178</v>
      </c>
      <c r="AC219" s="280" t="s">
        <v>179</v>
      </c>
      <c r="AD219" s="281">
        <v>2014</v>
      </c>
      <c r="AE219" s="320"/>
      <c r="AF219" s="267"/>
    </row>
    <row r="220" spans="1:32" s="268" customFormat="1" ht="50.1" customHeight="1" thickTop="1">
      <c r="A220" s="1048"/>
      <c r="B220" s="1042"/>
      <c r="C220" s="254" t="s">
        <v>182</v>
      </c>
      <c r="D220" s="1042" t="s">
        <v>426</v>
      </c>
      <c r="E220" s="255" t="s">
        <v>426</v>
      </c>
      <c r="F220" s="256" t="s">
        <v>415</v>
      </c>
      <c r="G220" s="257" t="s">
        <v>425</v>
      </c>
      <c r="H220" s="257" t="str">
        <f>VLOOKUP(G220,'[4]Pob. Ext, Parroquial'!$B$9:$C$117,2,0)</f>
        <v>LOJA</v>
      </c>
      <c r="I220" s="257" t="s">
        <v>173</v>
      </c>
      <c r="J220" s="257" t="s">
        <v>174</v>
      </c>
      <c r="K220" s="257">
        <v>3</v>
      </c>
      <c r="L220" s="257">
        <f>+ROUND(Q220/6000,2)</f>
        <v>3</v>
      </c>
      <c r="M220" s="258">
        <f>IF(K220&gt;0,VLOOKUP(G220,'[4]Pob. Ext, Parroquial'!$B$8:$F$117,4,FALSE),0)</f>
        <v>2611</v>
      </c>
      <c r="N220" s="259" t="s">
        <v>282</v>
      </c>
      <c r="O220" s="257" t="s">
        <v>224</v>
      </c>
      <c r="P220" s="257">
        <v>0.25</v>
      </c>
      <c r="Q220" s="257">
        <v>18000</v>
      </c>
      <c r="R220" s="257"/>
      <c r="S220" s="261">
        <v>41640</v>
      </c>
      <c r="T220" s="261">
        <v>41759</v>
      </c>
      <c r="U220" s="261" t="str">
        <f t="shared" si="9"/>
        <v>EN EJECUCION</v>
      </c>
      <c r="V220" s="262">
        <f t="shared" si="8"/>
        <v>4500</v>
      </c>
      <c r="W220" s="262"/>
      <c r="X220" s="262"/>
      <c r="Y220" s="1021">
        <f>SUM(V220:V221)</f>
        <v>16380</v>
      </c>
      <c r="Z220" s="278"/>
      <c r="AA220" s="279" t="s">
        <v>417</v>
      </c>
      <c r="AB220" s="279" t="s">
        <v>178</v>
      </c>
      <c r="AC220" s="280" t="s">
        <v>179</v>
      </c>
      <c r="AD220" s="281">
        <v>2014</v>
      </c>
      <c r="AE220" s="320"/>
      <c r="AF220" s="267"/>
    </row>
    <row r="221" spans="1:32" s="268" customFormat="1" ht="50.1" customHeight="1" thickBot="1">
      <c r="A221" s="1050"/>
      <c r="B221" s="1051"/>
      <c r="C221" s="283" t="s">
        <v>182</v>
      </c>
      <c r="D221" s="1051"/>
      <c r="E221" s="284" t="s">
        <v>426</v>
      </c>
      <c r="F221" s="285" t="s">
        <v>415</v>
      </c>
      <c r="G221" s="286" t="s">
        <v>425</v>
      </c>
      <c r="H221" s="286" t="str">
        <f>VLOOKUP(G221,'[4]Pob. Ext, Parroquial'!$B$9:$C$117,2,0)</f>
        <v>LOJA</v>
      </c>
      <c r="I221" s="286" t="s">
        <v>173</v>
      </c>
      <c r="J221" s="286" t="s">
        <v>174</v>
      </c>
      <c r="K221" s="286"/>
      <c r="L221" s="286"/>
      <c r="M221" s="287">
        <f>IF(K221&gt;0,VLOOKUP(G221,'[4]Pob. Ext, Parroquial'!$B$8:$F$117,4,FALSE),0)</f>
        <v>0</v>
      </c>
      <c r="N221" s="288" t="s">
        <v>226</v>
      </c>
      <c r="O221" s="286" t="s">
        <v>418</v>
      </c>
      <c r="P221" s="286">
        <v>1.32</v>
      </c>
      <c r="Q221" s="286">
        <v>9000</v>
      </c>
      <c r="R221" s="286"/>
      <c r="S221" s="289">
        <v>41640</v>
      </c>
      <c r="T221" s="289">
        <v>41759</v>
      </c>
      <c r="U221" s="289" t="str">
        <f t="shared" si="9"/>
        <v>EN EJECUCION</v>
      </c>
      <c r="V221" s="290">
        <f t="shared" si="8"/>
        <v>11880</v>
      </c>
      <c r="W221" s="290"/>
      <c r="X221" s="290"/>
      <c r="Y221" s="1023"/>
      <c r="Z221" s="278"/>
      <c r="AA221" s="279" t="s">
        <v>417</v>
      </c>
      <c r="AB221" s="279" t="s">
        <v>178</v>
      </c>
      <c r="AC221" s="280" t="s">
        <v>179</v>
      </c>
      <c r="AD221" s="281">
        <v>2014</v>
      </c>
      <c r="AE221" s="320"/>
      <c r="AF221" s="267"/>
    </row>
    <row r="222" spans="1:32" s="268" customFormat="1" ht="50.1" customHeight="1" thickTop="1">
      <c r="A222" s="1048"/>
      <c r="B222" s="1042"/>
      <c r="C222" s="254" t="s">
        <v>182</v>
      </c>
      <c r="D222" s="1042" t="s">
        <v>427</v>
      </c>
      <c r="E222" s="255" t="s">
        <v>427</v>
      </c>
      <c r="F222" s="256" t="s">
        <v>415</v>
      </c>
      <c r="G222" s="257" t="s">
        <v>428</v>
      </c>
      <c r="H222" s="257" t="str">
        <f>VLOOKUP(G222,'[4]Pob. Ext, Parroquial'!$B$9:$C$117,2,0)</f>
        <v>LOJA</v>
      </c>
      <c r="I222" s="257" t="s">
        <v>173</v>
      </c>
      <c r="J222" s="257" t="s">
        <v>174</v>
      </c>
      <c r="K222" s="257">
        <v>26</v>
      </c>
      <c r="L222" s="257">
        <f>+ROUND(Q222/6000,2)</f>
        <v>26.67</v>
      </c>
      <c r="M222" s="258">
        <f>IF(K222&gt;0,VLOOKUP(G222,'[4]Pob. Ext, Parroquial'!$B$8:$F$117,4,FALSE),0)</f>
        <v>449</v>
      </c>
      <c r="N222" s="259" t="s">
        <v>282</v>
      </c>
      <c r="O222" s="356" t="s">
        <v>224</v>
      </c>
      <c r="P222" s="356">
        <v>0.25</v>
      </c>
      <c r="Q222" s="356">
        <v>160002</v>
      </c>
      <c r="R222" s="257"/>
      <c r="S222" s="261">
        <v>41640</v>
      </c>
      <c r="T222" s="261">
        <v>41759</v>
      </c>
      <c r="U222" s="261" t="str">
        <f t="shared" si="9"/>
        <v>EN EJECUCION</v>
      </c>
      <c r="V222" s="262">
        <f t="shared" si="8"/>
        <v>40000.5</v>
      </c>
      <c r="W222" s="262"/>
      <c r="X222" s="262"/>
      <c r="Y222" s="1021">
        <f>SUM(V222:V225)</f>
        <v>81907.14</v>
      </c>
      <c r="Z222" s="278"/>
      <c r="AA222" s="279" t="s">
        <v>417</v>
      </c>
      <c r="AB222" s="279" t="s">
        <v>178</v>
      </c>
      <c r="AC222" s="280" t="s">
        <v>187</v>
      </c>
      <c r="AD222" s="281">
        <v>2014</v>
      </c>
      <c r="AE222" s="320"/>
      <c r="AF222" s="267"/>
    </row>
    <row r="223" spans="1:32" s="268" customFormat="1" ht="50.1" customHeight="1">
      <c r="A223" s="1049"/>
      <c r="B223" s="1043"/>
      <c r="C223" s="270" t="s">
        <v>169</v>
      </c>
      <c r="D223" s="1043"/>
      <c r="E223" s="271" t="s">
        <v>427</v>
      </c>
      <c r="F223" s="272" t="s">
        <v>415</v>
      </c>
      <c r="G223" s="273" t="s">
        <v>428</v>
      </c>
      <c r="H223" s="273" t="str">
        <f>VLOOKUP(G223,'[4]Pob. Ext, Parroquial'!$B$9:$C$117,2,0)</f>
        <v>LOJA</v>
      </c>
      <c r="I223" s="273" t="s">
        <v>173</v>
      </c>
      <c r="J223" s="273" t="s">
        <v>174</v>
      </c>
      <c r="K223" s="273"/>
      <c r="L223" s="273">
        <f>+ROUND(Q223/6000/0.2,2)</f>
        <v>4.0999999999999996</v>
      </c>
      <c r="M223" s="274">
        <f>IF(K223&gt;0,VLOOKUP(G223,'[4]Pob. Ext, Parroquial'!$B$8:$F$117,4,FALSE),0)</f>
        <v>0</v>
      </c>
      <c r="N223" s="275" t="s">
        <v>229</v>
      </c>
      <c r="O223" s="357" t="s">
        <v>418</v>
      </c>
      <c r="P223" s="358">
        <v>5.2</v>
      </c>
      <c r="Q223" s="358">
        <f>612+4308</f>
        <v>4920</v>
      </c>
      <c r="R223" s="273"/>
      <c r="S223" s="276">
        <v>41640</v>
      </c>
      <c r="T223" s="276">
        <v>41759</v>
      </c>
      <c r="U223" s="276" t="str">
        <f t="shared" si="9"/>
        <v>EN EJECUCION</v>
      </c>
      <c r="V223" s="277">
        <f t="shared" si="8"/>
        <v>25584</v>
      </c>
      <c r="W223" s="277"/>
      <c r="X223" s="277"/>
      <c r="Y223" s="1022"/>
      <c r="Z223" s="278"/>
      <c r="AA223" s="279" t="s">
        <v>417</v>
      </c>
      <c r="AB223" s="279" t="s">
        <v>178</v>
      </c>
      <c r="AC223" s="280" t="s">
        <v>187</v>
      </c>
      <c r="AD223" s="281">
        <v>2014</v>
      </c>
      <c r="AE223" s="320"/>
      <c r="AF223" s="267"/>
    </row>
    <row r="224" spans="1:32" s="268" customFormat="1" ht="50.1" customHeight="1">
      <c r="A224" s="1049"/>
      <c r="B224" s="1043"/>
      <c r="C224" s="270" t="s">
        <v>169</v>
      </c>
      <c r="D224" s="1043"/>
      <c r="E224" s="271" t="s">
        <v>427</v>
      </c>
      <c r="F224" s="272" t="s">
        <v>415</v>
      </c>
      <c r="G224" s="273" t="s">
        <v>428</v>
      </c>
      <c r="H224" s="273" t="str">
        <f>VLOOKUP(G224,'[4]Pob. Ext, Parroquial'!$B$9:$C$117,2,0)</f>
        <v>LOJA</v>
      </c>
      <c r="I224" s="273" t="s">
        <v>173</v>
      </c>
      <c r="J224" s="273" t="s">
        <v>174</v>
      </c>
      <c r="K224" s="273"/>
      <c r="L224" s="273"/>
      <c r="M224" s="274">
        <f>IF(K224&gt;0,VLOOKUP(G224,'[4]Pob. Ext, Parroquial'!$B$8:$F$117,4,FALSE),0)</f>
        <v>0</v>
      </c>
      <c r="N224" s="359" t="s">
        <v>419</v>
      </c>
      <c r="O224" s="358" t="s">
        <v>420</v>
      </c>
      <c r="P224" s="358">
        <v>0.25</v>
      </c>
      <c r="Q224" s="358">
        <f>3060+37140</f>
        <v>40200</v>
      </c>
      <c r="R224" s="273"/>
      <c r="S224" s="276">
        <v>41640</v>
      </c>
      <c r="T224" s="276">
        <v>41759</v>
      </c>
      <c r="U224" s="276" t="str">
        <f t="shared" si="9"/>
        <v>EN EJECUCION</v>
      </c>
      <c r="V224" s="277">
        <f t="shared" si="8"/>
        <v>10050</v>
      </c>
      <c r="W224" s="277"/>
      <c r="X224" s="277"/>
      <c r="Y224" s="1022"/>
      <c r="Z224" s="278"/>
      <c r="AA224" s="279" t="s">
        <v>417</v>
      </c>
      <c r="AB224" s="279" t="s">
        <v>178</v>
      </c>
      <c r="AC224" s="280" t="s">
        <v>187</v>
      </c>
      <c r="AD224" s="281">
        <v>2014</v>
      </c>
      <c r="AE224" s="320"/>
      <c r="AF224" s="267"/>
    </row>
    <row r="225" spans="1:32" s="268" customFormat="1" ht="50.1" customHeight="1" thickBot="1">
      <c r="A225" s="1050"/>
      <c r="B225" s="1051"/>
      <c r="C225" s="283" t="s">
        <v>169</v>
      </c>
      <c r="D225" s="1051"/>
      <c r="E225" s="284" t="s">
        <v>427</v>
      </c>
      <c r="F225" s="285" t="s">
        <v>415</v>
      </c>
      <c r="G225" s="286" t="s">
        <v>428</v>
      </c>
      <c r="H225" s="286" t="str">
        <f>VLOOKUP(G225,'[4]Pob. Ext, Parroquial'!$B$9:$C$117,2,0)</f>
        <v>LOJA</v>
      </c>
      <c r="I225" s="286" t="s">
        <v>173</v>
      </c>
      <c r="J225" s="286" t="s">
        <v>174</v>
      </c>
      <c r="K225" s="286"/>
      <c r="L225" s="286"/>
      <c r="M225" s="287">
        <f>IF(K225&gt;0,VLOOKUP(G225,'[4]Pob. Ext, Parroquial'!$B$8:$F$117,4,FALSE),0)</f>
        <v>0</v>
      </c>
      <c r="N225" s="360" t="s">
        <v>226</v>
      </c>
      <c r="O225" s="361" t="s">
        <v>418</v>
      </c>
      <c r="P225" s="361">
        <v>1.32</v>
      </c>
      <c r="Q225" s="361">
        <v>4752</v>
      </c>
      <c r="R225" s="286"/>
      <c r="S225" s="289">
        <v>41673</v>
      </c>
      <c r="T225" s="289">
        <v>41759</v>
      </c>
      <c r="U225" s="289" t="str">
        <f t="shared" si="9"/>
        <v>EN EJECUCION</v>
      </c>
      <c r="V225" s="290">
        <f t="shared" si="8"/>
        <v>6272.64</v>
      </c>
      <c r="W225" s="290"/>
      <c r="X225" s="290"/>
      <c r="Y225" s="1023"/>
      <c r="Z225" s="278"/>
      <c r="AA225" s="279" t="s">
        <v>417</v>
      </c>
      <c r="AB225" s="279" t="s">
        <v>178</v>
      </c>
      <c r="AC225" s="280" t="s">
        <v>187</v>
      </c>
      <c r="AD225" s="281">
        <v>2014</v>
      </c>
      <c r="AE225" s="320"/>
      <c r="AF225" s="267"/>
    </row>
    <row r="226" spans="1:32" s="268" customFormat="1" ht="50.1" customHeight="1" thickTop="1">
      <c r="A226" s="1048"/>
      <c r="B226" s="1042"/>
      <c r="C226" s="254" t="s">
        <v>182</v>
      </c>
      <c r="D226" s="1042" t="s">
        <v>429</v>
      </c>
      <c r="E226" s="255" t="s">
        <v>429</v>
      </c>
      <c r="F226" s="256" t="s">
        <v>415</v>
      </c>
      <c r="G226" s="257" t="s">
        <v>430</v>
      </c>
      <c r="H226" s="257" t="str">
        <f>VLOOKUP(G226,'[4]Pob. Ext, Parroquial'!$B$9:$C$117,2,0)</f>
        <v>LOJA</v>
      </c>
      <c r="I226" s="257" t="s">
        <v>265</v>
      </c>
      <c r="J226" s="257" t="s">
        <v>174</v>
      </c>
      <c r="K226" s="257">
        <v>180</v>
      </c>
      <c r="L226" s="257"/>
      <c r="M226" s="258">
        <f>IF(K226&gt;0,VLOOKUP(G226,'[4]Pob. Ext, Parroquial'!$B$8:$F$117,4,FALSE),0)</f>
        <v>20662</v>
      </c>
      <c r="N226" s="259" t="s">
        <v>431</v>
      </c>
      <c r="O226" s="257" t="s">
        <v>418</v>
      </c>
      <c r="P226" s="257">
        <v>0.6</v>
      </c>
      <c r="Q226" s="257"/>
      <c r="R226" s="257"/>
      <c r="S226" s="261">
        <v>41640</v>
      </c>
      <c r="T226" s="261">
        <v>41759</v>
      </c>
      <c r="U226" s="261" t="str">
        <f t="shared" si="9"/>
        <v>EN EJECUCION</v>
      </c>
      <c r="V226" s="262">
        <f t="shared" si="8"/>
        <v>0</v>
      </c>
      <c r="W226" s="362">
        <v>454123.94</v>
      </c>
      <c r="X226" s="362">
        <v>45935.25</v>
      </c>
      <c r="Y226" s="1021">
        <f>SUM(V226:V231)</f>
        <v>241.06</v>
      </c>
      <c r="Z226" s="278"/>
      <c r="AA226" s="279" t="s">
        <v>417</v>
      </c>
      <c r="AB226" s="279" t="s">
        <v>178</v>
      </c>
      <c r="AC226" s="280" t="s">
        <v>179</v>
      </c>
      <c r="AD226" s="281">
        <v>2014</v>
      </c>
      <c r="AE226" s="320"/>
      <c r="AF226" s="267"/>
    </row>
    <row r="227" spans="1:32" s="268" customFormat="1" ht="50.1" customHeight="1">
      <c r="A227" s="1049"/>
      <c r="B227" s="1043"/>
      <c r="C227" s="270" t="s">
        <v>169</v>
      </c>
      <c r="D227" s="1043"/>
      <c r="E227" s="271" t="s">
        <v>429</v>
      </c>
      <c r="F227" s="272" t="s">
        <v>415</v>
      </c>
      <c r="G227" s="273" t="s">
        <v>430</v>
      </c>
      <c r="H227" s="273" t="str">
        <f>VLOOKUP(G227,'[4]Pob. Ext, Parroquial'!$B$9:$C$117,2,0)</f>
        <v>LOJA</v>
      </c>
      <c r="I227" s="273" t="s">
        <v>265</v>
      </c>
      <c r="J227" s="273" t="s">
        <v>174</v>
      </c>
      <c r="K227" s="273"/>
      <c r="L227" s="273"/>
      <c r="M227" s="274">
        <f>IF(K227&gt;0,VLOOKUP(G227,'[4]Pob. Ext, Parroquial'!$B$8:$F$117,4,FALSE),0)</f>
        <v>0</v>
      </c>
      <c r="N227" s="275" t="s">
        <v>439</v>
      </c>
      <c r="O227" s="273" t="s">
        <v>420</v>
      </c>
      <c r="P227" s="273">
        <v>0.24</v>
      </c>
      <c r="Q227" s="273"/>
      <c r="R227" s="273"/>
      <c r="S227" s="276">
        <v>41640</v>
      </c>
      <c r="T227" s="276">
        <v>41759</v>
      </c>
      <c r="U227" s="276" t="str">
        <f t="shared" si="9"/>
        <v>EN EJECUCION</v>
      </c>
      <c r="V227" s="277">
        <f t="shared" si="8"/>
        <v>0</v>
      </c>
      <c r="W227" s="363"/>
      <c r="X227" s="363"/>
      <c r="Y227" s="1022">
        <f>V227+W227+X227</f>
        <v>0</v>
      </c>
      <c r="Z227" s="278"/>
      <c r="AA227" s="279" t="s">
        <v>417</v>
      </c>
      <c r="AB227" s="279" t="s">
        <v>178</v>
      </c>
      <c r="AC227" s="280" t="s">
        <v>187</v>
      </c>
      <c r="AD227" s="281">
        <v>2014</v>
      </c>
      <c r="AE227" s="320"/>
      <c r="AF227" s="267"/>
    </row>
    <row r="228" spans="1:32" s="268" customFormat="1" ht="50.1" customHeight="1">
      <c r="A228" s="1049"/>
      <c r="B228" s="1043"/>
      <c r="C228" s="270" t="s">
        <v>169</v>
      </c>
      <c r="D228" s="1043"/>
      <c r="E228" s="271" t="s">
        <v>429</v>
      </c>
      <c r="F228" s="272" t="s">
        <v>415</v>
      </c>
      <c r="G228" s="273" t="s">
        <v>430</v>
      </c>
      <c r="H228" s="273" t="str">
        <f>VLOOKUP(G228,'[4]Pob. Ext, Parroquial'!$B$9:$C$117,2,0)</f>
        <v>LOJA</v>
      </c>
      <c r="I228" s="273" t="s">
        <v>265</v>
      </c>
      <c r="J228" s="273" t="s">
        <v>174</v>
      </c>
      <c r="K228" s="273"/>
      <c r="L228" s="273"/>
      <c r="M228" s="274">
        <f>IF(K228&gt;0,VLOOKUP(G228,'[4]Pob. Ext, Parroquial'!$B$8:$F$117,4,FALSE),0)</f>
        <v>0</v>
      </c>
      <c r="N228" s="275" t="s">
        <v>432</v>
      </c>
      <c r="O228" s="273" t="s">
        <v>420</v>
      </c>
      <c r="P228" s="273">
        <v>0.81</v>
      </c>
      <c r="Q228" s="273">
        <v>297.60000000000002</v>
      </c>
      <c r="R228" s="273"/>
      <c r="S228" s="276">
        <v>41640</v>
      </c>
      <c r="T228" s="276">
        <v>41759</v>
      </c>
      <c r="U228" s="276" t="str">
        <f t="shared" si="9"/>
        <v>EN EJECUCION</v>
      </c>
      <c r="V228" s="277">
        <f t="shared" si="8"/>
        <v>241.06</v>
      </c>
      <c r="W228" s="363"/>
      <c r="X228" s="363"/>
      <c r="Y228" s="1022"/>
      <c r="Z228" s="278"/>
      <c r="AA228" s="279" t="s">
        <v>417</v>
      </c>
      <c r="AB228" s="279" t="s">
        <v>178</v>
      </c>
      <c r="AC228" s="280" t="s">
        <v>187</v>
      </c>
      <c r="AD228" s="281">
        <v>2014</v>
      </c>
      <c r="AE228" s="320"/>
      <c r="AF228" s="267"/>
    </row>
    <row r="229" spans="1:32" s="268" customFormat="1" ht="50.1" customHeight="1">
      <c r="A229" s="1049"/>
      <c r="B229" s="1043"/>
      <c r="C229" s="270" t="s">
        <v>169</v>
      </c>
      <c r="D229" s="1043"/>
      <c r="E229" s="271" t="s">
        <v>429</v>
      </c>
      <c r="F229" s="272" t="s">
        <v>415</v>
      </c>
      <c r="G229" s="273" t="s">
        <v>430</v>
      </c>
      <c r="H229" s="273" t="str">
        <f>VLOOKUP(G229,'[4]Pob. Ext, Parroquial'!$B$9:$C$117,2,0)</f>
        <v>LOJA</v>
      </c>
      <c r="I229" s="273" t="s">
        <v>265</v>
      </c>
      <c r="J229" s="273" t="s">
        <v>174</v>
      </c>
      <c r="K229" s="273"/>
      <c r="L229" s="273"/>
      <c r="M229" s="274">
        <f>IF(K229&gt;0,VLOOKUP(G229,'[4]Pob. Ext, Parroquial'!$B$8:$F$117,4,FALSE),0)</f>
        <v>0</v>
      </c>
      <c r="N229" s="275" t="s">
        <v>433</v>
      </c>
      <c r="O229" s="273" t="s">
        <v>434</v>
      </c>
      <c r="P229" s="273">
        <v>45</v>
      </c>
      <c r="Q229" s="273"/>
      <c r="R229" s="273"/>
      <c r="S229" s="276">
        <v>41640</v>
      </c>
      <c r="T229" s="276">
        <v>41759</v>
      </c>
      <c r="U229" s="276" t="str">
        <f t="shared" si="9"/>
        <v>EN EJECUCION</v>
      </c>
      <c r="V229" s="277">
        <f t="shared" si="8"/>
        <v>0</v>
      </c>
      <c r="W229" s="363"/>
      <c r="X229" s="363"/>
      <c r="Y229" s="1022">
        <f>V229+W229+X229</f>
        <v>0</v>
      </c>
      <c r="Z229" s="278"/>
      <c r="AA229" s="279" t="s">
        <v>417</v>
      </c>
      <c r="AB229" s="279" t="s">
        <v>178</v>
      </c>
      <c r="AC229" s="280" t="s">
        <v>179</v>
      </c>
      <c r="AD229" s="281">
        <v>2014</v>
      </c>
      <c r="AE229" s="320"/>
      <c r="AF229" s="267"/>
    </row>
    <row r="230" spans="1:32" s="268" customFormat="1" ht="50.1" customHeight="1">
      <c r="A230" s="1049"/>
      <c r="B230" s="1043"/>
      <c r="C230" s="270" t="s">
        <v>182</v>
      </c>
      <c r="D230" s="1043"/>
      <c r="E230" s="271" t="s">
        <v>429</v>
      </c>
      <c r="F230" s="272" t="s">
        <v>415</v>
      </c>
      <c r="G230" s="273" t="s">
        <v>430</v>
      </c>
      <c r="H230" s="273" t="str">
        <f>VLOOKUP(G230,'[4]Pob. Ext, Parroquial'!$B$9:$C$117,2,0)</f>
        <v>LOJA</v>
      </c>
      <c r="I230" s="273" t="s">
        <v>265</v>
      </c>
      <c r="J230" s="273" t="s">
        <v>174</v>
      </c>
      <c r="K230" s="273"/>
      <c r="L230" s="273">
        <f>+ROUND(Q230/6000,2)</f>
        <v>0</v>
      </c>
      <c r="M230" s="274">
        <f>IF(K230&gt;0,VLOOKUP(G230,'[4]Pob. Ext, Parroquial'!$B$8:$F$117,4,FALSE),0)</f>
        <v>0</v>
      </c>
      <c r="N230" s="275" t="s">
        <v>183</v>
      </c>
      <c r="O230" s="273" t="s">
        <v>434</v>
      </c>
      <c r="P230" s="273">
        <v>50.6</v>
      </c>
      <c r="Q230" s="273"/>
      <c r="R230" s="273"/>
      <c r="S230" s="276">
        <v>41640</v>
      </c>
      <c r="T230" s="276">
        <v>41759</v>
      </c>
      <c r="U230" s="276" t="str">
        <f t="shared" si="9"/>
        <v>EN EJECUCION</v>
      </c>
      <c r="V230" s="277">
        <f t="shared" si="8"/>
        <v>0</v>
      </c>
      <c r="W230" s="363"/>
      <c r="X230" s="363"/>
      <c r="Y230" s="1022">
        <f>V230+W230+X230</f>
        <v>0</v>
      </c>
      <c r="Z230" s="278"/>
      <c r="AA230" s="279" t="s">
        <v>417</v>
      </c>
      <c r="AB230" s="279" t="s">
        <v>178</v>
      </c>
      <c r="AC230" s="280" t="s">
        <v>187</v>
      </c>
      <c r="AD230" s="281">
        <v>2014</v>
      </c>
      <c r="AE230" s="320"/>
      <c r="AF230" s="267"/>
    </row>
    <row r="231" spans="1:32" s="268" customFormat="1" ht="50.1" customHeight="1" thickBot="1">
      <c r="A231" s="1050"/>
      <c r="B231" s="1051"/>
      <c r="C231" s="283" t="s">
        <v>182</v>
      </c>
      <c r="D231" s="1051"/>
      <c r="E231" s="284" t="s">
        <v>429</v>
      </c>
      <c r="F231" s="285" t="s">
        <v>415</v>
      </c>
      <c r="G231" s="286" t="s">
        <v>430</v>
      </c>
      <c r="H231" s="286" t="str">
        <f>VLOOKUP(G231,'[4]Pob. Ext, Parroquial'!$B$9:$C$117,2,0)</f>
        <v>LOJA</v>
      </c>
      <c r="I231" s="286" t="s">
        <v>265</v>
      </c>
      <c r="J231" s="286" t="s">
        <v>174</v>
      </c>
      <c r="K231" s="286"/>
      <c r="L231" s="286"/>
      <c r="M231" s="287">
        <f>IF(K231&gt;0,VLOOKUP(G231,'[4]Pob. Ext, Parroquial'!$B$8:$F$117,4,FALSE),0)</f>
        <v>0</v>
      </c>
      <c r="N231" s="288" t="s">
        <v>435</v>
      </c>
      <c r="O231" s="286" t="s">
        <v>436</v>
      </c>
      <c r="P231" s="286">
        <v>704.58</v>
      </c>
      <c r="Q231" s="286"/>
      <c r="R231" s="286"/>
      <c r="S231" s="289">
        <v>41640</v>
      </c>
      <c r="T231" s="289">
        <v>41759</v>
      </c>
      <c r="U231" s="289" t="str">
        <f t="shared" si="9"/>
        <v>EN EJECUCION</v>
      </c>
      <c r="V231" s="290">
        <f t="shared" si="8"/>
        <v>0</v>
      </c>
      <c r="W231" s="364"/>
      <c r="X231" s="364"/>
      <c r="Y231" s="1023">
        <f>V231+W231+X231</f>
        <v>0</v>
      </c>
      <c r="Z231" s="278"/>
      <c r="AA231" s="279" t="s">
        <v>417</v>
      </c>
      <c r="AB231" s="279" t="s">
        <v>178</v>
      </c>
      <c r="AC231" s="280" t="s">
        <v>179</v>
      </c>
      <c r="AD231" s="281">
        <v>2014</v>
      </c>
      <c r="AE231" s="320"/>
      <c r="AF231" s="267"/>
    </row>
    <row r="232" spans="1:32" s="268" customFormat="1" ht="101.25" customHeight="1" thickTop="1" thickBot="1">
      <c r="A232" s="317" t="s">
        <v>755</v>
      </c>
      <c r="B232" s="299" t="str">
        <f>+U232</f>
        <v>EN EJECUCION</v>
      </c>
      <c r="C232" s="299" t="s">
        <v>169</v>
      </c>
      <c r="D232" s="299" t="s">
        <v>437</v>
      </c>
      <c r="E232" s="300" t="s">
        <v>437</v>
      </c>
      <c r="F232" s="301" t="s">
        <v>415</v>
      </c>
      <c r="G232" s="302" t="s">
        <v>430</v>
      </c>
      <c r="H232" s="302" t="str">
        <f>VLOOKUP(G232,'[4]Pob. Ext, Parroquial'!$B$9:$C$117,2,0)</f>
        <v>LOJA</v>
      </c>
      <c r="I232" s="302" t="s">
        <v>270</v>
      </c>
      <c r="J232" s="302" t="s">
        <v>438</v>
      </c>
      <c r="K232" s="302"/>
      <c r="L232" s="302"/>
      <c r="M232" s="303">
        <f>IF(K232&gt;0,VLOOKUP(G232,'[4]Pob. Ext, Parroquial'!$B$8:$F$117,4,FALSE),0)</f>
        <v>0</v>
      </c>
      <c r="N232" s="304" t="s">
        <v>439</v>
      </c>
      <c r="O232" s="302" t="s">
        <v>440</v>
      </c>
      <c r="P232" s="302">
        <v>0.24</v>
      </c>
      <c r="Q232" s="302">
        <f>52350+30000</f>
        <v>82350</v>
      </c>
      <c r="R232" s="302"/>
      <c r="S232" s="305">
        <v>41640</v>
      </c>
      <c r="T232" s="305">
        <v>41759</v>
      </c>
      <c r="U232" s="305" t="str">
        <f t="shared" si="9"/>
        <v>EN EJECUCION</v>
      </c>
      <c r="V232" s="306">
        <f t="shared" si="8"/>
        <v>19764</v>
      </c>
      <c r="W232" s="306"/>
      <c r="X232" s="306"/>
      <c r="Y232" s="318">
        <f>V232+W232+X232</f>
        <v>19764</v>
      </c>
      <c r="Z232" s="278"/>
      <c r="AA232" s="279" t="s">
        <v>417</v>
      </c>
      <c r="AB232" s="279" t="s">
        <v>178</v>
      </c>
      <c r="AC232" s="280" t="s">
        <v>179</v>
      </c>
      <c r="AD232" s="281">
        <v>2014</v>
      </c>
      <c r="AE232" s="320"/>
      <c r="AF232" s="267"/>
    </row>
    <row r="233" spans="1:32" s="268" customFormat="1" ht="50.1" customHeight="1" thickTop="1">
      <c r="A233" s="1048" t="s">
        <v>756</v>
      </c>
      <c r="B233" s="1042" t="str">
        <f>+U234</f>
        <v>EN EJECUCION</v>
      </c>
      <c r="C233" s="254" t="s">
        <v>297</v>
      </c>
      <c r="D233" s="1042" t="s">
        <v>441</v>
      </c>
      <c r="E233" s="255" t="s">
        <v>441</v>
      </c>
      <c r="F233" s="256" t="s">
        <v>415</v>
      </c>
      <c r="G233" s="257" t="s">
        <v>425</v>
      </c>
      <c r="H233" s="257" t="str">
        <f>VLOOKUP(G233,'[4]Pob. Ext, Parroquial'!$B$9:$C$117,2,0)</f>
        <v>LOJA</v>
      </c>
      <c r="I233" s="257" t="s">
        <v>270</v>
      </c>
      <c r="J233" s="257" t="s">
        <v>174</v>
      </c>
      <c r="K233" s="257">
        <v>4</v>
      </c>
      <c r="L233" s="257"/>
      <c r="M233" s="258">
        <f>IF(K233&gt;0,VLOOKUP(G233,'[4]Pob. Ext, Parroquial'!$B$8:$F$117,4,FALSE),0)</f>
        <v>2611</v>
      </c>
      <c r="N233" s="365" t="s">
        <v>442</v>
      </c>
      <c r="O233" s="366" t="s">
        <v>443</v>
      </c>
      <c r="P233" s="367">
        <v>0.6</v>
      </c>
      <c r="Q233" s="368">
        <f>44000+10000</f>
        <v>54000</v>
      </c>
      <c r="R233" s="257"/>
      <c r="S233" s="261">
        <v>41640</v>
      </c>
      <c r="T233" s="261">
        <v>41759</v>
      </c>
      <c r="U233" s="261" t="str">
        <f t="shared" si="9"/>
        <v>EN EJECUCION</v>
      </c>
      <c r="V233" s="262">
        <f t="shared" si="8"/>
        <v>32400</v>
      </c>
      <c r="W233" s="262"/>
      <c r="X233" s="262"/>
      <c r="Y233" s="1021">
        <f>SUM(V233:V235)</f>
        <v>266132.55</v>
      </c>
      <c r="Z233" s="278"/>
      <c r="AA233" s="279" t="s">
        <v>417</v>
      </c>
      <c r="AB233" s="279" t="s">
        <v>178</v>
      </c>
      <c r="AC233" s="280" t="s">
        <v>187</v>
      </c>
      <c r="AD233" s="281">
        <v>2014</v>
      </c>
      <c r="AE233" s="320"/>
      <c r="AF233" s="267"/>
    </row>
    <row r="234" spans="1:32" s="268" customFormat="1" ht="50.1" customHeight="1">
      <c r="A234" s="1049"/>
      <c r="B234" s="1043"/>
      <c r="C234" s="270" t="s">
        <v>191</v>
      </c>
      <c r="D234" s="1043"/>
      <c r="E234" s="271" t="s">
        <v>441</v>
      </c>
      <c r="F234" s="272" t="s">
        <v>415</v>
      </c>
      <c r="G234" s="273" t="s">
        <v>425</v>
      </c>
      <c r="H234" s="273" t="str">
        <f>VLOOKUP(G234,'[4]Pob. Ext, Parroquial'!$B$9:$C$117,2,0)</f>
        <v>LOJA</v>
      </c>
      <c r="I234" s="273" t="s">
        <v>270</v>
      </c>
      <c r="J234" s="273" t="s">
        <v>174</v>
      </c>
      <c r="K234" s="273"/>
      <c r="L234" s="273"/>
      <c r="M234" s="274">
        <f>IF(K234&gt;0,VLOOKUP(G234,'[4]Pob. Ext, Parroquial'!$B$8:$F$117,4,FALSE),0)</f>
        <v>0</v>
      </c>
      <c r="N234" s="369" t="s">
        <v>444</v>
      </c>
      <c r="O234" s="357" t="s">
        <v>176</v>
      </c>
      <c r="P234" s="358">
        <v>130.65</v>
      </c>
      <c r="Q234" s="370">
        <v>1127</v>
      </c>
      <c r="R234" s="273"/>
      <c r="S234" s="276">
        <v>41699</v>
      </c>
      <c r="T234" s="276">
        <v>41759</v>
      </c>
      <c r="U234" s="276" t="str">
        <f t="shared" si="9"/>
        <v>EN EJECUCION</v>
      </c>
      <c r="V234" s="277">
        <f>ROUND(P234*Q234,2)</f>
        <v>147242.54999999999</v>
      </c>
      <c r="W234" s="277"/>
      <c r="X234" s="277"/>
      <c r="Y234" s="1022"/>
      <c r="Z234" s="278"/>
      <c r="AA234" s="279"/>
      <c r="AB234" s="279"/>
      <c r="AC234" s="280"/>
      <c r="AD234" s="281"/>
      <c r="AE234" s="320"/>
      <c r="AF234" s="267"/>
    </row>
    <row r="235" spans="1:32" s="268" customFormat="1" ht="50.1" customHeight="1" thickBot="1">
      <c r="A235" s="1050"/>
      <c r="B235" s="1051"/>
      <c r="C235" s="283" t="s">
        <v>297</v>
      </c>
      <c r="D235" s="1051"/>
      <c r="E235" s="284" t="s">
        <v>441</v>
      </c>
      <c r="F235" s="285" t="s">
        <v>415</v>
      </c>
      <c r="G235" s="286" t="s">
        <v>425</v>
      </c>
      <c r="H235" s="286" t="str">
        <f>VLOOKUP(G235,'[4]Pob. Ext, Parroquial'!$B$9:$C$117,2,0)</f>
        <v>LOJA</v>
      </c>
      <c r="I235" s="286" t="s">
        <v>270</v>
      </c>
      <c r="J235" s="286" t="s">
        <v>174</v>
      </c>
      <c r="K235" s="286"/>
      <c r="L235" s="286">
        <f>ROUND(Q235/6000,2)</f>
        <v>5.17</v>
      </c>
      <c r="M235" s="287">
        <f>IF(K235&gt;0,VLOOKUP(G235,'[4]Pob. Ext, Parroquial'!$B$8:$F$117,4,FALSE),0)</f>
        <v>0</v>
      </c>
      <c r="N235" s="371" t="s">
        <v>311</v>
      </c>
      <c r="O235" s="372" t="s">
        <v>224</v>
      </c>
      <c r="P235" s="361">
        <v>2.79</v>
      </c>
      <c r="Q235" s="373">
        <f>15000+10000+6000</f>
        <v>31000</v>
      </c>
      <c r="R235" s="286"/>
      <c r="S235" s="289">
        <v>41640</v>
      </c>
      <c r="T235" s="289">
        <v>41759</v>
      </c>
      <c r="U235" s="289" t="str">
        <f t="shared" si="9"/>
        <v>EN EJECUCION</v>
      </c>
      <c r="V235" s="290">
        <f t="shared" si="8"/>
        <v>86490</v>
      </c>
      <c r="W235" s="290"/>
      <c r="X235" s="290"/>
      <c r="Y235" s="1023"/>
      <c r="Z235" s="278"/>
      <c r="AA235" s="279" t="s">
        <v>417</v>
      </c>
      <c r="AB235" s="279" t="s">
        <v>178</v>
      </c>
      <c r="AC235" s="280" t="s">
        <v>187</v>
      </c>
      <c r="AD235" s="281">
        <v>2014</v>
      </c>
      <c r="AE235" s="320"/>
      <c r="AF235" s="267"/>
    </row>
    <row r="236" spans="1:32" s="268" customFormat="1" ht="132.75" customHeight="1" thickTop="1" thickBot="1">
      <c r="A236" s="317"/>
      <c r="B236" s="299"/>
      <c r="C236" s="299" t="s">
        <v>182</v>
      </c>
      <c r="D236" s="299" t="s">
        <v>449</v>
      </c>
      <c r="E236" s="374" t="s">
        <v>449</v>
      </c>
      <c r="F236" s="301" t="s">
        <v>415</v>
      </c>
      <c r="G236" s="304" t="s">
        <v>450</v>
      </c>
      <c r="H236" s="302" t="str">
        <f>VLOOKUP(G236,'[4]Pob. Ext, Parroquial'!$B$9:$C$117,2,0)</f>
        <v>SARAGURO</v>
      </c>
      <c r="I236" s="302" t="s">
        <v>270</v>
      </c>
      <c r="J236" s="302" t="s">
        <v>451</v>
      </c>
      <c r="K236" s="302">
        <v>100</v>
      </c>
      <c r="L236" s="302">
        <f>ROUNDUP(Q236/6/1000,2)</f>
        <v>45.809999999999995</v>
      </c>
      <c r="M236" s="303">
        <f>IF(K236&gt;0,VLOOKUP(G236,'[4]Pob. Ext, Parroquial'!$B$8:$F$117,4,FALSE),0)</f>
        <v>1258</v>
      </c>
      <c r="N236" s="304" t="s">
        <v>185</v>
      </c>
      <c r="O236" s="302" t="s">
        <v>224</v>
      </c>
      <c r="P236" s="302">
        <v>6.8093799999999996E-2</v>
      </c>
      <c r="Q236" s="302">
        <v>274850</v>
      </c>
      <c r="R236" s="302"/>
      <c r="S236" s="305">
        <v>41640</v>
      </c>
      <c r="T236" s="305">
        <v>41759</v>
      </c>
      <c r="U236" s="305" t="str">
        <f t="shared" si="9"/>
        <v>EN EJECUCION</v>
      </c>
      <c r="V236" s="306">
        <f t="shared" si="8"/>
        <v>18715.580000000002</v>
      </c>
      <c r="W236" s="306"/>
      <c r="X236" s="306"/>
      <c r="Y236" s="318">
        <f>V236+W236+X236</f>
        <v>18715.580000000002</v>
      </c>
      <c r="Z236" s="278"/>
      <c r="AA236" s="279" t="s">
        <v>417</v>
      </c>
      <c r="AB236" s="279" t="s">
        <v>178</v>
      </c>
      <c r="AC236" s="280" t="s">
        <v>179</v>
      </c>
      <c r="AD236" s="281">
        <v>2014</v>
      </c>
      <c r="AE236" s="267"/>
      <c r="AF236" s="267"/>
    </row>
    <row r="237" spans="1:32" s="268" customFormat="1" ht="50.1" customHeight="1" thickTop="1">
      <c r="A237" s="1048" t="s">
        <v>757</v>
      </c>
      <c r="B237" s="1042" t="str">
        <f>+U238</f>
        <v>EN EJECUCION</v>
      </c>
      <c r="C237" s="254" t="s">
        <v>191</v>
      </c>
      <c r="D237" s="1042" t="s">
        <v>453</v>
      </c>
      <c r="E237" s="375" t="s">
        <v>453</v>
      </c>
      <c r="F237" s="256" t="s">
        <v>415</v>
      </c>
      <c r="G237" s="257" t="s">
        <v>430</v>
      </c>
      <c r="H237" s="257" t="str">
        <f>VLOOKUP(G237,'[4]Pob. Ext, Parroquial'!$B$9:$C$117,2,0)</f>
        <v>LOJA</v>
      </c>
      <c r="I237" s="257" t="s">
        <v>270</v>
      </c>
      <c r="J237" s="257" t="s">
        <v>454</v>
      </c>
      <c r="K237" s="257"/>
      <c r="L237" s="257"/>
      <c r="M237" s="258">
        <f>IF(K237&gt;0,VLOOKUP(G237,'[4]Pob. Ext, Parroquial'!$B$8:$F$117,4,FALSE),0)</f>
        <v>0</v>
      </c>
      <c r="N237" s="259" t="s">
        <v>758</v>
      </c>
      <c r="O237" s="257" t="s">
        <v>176</v>
      </c>
      <c r="P237" s="257">
        <v>135.74</v>
      </c>
      <c r="Q237" s="257">
        <v>652.6</v>
      </c>
      <c r="R237" s="257"/>
      <c r="S237" s="261">
        <v>41699</v>
      </c>
      <c r="T237" s="261">
        <v>41759</v>
      </c>
      <c r="U237" s="261" t="str">
        <f t="shared" si="9"/>
        <v>EN EJECUCION</v>
      </c>
      <c r="V237" s="262">
        <f t="shared" si="8"/>
        <v>88583.92</v>
      </c>
      <c r="W237" s="262"/>
      <c r="X237" s="262"/>
      <c r="Y237" s="1021">
        <f>SUBTOTAL(9,V237:V243)</f>
        <v>407339.22</v>
      </c>
      <c r="Z237" s="278"/>
      <c r="AA237" s="279" t="s">
        <v>455</v>
      </c>
      <c r="AB237" s="279" t="s">
        <v>178</v>
      </c>
      <c r="AC237" s="280" t="s">
        <v>179</v>
      </c>
      <c r="AD237" s="281">
        <v>2014</v>
      </c>
      <c r="AE237" s="267"/>
      <c r="AF237" s="267"/>
    </row>
    <row r="238" spans="1:32" s="268" customFormat="1" ht="83.25" customHeight="1">
      <c r="A238" s="1049"/>
      <c r="B238" s="1043"/>
      <c r="C238" s="270" t="s">
        <v>191</v>
      </c>
      <c r="D238" s="1043"/>
      <c r="E238" s="376" t="s">
        <v>453</v>
      </c>
      <c r="F238" s="272" t="s">
        <v>415</v>
      </c>
      <c r="G238" s="273" t="s">
        <v>430</v>
      </c>
      <c r="H238" s="273" t="str">
        <f>VLOOKUP(G238,'[4]Pob. Ext, Parroquial'!$B$9:$C$117,2,0)</f>
        <v>LOJA</v>
      </c>
      <c r="I238" s="273" t="s">
        <v>270</v>
      </c>
      <c r="J238" s="273" t="s">
        <v>454</v>
      </c>
      <c r="K238" s="273"/>
      <c r="L238" s="273"/>
      <c r="M238" s="274">
        <f>IF(K238&gt;0,VLOOKUP(G238,'[4]Pob. Ext, Parroquial'!$B$8:$F$117,4,FALSE),0)</f>
        <v>0</v>
      </c>
      <c r="N238" s="275" t="s">
        <v>456</v>
      </c>
      <c r="O238" s="273" t="s">
        <v>176</v>
      </c>
      <c r="P238" s="273">
        <v>174.39</v>
      </c>
      <c r="Q238" s="273">
        <v>1449.91</v>
      </c>
      <c r="R238" s="273"/>
      <c r="S238" s="276">
        <v>41699</v>
      </c>
      <c r="T238" s="276">
        <v>41759</v>
      </c>
      <c r="U238" s="276" t="str">
        <f t="shared" si="9"/>
        <v>EN EJECUCION</v>
      </c>
      <c r="V238" s="277">
        <f t="shared" si="8"/>
        <v>252849.8</v>
      </c>
      <c r="W238" s="277"/>
      <c r="X238" s="277"/>
      <c r="Y238" s="1022"/>
      <c r="Z238" s="278"/>
      <c r="AA238" s="279" t="s">
        <v>455</v>
      </c>
      <c r="AB238" s="279" t="s">
        <v>178</v>
      </c>
      <c r="AC238" s="280" t="s">
        <v>179</v>
      </c>
      <c r="AD238" s="281">
        <v>2014</v>
      </c>
      <c r="AE238" s="267"/>
      <c r="AF238" s="267"/>
    </row>
    <row r="239" spans="1:32" s="268" customFormat="1" ht="50.1" customHeight="1">
      <c r="A239" s="1049"/>
      <c r="B239" s="1043"/>
      <c r="C239" s="270" t="s">
        <v>169</v>
      </c>
      <c r="D239" s="1043"/>
      <c r="E239" s="376" t="s">
        <v>453</v>
      </c>
      <c r="F239" s="272" t="s">
        <v>415</v>
      </c>
      <c r="G239" s="273" t="s">
        <v>430</v>
      </c>
      <c r="H239" s="273" t="str">
        <f>VLOOKUP(G239,'[4]Pob. Ext, Parroquial'!$B$9:$C$117,2,0)</f>
        <v>LOJA</v>
      </c>
      <c r="I239" s="273" t="s">
        <v>270</v>
      </c>
      <c r="J239" s="273" t="s">
        <v>454</v>
      </c>
      <c r="K239" s="273"/>
      <c r="L239" s="273"/>
      <c r="M239" s="274">
        <f>IF(K239&gt;0,VLOOKUP(G239,'[4]Pob. Ext, Parroquial'!$B$8:$F$117,4,FALSE),0)</f>
        <v>0</v>
      </c>
      <c r="N239" s="275" t="s">
        <v>457</v>
      </c>
      <c r="O239" s="273" t="s">
        <v>176</v>
      </c>
      <c r="P239" s="273">
        <v>9.5</v>
      </c>
      <c r="Q239" s="273">
        <v>4964</v>
      </c>
      <c r="R239" s="273"/>
      <c r="S239" s="276">
        <v>41699</v>
      </c>
      <c r="T239" s="276">
        <v>41759</v>
      </c>
      <c r="U239" s="276" t="str">
        <f t="shared" si="9"/>
        <v>EN EJECUCION</v>
      </c>
      <c r="V239" s="277">
        <f t="shared" si="8"/>
        <v>47158</v>
      </c>
      <c r="W239" s="277"/>
      <c r="X239" s="277"/>
      <c r="Y239" s="1022"/>
      <c r="Z239" s="278"/>
      <c r="AA239" s="279" t="s">
        <v>455</v>
      </c>
      <c r="AB239" s="279" t="s">
        <v>178</v>
      </c>
      <c r="AC239" s="280" t="s">
        <v>179</v>
      </c>
      <c r="AD239" s="281">
        <v>2014</v>
      </c>
      <c r="AE239" s="267"/>
      <c r="AF239" s="267"/>
    </row>
    <row r="240" spans="1:32" s="268" customFormat="1" ht="50.1" customHeight="1">
      <c r="A240" s="1049"/>
      <c r="B240" s="1043"/>
      <c r="C240" s="270" t="s">
        <v>169</v>
      </c>
      <c r="D240" s="1043"/>
      <c r="E240" s="376" t="s">
        <v>453</v>
      </c>
      <c r="F240" s="272" t="s">
        <v>415</v>
      </c>
      <c r="G240" s="273" t="s">
        <v>430</v>
      </c>
      <c r="H240" s="273" t="str">
        <f>VLOOKUP(G240,'[4]Pob. Ext, Parroquial'!$B$9:$C$117,2,0)</f>
        <v>LOJA</v>
      </c>
      <c r="I240" s="273" t="s">
        <v>270</v>
      </c>
      <c r="J240" s="273" t="s">
        <v>454</v>
      </c>
      <c r="K240" s="273"/>
      <c r="L240" s="273"/>
      <c r="M240" s="274">
        <f>IF(K240&gt;0,VLOOKUP(G240,'[4]Pob. Ext, Parroquial'!$B$8:$F$117,4,FALSE),0)</f>
        <v>0</v>
      </c>
      <c r="N240" s="377" t="s">
        <v>458</v>
      </c>
      <c r="O240" s="273" t="s">
        <v>176</v>
      </c>
      <c r="P240" s="273">
        <v>9.5</v>
      </c>
      <c r="Q240" s="273">
        <v>200</v>
      </c>
      <c r="R240" s="273"/>
      <c r="S240" s="276">
        <v>41699</v>
      </c>
      <c r="T240" s="276">
        <v>41759</v>
      </c>
      <c r="U240" s="276" t="str">
        <f t="shared" si="9"/>
        <v>EN EJECUCION</v>
      </c>
      <c r="V240" s="277">
        <f t="shared" si="8"/>
        <v>1900</v>
      </c>
      <c r="W240" s="277"/>
      <c r="X240" s="277"/>
      <c r="Y240" s="1022"/>
      <c r="Z240" s="278"/>
      <c r="AA240" s="279" t="s">
        <v>455</v>
      </c>
      <c r="AB240" s="279" t="s">
        <v>178</v>
      </c>
      <c r="AC240" s="280" t="s">
        <v>179</v>
      </c>
      <c r="AD240" s="281">
        <v>2014</v>
      </c>
      <c r="AE240" s="267"/>
      <c r="AF240" s="267"/>
    </row>
    <row r="241" spans="1:32" s="268" customFormat="1" ht="50.1" customHeight="1">
      <c r="A241" s="1049"/>
      <c r="B241" s="1043"/>
      <c r="C241" s="270" t="s">
        <v>169</v>
      </c>
      <c r="D241" s="1043"/>
      <c r="E241" s="376" t="s">
        <v>453</v>
      </c>
      <c r="F241" s="272" t="s">
        <v>415</v>
      </c>
      <c r="G241" s="273" t="s">
        <v>430</v>
      </c>
      <c r="H241" s="273" t="str">
        <f>VLOOKUP(G241,'[4]Pob. Ext, Parroquial'!$B$9:$C$117,2,0)</f>
        <v>LOJA</v>
      </c>
      <c r="I241" s="273" t="s">
        <v>270</v>
      </c>
      <c r="J241" s="273" t="s">
        <v>454</v>
      </c>
      <c r="K241" s="273"/>
      <c r="L241" s="273"/>
      <c r="M241" s="274">
        <f>IF(K241&gt;0,VLOOKUP(G241,'[4]Pob. Ext, Parroquial'!$B$8:$F$117,4,FALSE),0)</f>
        <v>0</v>
      </c>
      <c r="N241" s="377" t="s">
        <v>459</v>
      </c>
      <c r="O241" s="273" t="s">
        <v>176</v>
      </c>
      <c r="P241" s="273">
        <v>6.44</v>
      </c>
      <c r="Q241" s="273">
        <v>694.76</v>
      </c>
      <c r="R241" s="273"/>
      <c r="S241" s="276">
        <v>41730</v>
      </c>
      <c r="T241" s="276">
        <v>41759</v>
      </c>
      <c r="U241" s="276" t="str">
        <f t="shared" si="9"/>
        <v>EN EJECUCION</v>
      </c>
      <c r="V241" s="277">
        <f t="shared" si="8"/>
        <v>4474.25</v>
      </c>
      <c r="W241" s="277"/>
      <c r="X241" s="277"/>
      <c r="Y241" s="1022"/>
      <c r="Z241" s="278"/>
      <c r="AA241" s="279" t="s">
        <v>455</v>
      </c>
      <c r="AB241" s="279" t="s">
        <v>178</v>
      </c>
      <c r="AC241" s="280" t="s">
        <v>179</v>
      </c>
      <c r="AD241" s="281">
        <v>2014</v>
      </c>
      <c r="AE241" s="267"/>
      <c r="AF241" s="267"/>
    </row>
    <row r="242" spans="1:32" s="268" customFormat="1" ht="50.1" customHeight="1">
      <c r="A242" s="1049"/>
      <c r="B242" s="1043"/>
      <c r="C242" s="270" t="s">
        <v>169</v>
      </c>
      <c r="D242" s="1043"/>
      <c r="E242" s="376" t="s">
        <v>453</v>
      </c>
      <c r="F242" s="272" t="s">
        <v>415</v>
      </c>
      <c r="G242" s="273" t="s">
        <v>430</v>
      </c>
      <c r="H242" s="273" t="str">
        <f>VLOOKUP(G242,'[4]Pob. Ext, Parroquial'!$B$9:$C$117,2,0)</f>
        <v>LOJA</v>
      </c>
      <c r="I242" s="273" t="s">
        <v>270</v>
      </c>
      <c r="J242" s="273" t="s">
        <v>454</v>
      </c>
      <c r="K242" s="273"/>
      <c r="L242" s="273"/>
      <c r="M242" s="274">
        <f>IF(K242&gt;0,VLOOKUP(G242,'[4]Pob. Ext, Parroquial'!$B$8:$F$117,4,FALSE),0)</f>
        <v>0</v>
      </c>
      <c r="N242" s="377" t="s">
        <v>759</v>
      </c>
      <c r="O242" s="273" t="s">
        <v>760</v>
      </c>
      <c r="P242" s="273">
        <v>0.3</v>
      </c>
      <c r="Q242" s="273">
        <v>35152.559999999998</v>
      </c>
      <c r="R242" s="273"/>
      <c r="S242" s="276">
        <v>41730</v>
      </c>
      <c r="T242" s="276">
        <v>41759</v>
      </c>
      <c r="U242" s="276" t="str">
        <f t="shared" si="9"/>
        <v>EN EJECUCION</v>
      </c>
      <c r="V242" s="277">
        <f t="shared" si="8"/>
        <v>10545.77</v>
      </c>
      <c r="W242" s="277"/>
      <c r="X242" s="277"/>
      <c r="Y242" s="1022"/>
      <c r="Z242" s="278"/>
      <c r="AA242" s="279" t="s">
        <v>455</v>
      </c>
      <c r="AB242" s="279" t="s">
        <v>178</v>
      </c>
      <c r="AC242" s="280" t="s">
        <v>179</v>
      </c>
      <c r="AD242" s="281">
        <v>2014</v>
      </c>
      <c r="AE242" s="267"/>
      <c r="AF242" s="267"/>
    </row>
    <row r="243" spans="1:32" s="268" customFormat="1" ht="50.1" customHeight="1" thickBot="1">
      <c r="A243" s="1050"/>
      <c r="B243" s="1051"/>
      <c r="C243" s="283" t="s">
        <v>169</v>
      </c>
      <c r="D243" s="1051"/>
      <c r="E243" s="378" t="s">
        <v>453</v>
      </c>
      <c r="F243" s="285" t="s">
        <v>415</v>
      </c>
      <c r="G243" s="286" t="s">
        <v>430</v>
      </c>
      <c r="H243" s="286" t="str">
        <f>VLOOKUP(G243,'[4]Pob. Ext, Parroquial'!$B$9:$C$117,2,0)</f>
        <v>LOJA</v>
      </c>
      <c r="I243" s="286" t="s">
        <v>270</v>
      </c>
      <c r="J243" s="286" t="s">
        <v>454</v>
      </c>
      <c r="K243" s="286"/>
      <c r="L243" s="286"/>
      <c r="M243" s="287">
        <f>IF(K243&gt;0,VLOOKUP(G243,'[4]Pob. Ext, Parroquial'!$B$8:$F$117,4,FALSE),0)</f>
        <v>0</v>
      </c>
      <c r="N243" s="379" t="s">
        <v>465</v>
      </c>
      <c r="O243" s="286" t="s">
        <v>466</v>
      </c>
      <c r="P243" s="286">
        <v>913.74</v>
      </c>
      <c r="Q243" s="286">
        <v>2</v>
      </c>
      <c r="R243" s="286"/>
      <c r="S243" s="289">
        <v>41730</v>
      </c>
      <c r="T243" s="289">
        <v>41759</v>
      </c>
      <c r="U243" s="289" t="str">
        <f t="shared" si="9"/>
        <v>EN EJECUCION</v>
      </c>
      <c r="V243" s="290">
        <f t="shared" si="8"/>
        <v>1827.48</v>
      </c>
      <c r="W243" s="290"/>
      <c r="X243" s="290"/>
      <c r="Y243" s="1023"/>
      <c r="Z243" s="278"/>
      <c r="AA243" s="279" t="s">
        <v>455</v>
      </c>
      <c r="AB243" s="279" t="s">
        <v>178</v>
      </c>
      <c r="AC243" s="280" t="s">
        <v>179</v>
      </c>
      <c r="AD243" s="281">
        <v>2014</v>
      </c>
      <c r="AE243" s="267"/>
      <c r="AF243" s="267"/>
    </row>
    <row r="244" spans="1:32" s="268" customFormat="1" ht="50.1" customHeight="1" thickTop="1">
      <c r="A244" s="1048" t="s">
        <v>761</v>
      </c>
      <c r="B244" s="1042" t="str">
        <f t="shared" ref="B244:B250" si="10">+U244</f>
        <v>EN EJECUCION</v>
      </c>
      <c r="C244" s="254" t="s">
        <v>182</v>
      </c>
      <c r="D244" s="1042" t="s">
        <v>467</v>
      </c>
      <c r="E244" s="375" t="s">
        <v>467</v>
      </c>
      <c r="F244" s="256" t="s">
        <v>415</v>
      </c>
      <c r="G244" s="257" t="s">
        <v>468</v>
      </c>
      <c r="H244" s="257" t="str">
        <f>VLOOKUP(G244,'[4]Pob. Ext, Parroquial'!$B$9:$C$117,2,0)</f>
        <v>SARAGURO</v>
      </c>
      <c r="I244" s="257" t="s">
        <v>173</v>
      </c>
      <c r="J244" s="257" t="s">
        <v>174</v>
      </c>
      <c r="K244" s="257"/>
      <c r="L244" s="257"/>
      <c r="M244" s="258">
        <f>IF(K244&gt;0,VLOOKUP(G244,'[4]Pob. Ext, Parroquial'!$B$8:$F$117,4,FALSE),0)</f>
        <v>0</v>
      </c>
      <c r="N244" s="259" t="s">
        <v>469</v>
      </c>
      <c r="O244" s="257" t="s">
        <v>418</v>
      </c>
      <c r="P244" s="257">
        <f>0.86*1.2</f>
        <v>1.032</v>
      </c>
      <c r="Q244" s="257">
        <v>9960</v>
      </c>
      <c r="R244" s="257"/>
      <c r="S244" s="261">
        <v>41699</v>
      </c>
      <c r="T244" s="276">
        <v>41759</v>
      </c>
      <c r="U244" s="261" t="str">
        <f t="shared" si="9"/>
        <v>EN EJECUCION</v>
      </c>
      <c r="V244" s="262">
        <f t="shared" si="8"/>
        <v>10278.719999999999</v>
      </c>
      <c r="W244" s="262"/>
      <c r="X244" s="262"/>
      <c r="Y244" s="1021">
        <f>SUBTOTAL(9,V244:V245)</f>
        <v>16342.72</v>
      </c>
      <c r="Z244" s="278"/>
      <c r="AA244" s="279" t="s">
        <v>417</v>
      </c>
      <c r="AB244" s="279" t="s">
        <v>178</v>
      </c>
      <c r="AC244" s="280" t="s">
        <v>179</v>
      </c>
      <c r="AD244" s="281">
        <v>2014</v>
      </c>
      <c r="AE244" s="267"/>
      <c r="AF244" s="267"/>
    </row>
    <row r="245" spans="1:32" s="268" customFormat="1" ht="50.1" customHeight="1" thickBot="1">
      <c r="A245" s="1050"/>
      <c r="B245" s="1051"/>
      <c r="C245" s="283" t="s">
        <v>182</v>
      </c>
      <c r="D245" s="1051"/>
      <c r="E245" s="378" t="s">
        <v>762</v>
      </c>
      <c r="F245" s="285" t="s">
        <v>415</v>
      </c>
      <c r="G245" s="286" t="s">
        <v>468</v>
      </c>
      <c r="H245" s="286" t="str">
        <f>VLOOKUP(G245,'[4]Pob. Ext, Parroquial'!$B$9:$C$117,2,0)</f>
        <v>SARAGURO</v>
      </c>
      <c r="I245" s="286" t="s">
        <v>173</v>
      </c>
      <c r="J245" s="286" t="s">
        <v>174</v>
      </c>
      <c r="K245" s="286"/>
      <c r="L245" s="286"/>
      <c r="M245" s="287">
        <f>IF(K245&gt;0,VLOOKUP(G245,'[4]Pob. Ext, Parroquial'!$B$8:$F$117,4,FALSE),0)</f>
        <v>0</v>
      </c>
      <c r="N245" s="288" t="s">
        <v>470</v>
      </c>
      <c r="O245" s="286" t="s">
        <v>418</v>
      </c>
      <c r="P245" s="286">
        <v>7.58</v>
      </c>
      <c r="Q245" s="286">
        <v>800</v>
      </c>
      <c r="R245" s="286"/>
      <c r="S245" s="289">
        <v>41699</v>
      </c>
      <c r="T245" s="289">
        <v>41759</v>
      </c>
      <c r="U245" s="289" t="str">
        <f t="shared" si="9"/>
        <v>EN EJECUCION</v>
      </c>
      <c r="V245" s="290">
        <f t="shared" si="8"/>
        <v>6064</v>
      </c>
      <c r="W245" s="290"/>
      <c r="X245" s="290"/>
      <c r="Y245" s="1023"/>
      <c r="Z245" s="278"/>
      <c r="AA245" s="279" t="s">
        <v>417</v>
      </c>
      <c r="AB245" s="279" t="s">
        <v>178</v>
      </c>
      <c r="AC245" s="280" t="s">
        <v>179</v>
      </c>
      <c r="AD245" s="281">
        <v>2014</v>
      </c>
      <c r="AE245" s="267"/>
      <c r="AF245" s="267"/>
    </row>
    <row r="246" spans="1:32" s="268" customFormat="1" ht="50.1" customHeight="1" thickTop="1" thickBot="1">
      <c r="A246" s="317"/>
      <c r="B246" s="299"/>
      <c r="C246" s="299" t="s">
        <v>182</v>
      </c>
      <c r="D246" s="299" t="s">
        <v>471</v>
      </c>
      <c r="E246" s="374" t="s">
        <v>471</v>
      </c>
      <c r="F246" s="301" t="s">
        <v>415</v>
      </c>
      <c r="G246" s="302" t="s">
        <v>430</v>
      </c>
      <c r="H246" s="302" t="str">
        <f>VLOOKUP(G246,'[4]Pob. Ext, Parroquial'!$B$9:$C$117,2,0)</f>
        <v>LOJA</v>
      </c>
      <c r="I246" s="302" t="s">
        <v>173</v>
      </c>
      <c r="J246" s="302" t="s">
        <v>174</v>
      </c>
      <c r="K246" s="302"/>
      <c r="L246" s="302"/>
      <c r="M246" s="303">
        <f>IF(K246&gt;0,VLOOKUP(G246,'[4]Pob. Ext, Parroquial'!$B$8:$F$117,4,FALSE),0)</f>
        <v>0</v>
      </c>
      <c r="N246" s="304" t="s">
        <v>469</v>
      </c>
      <c r="O246" s="302" t="s">
        <v>418</v>
      </c>
      <c r="P246" s="302">
        <v>1.03</v>
      </c>
      <c r="Q246" s="302">
        <v>14400</v>
      </c>
      <c r="R246" s="302"/>
      <c r="S246" s="305">
        <v>41699</v>
      </c>
      <c r="T246" s="305">
        <v>41759</v>
      </c>
      <c r="U246" s="305" t="str">
        <f t="shared" si="9"/>
        <v>EN EJECUCION</v>
      </c>
      <c r="V246" s="306">
        <f t="shared" si="8"/>
        <v>14832</v>
      </c>
      <c r="W246" s="306"/>
      <c r="X246" s="306"/>
      <c r="Y246" s="318">
        <f>V246+W246+X246</f>
        <v>14832</v>
      </c>
      <c r="Z246" s="278"/>
      <c r="AA246" s="279" t="s">
        <v>417</v>
      </c>
      <c r="AB246" s="279" t="s">
        <v>178</v>
      </c>
      <c r="AC246" s="280" t="s">
        <v>179</v>
      </c>
      <c r="AD246" s="281">
        <v>2014</v>
      </c>
      <c r="AE246" s="267"/>
      <c r="AF246" s="267"/>
    </row>
    <row r="247" spans="1:32" s="268" customFormat="1" ht="50.1" customHeight="1" thickTop="1">
      <c r="A247" s="1048" t="s">
        <v>763</v>
      </c>
      <c r="B247" s="1042" t="str">
        <f t="shared" si="10"/>
        <v>EN EJECUCION</v>
      </c>
      <c r="C247" s="254" t="s">
        <v>182</v>
      </c>
      <c r="D247" s="1042" t="s">
        <v>472</v>
      </c>
      <c r="E247" s="375" t="s">
        <v>472</v>
      </c>
      <c r="F247" s="256" t="s">
        <v>415</v>
      </c>
      <c r="G247" s="257" t="s">
        <v>430</v>
      </c>
      <c r="H247" s="257" t="str">
        <f>VLOOKUP(G247,'[4]Pob. Ext, Parroquial'!$B$9:$C$117,2,0)</f>
        <v>LOJA</v>
      </c>
      <c r="I247" s="257" t="s">
        <v>173</v>
      </c>
      <c r="J247" s="257" t="s">
        <v>174</v>
      </c>
      <c r="K247" s="257"/>
      <c r="L247" s="257"/>
      <c r="M247" s="258">
        <f>IF(K247&gt;0,VLOOKUP(G247,'[4]Pob. Ext, Parroquial'!$B$8:$F$117,4,FALSE),0)</f>
        <v>0</v>
      </c>
      <c r="N247" s="259" t="s">
        <v>469</v>
      </c>
      <c r="O247" s="257" t="s">
        <v>418</v>
      </c>
      <c r="P247" s="257">
        <v>1.03</v>
      </c>
      <c r="Q247" s="257">
        <v>5000</v>
      </c>
      <c r="R247" s="257"/>
      <c r="S247" s="261">
        <v>41699</v>
      </c>
      <c r="T247" s="261">
        <v>41759</v>
      </c>
      <c r="U247" s="261" t="str">
        <f t="shared" si="9"/>
        <v>EN EJECUCION</v>
      </c>
      <c r="V247" s="262">
        <f>ROUND(P247*Q247,2)</f>
        <v>5150</v>
      </c>
      <c r="W247" s="262"/>
      <c r="X247" s="262"/>
      <c r="Y247" s="1021">
        <f>SUBTOTAL(9,V247:V248)</f>
        <v>9243.2000000000007</v>
      </c>
      <c r="Z247" s="278"/>
      <c r="AA247" s="279" t="s">
        <v>417</v>
      </c>
      <c r="AB247" s="279" t="s">
        <v>178</v>
      </c>
      <c r="AC247" s="280" t="s">
        <v>179</v>
      </c>
      <c r="AD247" s="281">
        <v>2014</v>
      </c>
      <c r="AE247" s="267"/>
      <c r="AF247" s="267"/>
    </row>
    <row r="248" spans="1:32" s="268" customFormat="1" ht="50.1" customHeight="1" thickBot="1">
      <c r="A248" s="1050"/>
      <c r="B248" s="1051"/>
      <c r="C248" s="283" t="s">
        <v>182</v>
      </c>
      <c r="D248" s="1051"/>
      <c r="E248" s="378" t="s">
        <v>472</v>
      </c>
      <c r="F248" s="285" t="s">
        <v>415</v>
      </c>
      <c r="G248" s="286" t="s">
        <v>430</v>
      </c>
      <c r="H248" s="286" t="str">
        <f>VLOOKUP(G248,'[4]Pob. Ext, Parroquial'!$B$9:$C$117,2,0)</f>
        <v>LOJA</v>
      </c>
      <c r="I248" s="286" t="s">
        <v>173</v>
      </c>
      <c r="J248" s="286" t="s">
        <v>174</v>
      </c>
      <c r="K248" s="286"/>
      <c r="L248" s="286"/>
      <c r="M248" s="287">
        <f>IF(K248&gt;0,VLOOKUP(G248,'[4]Pob. Ext, Parroquial'!$B$8:$F$117,4,FALSE),0)</f>
        <v>0</v>
      </c>
      <c r="N248" s="288" t="s">
        <v>473</v>
      </c>
      <c r="O248" s="286" t="s">
        <v>418</v>
      </c>
      <c r="P248" s="286">
        <v>7.58</v>
      </c>
      <c r="Q248" s="286">
        <v>540</v>
      </c>
      <c r="R248" s="286"/>
      <c r="S248" s="289">
        <v>41730</v>
      </c>
      <c r="T248" s="289">
        <v>41759</v>
      </c>
      <c r="U248" s="289" t="str">
        <f t="shared" si="9"/>
        <v>EN EJECUCION</v>
      </c>
      <c r="V248" s="290">
        <f t="shared" si="8"/>
        <v>4093.2</v>
      </c>
      <c r="W248" s="290"/>
      <c r="X248" s="290"/>
      <c r="Y248" s="1023"/>
      <c r="Z248" s="278"/>
      <c r="AA248" s="279" t="s">
        <v>417</v>
      </c>
      <c r="AB248" s="279" t="s">
        <v>178</v>
      </c>
      <c r="AC248" s="280" t="s">
        <v>179</v>
      </c>
      <c r="AD248" s="281">
        <v>2014</v>
      </c>
      <c r="AE248" s="267"/>
      <c r="AF248" s="267"/>
    </row>
    <row r="249" spans="1:32" s="268" customFormat="1" ht="50.1" customHeight="1" thickTop="1" thickBot="1">
      <c r="A249" s="317" t="s">
        <v>764</v>
      </c>
      <c r="B249" s="299" t="str">
        <f t="shared" si="10"/>
        <v>EN EJECUCION</v>
      </c>
      <c r="C249" s="299" t="s">
        <v>182</v>
      </c>
      <c r="D249" s="299" t="s">
        <v>474</v>
      </c>
      <c r="E249" s="374" t="s">
        <v>474</v>
      </c>
      <c r="F249" s="301" t="s">
        <v>415</v>
      </c>
      <c r="G249" s="302" t="s">
        <v>430</v>
      </c>
      <c r="H249" s="302" t="str">
        <f>VLOOKUP(G249,'[4]Pob. Ext, Parroquial'!$B$9:$C$117,2,0)</f>
        <v>LOJA</v>
      </c>
      <c r="I249" s="302" t="s">
        <v>173</v>
      </c>
      <c r="J249" s="302" t="s">
        <v>174</v>
      </c>
      <c r="K249" s="302"/>
      <c r="L249" s="302"/>
      <c r="M249" s="303">
        <f>IF(K249&gt;0,VLOOKUP(G249,'[4]Pob. Ext, Parroquial'!$B$8:$F$117,4,FALSE),0)</f>
        <v>0</v>
      </c>
      <c r="N249" s="304" t="s">
        <v>469</v>
      </c>
      <c r="O249" s="302" t="s">
        <v>418</v>
      </c>
      <c r="P249" s="302">
        <v>1.03</v>
      </c>
      <c r="Q249" s="302">
        <v>864</v>
      </c>
      <c r="R249" s="302"/>
      <c r="S249" s="305">
        <v>41699</v>
      </c>
      <c r="T249" s="305">
        <v>41759</v>
      </c>
      <c r="U249" s="305" t="str">
        <f t="shared" si="9"/>
        <v>EN EJECUCION</v>
      </c>
      <c r="V249" s="306">
        <f t="shared" si="8"/>
        <v>889.92</v>
      </c>
      <c r="W249" s="306"/>
      <c r="X249" s="306"/>
      <c r="Y249" s="318">
        <f>V249+W249+X249</f>
        <v>889.92</v>
      </c>
      <c r="Z249" s="278"/>
      <c r="AA249" s="279" t="s">
        <v>417</v>
      </c>
      <c r="AB249" s="279" t="s">
        <v>178</v>
      </c>
      <c r="AC249" s="280" t="s">
        <v>179</v>
      </c>
      <c r="AD249" s="281">
        <v>2014</v>
      </c>
      <c r="AE249" s="267"/>
      <c r="AF249" s="267"/>
    </row>
    <row r="250" spans="1:32" s="268" customFormat="1" ht="50.1" customHeight="1" thickTop="1">
      <c r="A250" s="1048" t="s">
        <v>765</v>
      </c>
      <c r="B250" s="1042" t="str">
        <f t="shared" si="10"/>
        <v>EN EJECUCION</v>
      </c>
      <c r="C250" s="254" t="s">
        <v>182</v>
      </c>
      <c r="D250" s="1042" t="s">
        <v>475</v>
      </c>
      <c r="E250" s="255" t="s">
        <v>475</v>
      </c>
      <c r="F250" s="256" t="s">
        <v>415</v>
      </c>
      <c r="G250" s="257" t="s">
        <v>430</v>
      </c>
      <c r="H250" s="257" t="str">
        <f>VLOOKUP(G250,'[4]Pob. Ext, Parroquial'!$B$9:$C$117,2,0)</f>
        <v>LOJA</v>
      </c>
      <c r="I250" s="257" t="s">
        <v>173</v>
      </c>
      <c r="J250" s="257" t="s">
        <v>174</v>
      </c>
      <c r="K250" s="257">
        <v>5.8</v>
      </c>
      <c r="L250" s="257">
        <f>+ROUND(Q250/6000,2)</f>
        <v>8.8000000000000007</v>
      </c>
      <c r="M250" s="258">
        <f>IF(K250&gt;0,VLOOKUP(G250,'[4]Pob. Ext, Parroquial'!$B$8:$F$117,4,FALSE),0)</f>
        <v>20662</v>
      </c>
      <c r="N250" s="259" t="s">
        <v>282</v>
      </c>
      <c r="O250" s="257" t="s">
        <v>224</v>
      </c>
      <c r="P250" s="257">
        <v>0.25</v>
      </c>
      <c r="Q250" s="257">
        <v>52800</v>
      </c>
      <c r="R250" s="257"/>
      <c r="S250" s="261">
        <v>41699</v>
      </c>
      <c r="T250" s="261">
        <v>41759</v>
      </c>
      <c r="U250" s="261" t="str">
        <f t="shared" si="9"/>
        <v>EN EJECUCION</v>
      </c>
      <c r="V250" s="262">
        <f t="shared" si="8"/>
        <v>13200</v>
      </c>
      <c r="W250" s="262"/>
      <c r="X250" s="262"/>
      <c r="Y250" s="1021">
        <f>SUM(V250:V253)</f>
        <v>39600.720000000001</v>
      </c>
      <c r="Z250" s="278"/>
      <c r="AA250" s="279" t="s">
        <v>417</v>
      </c>
      <c r="AB250" s="279" t="s">
        <v>178</v>
      </c>
      <c r="AC250" s="280" t="s">
        <v>179</v>
      </c>
      <c r="AD250" s="281">
        <v>2014</v>
      </c>
      <c r="AE250" s="267"/>
      <c r="AF250" s="267"/>
    </row>
    <row r="251" spans="1:32" s="268" customFormat="1" ht="50.1" customHeight="1">
      <c r="A251" s="1049"/>
      <c r="B251" s="1043"/>
      <c r="C251" s="270" t="s">
        <v>169</v>
      </c>
      <c r="D251" s="1043"/>
      <c r="E251" s="271" t="s">
        <v>475</v>
      </c>
      <c r="F251" s="272" t="s">
        <v>415</v>
      </c>
      <c r="G251" s="273" t="s">
        <v>430</v>
      </c>
      <c r="H251" s="273" t="str">
        <f>VLOOKUP(G251,'[4]Pob. Ext, Parroquial'!$B$9:$C$117,2,0)</f>
        <v>LOJA</v>
      </c>
      <c r="I251" s="273" t="s">
        <v>173</v>
      </c>
      <c r="J251" s="273" t="s">
        <v>174</v>
      </c>
      <c r="K251" s="273"/>
      <c r="L251" s="273">
        <f>+ROUND(Q251/6000/0.2,2)</f>
        <v>3</v>
      </c>
      <c r="M251" s="274">
        <f>IF(K251&gt;0,VLOOKUP(G251,'[4]Pob. Ext, Parroquial'!$B$8:$F$117,4,FALSE),0)</f>
        <v>0</v>
      </c>
      <c r="N251" s="275" t="s">
        <v>229</v>
      </c>
      <c r="O251" s="273" t="s">
        <v>418</v>
      </c>
      <c r="P251" s="273">
        <v>5.2</v>
      </c>
      <c r="Q251" s="273">
        <v>3600</v>
      </c>
      <c r="R251" s="273"/>
      <c r="S251" s="276">
        <v>41699</v>
      </c>
      <c r="T251" s="276">
        <v>41759</v>
      </c>
      <c r="U251" s="276" t="str">
        <f t="shared" si="9"/>
        <v>EN EJECUCION</v>
      </c>
      <c r="V251" s="277">
        <f t="shared" si="8"/>
        <v>18720</v>
      </c>
      <c r="W251" s="277"/>
      <c r="X251" s="277"/>
      <c r="Y251" s="1022"/>
      <c r="Z251" s="278"/>
      <c r="AA251" s="279" t="s">
        <v>417</v>
      </c>
      <c r="AB251" s="279" t="s">
        <v>178</v>
      </c>
      <c r="AC251" s="280" t="s">
        <v>179</v>
      </c>
      <c r="AD251" s="281">
        <v>2014</v>
      </c>
      <c r="AE251" s="267"/>
      <c r="AF251" s="267"/>
    </row>
    <row r="252" spans="1:32" s="268" customFormat="1" ht="50.1" customHeight="1">
      <c r="A252" s="1049"/>
      <c r="B252" s="1043"/>
      <c r="C252" s="270" t="s">
        <v>182</v>
      </c>
      <c r="D252" s="1043"/>
      <c r="E252" s="271" t="s">
        <v>475</v>
      </c>
      <c r="F252" s="272" t="s">
        <v>415</v>
      </c>
      <c r="G252" s="273" t="s">
        <v>430</v>
      </c>
      <c r="H252" s="273" t="str">
        <f>VLOOKUP(G252,'[4]Pob. Ext, Parroquial'!$B$9:$C$117,2,0)</f>
        <v>LOJA</v>
      </c>
      <c r="I252" s="273" t="s">
        <v>173</v>
      </c>
      <c r="J252" s="273" t="s">
        <v>174</v>
      </c>
      <c r="K252" s="273"/>
      <c r="L252" s="273"/>
      <c r="M252" s="274">
        <f>IF(K252&gt;0,VLOOKUP(G252,'[4]Pob. Ext, Parroquial'!$B$8:$F$117,4,FALSE),0)</f>
        <v>0</v>
      </c>
      <c r="N252" s="275" t="s">
        <v>766</v>
      </c>
      <c r="O252" s="273" t="s">
        <v>418</v>
      </c>
      <c r="P252" s="273">
        <v>7.58</v>
      </c>
      <c r="Q252" s="273">
        <v>588</v>
      </c>
      <c r="R252" s="273"/>
      <c r="S252" s="276">
        <v>41699</v>
      </c>
      <c r="T252" s="276">
        <v>41759</v>
      </c>
      <c r="U252" s="276" t="str">
        <f t="shared" si="9"/>
        <v>EN EJECUCION</v>
      </c>
      <c r="V252" s="277">
        <f t="shared" si="8"/>
        <v>4457.04</v>
      </c>
      <c r="W252" s="277"/>
      <c r="X252" s="277"/>
      <c r="Y252" s="1022"/>
      <c r="Z252" s="278"/>
      <c r="AA252" s="279" t="s">
        <v>417</v>
      </c>
      <c r="AB252" s="279" t="s">
        <v>178</v>
      </c>
      <c r="AC252" s="280" t="s">
        <v>179</v>
      </c>
      <c r="AD252" s="281">
        <v>2014</v>
      </c>
      <c r="AE252" s="267"/>
      <c r="AF252" s="267"/>
    </row>
    <row r="253" spans="1:32" s="268" customFormat="1" ht="50.1" customHeight="1" thickBot="1">
      <c r="A253" s="1050"/>
      <c r="B253" s="1051"/>
      <c r="C253" s="283" t="s">
        <v>169</v>
      </c>
      <c r="D253" s="1051"/>
      <c r="E253" s="284" t="s">
        <v>475</v>
      </c>
      <c r="F253" s="285" t="s">
        <v>415</v>
      </c>
      <c r="G253" s="286" t="s">
        <v>430</v>
      </c>
      <c r="H253" s="286" t="str">
        <f>VLOOKUP(G253,'[4]Pob. Ext, Parroquial'!$B$9:$C$117,2,0)</f>
        <v>LOJA</v>
      </c>
      <c r="I253" s="286" t="s">
        <v>173</v>
      </c>
      <c r="J253" s="286" t="s">
        <v>174</v>
      </c>
      <c r="K253" s="286"/>
      <c r="L253" s="286"/>
      <c r="M253" s="287">
        <f>IF(K253&gt;0,VLOOKUP(G253,'[4]Pob. Ext, Parroquial'!$B$8:$F$117,4,FALSE),0)</f>
        <v>0</v>
      </c>
      <c r="N253" s="288" t="s">
        <v>439</v>
      </c>
      <c r="O253" s="286" t="s">
        <v>420</v>
      </c>
      <c r="P253" s="286">
        <v>0.24</v>
      </c>
      <c r="Q253" s="286">
        <v>13432</v>
      </c>
      <c r="R253" s="286"/>
      <c r="S253" s="289">
        <v>41699</v>
      </c>
      <c r="T253" s="289">
        <v>41759</v>
      </c>
      <c r="U253" s="289" t="str">
        <f t="shared" si="9"/>
        <v>EN EJECUCION</v>
      </c>
      <c r="V253" s="290">
        <f t="shared" si="8"/>
        <v>3223.68</v>
      </c>
      <c r="W253" s="290"/>
      <c r="X253" s="290"/>
      <c r="Y253" s="1023"/>
      <c r="Z253" s="278"/>
      <c r="AA253" s="279" t="s">
        <v>417</v>
      </c>
      <c r="AB253" s="279" t="s">
        <v>178</v>
      </c>
      <c r="AC253" s="280" t="s">
        <v>179</v>
      </c>
      <c r="AD253" s="281">
        <v>2014</v>
      </c>
      <c r="AE253" s="267"/>
      <c r="AF253" s="267"/>
    </row>
    <row r="254" spans="1:32" s="268" customFormat="1" ht="50.1" customHeight="1" thickTop="1">
      <c r="A254" s="1048" t="s">
        <v>767</v>
      </c>
      <c r="B254" s="1042" t="str">
        <f>+U255</f>
        <v>EN EJECUCION</v>
      </c>
      <c r="C254" s="254" t="s">
        <v>182</v>
      </c>
      <c r="D254" s="1042" t="s">
        <v>476</v>
      </c>
      <c r="E254" s="375" t="s">
        <v>476</v>
      </c>
      <c r="F254" s="256" t="s">
        <v>415</v>
      </c>
      <c r="G254" s="257" t="s">
        <v>477</v>
      </c>
      <c r="H254" s="257" t="str">
        <f>VLOOKUP(G254,'[4]Pob. Ext, Parroquial'!$B$9:$C$117,2,0)</f>
        <v>LOJA</v>
      </c>
      <c r="I254" s="257" t="s">
        <v>173</v>
      </c>
      <c r="J254" s="257" t="s">
        <v>174</v>
      </c>
      <c r="K254" s="257">
        <v>10.63</v>
      </c>
      <c r="L254" s="257">
        <f>ROUND(Q254/6000,2)</f>
        <v>26</v>
      </c>
      <c r="M254" s="258">
        <f>IF(K254&gt;0,VLOOKUP(G254,'[4]Pob. Ext, Parroquial'!$B$8:$F$117,4,FALSE),0)</f>
        <v>2613</v>
      </c>
      <c r="N254" s="259" t="s">
        <v>282</v>
      </c>
      <c r="O254" s="257" t="s">
        <v>224</v>
      </c>
      <c r="P254" s="257">
        <v>0.25</v>
      </c>
      <c r="Q254" s="257">
        <v>156010</v>
      </c>
      <c r="R254" s="257"/>
      <c r="S254" s="261">
        <v>41699</v>
      </c>
      <c r="T254" s="261">
        <v>41759</v>
      </c>
      <c r="U254" s="261" t="str">
        <f t="shared" si="9"/>
        <v>EN EJECUCION</v>
      </c>
      <c r="V254" s="262">
        <f t="shared" si="8"/>
        <v>39002.5</v>
      </c>
      <c r="W254" s="262"/>
      <c r="X254" s="262"/>
      <c r="Y254" s="1021">
        <f>SUM(V254:V258)</f>
        <v>98924.97</v>
      </c>
      <c r="Z254" s="278"/>
      <c r="AA254" s="279" t="s">
        <v>417</v>
      </c>
      <c r="AB254" s="279" t="s">
        <v>178</v>
      </c>
      <c r="AC254" s="280" t="s">
        <v>179</v>
      </c>
      <c r="AD254" s="281">
        <v>2014</v>
      </c>
      <c r="AE254" s="267"/>
      <c r="AF254" s="267"/>
    </row>
    <row r="255" spans="1:32" s="268" customFormat="1" ht="50.1" customHeight="1">
      <c r="A255" s="1049"/>
      <c r="B255" s="1043"/>
      <c r="C255" s="270" t="s">
        <v>169</v>
      </c>
      <c r="D255" s="1043"/>
      <c r="E255" s="376" t="s">
        <v>476</v>
      </c>
      <c r="F255" s="272" t="s">
        <v>415</v>
      </c>
      <c r="G255" s="273" t="s">
        <v>478</v>
      </c>
      <c r="H255" s="273" t="str">
        <f>VLOOKUP(G255,'[4]Pob. Ext, Parroquial'!$B$9:$C$117,2,0)</f>
        <v>LOJA</v>
      </c>
      <c r="I255" s="273" t="s">
        <v>173</v>
      </c>
      <c r="J255" s="273" t="s">
        <v>174</v>
      </c>
      <c r="K255" s="273">
        <v>10.63</v>
      </c>
      <c r="L255" s="273">
        <f>+ROUND(Q255/6000/0.2,2)</f>
        <v>7.04</v>
      </c>
      <c r="M255" s="274">
        <f>IF(K255&gt;0,VLOOKUP(G255,'[4]Pob. Ext, Parroquial'!$B$8:$F$117,4,FALSE),0)</f>
        <v>696</v>
      </c>
      <c r="N255" s="275" t="s">
        <v>479</v>
      </c>
      <c r="O255" s="273" t="s">
        <v>418</v>
      </c>
      <c r="P255" s="273">
        <v>5.2</v>
      </c>
      <c r="Q255" s="273">
        <v>8442</v>
      </c>
      <c r="R255" s="273"/>
      <c r="S255" s="276">
        <v>41699</v>
      </c>
      <c r="T255" s="276">
        <v>41759</v>
      </c>
      <c r="U255" s="276" t="str">
        <f t="shared" si="9"/>
        <v>EN EJECUCION</v>
      </c>
      <c r="V255" s="277">
        <f t="shared" si="8"/>
        <v>43898.400000000001</v>
      </c>
      <c r="W255" s="277"/>
      <c r="X255" s="277"/>
      <c r="Y255" s="1022"/>
      <c r="Z255" s="278"/>
      <c r="AA255" s="279" t="s">
        <v>417</v>
      </c>
      <c r="AB255" s="279" t="s">
        <v>178</v>
      </c>
      <c r="AC255" s="280" t="s">
        <v>179</v>
      </c>
      <c r="AD255" s="281">
        <v>2014</v>
      </c>
      <c r="AE255" s="267"/>
      <c r="AF255" s="267"/>
    </row>
    <row r="256" spans="1:32" s="268" customFormat="1" ht="50.1" customHeight="1">
      <c r="A256" s="1049"/>
      <c r="B256" s="1043"/>
      <c r="C256" s="270" t="s">
        <v>169</v>
      </c>
      <c r="D256" s="1043"/>
      <c r="E256" s="376" t="s">
        <v>476</v>
      </c>
      <c r="F256" s="272" t="s">
        <v>415</v>
      </c>
      <c r="G256" s="273" t="s">
        <v>480</v>
      </c>
      <c r="H256" s="273" t="str">
        <f>VLOOKUP(G256,'[4]Pob. Ext, Parroquial'!$B$9:$C$117,2,0)</f>
        <v>LOJA</v>
      </c>
      <c r="I256" s="273" t="s">
        <v>173</v>
      </c>
      <c r="J256" s="273" t="s">
        <v>174</v>
      </c>
      <c r="K256" s="273">
        <v>10.63</v>
      </c>
      <c r="L256" s="273"/>
      <c r="M256" s="274">
        <f>IF(K256&gt;0,VLOOKUP(G256,'[4]Pob. Ext, Parroquial'!$B$8:$F$117,4,FALSE),0)</f>
        <v>1446</v>
      </c>
      <c r="N256" s="275" t="s">
        <v>439</v>
      </c>
      <c r="O256" s="273" t="s">
        <v>420</v>
      </c>
      <c r="P256" s="273">
        <v>0.24</v>
      </c>
      <c r="Q256" s="273">
        <v>19018</v>
      </c>
      <c r="R256" s="273"/>
      <c r="S256" s="276">
        <v>41699</v>
      </c>
      <c r="T256" s="276">
        <v>41759</v>
      </c>
      <c r="U256" s="276" t="str">
        <f t="shared" si="9"/>
        <v>EN EJECUCION</v>
      </c>
      <c r="V256" s="277">
        <f>ROUND(P256*Q256,2)</f>
        <v>4564.32</v>
      </c>
      <c r="W256" s="277"/>
      <c r="X256" s="277"/>
      <c r="Y256" s="1022"/>
      <c r="Z256" s="278"/>
      <c r="AA256" s="279" t="s">
        <v>417</v>
      </c>
      <c r="AB256" s="279" t="s">
        <v>178</v>
      </c>
      <c r="AC256" s="280" t="s">
        <v>179</v>
      </c>
      <c r="AD256" s="281">
        <v>2014</v>
      </c>
      <c r="AE256" s="267"/>
      <c r="AF256" s="267"/>
    </row>
    <row r="257" spans="1:40" s="268" customFormat="1" ht="50.1" customHeight="1">
      <c r="A257" s="1049"/>
      <c r="B257" s="1043"/>
      <c r="C257" s="270" t="s">
        <v>182</v>
      </c>
      <c r="D257" s="1043"/>
      <c r="E257" s="376" t="s">
        <v>476</v>
      </c>
      <c r="F257" s="272" t="s">
        <v>415</v>
      </c>
      <c r="G257" s="273" t="s">
        <v>480</v>
      </c>
      <c r="H257" s="273" t="str">
        <f>VLOOKUP(G257,'[4]Pob. Ext, Parroquial'!$B$9:$C$117,2,0)</f>
        <v>LOJA</v>
      </c>
      <c r="I257" s="273" t="s">
        <v>173</v>
      </c>
      <c r="J257" s="273" t="s">
        <v>174</v>
      </c>
      <c r="K257" s="273"/>
      <c r="L257" s="273"/>
      <c r="M257" s="274"/>
      <c r="N257" s="275" t="s">
        <v>470</v>
      </c>
      <c r="O257" s="273" t="s">
        <v>418</v>
      </c>
      <c r="P257" s="273">
        <v>7.58</v>
      </c>
      <c r="Q257" s="273">
        <v>400</v>
      </c>
      <c r="R257" s="273"/>
      <c r="S257" s="276">
        <v>41730</v>
      </c>
      <c r="T257" s="276">
        <v>41759</v>
      </c>
      <c r="U257" s="276" t="str">
        <f t="shared" si="9"/>
        <v>EN EJECUCION</v>
      </c>
      <c r="V257" s="277">
        <f>ROUND(P257*Q257,2)</f>
        <v>3032</v>
      </c>
      <c r="W257" s="277"/>
      <c r="X257" s="277"/>
      <c r="Y257" s="1022"/>
      <c r="Z257" s="278"/>
      <c r="AA257" s="279" t="s">
        <v>417</v>
      </c>
      <c r="AB257" s="279" t="s">
        <v>178</v>
      </c>
      <c r="AC257" s="280" t="s">
        <v>179</v>
      </c>
      <c r="AD257" s="281">
        <v>2014</v>
      </c>
      <c r="AE257" s="267"/>
      <c r="AF257" s="267"/>
    </row>
    <row r="258" spans="1:40" s="268" customFormat="1" ht="50.1" customHeight="1" thickBot="1">
      <c r="A258" s="1050"/>
      <c r="B258" s="1051"/>
      <c r="C258" s="283" t="s">
        <v>353</v>
      </c>
      <c r="D258" s="1051"/>
      <c r="E258" s="378" t="s">
        <v>476</v>
      </c>
      <c r="F258" s="285" t="s">
        <v>415</v>
      </c>
      <c r="G258" s="286" t="s">
        <v>480</v>
      </c>
      <c r="H258" s="286" t="str">
        <f>VLOOKUP(G258,'[4]Pob. Ext, Parroquial'!$B$9:$C$117,2,0)</f>
        <v>LOJA</v>
      </c>
      <c r="I258" s="286" t="s">
        <v>173</v>
      </c>
      <c r="J258" s="286" t="s">
        <v>174</v>
      </c>
      <c r="K258" s="286"/>
      <c r="L258" s="286"/>
      <c r="M258" s="287"/>
      <c r="N258" s="288" t="s">
        <v>481</v>
      </c>
      <c r="O258" s="286" t="s">
        <v>482</v>
      </c>
      <c r="P258" s="286">
        <v>561.85</v>
      </c>
      <c r="Q258" s="286">
        <v>15</v>
      </c>
      <c r="R258" s="286"/>
      <c r="S258" s="289">
        <v>41730</v>
      </c>
      <c r="T258" s="289">
        <v>41759</v>
      </c>
      <c r="U258" s="289" t="str">
        <f t="shared" si="9"/>
        <v>EN EJECUCION</v>
      </c>
      <c r="V258" s="290">
        <f t="shared" si="8"/>
        <v>8427.75</v>
      </c>
      <c r="W258" s="290"/>
      <c r="X258" s="290"/>
      <c r="Y258" s="1023"/>
      <c r="Z258" s="278"/>
      <c r="AA258" s="279" t="s">
        <v>417</v>
      </c>
      <c r="AB258" s="279" t="s">
        <v>178</v>
      </c>
      <c r="AC258" s="280" t="s">
        <v>179</v>
      </c>
      <c r="AD258" s="281">
        <v>2014</v>
      </c>
      <c r="AE258" s="267"/>
      <c r="AF258" s="267"/>
    </row>
    <row r="259" spans="1:40" s="268" customFormat="1" ht="50.1" customHeight="1" thickTop="1">
      <c r="A259" s="1048" t="s">
        <v>768</v>
      </c>
      <c r="B259" s="1042" t="str">
        <f>+U259</f>
        <v>EN EJECUCION</v>
      </c>
      <c r="C259" s="254" t="s">
        <v>169</v>
      </c>
      <c r="D259" s="1042" t="s">
        <v>483</v>
      </c>
      <c r="E259" s="375" t="s">
        <v>483</v>
      </c>
      <c r="F259" s="256" t="s">
        <v>415</v>
      </c>
      <c r="G259" s="257" t="s">
        <v>484</v>
      </c>
      <c r="H259" s="257" t="str">
        <f>VLOOKUP(G259,'[4]Pob. Ext, Parroquial'!$B$9:$C$117,2,0)</f>
        <v>LOJA</v>
      </c>
      <c r="I259" s="257" t="s">
        <v>173</v>
      </c>
      <c r="J259" s="257" t="s">
        <v>174</v>
      </c>
      <c r="K259" s="257">
        <v>7.5</v>
      </c>
      <c r="L259" s="257"/>
      <c r="M259" s="258">
        <f>IF(K259&gt;0,VLOOKUP(G259,'[4]Pob. Ext, Parroquial'!$B$8:$F$117,4,FALSE),0)</f>
        <v>589</v>
      </c>
      <c r="N259" s="259" t="s">
        <v>485</v>
      </c>
      <c r="O259" s="257" t="s">
        <v>418</v>
      </c>
      <c r="P259" s="257">
        <v>36.880000000000003</v>
      </c>
      <c r="Q259" s="257">
        <v>700</v>
      </c>
      <c r="R259" s="257"/>
      <c r="S259" s="261">
        <v>41730</v>
      </c>
      <c r="T259" s="261">
        <v>41759</v>
      </c>
      <c r="U259" s="261" t="str">
        <f t="shared" si="9"/>
        <v>EN EJECUCION</v>
      </c>
      <c r="V259" s="262">
        <f t="shared" si="8"/>
        <v>25816</v>
      </c>
      <c r="W259" s="262"/>
      <c r="X259" s="262"/>
      <c r="Y259" s="1021">
        <f>SUM(V259:V261)</f>
        <v>61312</v>
      </c>
      <c r="Z259" s="278"/>
      <c r="AA259" s="279" t="s">
        <v>417</v>
      </c>
      <c r="AB259" s="279" t="s">
        <v>178</v>
      </c>
      <c r="AC259" s="280" t="s">
        <v>179</v>
      </c>
      <c r="AD259" s="281">
        <v>2014</v>
      </c>
      <c r="AE259" s="267"/>
      <c r="AF259" s="267"/>
    </row>
    <row r="260" spans="1:40" s="268" customFormat="1" ht="50.1" customHeight="1">
      <c r="A260" s="1049"/>
      <c r="B260" s="1043"/>
      <c r="C260" s="270" t="s">
        <v>169</v>
      </c>
      <c r="D260" s="1043"/>
      <c r="E260" s="376" t="s">
        <v>483</v>
      </c>
      <c r="F260" s="272" t="s">
        <v>415</v>
      </c>
      <c r="G260" s="273" t="s">
        <v>484</v>
      </c>
      <c r="H260" s="273" t="str">
        <f>VLOOKUP(G260,'[4]Pob. Ext, Parroquial'!$B$9:$C$117,2,0)</f>
        <v>LOJA</v>
      </c>
      <c r="I260" s="273" t="s">
        <v>173</v>
      </c>
      <c r="J260" s="273" t="s">
        <v>174</v>
      </c>
      <c r="K260" s="273"/>
      <c r="L260" s="273"/>
      <c r="M260" s="274">
        <f>IF(K260&gt;0,VLOOKUP(G260,'[4]Pob. Ext, Parroquial'!$B$8:$F$117,4,FALSE),0)</f>
        <v>0</v>
      </c>
      <c r="N260" s="275" t="s">
        <v>470</v>
      </c>
      <c r="O260" s="273" t="s">
        <v>418</v>
      </c>
      <c r="P260" s="273">
        <v>7.58</v>
      </c>
      <c r="Q260" s="273">
        <v>3200</v>
      </c>
      <c r="R260" s="273"/>
      <c r="S260" s="276">
        <v>41730</v>
      </c>
      <c r="T260" s="276">
        <v>41759</v>
      </c>
      <c r="U260" s="276" t="str">
        <f t="shared" si="9"/>
        <v>EN EJECUCION</v>
      </c>
      <c r="V260" s="277">
        <f>ROUND(P260*Q260,2)</f>
        <v>24256</v>
      </c>
      <c r="W260" s="277"/>
      <c r="X260" s="277"/>
      <c r="Y260" s="1022"/>
      <c r="Z260" s="278"/>
      <c r="AA260" s="279" t="s">
        <v>417</v>
      </c>
      <c r="AB260" s="279" t="s">
        <v>178</v>
      </c>
      <c r="AC260" s="280" t="s">
        <v>179</v>
      </c>
      <c r="AD260" s="281">
        <v>2014</v>
      </c>
      <c r="AE260" s="267"/>
      <c r="AF260" s="267"/>
    </row>
    <row r="261" spans="1:40" s="268" customFormat="1" ht="50.1" customHeight="1" thickBot="1">
      <c r="A261" s="1050"/>
      <c r="B261" s="1051"/>
      <c r="C261" s="283" t="s">
        <v>182</v>
      </c>
      <c r="D261" s="1051"/>
      <c r="E261" s="378" t="s">
        <v>483</v>
      </c>
      <c r="F261" s="285" t="s">
        <v>415</v>
      </c>
      <c r="G261" s="286" t="s">
        <v>484</v>
      </c>
      <c r="H261" s="286" t="str">
        <f>VLOOKUP(G261,'[4]Pob. Ext, Parroquial'!$B$9:$C$117,2,0)</f>
        <v>LOJA</v>
      </c>
      <c r="I261" s="286" t="s">
        <v>173</v>
      </c>
      <c r="J261" s="286" t="s">
        <v>174</v>
      </c>
      <c r="K261" s="286"/>
      <c r="L261" s="286"/>
      <c r="M261" s="287">
        <f>IF(K261&gt;0,VLOOKUP(G261,'[4]Pob. Ext, Parroquial'!$B$8:$F$117,4,FALSE),0)</f>
        <v>0</v>
      </c>
      <c r="N261" s="288" t="s">
        <v>486</v>
      </c>
      <c r="O261" s="286" t="s">
        <v>176</v>
      </c>
      <c r="P261" s="286">
        <v>2.81</v>
      </c>
      <c r="Q261" s="286">
        <v>4000</v>
      </c>
      <c r="R261" s="286"/>
      <c r="S261" s="289">
        <v>41730</v>
      </c>
      <c r="T261" s="289">
        <v>41759</v>
      </c>
      <c r="U261" s="289" t="str">
        <f t="shared" si="9"/>
        <v>EN EJECUCION</v>
      </c>
      <c r="V261" s="290">
        <f>ROUND(P261*Q261,2)</f>
        <v>11240</v>
      </c>
      <c r="W261" s="290"/>
      <c r="X261" s="290"/>
      <c r="Y261" s="1023"/>
      <c r="Z261" s="278"/>
      <c r="AA261" s="279" t="s">
        <v>417</v>
      </c>
      <c r="AB261" s="279" t="s">
        <v>178</v>
      </c>
      <c r="AC261" s="280" t="s">
        <v>179</v>
      </c>
      <c r="AD261" s="281">
        <v>2014</v>
      </c>
      <c r="AE261" s="267"/>
      <c r="AF261" s="267"/>
    </row>
    <row r="262" spans="1:40" s="268" customFormat="1" ht="50.1" customHeight="1" thickTop="1" thickBot="1">
      <c r="A262" s="317" t="s">
        <v>769</v>
      </c>
      <c r="B262" s="299" t="str">
        <f>+U262</f>
        <v>EN EJECUCION</v>
      </c>
      <c r="C262" s="299" t="s">
        <v>182</v>
      </c>
      <c r="D262" s="299" t="s">
        <v>497</v>
      </c>
      <c r="E262" s="374" t="s">
        <v>497</v>
      </c>
      <c r="F262" s="301" t="s">
        <v>415</v>
      </c>
      <c r="G262" s="355" t="s">
        <v>498</v>
      </c>
      <c r="H262" s="302" t="str">
        <f>VLOOKUP(G262,'[4]Pob. Ext, Parroquial'!$B$9:$C$117,2,0)</f>
        <v>LOJA</v>
      </c>
      <c r="I262" s="302" t="s">
        <v>173</v>
      </c>
      <c r="J262" s="302" t="s">
        <v>174</v>
      </c>
      <c r="K262" s="302">
        <v>17</v>
      </c>
      <c r="L262" s="302"/>
      <c r="M262" s="303">
        <f>IF(K262&gt;0,VLOOKUP(G262,'[4]Pob. Ext, Parroquial'!$B$8:$F$117,4,FALSE),0)</f>
        <v>539</v>
      </c>
      <c r="N262" s="304" t="s">
        <v>469</v>
      </c>
      <c r="O262" s="302" t="s">
        <v>176</v>
      </c>
      <c r="P262" s="302">
        <v>1.03</v>
      </c>
      <c r="Q262" s="302">
        <v>336</v>
      </c>
      <c r="R262" s="302"/>
      <c r="S262" s="305">
        <v>41730</v>
      </c>
      <c r="T262" s="305">
        <v>41759</v>
      </c>
      <c r="U262" s="305" t="str">
        <f t="shared" si="9"/>
        <v>EN EJECUCION</v>
      </c>
      <c r="V262" s="306">
        <f>ROUND(P262*Q262,2)</f>
        <v>346.08</v>
      </c>
      <c r="W262" s="306"/>
      <c r="X262" s="306"/>
      <c r="Y262" s="318">
        <f>V262+W262+X262</f>
        <v>346.08</v>
      </c>
      <c r="Z262" s="278"/>
      <c r="AA262" s="279" t="s">
        <v>417</v>
      </c>
      <c r="AB262" s="279" t="s">
        <v>178</v>
      </c>
      <c r="AC262" s="280" t="s">
        <v>179</v>
      </c>
      <c r="AD262" s="281">
        <v>2014</v>
      </c>
      <c r="AE262" s="267"/>
      <c r="AF262" s="267"/>
    </row>
    <row r="263" spans="1:40" s="268" customFormat="1" ht="50.1" customHeight="1" thickTop="1" thickBot="1">
      <c r="A263" s="317" t="s">
        <v>770</v>
      </c>
      <c r="B263" s="299" t="str">
        <f>+U263</f>
        <v>EN EJECUCION</v>
      </c>
      <c r="C263" s="299" t="s">
        <v>182</v>
      </c>
      <c r="D263" s="299" t="s">
        <v>499</v>
      </c>
      <c r="E263" s="374" t="s">
        <v>499</v>
      </c>
      <c r="F263" s="301" t="s">
        <v>415</v>
      </c>
      <c r="G263" s="302" t="s">
        <v>430</v>
      </c>
      <c r="H263" s="302" t="str">
        <f>VLOOKUP(G263,'[4]Pob. Ext, Parroquial'!$B$9:$C$117,2,0)</f>
        <v>LOJA</v>
      </c>
      <c r="I263" s="302" t="s">
        <v>173</v>
      </c>
      <c r="J263" s="302" t="s">
        <v>174</v>
      </c>
      <c r="K263" s="302"/>
      <c r="L263" s="302"/>
      <c r="M263" s="303">
        <f>IF(K263&gt;0,VLOOKUP(G263,'[4]Pob. Ext, Parroquial'!$B$8:$F$117,4,FALSE),0)</f>
        <v>0</v>
      </c>
      <c r="N263" s="304" t="s">
        <v>486</v>
      </c>
      <c r="O263" s="302" t="s">
        <v>176</v>
      </c>
      <c r="P263" s="302">
        <v>1.03</v>
      </c>
      <c r="Q263" s="302">
        <v>246</v>
      </c>
      <c r="R263" s="302"/>
      <c r="S263" s="305">
        <v>41730</v>
      </c>
      <c r="T263" s="305">
        <v>41759</v>
      </c>
      <c r="U263" s="305" t="str">
        <f t="shared" si="9"/>
        <v>EN EJECUCION</v>
      </c>
      <c r="V263" s="306">
        <f>ROUND(P263*Q263,2)</f>
        <v>253.38</v>
      </c>
      <c r="W263" s="306"/>
      <c r="X263" s="306"/>
      <c r="Y263" s="318">
        <f>V263+W263+X263</f>
        <v>253.38</v>
      </c>
      <c r="Z263" s="278"/>
      <c r="AA263" s="279" t="s">
        <v>417</v>
      </c>
      <c r="AB263" s="279" t="s">
        <v>178</v>
      </c>
      <c r="AC263" s="280" t="s">
        <v>179</v>
      </c>
      <c r="AD263" s="281">
        <v>2014</v>
      </c>
      <c r="AE263" s="267"/>
      <c r="AF263" s="267"/>
    </row>
    <row r="264" spans="1:40" s="268" customFormat="1" ht="50.1" customHeight="1" thickTop="1">
      <c r="A264" s="1048" t="s">
        <v>771</v>
      </c>
      <c r="B264" s="1042" t="str">
        <f>+U269</f>
        <v>EN EJECUCION</v>
      </c>
      <c r="C264" s="254" t="s">
        <v>169</v>
      </c>
      <c r="D264" s="1042" t="s">
        <v>500</v>
      </c>
      <c r="E264" s="380" t="s">
        <v>500</v>
      </c>
      <c r="F264" s="256" t="s">
        <v>501</v>
      </c>
      <c r="G264" s="257" t="s">
        <v>468</v>
      </c>
      <c r="H264" s="257" t="str">
        <f>VLOOKUP(G264,'[4]Pob. Ext, Parroquial'!$B$9:$C$117,2,0)</f>
        <v>SARAGURO</v>
      </c>
      <c r="I264" s="257" t="s">
        <v>265</v>
      </c>
      <c r="J264" s="257" t="s">
        <v>502</v>
      </c>
      <c r="K264" s="257">
        <v>6.17</v>
      </c>
      <c r="L264" s="257"/>
      <c r="M264" s="258">
        <f>IF(K264&gt;0,VLOOKUP(G264,'[4]Pob. Ext, Parroquial'!$B$8:$F$117,4,FALSE),0)</f>
        <v>17667</v>
      </c>
      <c r="N264" s="259" t="s">
        <v>503</v>
      </c>
      <c r="O264" s="257" t="s">
        <v>504</v>
      </c>
      <c r="P264" s="257">
        <v>705.7</v>
      </c>
      <c r="Q264" s="257">
        <v>4.5599999999999996</v>
      </c>
      <c r="R264" s="257"/>
      <c r="S264" s="261">
        <v>41548</v>
      </c>
      <c r="T264" s="261">
        <v>41759</v>
      </c>
      <c r="U264" s="261" t="str">
        <f t="shared" si="9"/>
        <v>EN EJECUCION</v>
      </c>
      <c r="V264" s="262">
        <f t="shared" si="8"/>
        <v>3217.99</v>
      </c>
      <c r="W264" s="262"/>
      <c r="X264" s="262"/>
      <c r="Y264" s="1021">
        <f>SUM(V264:V290)</f>
        <v>456185.51</v>
      </c>
      <c r="Z264" s="278"/>
      <c r="AA264" s="279" t="s">
        <v>505</v>
      </c>
      <c r="AB264" s="279" t="s">
        <v>178</v>
      </c>
      <c r="AC264" s="280" t="s">
        <v>179</v>
      </c>
      <c r="AD264" s="281">
        <v>2014</v>
      </c>
      <c r="AE264" s="267"/>
      <c r="AF264" s="267"/>
    </row>
    <row r="265" spans="1:40" s="268" customFormat="1" ht="50.1" customHeight="1">
      <c r="A265" s="1049"/>
      <c r="B265" s="1043"/>
      <c r="C265" s="270" t="s">
        <v>182</v>
      </c>
      <c r="D265" s="1043"/>
      <c r="E265" s="381" t="s">
        <v>500</v>
      </c>
      <c r="F265" s="272" t="s">
        <v>501</v>
      </c>
      <c r="G265" s="273" t="s">
        <v>468</v>
      </c>
      <c r="H265" s="273" t="str">
        <f>VLOOKUP(G265,'[4]Pob. Ext, Parroquial'!$B$9:$C$117,2,0)</f>
        <v>SARAGURO</v>
      </c>
      <c r="I265" s="273" t="s">
        <v>265</v>
      </c>
      <c r="J265" s="273" t="s">
        <v>502</v>
      </c>
      <c r="K265" s="273"/>
      <c r="L265" s="273"/>
      <c r="M265" s="274">
        <f>IF(K265&gt;0,VLOOKUP(G265,'[4]Pob. Ext, Parroquial'!$B$8:$F$117,4,FALSE),0)</f>
        <v>0</v>
      </c>
      <c r="N265" s="275" t="s">
        <v>506</v>
      </c>
      <c r="O265" s="273" t="s">
        <v>277</v>
      </c>
      <c r="P265" s="273">
        <v>1744.8</v>
      </c>
      <c r="Q265" s="273">
        <v>1.73</v>
      </c>
      <c r="R265" s="273"/>
      <c r="S265" s="276">
        <v>41548</v>
      </c>
      <c r="T265" s="276">
        <v>41759</v>
      </c>
      <c r="U265" s="276" t="str">
        <f t="shared" si="9"/>
        <v>EN EJECUCION</v>
      </c>
      <c r="V265" s="277">
        <f t="shared" si="8"/>
        <v>3018.5</v>
      </c>
      <c r="W265" s="277"/>
      <c r="X265" s="277"/>
      <c r="Y265" s="1022"/>
      <c r="Z265" s="278"/>
      <c r="AA265" s="279" t="s">
        <v>505</v>
      </c>
      <c r="AB265" s="279" t="s">
        <v>178</v>
      </c>
      <c r="AC265" s="280" t="s">
        <v>179</v>
      </c>
      <c r="AD265" s="281">
        <v>2014</v>
      </c>
      <c r="AE265" s="267"/>
      <c r="AF265" s="267"/>
    </row>
    <row r="266" spans="1:40" s="268" customFormat="1" ht="50.1" customHeight="1">
      <c r="A266" s="1049"/>
      <c r="B266" s="1043"/>
      <c r="C266" s="270" t="s">
        <v>169</v>
      </c>
      <c r="D266" s="1043"/>
      <c r="E266" s="381" t="s">
        <v>500</v>
      </c>
      <c r="F266" s="272" t="s">
        <v>501</v>
      </c>
      <c r="G266" s="273" t="s">
        <v>468</v>
      </c>
      <c r="H266" s="273" t="str">
        <f>VLOOKUP(G266,'[4]Pob. Ext, Parroquial'!$B$9:$C$117,2,0)</f>
        <v>SARAGURO</v>
      </c>
      <c r="I266" s="273" t="s">
        <v>265</v>
      </c>
      <c r="J266" s="273" t="s">
        <v>502</v>
      </c>
      <c r="K266" s="273"/>
      <c r="L266" s="273"/>
      <c r="M266" s="274">
        <f>IF(K266&gt;0,VLOOKUP(G266,'[4]Pob. Ext, Parroquial'!$B$8:$F$117,4,FALSE),0)</f>
        <v>0</v>
      </c>
      <c r="N266" s="275" t="s">
        <v>507</v>
      </c>
      <c r="O266" s="273" t="s">
        <v>508</v>
      </c>
      <c r="P266" s="273">
        <v>6.86</v>
      </c>
      <c r="Q266" s="273">
        <v>25</v>
      </c>
      <c r="R266" s="273"/>
      <c r="S266" s="276">
        <v>41548</v>
      </c>
      <c r="T266" s="276">
        <v>41759</v>
      </c>
      <c r="U266" s="276" t="str">
        <f t="shared" si="9"/>
        <v>EN EJECUCION</v>
      </c>
      <c r="V266" s="277">
        <f t="shared" si="8"/>
        <v>171.5</v>
      </c>
      <c r="W266" s="277"/>
      <c r="X266" s="277"/>
      <c r="Y266" s="1022"/>
      <c r="Z266" s="278"/>
      <c r="AA266" s="279" t="s">
        <v>505</v>
      </c>
      <c r="AB266" s="279" t="s">
        <v>178</v>
      </c>
      <c r="AC266" s="280" t="s">
        <v>179</v>
      </c>
      <c r="AD266" s="281">
        <v>2014</v>
      </c>
      <c r="AE266" s="267"/>
      <c r="AF266" s="267"/>
    </row>
    <row r="267" spans="1:40" s="268" customFormat="1" ht="50.1" customHeight="1">
      <c r="A267" s="1049"/>
      <c r="B267" s="1043"/>
      <c r="C267" s="270" t="s">
        <v>169</v>
      </c>
      <c r="D267" s="1043"/>
      <c r="E267" s="381" t="s">
        <v>500</v>
      </c>
      <c r="F267" s="272" t="s">
        <v>501</v>
      </c>
      <c r="G267" s="273" t="s">
        <v>468</v>
      </c>
      <c r="H267" s="273" t="str">
        <f>VLOOKUP(G267,'[4]Pob. Ext, Parroquial'!$B$9:$C$117,2,0)</f>
        <v>SARAGURO</v>
      </c>
      <c r="I267" s="273" t="s">
        <v>265</v>
      </c>
      <c r="J267" s="273" t="s">
        <v>502</v>
      </c>
      <c r="K267" s="273"/>
      <c r="L267" s="273"/>
      <c r="M267" s="274">
        <f>IF(K267&gt;0,VLOOKUP(G267,'[4]Pob. Ext, Parroquial'!$B$8:$F$117,4,FALSE),0)</f>
        <v>0</v>
      </c>
      <c r="N267" s="275" t="s">
        <v>509</v>
      </c>
      <c r="O267" s="273" t="s">
        <v>510</v>
      </c>
      <c r="P267" s="273">
        <v>41.84</v>
      </c>
      <c r="Q267" s="273">
        <v>2.2200000000000002</v>
      </c>
      <c r="R267" s="273"/>
      <c r="S267" s="276">
        <v>41548</v>
      </c>
      <c r="T267" s="276">
        <v>41759</v>
      </c>
      <c r="U267" s="276" t="str">
        <f t="shared" si="9"/>
        <v>EN EJECUCION</v>
      </c>
      <c r="V267" s="277">
        <f t="shared" ref="V267:V290" si="11">ROUND(P267*Q267,2)</f>
        <v>92.88</v>
      </c>
      <c r="W267" s="277"/>
      <c r="X267" s="277"/>
      <c r="Y267" s="1022"/>
      <c r="Z267" s="278"/>
      <c r="AA267" s="279" t="s">
        <v>505</v>
      </c>
      <c r="AB267" s="279" t="s">
        <v>178</v>
      </c>
      <c r="AC267" s="280" t="s">
        <v>179</v>
      </c>
      <c r="AD267" s="281">
        <v>2014</v>
      </c>
      <c r="AE267" s="267"/>
      <c r="AF267" s="267"/>
    </row>
    <row r="268" spans="1:40" s="268" customFormat="1" ht="50.1" customHeight="1">
      <c r="A268" s="1049"/>
      <c r="B268" s="1043"/>
      <c r="C268" s="270" t="s">
        <v>169</v>
      </c>
      <c r="D268" s="1043"/>
      <c r="E268" s="381" t="s">
        <v>500</v>
      </c>
      <c r="F268" s="272" t="s">
        <v>501</v>
      </c>
      <c r="G268" s="273" t="s">
        <v>468</v>
      </c>
      <c r="H268" s="273" t="str">
        <f>VLOOKUP(G268,'[4]Pob. Ext, Parroquial'!$B$9:$C$117,2,0)</f>
        <v>SARAGURO</v>
      </c>
      <c r="I268" s="273" t="s">
        <v>265</v>
      </c>
      <c r="J268" s="273" t="s">
        <v>502</v>
      </c>
      <c r="K268" s="273"/>
      <c r="L268" s="273"/>
      <c r="M268" s="274">
        <f>IF(K268&gt;0,VLOOKUP(G268,'[4]Pob. Ext, Parroquial'!$B$8:$F$117,4,FALSE),0)</f>
        <v>0</v>
      </c>
      <c r="N268" s="275" t="s">
        <v>511</v>
      </c>
      <c r="O268" s="273" t="s">
        <v>510</v>
      </c>
      <c r="P268" s="273">
        <v>1.58</v>
      </c>
      <c r="Q268" s="273">
        <v>34437.360000000001</v>
      </c>
      <c r="R268" s="273"/>
      <c r="S268" s="276">
        <v>41548</v>
      </c>
      <c r="T268" s="276">
        <v>41759</v>
      </c>
      <c r="U268" s="276" t="str">
        <f t="shared" si="9"/>
        <v>EN EJECUCION</v>
      </c>
      <c r="V268" s="277">
        <f t="shared" si="11"/>
        <v>54411.03</v>
      </c>
      <c r="W268" s="277"/>
      <c r="X268" s="277"/>
      <c r="Y268" s="1022"/>
      <c r="Z268" s="278"/>
      <c r="AA268" s="279" t="s">
        <v>505</v>
      </c>
      <c r="AB268" s="279" t="s">
        <v>178</v>
      </c>
      <c r="AC268" s="280" t="s">
        <v>179</v>
      </c>
      <c r="AD268" s="281">
        <v>2014</v>
      </c>
      <c r="AE268" s="267"/>
      <c r="AF268" s="267"/>
      <c r="AN268" s="382" t="s">
        <v>240</v>
      </c>
    </row>
    <row r="269" spans="1:40" s="268" customFormat="1" ht="50.1" customHeight="1">
      <c r="A269" s="1049"/>
      <c r="B269" s="1043"/>
      <c r="C269" s="270" t="s">
        <v>169</v>
      </c>
      <c r="D269" s="1043"/>
      <c r="E269" s="381" t="s">
        <v>500</v>
      </c>
      <c r="F269" s="272" t="s">
        <v>501</v>
      </c>
      <c r="G269" s="273" t="s">
        <v>468</v>
      </c>
      <c r="H269" s="273" t="str">
        <f>VLOOKUP(G269,'[4]Pob. Ext, Parroquial'!$B$9:$C$117,2,0)</f>
        <v>SARAGURO</v>
      </c>
      <c r="I269" s="273" t="s">
        <v>265</v>
      </c>
      <c r="J269" s="273" t="s">
        <v>502</v>
      </c>
      <c r="K269" s="273"/>
      <c r="L269" s="273"/>
      <c r="M269" s="274">
        <f>IF(K269&gt;0,VLOOKUP(G269,'[4]Pob. Ext, Parroquial'!$B$8:$F$117,4,FALSE),0)</f>
        <v>0</v>
      </c>
      <c r="N269" s="275" t="s">
        <v>512</v>
      </c>
      <c r="O269" s="273" t="s">
        <v>510</v>
      </c>
      <c r="P269" s="273">
        <v>6.78</v>
      </c>
      <c r="Q269" s="273">
        <v>7667.69</v>
      </c>
      <c r="R269" s="273"/>
      <c r="S269" s="276">
        <v>41548</v>
      </c>
      <c r="T269" s="276">
        <v>41759</v>
      </c>
      <c r="U269" s="276" t="str">
        <f t="shared" si="9"/>
        <v>EN EJECUCION</v>
      </c>
      <c r="V269" s="277">
        <f t="shared" si="11"/>
        <v>51986.94</v>
      </c>
      <c r="W269" s="277"/>
      <c r="X269" s="277"/>
      <c r="Y269" s="1022"/>
      <c r="Z269" s="278"/>
      <c r="AA269" s="279" t="s">
        <v>505</v>
      </c>
      <c r="AB269" s="279" t="s">
        <v>178</v>
      </c>
      <c r="AC269" s="280" t="s">
        <v>187</v>
      </c>
      <c r="AD269" s="281">
        <v>2014</v>
      </c>
      <c r="AE269" s="267"/>
      <c r="AF269" s="267"/>
      <c r="AN269" s="383" t="s">
        <v>242</v>
      </c>
    </row>
    <row r="270" spans="1:40" s="268" customFormat="1" ht="50.1" customHeight="1">
      <c r="A270" s="1049"/>
      <c r="B270" s="1043"/>
      <c r="C270" s="270" t="s">
        <v>182</v>
      </c>
      <c r="D270" s="1043"/>
      <c r="E270" s="381" t="s">
        <v>500</v>
      </c>
      <c r="F270" s="272" t="s">
        <v>501</v>
      </c>
      <c r="G270" s="273" t="s">
        <v>468</v>
      </c>
      <c r="H270" s="273" t="str">
        <f>VLOOKUP(G270,'[4]Pob. Ext, Parroquial'!$B$9:$C$117,2,0)</f>
        <v>SARAGURO</v>
      </c>
      <c r="I270" s="273" t="s">
        <v>265</v>
      </c>
      <c r="J270" s="273" t="s">
        <v>502</v>
      </c>
      <c r="K270" s="273"/>
      <c r="L270" s="273">
        <f>+ROUND(Q270/6000,2)</f>
        <v>3.68</v>
      </c>
      <c r="M270" s="274">
        <f>IF(K270&gt;0,VLOOKUP(G270,'[4]Pob. Ext, Parroquial'!$B$8:$F$117,4,FALSE),0)</f>
        <v>0</v>
      </c>
      <c r="N270" s="275" t="s">
        <v>282</v>
      </c>
      <c r="O270" s="273" t="s">
        <v>513</v>
      </c>
      <c r="P270" s="273">
        <v>0.35</v>
      </c>
      <c r="Q270" s="273">
        <v>22084.34</v>
      </c>
      <c r="R270" s="273"/>
      <c r="S270" s="276">
        <v>41548</v>
      </c>
      <c r="T270" s="276">
        <v>41759</v>
      </c>
      <c r="U270" s="276" t="str">
        <f t="shared" ref="U270:U290" si="12">IF(T270&lt;$G$4,"EJECUTADO","EN EJECUCION")</f>
        <v>EN EJECUCION</v>
      </c>
      <c r="V270" s="277">
        <f t="shared" si="11"/>
        <v>7729.52</v>
      </c>
      <c r="W270" s="277"/>
      <c r="X270" s="277"/>
      <c r="Y270" s="1022"/>
      <c r="Z270" s="278"/>
      <c r="AA270" s="279" t="s">
        <v>505</v>
      </c>
      <c r="AB270" s="279" t="s">
        <v>178</v>
      </c>
      <c r="AC270" s="280" t="s">
        <v>187</v>
      </c>
      <c r="AD270" s="281">
        <v>2014</v>
      </c>
      <c r="AE270" s="267"/>
      <c r="AF270" s="267"/>
      <c r="AN270" s="383" t="s">
        <v>246</v>
      </c>
    </row>
    <row r="271" spans="1:40" s="268" customFormat="1" ht="50.1" customHeight="1">
      <c r="A271" s="1049"/>
      <c r="B271" s="1043"/>
      <c r="C271" s="270" t="s">
        <v>182</v>
      </c>
      <c r="D271" s="1043"/>
      <c r="E271" s="381" t="s">
        <v>500</v>
      </c>
      <c r="F271" s="272" t="s">
        <v>501</v>
      </c>
      <c r="G271" s="273" t="s">
        <v>468</v>
      </c>
      <c r="H271" s="273" t="str">
        <f>VLOOKUP(G271,'[4]Pob. Ext, Parroquial'!$B$9:$C$117,2,0)</f>
        <v>SARAGURO</v>
      </c>
      <c r="I271" s="273" t="s">
        <v>265</v>
      </c>
      <c r="J271" s="273" t="s">
        <v>502</v>
      </c>
      <c r="K271" s="273"/>
      <c r="L271" s="273"/>
      <c r="M271" s="274">
        <f>IF(K271&gt;0,VLOOKUP(G271,'[4]Pob. Ext, Parroquial'!$B$8:$F$117,4,FALSE),0)</f>
        <v>0</v>
      </c>
      <c r="N271" s="275" t="s">
        <v>514</v>
      </c>
      <c r="O271" s="273" t="s">
        <v>513</v>
      </c>
      <c r="P271" s="273">
        <v>1.45</v>
      </c>
      <c r="Q271" s="273">
        <v>1425.55</v>
      </c>
      <c r="R271" s="273"/>
      <c r="S271" s="276">
        <v>41699</v>
      </c>
      <c r="T271" s="276">
        <v>41759</v>
      </c>
      <c r="U271" s="276" t="str">
        <f t="shared" si="12"/>
        <v>EN EJECUCION</v>
      </c>
      <c r="V271" s="277">
        <f t="shared" si="11"/>
        <v>2067.0500000000002</v>
      </c>
      <c r="W271" s="277"/>
      <c r="X271" s="277"/>
      <c r="Y271" s="1022"/>
      <c r="Z271" s="278"/>
      <c r="AA271" s="279" t="s">
        <v>505</v>
      </c>
      <c r="AB271" s="279" t="s">
        <v>178</v>
      </c>
      <c r="AC271" s="280" t="s">
        <v>187</v>
      </c>
      <c r="AD271" s="281">
        <v>2014</v>
      </c>
      <c r="AE271" s="267"/>
      <c r="AF271" s="267"/>
      <c r="AN271" s="383" t="s">
        <v>249</v>
      </c>
    </row>
    <row r="272" spans="1:40" s="268" customFormat="1" ht="50.1" customHeight="1">
      <c r="A272" s="1049"/>
      <c r="B272" s="1043"/>
      <c r="C272" s="270" t="s">
        <v>169</v>
      </c>
      <c r="D272" s="1043"/>
      <c r="E272" s="381" t="s">
        <v>500</v>
      </c>
      <c r="F272" s="272" t="s">
        <v>501</v>
      </c>
      <c r="G272" s="273" t="s">
        <v>468</v>
      </c>
      <c r="H272" s="273" t="str">
        <f>VLOOKUP(G272,'[4]Pob. Ext, Parroquial'!$B$9:$C$117,2,0)</f>
        <v>SARAGURO</v>
      </c>
      <c r="I272" s="273" t="s">
        <v>265</v>
      </c>
      <c r="J272" s="273" t="s">
        <v>502</v>
      </c>
      <c r="K272" s="273"/>
      <c r="L272" s="273"/>
      <c r="M272" s="274">
        <f>IF(K272&gt;0,VLOOKUP(G272,'[4]Pob. Ext, Parroquial'!$B$8:$F$117,4,FALSE),0)</f>
        <v>0</v>
      </c>
      <c r="N272" s="275" t="s">
        <v>515</v>
      </c>
      <c r="O272" s="273" t="s">
        <v>516</v>
      </c>
      <c r="P272" s="273">
        <v>0.3</v>
      </c>
      <c r="Q272" s="273">
        <v>95128.94</v>
      </c>
      <c r="R272" s="273"/>
      <c r="S272" s="276">
        <v>41548</v>
      </c>
      <c r="T272" s="276">
        <v>41759</v>
      </c>
      <c r="U272" s="276" t="str">
        <f t="shared" si="12"/>
        <v>EN EJECUCION</v>
      </c>
      <c r="V272" s="277">
        <f t="shared" si="11"/>
        <v>28538.68</v>
      </c>
      <c r="W272" s="277"/>
      <c r="X272" s="277"/>
      <c r="Y272" s="1022"/>
      <c r="Z272" s="278"/>
      <c r="AA272" s="279" t="s">
        <v>505</v>
      </c>
      <c r="AB272" s="279" t="s">
        <v>178</v>
      </c>
      <c r="AC272" s="280" t="s">
        <v>187</v>
      </c>
      <c r="AD272" s="281">
        <v>2014</v>
      </c>
      <c r="AE272" s="267"/>
      <c r="AF272" s="267"/>
    </row>
    <row r="273" spans="1:32" s="268" customFormat="1" ht="50.1" customHeight="1">
      <c r="A273" s="1049"/>
      <c r="B273" s="1043"/>
      <c r="C273" s="270" t="s">
        <v>169</v>
      </c>
      <c r="D273" s="1043"/>
      <c r="E273" s="381" t="s">
        <v>500</v>
      </c>
      <c r="F273" s="272" t="s">
        <v>501</v>
      </c>
      <c r="G273" s="273" t="s">
        <v>468</v>
      </c>
      <c r="H273" s="273" t="str">
        <f>VLOOKUP(G273,'[4]Pob. Ext, Parroquial'!$B$9:$C$117,2,0)</f>
        <v>SARAGURO</v>
      </c>
      <c r="I273" s="273" t="s">
        <v>265</v>
      </c>
      <c r="J273" s="273" t="s">
        <v>502</v>
      </c>
      <c r="K273" s="273"/>
      <c r="L273" s="273"/>
      <c r="M273" s="274">
        <f>IF(K273&gt;0,VLOOKUP(G273,'[4]Pob. Ext, Parroquial'!$B$8:$F$117,4,FALSE),0)</f>
        <v>0</v>
      </c>
      <c r="N273" s="275" t="s">
        <v>517</v>
      </c>
      <c r="O273" s="273" t="s">
        <v>510</v>
      </c>
      <c r="P273" s="273">
        <v>1.1599999999999999</v>
      </c>
      <c r="Q273" s="273">
        <v>1020</v>
      </c>
      <c r="R273" s="273"/>
      <c r="S273" s="276">
        <v>41548</v>
      </c>
      <c r="T273" s="276">
        <v>41670</v>
      </c>
      <c r="U273" s="276" t="str">
        <f t="shared" si="12"/>
        <v>EJECUTADO</v>
      </c>
      <c r="V273" s="277">
        <f t="shared" si="11"/>
        <v>1183.2</v>
      </c>
      <c r="W273" s="277"/>
      <c r="X273" s="277"/>
      <c r="Y273" s="1022"/>
      <c r="Z273" s="278"/>
      <c r="AA273" s="279" t="s">
        <v>505</v>
      </c>
      <c r="AB273" s="279" t="s">
        <v>178</v>
      </c>
      <c r="AC273" s="280" t="s">
        <v>179</v>
      </c>
      <c r="AD273" s="281">
        <v>2014</v>
      </c>
      <c r="AE273" s="267"/>
      <c r="AF273" s="267"/>
    </row>
    <row r="274" spans="1:32" s="268" customFormat="1" ht="50.1" customHeight="1">
      <c r="A274" s="1049"/>
      <c r="B274" s="1043"/>
      <c r="C274" s="270" t="s">
        <v>169</v>
      </c>
      <c r="D274" s="1043"/>
      <c r="E274" s="381" t="s">
        <v>500</v>
      </c>
      <c r="F274" s="272" t="s">
        <v>501</v>
      </c>
      <c r="G274" s="273" t="s">
        <v>468</v>
      </c>
      <c r="H274" s="273" t="str">
        <f>VLOOKUP(G274,'[4]Pob. Ext, Parroquial'!$B$9:$C$117,2,0)</f>
        <v>SARAGURO</v>
      </c>
      <c r="I274" s="273" t="s">
        <v>265</v>
      </c>
      <c r="J274" s="273" t="s">
        <v>502</v>
      </c>
      <c r="K274" s="273"/>
      <c r="L274" s="273"/>
      <c r="M274" s="274">
        <f>IF(K274&gt;0,VLOOKUP(G274,'[4]Pob. Ext, Parroquial'!$B$8:$F$117,4,FALSE),0)</f>
        <v>0</v>
      </c>
      <c r="N274" s="275" t="s">
        <v>518</v>
      </c>
      <c r="O274" s="273" t="s">
        <v>516</v>
      </c>
      <c r="P274" s="273">
        <v>0.3</v>
      </c>
      <c r="Q274" s="273">
        <v>216187.77</v>
      </c>
      <c r="R274" s="273"/>
      <c r="S274" s="276">
        <v>41548</v>
      </c>
      <c r="T274" s="276">
        <v>41759</v>
      </c>
      <c r="U274" s="276" t="str">
        <f t="shared" si="12"/>
        <v>EN EJECUCION</v>
      </c>
      <c r="V274" s="277">
        <f t="shared" si="11"/>
        <v>64856.33</v>
      </c>
      <c r="W274" s="277"/>
      <c r="X274" s="277"/>
      <c r="Y274" s="1022"/>
      <c r="Z274" s="278"/>
      <c r="AA274" s="279" t="s">
        <v>505</v>
      </c>
      <c r="AB274" s="279" t="s">
        <v>178</v>
      </c>
      <c r="AC274" s="280" t="s">
        <v>187</v>
      </c>
      <c r="AD274" s="281">
        <v>2014</v>
      </c>
      <c r="AE274" s="267"/>
      <c r="AF274" s="267"/>
    </row>
    <row r="275" spans="1:32" s="268" customFormat="1" ht="50.1" customHeight="1">
      <c r="A275" s="1049"/>
      <c r="B275" s="1043"/>
      <c r="C275" s="270" t="s">
        <v>169</v>
      </c>
      <c r="D275" s="1043"/>
      <c r="E275" s="381" t="s">
        <v>500</v>
      </c>
      <c r="F275" s="272" t="s">
        <v>501</v>
      </c>
      <c r="G275" s="273" t="s">
        <v>468</v>
      </c>
      <c r="H275" s="273" t="str">
        <f>VLOOKUP(G275,'[4]Pob. Ext, Parroquial'!$B$9:$C$117,2,0)</f>
        <v>SARAGURO</v>
      </c>
      <c r="I275" s="273" t="s">
        <v>265</v>
      </c>
      <c r="J275" s="273" t="s">
        <v>502</v>
      </c>
      <c r="K275" s="273"/>
      <c r="L275" s="273">
        <f>+ROUND(Q275/6000/0.2,2)</f>
        <v>7.94</v>
      </c>
      <c r="M275" s="274">
        <f>IF(K275&gt;0,VLOOKUP(G275,'[4]Pob. Ext, Parroquial'!$B$8:$F$117,4,FALSE),0)</f>
        <v>0</v>
      </c>
      <c r="N275" s="275" t="s">
        <v>229</v>
      </c>
      <c r="O275" s="273" t="s">
        <v>510</v>
      </c>
      <c r="P275" s="273">
        <v>5.88</v>
      </c>
      <c r="Q275" s="273">
        <v>9523.2900000000009</v>
      </c>
      <c r="R275" s="273"/>
      <c r="S275" s="276">
        <v>41548</v>
      </c>
      <c r="T275" s="276">
        <v>41759</v>
      </c>
      <c r="U275" s="276" t="str">
        <f t="shared" si="12"/>
        <v>EN EJECUCION</v>
      </c>
      <c r="V275" s="277">
        <f t="shared" si="11"/>
        <v>55996.95</v>
      </c>
      <c r="W275" s="277"/>
      <c r="X275" s="277"/>
      <c r="Y275" s="1022"/>
      <c r="Z275" s="278"/>
      <c r="AA275" s="279" t="s">
        <v>505</v>
      </c>
      <c r="AB275" s="279" t="s">
        <v>178</v>
      </c>
      <c r="AC275" s="280" t="s">
        <v>187</v>
      </c>
      <c r="AD275" s="281">
        <v>2014</v>
      </c>
      <c r="AE275" s="267"/>
      <c r="AF275" s="267"/>
    </row>
    <row r="276" spans="1:32" s="268" customFormat="1" ht="50.1" customHeight="1">
      <c r="A276" s="1049"/>
      <c r="B276" s="1043"/>
      <c r="C276" s="270" t="s">
        <v>169</v>
      </c>
      <c r="D276" s="1043"/>
      <c r="E276" s="381" t="s">
        <v>500</v>
      </c>
      <c r="F276" s="272" t="s">
        <v>501</v>
      </c>
      <c r="G276" s="273" t="s">
        <v>468</v>
      </c>
      <c r="H276" s="273" t="str">
        <f>VLOOKUP(G276,'[4]Pob. Ext, Parroquial'!$B$9:$C$117,2,0)</f>
        <v>SARAGURO</v>
      </c>
      <c r="I276" s="273" t="s">
        <v>265</v>
      </c>
      <c r="J276" s="273" t="s">
        <v>502</v>
      </c>
      <c r="K276" s="273"/>
      <c r="L276" s="273"/>
      <c r="M276" s="274">
        <f>IF(K276&gt;0,VLOOKUP(G276,'[4]Pob. Ext, Parroquial'!$B$8:$F$117,4,FALSE),0)</f>
        <v>0</v>
      </c>
      <c r="N276" s="275" t="s">
        <v>519</v>
      </c>
      <c r="O276" s="273" t="s">
        <v>510</v>
      </c>
      <c r="P276" s="273">
        <v>9.32</v>
      </c>
      <c r="Q276" s="273">
        <v>3525</v>
      </c>
      <c r="R276" s="273"/>
      <c r="S276" s="276">
        <v>41548</v>
      </c>
      <c r="T276" s="276">
        <v>41759</v>
      </c>
      <c r="U276" s="276" t="str">
        <f t="shared" si="12"/>
        <v>EN EJECUCION</v>
      </c>
      <c r="V276" s="277">
        <f t="shared" si="11"/>
        <v>32853</v>
      </c>
      <c r="W276" s="277"/>
      <c r="X276" s="277"/>
      <c r="Y276" s="1022"/>
      <c r="Z276" s="278"/>
      <c r="AA276" s="279" t="s">
        <v>505</v>
      </c>
      <c r="AB276" s="279" t="s">
        <v>178</v>
      </c>
      <c r="AC276" s="280" t="s">
        <v>179</v>
      </c>
      <c r="AD276" s="281">
        <v>2014</v>
      </c>
      <c r="AE276" s="267"/>
      <c r="AF276" s="267"/>
    </row>
    <row r="277" spans="1:32" s="268" customFormat="1" ht="50.1" customHeight="1">
      <c r="A277" s="1049"/>
      <c r="B277" s="1043"/>
      <c r="C277" s="270" t="s">
        <v>169</v>
      </c>
      <c r="D277" s="1043"/>
      <c r="E277" s="381" t="s">
        <v>500</v>
      </c>
      <c r="F277" s="272" t="s">
        <v>501</v>
      </c>
      <c r="G277" s="273" t="s">
        <v>468</v>
      </c>
      <c r="H277" s="273" t="str">
        <f>VLOOKUP(G277,'[4]Pob. Ext, Parroquial'!$B$9:$C$117,2,0)</f>
        <v>SARAGURO</v>
      </c>
      <c r="I277" s="273" t="s">
        <v>265</v>
      </c>
      <c r="J277" s="273" t="s">
        <v>502</v>
      </c>
      <c r="K277" s="273"/>
      <c r="L277" s="273"/>
      <c r="M277" s="274">
        <f>IF(K277&gt;0,VLOOKUP(G277,'[4]Pob. Ext, Parroquial'!$B$8:$F$117,4,FALSE),0)</f>
        <v>0</v>
      </c>
      <c r="N277" s="275" t="s">
        <v>520</v>
      </c>
      <c r="O277" s="273" t="s">
        <v>510</v>
      </c>
      <c r="P277" s="273">
        <v>19.100000000000001</v>
      </c>
      <c r="Q277" s="273">
        <v>1225.3599999999999</v>
      </c>
      <c r="R277" s="273"/>
      <c r="S277" s="276">
        <v>41548</v>
      </c>
      <c r="T277" s="276">
        <v>41759</v>
      </c>
      <c r="U277" s="276" t="str">
        <f t="shared" si="12"/>
        <v>EN EJECUCION</v>
      </c>
      <c r="V277" s="277">
        <f t="shared" si="11"/>
        <v>23404.38</v>
      </c>
      <c r="W277" s="277"/>
      <c r="X277" s="277"/>
      <c r="Y277" s="1022"/>
      <c r="Z277" s="278"/>
      <c r="AA277" s="279" t="s">
        <v>505</v>
      </c>
      <c r="AB277" s="279" t="s">
        <v>178</v>
      </c>
      <c r="AC277" s="280" t="s">
        <v>179</v>
      </c>
      <c r="AD277" s="281">
        <v>2014</v>
      </c>
      <c r="AE277" s="267"/>
      <c r="AF277" s="267"/>
    </row>
    <row r="278" spans="1:32" s="268" customFormat="1" ht="50.1" customHeight="1">
      <c r="A278" s="1049"/>
      <c r="B278" s="1043"/>
      <c r="C278" s="270" t="s">
        <v>182</v>
      </c>
      <c r="D278" s="1043"/>
      <c r="E278" s="381" t="s">
        <v>500</v>
      </c>
      <c r="F278" s="272" t="s">
        <v>501</v>
      </c>
      <c r="G278" s="273" t="s">
        <v>468</v>
      </c>
      <c r="H278" s="273" t="str">
        <f>VLOOKUP(G278,'[4]Pob. Ext, Parroquial'!$B$9:$C$117,2,0)</f>
        <v>SARAGURO</v>
      </c>
      <c r="I278" s="273" t="s">
        <v>265</v>
      </c>
      <c r="J278" s="273" t="s">
        <v>502</v>
      </c>
      <c r="K278" s="273"/>
      <c r="L278" s="273"/>
      <c r="M278" s="274">
        <f>IF(K278&gt;0,VLOOKUP(G278,'[4]Pob. Ext, Parroquial'!$B$8:$F$117,4,FALSE),0)</f>
        <v>0</v>
      </c>
      <c r="N278" s="275" t="s">
        <v>521</v>
      </c>
      <c r="O278" s="273" t="s">
        <v>510</v>
      </c>
      <c r="P278" s="273">
        <v>10.87</v>
      </c>
      <c r="Q278" s="273">
        <v>36.85</v>
      </c>
      <c r="R278" s="273"/>
      <c r="S278" s="276">
        <v>41548</v>
      </c>
      <c r="T278" s="276">
        <v>41729</v>
      </c>
      <c r="U278" s="276" t="str">
        <f t="shared" si="12"/>
        <v>EJECUTADO</v>
      </c>
      <c r="V278" s="277">
        <f t="shared" si="11"/>
        <v>400.56</v>
      </c>
      <c r="W278" s="277"/>
      <c r="X278" s="277"/>
      <c r="Y278" s="1022"/>
      <c r="Z278" s="278"/>
      <c r="AA278" s="279" t="s">
        <v>505</v>
      </c>
      <c r="AB278" s="279" t="s">
        <v>178</v>
      </c>
      <c r="AC278" s="280" t="s">
        <v>179</v>
      </c>
      <c r="AD278" s="281">
        <v>2014</v>
      </c>
      <c r="AE278" s="267"/>
      <c r="AF278" s="267"/>
    </row>
    <row r="279" spans="1:32" s="268" customFormat="1" ht="50.1" customHeight="1">
      <c r="A279" s="1049"/>
      <c r="B279" s="1043"/>
      <c r="C279" s="270" t="s">
        <v>169</v>
      </c>
      <c r="D279" s="1043"/>
      <c r="E279" s="381" t="s">
        <v>500</v>
      </c>
      <c r="F279" s="272" t="s">
        <v>501</v>
      </c>
      <c r="G279" s="273" t="s">
        <v>468</v>
      </c>
      <c r="H279" s="273" t="str">
        <f>VLOOKUP(G279,'[4]Pob. Ext, Parroquial'!$B$9:$C$117,2,0)</f>
        <v>SARAGURO</v>
      </c>
      <c r="I279" s="273" t="s">
        <v>265</v>
      </c>
      <c r="J279" s="273" t="s">
        <v>502</v>
      </c>
      <c r="K279" s="273"/>
      <c r="L279" s="273"/>
      <c r="M279" s="274">
        <f>IF(K279&gt;0,VLOOKUP(G279,'[4]Pob. Ext, Parroquial'!$B$8:$F$117,4,FALSE),0)</f>
        <v>0</v>
      </c>
      <c r="N279" s="275" t="s">
        <v>522</v>
      </c>
      <c r="O279" s="273" t="s">
        <v>510</v>
      </c>
      <c r="P279" s="273">
        <v>1.57</v>
      </c>
      <c r="Q279" s="273">
        <v>486.62</v>
      </c>
      <c r="R279" s="273"/>
      <c r="S279" s="276">
        <v>41548</v>
      </c>
      <c r="T279" s="276">
        <v>41759</v>
      </c>
      <c r="U279" s="276" t="str">
        <f t="shared" si="12"/>
        <v>EN EJECUCION</v>
      </c>
      <c r="V279" s="277">
        <f t="shared" si="11"/>
        <v>763.99</v>
      </c>
      <c r="W279" s="277"/>
      <c r="X279" s="277"/>
      <c r="Y279" s="1022"/>
      <c r="Z279" s="278"/>
      <c r="AA279" s="279" t="s">
        <v>505</v>
      </c>
      <c r="AB279" s="279" t="s">
        <v>178</v>
      </c>
      <c r="AC279" s="280" t="s">
        <v>179</v>
      </c>
      <c r="AD279" s="281">
        <v>2014</v>
      </c>
      <c r="AE279" s="267"/>
      <c r="AF279" s="267"/>
    </row>
    <row r="280" spans="1:32" s="268" customFormat="1" ht="50.1" customHeight="1">
      <c r="A280" s="1049"/>
      <c r="B280" s="1043"/>
      <c r="C280" s="270" t="s">
        <v>169</v>
      </c>
      <c r="D280" s="1043"/>
      <c r="E280" s="381" t="s">
        <v>500</v>
      </c>
      <c r="F280" s="272" t="s">
        <v>501</v>
      </c>
      <c r="G280" s="273" t="s">
        <v>468</v>
      </c>
      <c r="H280" s="273" t="str">
        <f>VLOOKUP(G280,'[4]Pob. Ext, Parroquial'!$B$9:$C$117,2,0)</f>
        <v>SARAGURO</v>
      </c>
      <c r="I280" s="273" t="s">
        <v>265</v>
      </c>
      <c r="J280" s="273" t="s">
        <v>502</v>
      </c>
      <c r="K280" s="273"/>
      <c r="L280" s="273"/>
      <c r="M280" s="274">
        <f>IF(K280&gt;0,VLOOKUP(G280,'[4]Pob. Ext, Parroquial'!$B$8:$F$117,4,FALSE),0)</f>
        <v>0</v>
      </c>
      <c r="N280" s="275" t="s">
        <v>523</v>
      </c>
      <c r="O280" s="273" t="s">
        <v>510</v>
      </c>
      <c r="P280" s="273">
        <v>1.73</v>
      </c>
      <c r="Q280" s="273">
        <v>432</v>
      </c>
      <c r="R280" s="273"/>
      <c r="S280" s="276">
        <v>41548</v>
      </c>
      <c r="T280" s="276">
        <v>41759</v>
      </c>
      <c r="U280" s="276" t="str">
        <f t="shared" si="12"/>
        <v>EN EJECUCION</v>
      </c>
      <c r="V280" s="277">
        <f t="shared" si="11"/>
        <v>747.36</v>
      </c>
      <c r="W280" s="277"/>
      <c r="X280" s="277"/>
      <c r="Y280" s="1022"/>
      <c r="Z280" s="278"/>
      <c r="AA280" s="279" t="s">
        <v>505</v>
      </c>
      <c r="AB280" s="279" t="s">
        <v>178</v>
      </c>
      <c r="AC280" s="280" t="s">
        <v>179</v>
      </c>
      <c r="AD280" s="281">
        <v>2014</v>
      </c>
      <c r="AE280" s="267"/>
      <c r="AF280" s="267"/>
    </row>
    <row r="281" spans="1:32" s="268" customFormat="1" ht="50.1" customHeight="1">
      <c r="A281" s="1049"/>
      <c r="B281" s="1043"/>
      <c r="C281" s="270" t="s">
        <v>353</v>
      </c>
      <c r="D281" s="1043"/>
      <c r="E281" s="381" t="s">
        <v>500</v>
      </c>
      <c r="F281" s="272" t="s">
        <v>501</v>
      </c>
      <c r="G281" s="273" t="s">
        <v>468</v>
      </c>
      <c r="H281" s="273" t="str">
        <f>VLOOKUP(G281,'[4]Pob. Ext, Parroquial'!$B$9:$C$117,2,0)</f>
        <v>SARAGURO</v>
      </c>
      <c r="I281" s="273" t="s">
        <v>265</v>
      </c>
      <c r="J281" s="273" t="s">
        <v>502</v>
      </c>
      <c r="K281" s="273"/>
      <c r="L281" s="273"/>
      <c r="M281" s="274">
        <f>IF(K281&gt;0,VLOOKUP(G281,'[4]Pob. Ext, Parroquial'!$B$8:$F$117,4,FALSE),0)</f>
        <v>0</v>
      </c>
      <c r="N281" s="275" t="s">
        <v>524</v>
      </c>
      <c r="O281" s="273" t="s">
        <v>508</v>
      </c>
      <c r="P281" s="273">
        <v>206.62</v>
      </c>
      <c r="Q281" s="273">
        <v>33.36</v>
      </c>
      <c r="R281" s="273"/>
      <c r="S281" s="276">
        <v>41365</v>
      </c>
      <c r="T281" s="276">
        <v>41759</v>
      </c>
      <c r="U281" s="276" t="str">
        <f t="shared" si="12"/>
        <v>EN EJECUCION</v>
      </c>
      <c r="V281" s="277">
        <f>ROUND(P281*Q281,2)</f>
        <v>6892.84</v>
      </c>
      <c r="W281" s="277"/>
      <c r="X281" s="277"/>
      <c r="Y281" s="1022"/>
      <c r="Z281" s="278"/>
      <c r="AA281" s="279"/>
      <c r="AB281" s="279"/>
      <c r="AC281" s="280"/>
      <c r="AD281" s="281"/>
      <c r="AE281" s="267"/>
      <c r="AF281" s="267"/>
    </row>
    <row r="282" spans="1:32" s="268" customFormat="1" ht="50.1" customHeight="1">
      <c r="A282" s="1049"/>
      <c r="B282" s="1043"/>
      <c r="C282" s="270" t="s">
        <v>353</v>
      </c>
      <c r="D282" s="1043"/>
      <c r="E282" s="381" t="s">
        <v>500</v>
      </c>
      <c r="F282" s="272" t="s">
        <v>501</v>
      </c>
      <c r="G282" s="273" t="s">
        <v>468</v>
      </c>
      <c r="H282" s="273" t="str">
        <f>VLOOKUP(G282,'[4]Pob. Ext, Parroquial'!$B$9:$C$117,2,0)</f>
        <v>SARAGURO</v>
      </c>
      <c r="I282" s="273" t="s">
        <v>265</v>
      </c>
      <c r="J282" s="273" t="s">
        <v>502</v>
      </c>
      <c r="K282" s="273"/>
      <c r="L282" s="273"/>
      <c r="M282" s="274">
        <f>IF(K282&gt;0,VLOOKUP(G282,'[4]Pob. Ext, Parroquial'!$B$8:$F$117,4,FALSE),0)</f>
        <v>0</v>
      </c>
      <c r="N282" s="275" t="s">
        <v>525</v>
      </c>
      <c r="O282" s="273" t="s">
        <v>508</v>
      </c>
      <c r="P282" s="273">
        <v>19.16</v>
      </c>
      <c r="Q282" s="273">
        <v>279.12</v>
      </c>
      <c r="R282" s="273"/>
      <c r="S282" s="276">
        <v>41548</v>
      </c>
      <c r="T282" s="276">
        <v>41759</v>
      </c>
      <c r="U282" s="276" t="str">
        <f t="shared" si="12"/>
        <v>EN EJECUCION</v>
      </c>
      <c r="V282" s="277">
        <f t="shared" si="11"/>
        <v>5347.94</v>
      </c>
      <c r="W282" s="277"/>
      <c r="X282" s="277"/>
      <c r="Y282" s="1022"/>
      <c r="Z282" s="278"/>
      <c r="AA282" s="279" t="s">
        <v>505</v>
      </c>
      <c r="AB282" s="279" t="s">
        <v>178</v>
      </c>
      <c r="AC282" s="280" t="s">
        <v>179</v>
      </c>
      <c r="AD282" s="281">
        <v>2014</v>
      </c>
      <c r="AE282" s="267"/>
      <c r="AF282" s="267"/>
    </row>
    <row r="283" spans="1:32" s="268" customFormat="1" ht="50.1" customHeight="1">
      <c r="A283" s="1049"/>
      <c r="B283" s="1043"/>
      <c r="C283" s="270" t="s">
        <v>169</v>
      </c>
      <c r="D283" s="1043"/>
      <c r="E283" s="381" t="s">
        <v>500</v>
      </c>
      <c r="F283" s="272" t="s">
        <v>501</v>
      </c>
      <c r="G283" s="273" t="s">
        <v>468</v>
      </c>
      <c r="H283" s="273" t="str">
        <f>VLOOKUP(G283,'[4]Pob. Ext, Parroquial'!$B$9:$C$117,2,0)</f>
        <v>SARAGURO</v>
      </c>
      <c r="I283" s="273" t="s">
        <v>265</v>
      </c>
      <c r="J283" s="273" t="s">
        <v>502</v>
      </c>
      <c r="K283" s="273"/>
      <c r="L283" s="273"/>
      <c r="M283" s="274">
        <f>IF(K283&gt;0,VLOOKUP(G283,'[4]Pob. Ext, Parroquial'!$B$8:$F$117,4,FALSE),0)</f>
        <v>0</v>
      </c>
      <c r="N283" s="275" t="s">
        <v>526</v>
      </c>
      <c r="O283" s="273" t="s">
        <v>513</v>
      </c>
      <c r="P283" s="273">
        <v>1.91</v>
      </c>
      <c r="Q283" s="273">
        <v>1116.48</v>
      </c>
      <c r="R283" s="273"/>
      <c r="S283" s="276">
        <v>41548</v>
      </c>
      <c r="T283" s="276">
        <v>41759</v>
      </c>
      <c r="U283" s="276" t="str">
        <f t="shared" si="12"/>
        <v>EN EJECUCION</v>
      </c>
      <c r="V283" s="277">
        <f t="shared" si="11"/>
        <v>2132.48</v>
      </c>
      <c r="W283" s="277"/>
      <c r="X283" s="277"/>
      <c r="Y283" s="1022"/>
      <c r="Z283" s="278"/>
      <c r="AA283" s="279" t="s">
        <v>505</v>
      </c>
      <c r="AB283" s="279" t="s">
        <v>178</v>
      </c>
      <c r="AC283" s="280" t="s">
        <v>179</v>
      </c>
      <c r="AD283" s="281">
        <v>2014</v>
      </c>
      <c r="AE283" s="267"/>
      <c r="AF283" s="267"/>
    </row>
    <row r="284" spans="1:32" s="268" customFormat="1" ht="50.1" customHeight="1">
      <c r="A284" s="1049"/>
      <c r="B284" s="1043"/>
      <c r="C284" s="270" t="s">
        <v>169</v>
      </c>
      <c r="D284" s="1043"/>
      <c r="E284" s="381" t="s">
        <v>500</v>
      </c>
      <c r="F284" s="272" t="s">
        <v>501</v>
      </c>
      <c r="G284" s="273" t="s">
        <v>468</v>
      </c>
      <c r="H284" s="273" t="str">
        <f>VLOOKUP(G284,'[4]Pob. Ext, Parroquial'!$B$9:$C$117,2,0)</f>
        <v>SARAGURO</v>
      </c>
      <c r="I284" s="273" t="s">
        <v>265</v>
      </c>
      <c r="J284" s="273" t="s">
        <v>502</v>
      </c>
      <c r="K284" s="273"/>
      <c r="L284" s="273"/>
      <c r="M284" s="274">
        <f>IF(K284&gt;0,VLOOKUP(G284,'[4]Pob. Ext, Parroquial'!$B$8:$F$117,4,FALSE),0)</f>
        <v>0</v>
      </c>
      <c r="N284" s="275" t="s">
        <v>527</v>
      </c>
      <c r="O284" s="273" t="s">
        <v>510</v>
      </c>
      <c r="P284" s="273">
        <v>8.1999999999999993</v>
      </c>
      <c r="Q284" s="273">
        <v>325</v>
      </c>
      <c r="R284" s="273"/>
      <c r="S284" s="276">
        <v>41548</v>
      </c>
      <c r="T284" s="276">
        <v>41759</v>
      </c>
      <c r="U284" s="276" t="str">
        <f t="shared" si="12"/>
        <v>EN EJECUCION</v>
      </c>
      <c r="V284" s="277">
        <f t="shared" si="11"/>
        <v>2665</v>
      </c>
      <c r="W284" s="277"/>
      <c r="X284" s="277"/>
      <c r="Y284" s="1022"/>
      <c r="Z284" s="278"/>
      <c r="AA284" s="279" t="s">
        <v>505</v>
      </c>
      <c r="AB284" s="279" t="s">
        <v>178</v>
      </c>
      <c r="AC284" s="280" t="s">
        <v>179</v>
      </c>
      <c r="AD284" s="281">
        <v>2014</v>
      </c>
      <c r="AE284" s="267"/>
      <c r="AF284" s="267"/>
    </row>
    <row r="285" spans="1:32" s="268" customFormat="1" ht="50.1" customHeight="1">
      <c r="A285" s="1049"/>
      <c r="B285" s="1043"/>
      <c r="C285" s="270" t="s">
        <v>169</v>
      </c>
      <c r="D285" s="1043"/>
      <c r="E285" s="381" t="s">
        <v>500</v>
      </c>
      <c r="F285" s="272" t="s">
        <v>501</v>
      </c>
      <c r="G285" s="273" t="s">
        <v>468</v>
      </c>
      <c r="H285" s="273" t="str">
        <f>VLOOKUP(G285,'[4]Pob. Ext, Parroquial'!$B$9:$C$117,2,0)</f>
        <v>SARAGURO</v>
      </c>
      <c r="I285" s="273" t="s">
        <v>265</v>
      </c>
      <c r="J285" s="273" t="s">
        <v>502</v>
      </c>
      <c r="K285" s="273"/>
      <c r="L285" s="273"/>
      <c r="M285" s="274">
        <f>IF(K285&gt;0,VLOOKUP(G285,'[4]Pob. Ext, Parroquial'!$B$8:$F$117,4,FALSE),0)</f>
        <v>0</v>
      </c>
      <c r="N285" s="275" t="s">
        <v>518</v>
      </c>
      <c r="O285" s="273" t="s">
        <v>516</v>
      </c>
      <c r="P285" s="273">
        <v>0.3</v>
      </c>
      <c r="Q285" s="273">
        <v>22750</v>
      </c>
      <c r="R285" s="273"/>
      <c r="S285" s="276">
        <v>41548</v>
      </c>
      <c r="T285" s="276">
        <v>41759</v>
      </c>
      <c r="U285" s="276" t="str">
        <f t="shared" si="12"/>
        <v>EN EJECUCION</v>
      </c>
      <c r="V285" s="277">
        <f t="shared" si="11"/>
        <v>6825</v>
      </c>
      <c r="W285" s="277"/>
      <c r="X285" s="277"/>
      <c r="Y285" s="1022"/>
      <c r="Z285" s="278"/>
      <c r="AA285" s="279" t="s">
        <v>505</v>
      </c>
      <c r="AB285" s="279" t="s">
        <v>178</v>
      </c>
      <c r="AC285" s="280" t="s">
        <v>179</v>
      </c>
      <c r="AD285" s="281">
        <v>2014</v>
      </c>
      <c r="AE285" s="267"/>
      <c r="AF285" s="267"/>
    </row>
    <row r="286" spans="1:32" s="268" customFormat="1" ht="50.1" customHeight="1">
      <c r="A286" s="1049"/>
      <c r="B286" s="1043"/>
      <c r="C286" s="270" t="s">
        <v>182</v>
      </c>
      <c r="D286" s="1043"/>
      <c r="E286" s="381" t="s">
        <v>500</v>
      </c>
      <c r="F286" s="272" t="s">
        <v>501</v>
      </c>
      <c r="G286" s="273" t="s">
        <v>468</v>
      </c>
      <c r="H286" s="273" t="str">
        <f>VLOOKUP(G286,'[4]Pob. Ext, Parroquial'!$B$9:$C$117,2,0)</f>
        <v>SARAGURO</v>
      </c>
      <c r="I286" s="273" t="s">
        <v>265</v>
      </c>
      <c r="J286" s="273" t="s">
        <v>502</v>
      </c>
      <c r="K286" s="273"/>
      <c r="L286" s="273"/>
      <c r="M286" s="274">
        <f>IF(K286&gt;0,VLOOKUP(G286,'[4]Pob. Ext, Parroquial'!$B$8:$F$117,4,FALSE),0)</f>
        <v>0</v>
      </c>
      <c r="N286" s="275" t="s">
        <v>528</v>
      </c>
      <c r="O286" s="273" t="s">
        <v>529</v>
      </c>
      <c r="P286" s="273">
        <v>1040.57</v>
      </c>
      <c r="Q286" s="273">
        <v>1</v>
      </c>
      <c r="R286" s="273"/>
      <c r="S286" s="276">
        <v>41548</v>
      </c>
      <c r="T286" s="276">
        <v>41670</v>
      </c>
      <c r="U286" s="276" t="str">
        <f t="shared" si="12"/>
        <v>EJECUTADO</v>
      </c>
      <c r="V286" s="277">
        <f t="shared" si="11"/>
        <v>1040.57</v>
      </c>
      <c r="W286" s="277"/>
      <c r="X286" s="277"/>
      <c r="Y286" s="1022"/>
      <c r="Z286" s="278"/>
      <c r="AA286" s="279" t="s">
        <v>505</v>
      </c>
      <c r="AB286" s="279" t="s">
        <v>178</v>
      </c>
      <c r="AC286" s="280" t="s">
        <v>179</v>
      </c>
      <c r="AD286" s="281">
        <v>2014</v>
      </c>
      <c r="AE286" s="267"/>
      <c r="AF286" s="267"/>
    </row>
    <row r="287" spans="1:32" s="268" customFormat="1" ht="50.1" customHeight="1">
      <c r="A287" s="1049"/>
      <c r="B287" s="1043"/>
      <c r="C287" s="270" t="s">
        <v>182</v>
      </c>
      <c r="D287" s="1043"/>
      <c r="E287" s="381" t="s">
        <v>500</v>
      </c>
      <c r="F287" s="272" t="s">
        <v>501</v>
      </c>
      <c r="G287" s="273" t="s">
        <v>468</v>
      </c>
      <c r="H287" s="273" t="str">
        <f>VLOOKUP(G287,'[4]Pob. Ext, Parroquial'!$B$9:$C$117,2,0)</f>
        <v>SARAGURO</v>
      </c>
      <c r="I287" s="273" t="s">
        <v>265</v>
      </c>
      <c r="J287" s="273" t="s">
        <v>502</v>
      </c>
      <c r="K287" s="273"/>
      <c r="L287" s="273"/>
      <c r="M287" s="274">
        <f>IF(K287&gt;0,VLOOKUP(G287,'[4]Pob. Ext, Parroquial'!$B$8:$F$117,4,FALSE),0)</f>
        <v>0</v>
      </c>
      <c r="N287" s="275" t="s">
        <v>530</v>
      </c>
      <c r="O287" s="273" t="s">
        <v>529</v>
      </c>
      <c r="P287" s="273">
        <v>664.56</v>
      </c>
      <c r="Q287" s="273">
        <v>2</v>
      </c>
      <c r="R287" s="273"/>
      <c r="S287" s="276">
        <v>41548</v>
      </c>
      <c r="T287" s="276">
        <v>41670</v>
      </c>
      <c r="U287" s="276" t="str">
        <f t="shared" si="12"/>
        <v>EJECUTADO</v>
      </c>
      <c r="V287" s="277">
        <f t="shared" si="11"/>
        <v>1329.12</v>
      </c>
      <c r="W287" s="277"/>
      <c r="X287" s="277"/>
      <c r="Y287" s="1022"/>
      <c r="Z287" s="278"/>
      <c r="AA287" s="279" t="s">
        <v>505</v>
      </c>
      <c r="AB287" s="279" t="s">
        <v>178</v>
      </c>
      <c r="AC287" s="280" t="s">
        <v>179</v>
      </c>
      <c r="AD287" s="281">
        <v>2014</v>
      </c>
      <c r="AE287" s="267"/>
      <c r="AF287" s="267"/>
    </row>
    <row r="288" spans="1:32" s="268" customFormat="1" ht="50.1" customHeight="1">
      <c r="A288" s="1049"/>
      <c r="B288" s="1043"/>
      <c r="C288" s="270" t="s">
        <v>182</v>
      </c>
      <c r="D288" s="1043"/>
      <c r="E288" s="381" t="s">
        <v>500</v>
      </c>
      <c r="F288" s="272" t="s">
        <v>501</v>
      </c>
      <c r="G288" s="273" t="s">
        <v>468</v>
      </c>
      <c r="H288" s="273" t="str">
        <f>VLOOKUP(G288,'[4]Pob. Ext, Parroquial'!$B$9:$C$117,2,0)</f>
        <v>SARAGURO</v>
      </c>
      <c r="I288" s="273" t="s">
        <v>265</v>
      </c>
      <c r="J288" s="273" t="s">
        <v>502</v>
      </c>
      <c r="K288" s="273"/>
      <c r="L288" s="273"/>
      <c r="M288" s="274">
        <f>IF(K288&gt;0,VLOOKUP(G288,'[4]Pob. Ext, Parroquial'!$B$8:$F$117,4,FALSE),0)</f>
        <v>0</v>
      </c>
      <c r="N288" s="275" t="s">
        <v>360</v>
      </c>
      <c r="O288" s="273" t="s">
        <v>510</v>
      </c>
      <c r="P288" s="273">
        <v>0.42</v>
      </c>
      <c r="Q288" s="273">
        <v>38791.11</v>
      </c>
      <c r="R288" s="273"/>
      <c r="S288" s="276">
        <v>41548</v>
      </c>
      <c r="T288" s="276">
        <v>41759</v>
      </c>
      <c r="U288" s="276" t="str">
        <f t="shared" si="12"/>
        <v>EN EJECUCION</v>
      </c>
      <c r="V288" s="277">
        <f t="shared" si="11"/>
        <v>16292.27</v>
      </c>
      <c r="W288" s="277"/>
      <c r="X288" s="277"/>
      <c r="Y288" s="1022"/>
      <c r="Z288" s="278"/>
      <c r="AA288" s="279" t="s">
        <v>505</v>
      </c>
      <c r="AB288" s="279" t="s">
        <v>178</v>
      </c>
      <c r="AC288" s="280" t="s">
        <v>187</v>
      </c>
      <c r="AD288" s="281">
        <v>2014</v>
      </c>
      <c r="AE288" s="267"/>
      <c r="AF288" s="267"/>
    </row>
    <row r="289" spans="1:32" s="268" customFormat="1" ht="50.1" customHeight="1">
      <c r="A289" s="1049"/>
      <c r="B289" s="1043"/>
      <c r="C289" s="270" t="s">
        <v>169</v>
      </c>
      <c r="D289" s="1043"/>
      <c r="E289" s="381" t="s">
        <v>500</v>
      </c>
      <c r="F289" s="272" t="s">
        <v>501</v>
      </c>
      <c r="G289" s="273" t="s">
        <v>468</v>
      </c>
      <c r="H289" s="273" t="str">
        <f>VLOOKUP(G289,'[4]Pob. Ext, Parroquial'!$B$9:$C$117,2,0)</f>
        <v>SARAGURO</v>
      </c>
      <c r="I289" s="273" t="s">
        <v>265</v>
      </c>
      <c r="J289" s="273" t="s">
        <v>502</v>
      </c>
      <c r="K289" s="273"/>
      <c r="L289" s="273"/>
      <c r="M289" s="274">
        <f>IF(K289&gt;0,VLOOKUP(G289,'[4]Pob. Ext, Parroquial'!$B$8:$F$117,4,FALSE),0)</f>
        <v>0</v>
      </c>
      <c r="N289" s="275" t="s">
        <v>531</v>
      </c>
      <c r="O289" s="273" t="s">
        <v>532</v>
      </c>
      <c r="P289" s="273">
        <v>78920.429999999993</v>
      </c>
      <c r="Q289" s="273">
        <v>1</v>
      </c>
      <c r="R289" s="273"/>
      <c r="S289" s="276">
        <v>41548</v>
      </c>
      <c r="T289" s="276">
        <v>41670</v>
      </c>
      <c r="U289" s="276" t="str">
        <f t="shared" si="12"/>
        <v>EJECUTADO</v>
      </c>
      <c r="V289" s="277">
        <f>ROUND(P289*Q289,2)</f>
        <v>78920.429999999993</v>
      </c>
      <c r="W289" s="277"/>
      <c r="X289" s="277"/>
      <c r="Y289" s="1022"/>
      <c r="Z289" s="278"/>
      <c r="AA289" s="279"/>
      <c r="AB289" s="279"/>
      <c r="AC289" s="280"/>
      <c r="AD289" s="281"/>
      <c r="AE289" s="267"/>
      <c r="AF289" s="267"/>
    </row>
    <row r="290" spans="1:32" s="268" customFormat="1" ht="50.1" customHeight="1" thickBot="1">
      <c r="A290" s="1050"/>
      <c r="B290" s="1051"/>
      <c r="C290" s="283" t="s">
        <v>182</v>
      </c>
      <c r="D290" s="1051"/>
      <c r="E290" s="384" t="s">
        <v>500</v>
      </c>
      <c r="F290" s="285" t="s">
        <v>501</v>
      </c>
      <c r="G290" s="286" t="s">
        <v>468</v>
      </c>
      <c r="H290" s="286" t="str">
        <f>VLOOKUP(G290,'[4]Pob. Ext, Parroquial'!$B$9:$C$117,2,0)</f>
        <v>SARAGURO</v>
      </c>
      <c r="I290" s="286" t="s">
        <v>265</v>
      </c>
      <c r="J290" s="286" t="s">
        <v>502</v>
      </c>
      <c r="K290" s="286"/>
      <c r="L290" s="286"/>
      <c r="M290" s="287">
        <f>IF(K290&gt;0,VLOOKUP(G290,'[4]Pob. Ext, Parroquial'!$B$8:$F$117,4,FALSE),0)</f>
        <v>0</v>
      </c>
      <c r="N290" s="288" t="s">
        <v>533</v>
      </c>
      <c r="O290" s="286" t="s">
        <v>529</v>
      </c>
      <c r="P290" s="286">
        <v>300</v>
      </c>
      <c r="Q290" s="286">
        <v>11</v>
      </c>
      <c r="R290" s="286"/>
      <c r="S290" s="289">
        <v>41548</v>
      </c>
      <c r="T290" s="289">
        <v>41670</v>
      </c>
      <c r="U290" s="289" t="str">
        <f t="shared" si="12"/>
        <v>EJECUTADO</v>
      </c>
      <c r="V290" s="290">
        <f t="shared" si="11"/>
        <v>3300</v>
      </c>
      <c r="W290" s="290"/>
      <c r="X290" s="290"/>
      <c r="Y290" s="1023"/>
      <c r="Z290" s="385"/>
      <c r="AA290" s="386" t="s">
        <v>505</v>
      </c>
      <c r="AB290" s="386" t="s">
        <v>178</v>
      </c>
      <c r="AC290" s="387" t="s">
        <v>179</v>
      </c>
      <c r="AD290" s="388">
        <v>2014</v>
      </c>
      <c r="AE290" s="267"/>
      <c r="AF290" s="267"/>
    </row>
    <row r="291" spans="1:32" s="390" customFormat="1" ht="24" thickTop="1">
      <c r="A291" s="389"/>
      <c r="E291" s="391"/>
      <c r="O291" s="392"/>
      <c r="P291" s="392"/>
      <c r="Q291" s="392"/>
      <c r="R291" s="393"/>
      <c r="S291" s="393"/>
      <c r="W291" s="393"/>
      <c r="X291" s="393"/>
      <c r="Y291" s="394"/>
      <c r="AD291" s="395"/>
    </row>
    <row r="292" spans="1:32" s="92" customFormat="1">
      <c r="A292" s="220"/>
      <c r="E292" s="203"/>
      <c r="I292" s="104" t="s">
        <v>534</v>
      </c>
      <c r="K292" s="396">
        <f>SUBTOTAL(9,K11:K290)</f>
        <v>1082.4500000000005</v>
      </c>
      <c r="L292" s="105">
        <f>SUBTOTAL(9,L11:L290)</f>
        <v>752.26999999999953</v>
      </c>
      <c r="M292" s="106">
        <f>SUBTOTAL(9,M11:M290)</f>
        <v>155683</v>
      </c>
      <c r="O292" s="113"/>
      <c r="P292" s="113"/>
      <c r="Q292" s="397"/>
      <c r="R292" s="111"/>
      <c r="S292" s="111"/>
      <c r="V292" s="398">
        <f>SUM(V11:V290)</f>
        <v>3288700.1899999995</v>
      </c>
      <c r="W292" s="111"/>
      <c r="X292" s="111"/>
      <c r="Y292" s="399">
        <f>SUM(Y11:Y290)</f>
        <v>3288700.1900000004</v>
      </c>
      <c r="AD292" s="102"/>
      <c r="AE292" s="1053">
        <f>SUBTOTAL(9,V11:V290)</f>
        <v>3288700.1899999995</v>
      </c>
      <c r="AF292" s="1053"/>
    </row>
    <row r="293" spans="1:32" s="92" customFormat="1">
      <c r="A293" s="220"/>
      <c r="E293" s="203"/>
      <c r="K293" s="397"/>
      <c r="L293" s="400"/>
      <c r="M293" s="401"/>
      <c r="O293" s="113"/>
      <c r="P293" s="113"/>
      <c r="Q293" s="397"/>
      <c r="R293" s="111"/>
      <c r="S293" s="111"/>
      <c r="V293" s="402"/>
      <c r="W293" s="111"/>
      <c r="X293" s="111"/>
      <c r="Y293" s="112"/>
      <c r="AD293" s="102"/>
      <c r="AE293" s="125"/>
      <c r="AF293" s="125"/>
    </row>
    <row r="294" spans="1:32" s="92" customFormat="1">
      <c r="A294" s="220"/>
      <c r="E294" s="203"/>
      <c r="K294" s="397"/>
      <c r="L294" s="400"/>
      <c r="M294" s="401"/>
      <c r="O294" s="113"/>
      <c r="P294" s="113"/>
      <c r="Q294" s="397"/>
      <c r="R294" s="111"/>
      <c r="S294" s="111"/>
      <c r="V294" s="402"/>
      <c r="W294" s="111"/>
      <c r="X294" s="111"/>
      <c r="Y294" s="112"/>
      <c r="AD294" s="102"/>
      <c r="AE294" s="125"/>
      <c r="AF294" s="125"/>
    </row>
    <row r="295" spans="1:32" s="92" customFormat="1">
      <c r="A295" s="201"/>
      <c r="B295" s="202"/>
      <c r="E295" s="203"/>
      <c r="K295" s="397"/>
      <c r="L295" s="400"/>
      <c r="M295" s="401"/>
      <c r="O295" s="113" t="s">
        <v>732</v>
      </c>
      <c r="P295" s="403" t="s">
        <v>733</v>
      </c>
      <c r="Q295" s="397"/>
      <c r="R295" s="111"/>
      <c r="S295" s="111"/>
      <c r="V295" s="402"/>
      <c r="W295" s="111"/>
      <c r="X295" s="111"/>
      <c r="Y295" s="112"/>
      <c r="AD295" s="102"/>
      <c r="AE295" s="125"/>
      <c r="AF295" s="125"/>
    </row>
    <row r="296" spans="1:32" s="92" customFormat="1">
      <c r="A296" s="201"/>
      <c r="B296" s="202"/>
      <c r="E296" s="203"/>
      <c r="K296" s="397"/>
      <c r="L296" s="400"/>
      <c r="M296" s="401"/>
      <c r="O296" s="1054" t="s">
        <v>734</v>
      </c>
      <c r="P296" s="1054"/>
      <c r="Q296" s="1054"/>
      <c r="R296" s="1054"/>
      <c r="S296" s="1054"/>
      <c r="V296" s="402"/>
      <c r="W296" s="111"/>
      <c r="X296" s="111"/>
      <c r="Y296" s="112"/>
      <c r="AD296" s="102"/>
      <c r="AE296" s="125"/>
      <c r="AF296" s="125"/>
    </row>
  </sheetData>
  <sheetProtection selectLockedCells="1" selectUnlockedCells="1"/>
  <autoFilter ref="A10:Y290"/>
  <mergeCells count="195">
    <mergeCell ref="AE292:AF292"/>
    <mergeCell ref="O296:S296"/>
    <mergeCell ref="A259:A261"/>
    <mergeCell ref="B259:B261"/>
    <mergeCell ref="D259:D261"/>
    <mergeCell ref="Y259:Y261"/>
    <mergeCell ref="A264:A290"/>
    <mergeCell ref="B264:B290"/>
    <mergeCell ref="D264:D290"/>
    <mergeCell ref="Y264:Y290"/>
    <mergeCell ref="A250:A253"/>
    <mergeCell ref="B250:B253"/>
    <mergeCell ref="D250:D253"/>
    <mergeCell ref="Y250:Y253"/>
    <mergeCell ref="A254:A258"/>
    <mergeCell ref="B254:B258"/>
    <mergeCell ref="D254:D258"/>
    <mergeCell ref="Y254:Y258"/>
    <mergeCell ref="A244:A245"/>
    <mergeCell ref="B244:B245"/>
    <mergeCell ref="D244:D245"/>
    <mergeCell ref="Y244:Y245"/>
    <mergeCell ref="A247:A248"/>
    <mergeCell ref="B247:B248"/>
    <mergeCell ref="D247:D248"/>
    <mergeCell ref="Y247:Y248"/>
    <mergeCell ref="A233:A235"/>
    <mergeCell ref="B233:B235"/>
    <mergeCell ref="D233:D235"/>
    <mergeCell ref="Y233:Y235"/>
    <mergeCell ref="A237:A243"/>
    <mergeCell ref="B237:B243"/>
    <mergeCell ref="D237:D243"/>
    <mergeCell ref="Y237:Y243"/>
    <mergeCell ref="A222:A225"/>
    <mergeCell ref="B222:B225"/>
    <mergeCell ref="D222:D225"/>
    <mergeCell ref="Y222:Y225"/>
    <mergeCell ref="A226:A231"/>
    <mergeCell ref="B226:B231"/>
    <mergeCell ref="D226:D231"/>
    <mergeCell ref="Y226:Y231"/>
    <mergeCell ref="A217:A219"/>
    <mergeCell ref="B217:B219"/>
    <mergeCell ref="D217:D219"/>
    <mergeCell ref="Y217:Y219"/>
    <mergeCell ref="A220:A221"/>
    <mergeCell ref="B220:B221"/>
    <mergeCell ref="D220:D221"/>
    <mergeCell ref="Y220:Y221"/>
    <mergeCell ref="A211:A214"/>
    <mergeCell ref="B211:B214"/>
    <mergeCell ref="D211:D214"/>
    <mergeCell ref="Y211:Y214"/>
    <mergeCell ref="A215:A216"/>
    <mergeCell ref="B215:B216"/>
    <mergeCell ref="D215:D216"/>
    <mergeCell ref="Y215:Y216"/>
    <mergeCell ref="A197:A201"/>
    <mergeCell ref="B197:B201"/>
    <mergeCell ref="D197:D201"/>
    <mergeCell ref="Y197:Y201"/>
    <mergeCell ref="A202:A207"/>
    <mergeCell ref="B202:B207"/>
    <mergeCell ref="D202:D207"/>
    <mergeCell ref="Y202:Y207"/>
    <mergeCell ref="A191:A192"/>
    <mergeCell ref="B191:B192"/>
    <mergeCell ref="D191:D192"/>
    <mergeCell ref="Y191:Y192"/>
    <mergeCell ref="A194:A196"/>
    <mergeCell ref="B194:B196"/>
    <mergeCell ref="D194:D196"/>
    <mergeCell ref="Y194:Y196"/>
    <mergeCell ref="A179:A182"/>
    <mergeCell ref="B179:B182"/>
    <mergeCell ref="D179:D182"/>
    <mergeCell ref="Y179:Y182"/>
    <mergeCell ref="A183:A187"/>
    <mergeCell ref="B183:B187"/>
    <mergeCell ref="D183:D187"/>
    <mergeCell ref="Y183:Y187"/>
    <mergeCell ref="A171:A176"/>
    <mergeCell ref="B171:B176"/>
    <mergeCell ref="D171:D176"/>
    <mergeCell ref="Y171:Y176"/>
    <mergeCell ref="A177:A178"/>
    <mergeCell ref="B177:B178"/>
    <mergeCell ref="D177:D178"/>
    <mergeCell ref="Y177:Y178"/>
    <mergeCell ref="A161:A163"/>
    <mergeCell ref="B161:B163"/>
    <mergeCell ref="D161:D163"/>
    <mergeCell ref="Y161:Y163"/>
    <mergeCell ref="A165:A170"/>
    <mergeCell ref="B165:B170"/>
    <mergeCell ref="D165:D170"/>
    <mergeCell ref="Y165:Y170"/>
    <mergeCell ref="A145:A150"/>
    <mergeCell ref="B145:B150"/>
    <mergeCell ref="D145:D150"/>
    <mergeCell ref="Y145:Y150"/>
    <mergeCell ref="A151:A157"/>
    <mergeCell ref="B151:B157"/>
    <mergeCell ref="D151:D157"/>
    <mergeCell ref="Y151:Y157"/>
    <mergeCell ref="A137:A139"/>
    <mergeCell ref="B137:B139"/>
    <mergeCell ref="D137:D139"/>
    <mergeCell ref="Y137:Y139"/>
    <mergeCell ref="A142:A144"/>
    <mergeCell ref="B142:B144"/>
    <mergeCell ref="D142:D144"/>
    <mergeCell ref="Y142:Y144"/>
    <mergeCell ref="A125:A128"/>
    <mergeCell ref="B125:B128"/>
    <mergeCell ref="D125:D128"/>
    <mergeCell ref="Y125:Y128"/>
    <mergeCell ref="A129:A134"/>
    <mergeCell ref="B129:B134"/>
    <mergeCell ref="D129:D134"/>
    <mergeCell ref="A111:A119"/>
    <mergeCell ref="B111:B119"/>
    <mergeCell ref="D111:D119"/>
    <mergeCell ref="Y111:Y119"/>
    <mergeCell ref="A120:A124"/>
    <mergeCell ref="B120:B124"/>
    <mergeCell ref="D120:D124"/>
    <mergeCell ref="Y120:Y124"/>
    <mergeCell ref="A93:A101"/>
    <mergeCell ref="B93:B101"/>
    <mergeCell ref="D93:D101"/>
    <mergeCell ref="Y93:Y101"/>
    <mergeCell ref="A102:A110"/>
    <mergeCell ref="B102:B110"/>
    <mergeCell ref="D102:D110"/>
    <mergeCell ref="Y102:Y110"/>
    <mergeCell ref="A75:A83"/>
    <mergeCell ref="B75:B83"/>
    <mergeCell ref="D75:D83"/>
    <mergeCell ref="Y75:Y83"/>
    <mergeCell ref="A84:A92"/>
    <mergeCell ref="B84:B92"/>
    <mergeCell ref="D84:D92"/>
    <mergeCell ref="Y84:Y92"/>
    <mergeCell ref="A58:A63"/>
    <mergeCell ref="B58:B63"/>
    <mergeCell ref="D58:D63"/>
    <mergeCell ref="Y58:Y63"/>
    <mergeCell ref="A64:A72"/>
    <mergeCell ref="B64:B72"/>
    <mergeCell ref="D64:D72"/>
    <mergeCell ref="Y64:Y72"/>
    <mergeCell ref="A53:A54"/>
    <mergeCell ref="B53:B54"/>
    <mergeCell ref="D53:D54"/>
    <mergeCell ref="Y53:Y54"/>
    <mergeCell ref="A55:A56"/>
    <mergeCell ref="B55:B56"/>
    <mergeCell ref="D55:D56"/>
    <mergeCell ref="Y55:Y56"/>
    <mergeCell ref="Y43:Y45"/>
    <mergeCell ref="A46:A48"/>
    <mergeCell ref="B46:B48"/>
    <mergeCell ref="D46:D48"/>
    <mergeCell ref="Y46:Y48"/>
    <mergeCell ref="A49:A52"/>
    <mergeCell ref="B49:B52"/>
    <mergeCell ref="D49:D52"/>
    <mergeCell ref="Y49:Y52"/>
    <mergeCell ref="A35:A36"/>
    <mergeCell ref="B35:B36"/>
    <mergeCell ref="D35:D36"/>
    <mergeCell ref="A43:A45"/>
    <mergeCell ref="B43:B45"/>
    <mergeCell ref="D43:D45"/>
    <mergeCell ref="A18:A22"/>
    <mergeCell ref="D18:D22"/>
    <mergeCell ref="Y18:Y22"/>
    <mergeCell ref="A33:A34"/>
    <mergeCell ref="B33:B34"/>
    <mergeCell ref="D33:D34"/>
    <mergeCell ref="A11:A14"/>
    <mergeCell ref="D11:D14"/>
    <mergeCell ref="Y11:Y14"/>
    <mergeCell ref="A15:A17"/>
    <mergeCell ref="D15:D17"/>
    <mergeCell ref="Y15:Y17"/>
    <mergeCell ref="C1:AC1"/>
    <mergeCell ref="G4:I4"/>
    <mergeCell ref="A6:B8"/>
    <mergeCell ref="I9:K9"/>
    <mergeCell ref="S9:T9"/>
    <mergeCell ref="V9:X9"/>
    <mergeCell ref="AB9:AD9"/>
  </mergeCells>
  <pageMargins left="0.23622047244094491" right="0.23622047244094491" top="0.74803149606299213" bottom="0.74803149606299213" header="0.31496062992125984" footer="0.31496062992125984"/>
  <pageSetup paperSize="9" scale="48" firstPageNumber="0" fitToHeight="0" orientation="landscape" horizontalDpi="4294967293" verticalDpi="300" r:id="rId1"/>
  <headerFooter alignWithMargins="0">
    <oddFooter>&amp;F&amp;RPágina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V65"/>
  <sheetViews>
    <sheetView topLeftCell="A9" workbookViewId="0">
      <pane xSplit="2" ySplit="3" topLeftCell="C42" activePane="bottomRight" state="frozen"/>
      <selection activeCell="C12" sqref="C12"/>
      <selection pane="topRight" activeCell="C12" sqref="C12"/>
      <selection pane="bottomLeft" activeCell="C12" sqref="C12"/>
      <selection pane="bottomRight" activeCell="M52" sqref="M52"/>
    </sheetView>
  </sheetViews>
  <sheetFormatPr baseColWidth="10" defaultRowHeight="12.75"/>
  <cols>
    <col min="1" max="1" width="8.7109375" bestFit="1" customWidth="1"/>
    <col min="2" max="2" width="28.140625" customWidth="1"/>
    <col min="4" max="4" width="7.28515625" customWidth="1"/>
    <col min="5" max="5" width="10.140625" customWidth="1"/>
    <col min="6" max="6" width="9.7109375" customWidth="1"/>
    <col min="7" max="7" width="10.28515625" customWidth="1"/>
    <col min="8" max="8" width="5.5703125" customWidth="1"/>
    <col min="9" max="9" width="9.85546875" customWidth="1"/>
    <col min="10" max="10" width="9.42578125" customWidth="1"/>
    <col min="11" max="11" width="9.7109375" customWidth="1"/>
    <col min="12" max="12" width="5.5703125" customWidth="1"/>
    <col min="14" max="14" width="11.7109375" bestFit="1" customWidth="1"/>
  </cols>
  <sheetData>
    <row r="1" spans="1:22" ht="18">
      <c r="A1" s="1056" t="s">
        <v>0</v>
      </c>
      <c r="B1" s="1056"/>
      <c r="C1" s="1056"/>
      <c r="D1" s="1056"/>
      <c r="E1" s="1056"/>
      <c r="F1" s="1056"/>
      <c r="G1" s="1056"/>
      <c r="H1" s="1056"/>
      <c r="I1" s="1056"/>
      <c r="J1" s="1056"/>
      <c r="K1" s="1056"/>
      <c r="L1" s="1056"/>
    </row>
    <row r="2" spans="1:22" ht="1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</row>
    <row r="3" spans="1:22" ht="18">
      <c r="A3" s="1056" t="s">
        <v>1</v>
      </c>
      <c r="B3" s="1056"/>
      <c r="C3" s="1056"/>
      <c r="D3" s="1056"/>
      <c r="E3" s="1056"/>
      <c r="F3" s="1056"/>
      <c r="G3" s="1056"/>
      <c r="H3" s="1056"/>
      <c r="I3" s="1056"/>
      <c r="J3" s="1056"/>
      <c r="K3" s="1056"/>
      <c r="L3" s="1056"/>
    </row>
    <row r="4" spans="1:22" ht="18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22" ht="18">
      <c r="A5" s="1056" t="s">
        <v>2</v>
      </c>
      <c r="B5" s="1056"/>
      <c r="C5" s="1056"/>
      <c r="D5" s="1056"/>
      <c r="E5" s="1056"/>
      <c r="F5" s="1056"/>
      <c r="G5" s="1056"/>
      <c r="H5" s="1056"/>
      <c r="I5" s="1056"/>
      <c r="J5" s="1056"/>
      <c r="K5" s="1056"/>
      <c r="L5" s="1056"/>
    </row>
    <row r="6" spans="1:22" ht="18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22" ht="18">
      <c r="A7" s="1056" t="s">
        <v>3</v>
      </c>
      <c r="B7" s="1056"/>
      <c r="C7" s="1056"/>
      <c r="D7" s="1056"/>
      <c r="E7" s="1056"/>
      <c r="F7" s="1056"/>
      <c r="G7" s="1056"/>
      <c r="H7" s="1056"/>
      <c r="I7" s="1056"/>
      <c r="J7" s="1056"/>
      <c r="K7" s="1056"/>
      <c r="L7" s="1056"/>
    </row>
    <row r="8" spans="1:22" ht="18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22" ht="18">
      <c r="A9" s="2"/>
      <c r="B9" s="2"/>
      <c r="C9" s="4"/>
      <c r="D9" s="4"/>
      <c r="E9" s="3" t="s">
        <v>4</v>
      </c>
      <c r="F9" s="3"/>
      <c r="G9" s="3"/>
      <c r="H9" s="3"/>
      <c r="I9" s="4"/>
      <c r="J9" s="2"/>
      <c r="K9" s="2"/>
      <c r="L9" s="2"/>
    </row>
    <row r="10" spans="1:22">
      <c r="A10" s="5" t="s">
        <v>5</v>
      </c>
      <c r="B10" s="6" t="s">
        <v>6</v>
      </c>
      <c r="C10" s="6" t="s">
        <v>7</v>
      </c>
      <c r="D10" s="6" t="s">
        <v>8</v>
      </c>
      <c r="E10" s="6" t="s">
        <v>9</v>
      </c>
      <c r="F10" s="6" t="s">
        <v>10</v>
      </c>
      <c r="G10" s="6" t="s">
        <v>11</v>
      </c>
      <c r="H10" s="7" t="s">
        <v>12</v>
      </c>
      <c r="I10" s="8" t="s">
        <v>13</v>
      </c>
      <c r="J10" s="6" t="s">
        <v>14</v>
      </c>
      <c r="K10" s="6" t="s">
        <v>15</v>
      </c>
      <c r="L10" s="6" t="s">
        <v>16</v>
      </c>
      <c r="N10" s="6" t="s">
        <v>17</v>
      </c>
      <c r="O10" s="6" t="s">
        <v>8</v>
      </c>
      <c r="P10" s="6" t="s">
        <v>18</v>
      </c>
      <c r="Q10" s="6" t="s">
        <v>19</v>
      </c>
      <c r="R10" s="6" t="s">
        <v>20</v>
      </c>
      <c r="S10" s="8" t="s">
        <v>21</v>
      </c>
      <c r="T10" s="6" t="s">
        <v>14</v>
      </c>
      <c r="U10" s="6" t="s">
        <v>22</v>
      </c>
      <c r="V10" s="6"/>
    </row>
    <row r="11" spans="1:22">
      <c r="A11" s="9">
        <v>71</v>
      </c>
      <c r="B11" s="9" t="s">
        <v>23</v>
      </c>
      <c r="C11" s="10" t="s">
        <v>24</v>
      </c>
      <c r="D11" s="11" t="s">
        <v>25</v>
      </c>
      <c r="E11" s="10" t="s">
        <v>7</v>
      </c>
      <c r="F11" s="10" t="s">
        <v>26</v>
      </c>
      <c r="G11" s="12" t="s">
        <v>27</v>
      </c>
      <c r="H11" s="13" t="s">
        <v>28</v>
      </c>
      <c r="I11" s="14"/>
      <c r="J11" s="11"/>
      <c r="K11" s="10" t="s">
        <v>29</v>
      </c>
      <c r="L11" s="12" t="s">
        <v>30</v>
      </c>
      <c r="N11" s="10">
        <v>1194138.93</v>
      </c>
      <c r="O11" s="11">
        <v>0</v>
      </c>
      <c r="P11" s="10">
        <v>1194138.93</v>
      </c>
      <c r="Q11" s="10" t="s">
        <v>31</v>
      </c>
      <c r="R11" s="12">
        <v>752610.47</v>
      </c>
      <c r="S11" s="14">
        <v>301336.98</v>
      </c>
      <c r="T11" s="11">
        <v>301356.09999999998</v>
      </c>
      <c r="U11" s="10">
        <v>892801.95</v>
      </c>
      <c r="V11" s="12"/>
    </row>
    <row r="12" spans="1:22">
      <c r="A12" s="15">
        <v>710203</v>
      </c>
      <c r="B12" s="15" t="s">
        <v>32</v>
      </c>
      <c r="C12" s="16">
        <v>29463.51</v>
      </c>
      <c r="D12" s="16">
        <v>0</v>
      </c>
      <c r="E12" s="16">
        <f t="shared" ref="E12:E20" si="0">(C12+D12)</f>
        <v>29463.51</v>
      </c>
      <c r="F12" s="17">
        <v>6755.06</v>
      </c>
      <c r="G12" s="16">
        <f t="shared" ref="G12:G19" si="1">(E12-F12)</f>
        <v>22708.449999999997</v>
      </c>
      <c r="H12" s="16">
        <f t="shared" ref="H12:H53" si="2">(F12/E12*100)</f>
        <v>22.926867844326765</v>
      </c>
      <c r="I12" s="17">
        <v>6243.72</v>
      </c>
      <c r="J12" s="17">
        <v>6243.72</v>
      </c>
      <c r="K12" s="16">
        <f t="shared" ref="K12:K18" si="3">(E12-I12)</f>
        <v>23219.789999999997</v>
      </c>
      <c r="L12" s="16">
        <f t="shared" ref="L12:L18" si="4">(I12/E12*100)</f>
        <v>21.191365183577926</v>
      </c>
      <c r="N12" s="18">
        <f>C54</f>
        <v>1194138.9300000002</v>
      </c>
      <c r="O12" s="18">
        <f>D54</f>
        <v>0</v>
      </c>
      <c r="P12" s="18">
        <f>E54</f>
        <v>1194138.9300000002</v>
      </c>
      <c r="Q12" s="18">
        <f>F54</f>
        <v>441528.45999999996</v>
      </c>
      <c r="R12" s="18">
        <f>G54</f>
        <v>752610.4700000002</v>
      </c>
      <c r="S12" s="18">
        <f>I54</f>
        <v>301336.98000000004</v>
      </c>
      <c r="T12" s="18">
        <f>J54</f>
        <v>301356.10000000003</v>
      </c>
      <c r="U12" s="18">
        <f>K54</f>
        <v>892801.95000000019</v>
      </c>
      <c r="V12" s="18"/>
    </row>
    <row r="13" spans="1:22">
      <c r="A13" s="15">
        <v>710204</v>
      </c>
      <c r="B13" s="15" t="s">
        <v>33</v>
      </c>
      <c r="C13" s="16">
        <v>11222</v>
      </c>
      <c r="D13" s="16">
        <v>0</v>
      </c>
      <c r="E13" s="16">
        <f t="shared" si="0"/>
        <v>11222</v>
      </c>
      <c r="F13" s="17">
        <v>710.8</v>
      </c>
      <c r="G13" s="16">
        <v>10911.82</v>
      </c>
      <c r="H13" s="16">
        <f t="shared" si="2"/>
        <v>6.333986811620032</v>
      </c>
      <c r="I13" s="17">
        <v>787.7</v>
      </c>
      <c r="J13" s="17">
        <v>787.7</v>
      </c>
      <c r="K13" s="16">
        <f t="shared" si="3"/>
        <v>10434.299999999999</v>
      </c>
      <c r="L13" s="16">
        <f t="shared" si="4"/>
        <v>7.0192479058991273</v>
      </c>
    </row>
    <row r="14" spans="1:22">
      <c r="A14" s="15">
        <v>710509</v>
      </c>
      <c r="B14" s="15" t="s">
        <v>34</v>
      </c>
      <c r="C14" s="16">
        <v>11000</v>
      </c>
      <c r="D14" s="16">
        <v>0</v>
      </c>
      <c r="E14" s="16">
        <f t="shared" si="0"/>
        <v>11000</v>
      </c>
      <c r="F14" s="16">
        <v>0</v>
      </c>
      <c r="G14" s="16">
        <f t="shared" si="1"/>
        <v>11000</v>
      </c>
      <c r="H14" s="16">
        <f t="shared" si="2"/>
        <v>0</v>
      </c>
      <c r="I14" s="17">
        <v>0</v>
      </c>
      <c r="J14" s="16">
        <v>0</v>
      </c>
      <c r="K14" s="16">
        <f t="shared" si="3"/>
        <v>11000</v>
      </c>
      <c r="L14" s="16">
        <f t="shared" si="4"/>
        <v>0</v>
      </c>
    </row>
    <row r="15" spans="1:22">
      <c r="A15" s="15">
        <v>710510</v>
      </c>
      <c r="B15" s="16" t="s">
        <v>35</v>
      </c>
      <c r="C15" s="16">
        <v>350562.16</v>
      </c>
      <c r="D15" s="16">
        <v>0</v>
      </c>
      <c r="E15" s="16">
        <f t="shared" si="0"/>
        <v>350562.16</v>
      </c>
      <c r="F15" s="17">
        <v>180102.06</v>
      </c>
      <c r="G15" s="16">
        <f t="shared" si="1"/>
        <v>170460.09999999998</v>
      </c>
      <c r="H15" s="16">
        <f t="shared" si="2"/>
        <v>51.375214027663453</v>
      </c>
      <c r="I15" s="17">
        <v>176421.66</v>
      </c>
      <c r="J15" s="17">
        <v>176421.66</v>
      </c>
      <c r="K15" s="16">
        <f t="shared" si="3"/>
        <v>174140.49999999997</v>
      </c>
      <c r="L15" s="16">
        <f t="shared" si="4"/>
        <v>50.325357420207595</v>
      </c>
    </row>
    <row r="16" spans="1:22">
      <c r="A16" s="15">
        <v>710601</v>
      </c>
      <c r="B16" s="15" t="s">
        <v>36</v>
      </c>
      <c r="C16" s="16">
        <v>42957.8</v>
      </c>
      <c r="D16" s="16">
        <v>0</v>
      </c>
      <c r="E16" s="16">
        <f t="shared" si="0"/>
        <v>42957.8</v>
      </c>
      <c r="F16" s="16">
        <v>21589.01</v>
      </c>
      <c r="G16" s="16">
        <f t="shared" si="1"/>
        <v>21368.790000000005</v>
      </c>
      <c r="H16" s="16">
        <f t="shared" si="2"/>
        <v>50.256321319993106</v>
      </c>
      <c r="I16" s="16">
        <v>20622.330000000002</v>
      </c>
      <c r="J16" s="16">
        <v>20622.330000000002</v>
      </c>
      <c r="K16" s="16">
        <f t="shared" si="3"/>
        <v>22335.47</v>
      </c>
      <c r="L16" s="16">
        <f t="shared" si="4"/>
        <v>48.006019861352307</v>
      </c>
    </row>
    <row r="17" spans="1:12">
      <c r="A17" s="15">
        <v>710602</v>
      </c>
      <c r="B17" s="15" t="s">
        <v>37</v>
      </c>
      <c r="C17" s="16">
        <v>3000</v>
      </c>
      <c r="D17" s="16">
        <v>0</v>
      </c>
      <c r="E17" s="16">
        <f t="shared" si="0"/>
        <v>3000</v>
      </c>
      <c r="F17" s="17">
        <v>1602.72</v>
      </c>
      <c r="G17" s="16">
        <f t="shared" si="1"/>
        <v>1397.28</v>
      </c>
      <c r="H17" s="16">
        <f t="shared" si="2"/>
        <v>53.424000000000007</v>
      </c>
      <c r="I17" s="17">
        <v>1465.11</v>
      </c>
      <c r="J17" s="17">
        <v>1465.11</v>
      </c>
      <c r="K17" s="16">
        <f t="shared" si="3"/>
        <v>1534.89</v>
      </c>
      <c r="L17" s="16">
        <f t="shared" si="4"/>
        <v>48.836999999999996</v>
      </c>
    </row>
    <row r="18" spans="1:12" ht="12.75" customHeight="1">
      <c r="A18" s="15">
        <v>710707</v>
      </c>
      <c r="B18" s="19" t="s">
        <v>38</v>
      </c>
      <c r="C18" s="20">
        <v>17825.240000000002</v>
      </c>
      <c r="D18" s="20"/>
      <c r="E18" s="16">
        <f t="shared" si="0"/>
        <v>17825.240000000002</v>
      </c>
      <c r="F18" s="17">
        <v>462.78</v>
      </c>
      <c r="G18" s="16">
        <f t="shared" si="1"/>
        <v>17362.460000000003</v>
      </c>
      <c r="H18" s="16">
        <f t="shared" si="2"/>
        <v>2.5962062782885389</v>
      </c>
      <c r="I18" s="17">
        <v>407.78</v>
      </c>
      <c r="J18" s="17">
        <v>407.78</v>
      </c>
      <c r="K18" s="16">
        <f t="shared" si="3"/>
        <v>17417.460000000003</v>
      </c>
      <c r="L18" s="16">
        <f t="shared" si="4"/>
        <v>2.2876550329757128</v>
      </c>
    </row>
    <row r="19" spans="1:12" ht="11.25" customHeight="1">
      <c r="A19" s="9">
        <v>71</v>
      </c>
      <c r="B19" s="21" t="s">
        <v>39</v>
      </c>
      <c r="C19" s="22">
        <f>SUM(C12:C18)</f>
        <v>466030.70999999996</v>
      </c>
      <c r="D19" s="23">
        <f>SUM(D12:D18)</f>
        <v>0</v>
      </c>
      <c r="E19" s="24">
        <f t="shared" si="0"/>
        <v>466030.70999999996</v>
      </c>
      <c r="F19" s="22">
        <f>SUM(F12:F18)</f>
        <v>211222.43</v>
      </c>
      <c r="G19" s="24">
        <f t="shared" si="1"/>
        <v>254808.27999999997</v>
      </c>
      <c r="H19" s="24">
        <f t="shared" si="2"/>
        <v>45.323714825574477</v>
      </c>
      <c r="I19" s="23">
        <f>SUM(I12:I18)</f>
        <v>205948.30000000002</v>
      </c>
      <c r="J19" s="22">
        <f>SUM(J12:J18)</f>
        <v>205948.30000000002</v>
      </c>
      <c r="K19" s="22">
        <f>SUM(K12:K18)</f>
        <v>260082.40999999997</v>
      </c>
      <c r="L19" s="22">
        <f>SUM(L12:L18)</f>
        <v>177.66664540401266</v>
      </c>
    </row>
    <row r="20" spans="1:12">
      <c r="A20" s="9"/>
      <c r="B20" s="21"/>
      <c r="C20" s="25">
        <f>C19/C19</f>
        <v>1</v>
      </c>
      <c r="D20" s="26">
        <f>D19/C19</f>
        <v>0</v>
      </c>
      <c r="E20" s="16">
        <f t="shared" si="0"/>
        <v>1</v>
      </c>
      <c r="F20" s="26">
        <f>F19/E19</f>
        <v>0.45323714825574479</v>
      </c>
      <c r="G20" s="26">
        <f>G19/F19</f>
        <v>1.206350480865124</v>
      </c>
      <c r="H20" s="16"/>
      <c r="I20" s="26">
        <f>I19/C19</f>
        <v>0.44192001853268431</v>
      </c>
      <c r="J20" s="25">
        <f>J19/C19</f>
        <v>0.44192001853268431</v>
      </c>
      <c r="K20" s="27">
        <v>0</v>
      </c>
      <c r="L20" s="27">
        <v>0</v>
      </c>
    </row>
    <row r="21" spans="1:12">
      <c r="A21" s="28" t="s">
        <v>5</v>
      </c>
      <c r="B21" s="29" t="s">
        <v>6</v>
      </c>
      <c r="C21" s="30" t="s">
        <v>7</v>
      </c>
      <c r="D21" s="30"/>
      <c r="E21" s="16"/>
      <c r="F21" s="29"/>
      <c r="G21" s="29"/>
      <c r="H21" s="29"/>
      <c r="I21" s="31" t="s">
        <v>40</v>
      </c>
      <c r="J21" s="29" t="s">
        <v>14</v>
      </c>
      <c r="K21" s="29"/>
      <c r="L21" s="29"/>
    </row>
    <row r="22" spans="1:12" ht="12.75" customHeight="1">
      <c r="A22" s="15">
        <v>730203</v>
      </c>
      <c r="B22" s="19" t="s">
        <v>41</v>
      </c>
      <c r="C22" s="20">
        <v>300</v>
      </c>
      <c r="D22" s="20">
        <v>0</v>
      </c>
      <c r="E22" s="16">
        <f t="shared" ref="E22:E28" si="5">(C22+D22)</f>
        <v>300</v>
      </c>
      <c r="F22" s="20">
        <v>0</v>
      </c>
      <c r="G22" s="16">
        <f t="shared" ref="G22:G54" si="6">(E22-F22)</f>
        <v>300</v>
      </c>
      <c r="H22" s="16">
        <f t="shared" si="2"/>
        <v>0</v>
      </c>
      <c r="I22" s="17">
        <v>0</v>
      </c>
      <c r="J22" s="17">
        <v>0</v>
      </c>
      <c r="K22" s="16">
        <f t="shared" ref="K22:K28" si="7">(E22-I22)</f>
        <v>300</v>
      </c>
      <c r="L22" s="16">
        <f t="shared" ref="L22:L27" si="8">(I22/E22*100)</f>
        <v>0</v>
      </c>
    </row>
    <row r="23" spans="1:12" ht="12.75" customHeight="1">
      <c r="A23" s="15">
        <v>730204</v>
      </c>
      <c r="B23" s="19" t="s">
        <v>42</v>
      </c>
      <c r="C23" s="20">
        <v>350</v>
      </c>
      <c r="D23" s="20">
        <v>0</v>
      </c>
      <c r="E23" s="16">
        <f t="shared" si="5"/>
        <v>350</v>
      </c>
      <c r="F23" s="20">
        <v>0</v>
      </c>
      <c r="G23" s="16">
        <f t="shared" si="6"/>
        <v>350</v>
      </c>
      <c r="H23" s="16">
        <f t="shared" si="2"/>
        <v>0</v>
      </c>
      <c r="I23" s="17">
        <v>0</v>
      </c>
      <c r="J23" s="17">
        <v>0</v>
      </c>
      <c r="K23" s="16">
        <f t="shared" si="7"/>
        <v>350</v>
      </c>
      <c r="L23" s="16">
        <f t="shared" si="8"/>
        <v>0</v>
      </c>
    </row>
    <row r="24" spans="1:12" ht="12.75" customHeight="1">
      <c r="A24" s="15">
        <v>730217</v>
      </c>
      <c r="B24" s="19" t="s">
        <v>43</v>
      </c>
      <c r="C24" s="20">
        <v>14434.88</v>
      </c>
      <c r="D24" s="20">
        <v>0</v>
      </c>
      <c r="E24" s="16">
        <f t="shared" si="5"/>
        <v>14434.88</v>
      </c>
      <c r="F24" s="20">
        <v>0</v>
      </c>
      <c r="G24" s="16">
        <f t="shared" si="6"/>
        <v>14434.88</v>
      </c>
      <c r="H24" s="16">
        <f t="shared" si="2"/>
        <v>0</v>
      </c>
      <c r="I24" s="17">
        <v>0</v>
      </c>
      <c r="J24" s="16">
        <v>0</v>
      </c>
      <c r="K24" s="16">
        <f t="shared" si="7"/>
        <v>14434.88</v>
      </c>
      <c r="L24" s="16">
        <f t="shared" si="8"/>
        <v>0</v>
      </c>
    </row>
    <row r="25" spans="1:12" ht="12.75" customHeight="1">
      <c r="A25" s="15">
        <v>730218</v>
      </c>
      <c r="B25" s="19" t="s">
        <v>44</v>
      </c>
      <c r="C25" s="20">
        <v>19434.38</v>
      </c>
      <c r="D25" s="20">
        <v>0</v>
      </c>
      <c r="E25" s="16">
        <f t="shared" si="5"/>
        <v>19434.38</v>
      </c>
      <c r="F25" s="17">
        <v>66.959999999999994</v>
      </c>
      <c r="G25" s="16">
        <f t="shared" si="6"/>
        <v>19367.420000000002</v>
      </c>
      <c r="H25" s="16">
        <f t="shared" si="2"/>
        <v>0.34454405028614238</v>
      </c>
      <c r="I25" s="17">
        <v>66.959999999999994</v>
      </c>
      <c r="J25" s="17">
        <v>66.959999999999994</v>
      </c>
      <c r="K25" s="16">
        <f t="shared" si="7"/>
        <v>19367.420000000002</v>
      </c>
      <c r="L25" s="16">
        <f t="shared" si="8"/>
        <v>0.34454405028614238</v>
      </c>
    </row>
    <row r="26" spans="1:12" ht="12.75" customHeight="1">
      <c r="A26" s="15">
        <v>730301</v>
      </c>
      <c r="B26" s="19" t="s">
        <v>45</v>
      </c>
      <c r="C26" s="20">
        <v>0</v>
      </c>
      <c r="D26" s="20">
        <v>1000</v>
      </c>
      <c r="E26" s="16">
        <f t="shared" si="5"/>
        <v>1000</v>
      </c>
      <c r="F26" s="17">
        <v>980.4</v>
      </c>
      <c r="G26" s="16">
        <f t="shared" si="6"/>
        <v>19.600000000000023</v>
      </c>
      <c r="H26" s="16">
        <f t="shared" si="2"/>
        <v>98.039999999999992</v>
      </c>
      <c r="I26" s="17">
        <v>980.4</v>
      </c>
      <c r="J26" s="17">
        <v>980.4</v>
      </c>
      <c r="K26" s="16">
        <f t="shared" si="7"/>
        <v>19.600000000000023</v>
      </c>
      <c r="L26" s="16">
        <f t="shared" si="8"/>
        <v>98.039999999999992</v>
      </c>
    </row>
    <row r="27" spans="1:12" ht="12.75" customHeight="1">
      <c r="A27" s="15">
        <v>730303</v>
      </c>
      <c r="B27" s="19" t="s">
        <v>46</v>
      </c>
      <c r="C27" s="20">
        <v>12780</v>
      </c>
      <c r="D27" s="20">
        <v>0</v>
      </c>
      <c r="E27" s="16">
        <f t="shared" si="5"/>
        <v>12780</v>
      </c>
      <c r="F27" s="20">
        <v>1439.4</v>
      </c>
      <c r="G27" s="16">
        <f t="shared" si="6"/>
        <v>11340.6</v>
      </c>
      <c r="H27" s="16">
        <f t="shared" si="2"/>
        <v>11.262910798122066</v>
      </c>
      <c r="I27" s="17">
        <v>1439.4</v>
      </c>
      <c r="J27" s="17">
        <v>1215.9000000000001</v>
      </c>
      <c r="K27" s="16">
        <f t="shared" si="7"/>
        <v>11340.6</v>
      </c>
      <c r="L27" s="16">
        <f t="shared" si="8"/>
        <v>11.262910798122066</v>
      </c>
    </row>
    <row r="28" spans="1:12">
      <c r="A28" s="15"/>
      <c r="B28" s="19"/>
      <c r="C28" s="22">
        <f>SUM(C22:C27)</f>
        <v>47299.26</v>
      </c>
      <c r="D28" s="23">
        <f>SUM(D22:D27)</f>
        <v>1000</v>
      </c>
      <c r="E28" s="24">
        <f t="shared" si="5"/>
        <v>48299.26</v>
      </c>
      <c r="F28" s="23">
        <f>SUM(F22:F27)</f>
        <v>2486.7600000000002</v>
      </c>
      <c r="G28" s="24">
        <f t="shared" si="6"/>
        <v>45812.5</v>
      </c>
      <c r="H28" s="24">
        <f t="shared" si="2"/>
        <v>5.1486503105844692</v>
      </c>
      <c r="I28" s="23">
        <f>SUM(I22:I27)</f>
        <v>2486.7600000000002</v>
      </c>
      <c r="J28" s="22">
        <f>SUM(J22:J27)</f>
        <v>2263.2600000000002</v>
      </c>
      <c r="K28" s="24">
        <f t="shared" si="7"/>
        <v>45812.5</v>
      </c>
      <c r="L28" s="32"/>
    </row>
    <row r="29" spans="1:12">
      <c r="A29" s="15"/>
      <c r="B29" s="19"/>
      <c r="C29" s="25">
        <f>C28/C28</f>
        <v>1</v>
      </c>
      <c r="D29" s="26">
        <f>D28/C28</f>
        <v>2.1141979811100636E-2</v>
      </c>
      <c r="E29" s="33"/>
      <c r="F29" s="26">
        <f>F28/E28</f>
        <v>5.148650310584469E-2</v>
      </c>
      <c r="G29" s="25">
        <v>0.62160000000000004</v>
      </c>
      <c r="H29" s="16"/>
      <c r="I29" s="33">
        <f>I28/C28</f>
        <v>5.2575029715052624E-2</v>
      </c>
      <c r="J29" s="25">
        <f>J28/C28</f>
        <v>4.7849797227271632E-2</v>
      </c>
      <c r="K29" s="34"/>
      <c r="L29" s="34"/>
    </row>
    <row r="30" spans="1:12">
      <c r="A30" s="28" t="s">
        <v>5</v>
      </c>
      <c r="B30" s="29" t="s">
        <v>6</v>
      </c>
      <c r="C30" s="35" t="s">
        <v>7</v>
      </c>
      <c r="D30" s="29"/>
      <c r="E30" s="16"/>
      <c r="F30" s="29"/>
      <c r="G30" s="29"/>
      <c r="H30" s="16"/>
      <c r="I30" s="31" t="s">
        <v>40</v>
      </c>
      <c r="J30" s="29" t="s">
        <v>14</v>
      </c>
      <c r="K30" s="29"/>
      <c r="L30" s="29"/>
    </row>
    <row r="31" spans="1:12" ht="12.75" customHeight="1">
      <c r="A31" s="15">
        <v>730404</v>
      </c>
      <c r="B31" s="19" t="s">
        <v>47</v>
      </c>
      <c r="C31" s="20">
        <v>35000</v>
      </c>
      <c r="D31" s="20">
        <v>0</v>
      </c>
      <c r="E31" s="16">
        <f t="shared" ref="E31:E57" si="9">(C31+D31)</f>
        <v>35000</v>
      </c>
      <c r="F31" s="17">
        <v>11139</v>
      </c>
      <c r="G31" s="16">
        <f t="shared" si="6"/>
        <v>23861</v>
      </c>
      <c r="H31" s="16">
        <f t="shared" si="2"/>
        <v>31.825714285714284</v>
      </c>
      <c r="I31" s="17">
        <v>6169.5</v>
      </c>
      <c r="J31" s="17">
        <v>6169.5</v>
      </c>
      <c r="K31" s="16">
        <f t="shared" ref="K31:K54" si="10">(E31-I31)</f>
        <v>28830.5</v>
      </c>
      <c r="L31" s="16">
        <f t="shared" ref="L31:L53" si="11">(I31/E31*100)</f>
        <v>17.627142857142857</v>
      </c>
    </row>
    <row r="32" spans="1:12">
      <c r="A32" s="15">
        <v>730405</v>
      </c>
      <c r="B32" s="15" t="s">
        <v>48</v>
      </c>
      <c r="C32" s="16">
        <v>7000</v>
      </c>
      <c r="D32" s="16">
        <v>0</v>
      </c>
      <c r="E32" s="16">
        <f>(C32+D32)</f>
        <v>7000</v>
      </c>
      <c r="F32" s="17">
        <v>66.069999999999993</v>
      </c>
      <c r="G32" s="16">
        <f t="shared" si="6"/>
        <v>6933.93</v>
      </c>
      <c r="H32" s="16">
        <f t="shared" si="2"/>
        <v>0.94385714285714284</v>
      </c>
      <c r="I32" s="17">
        <v>0</v>
      </c>
      <c r="J32" s="17">
        <v>0</v>
      </c>
      <c r="K32" s="16">
        <f t="shared" si="10"/>
        <v>7000</v>
      </c>
      <c r="L32" s="16">
        <f t="shared" si="11"/>
        <v>0</v>
      </c>
    </row>
    <row r="33" spans="1:12">
      <c r="A33" s="15">
        <v>730499</v>
      </c>
      <c r="B33" s="15" t="s">
        <v>49</v>
      </c>
      <c r="C33" s="16">
        <v>38305.410000000003</v>
      </c>
      <c r="D33" s="16">
        <v>0</v>
      </c>
      <c r="E33" s="16">
        <f>(C33+D33)</f>
        <v>38305.410000000003</v>
      </c>
      <c r="F33" s="17">
        <v>0</v>
      </c>
      <c r="G33" s="16">
        <f t="shared" si="6"/>
        <v>38305.410000000003</v>
      </c>
      <c r="H33" s="16">
        <f t="shared" si="2"/>
        <v>0</v>
      </c>
      <c r="I33" s="17">
        <v>0</v>
      </c>
      <c r="J33" s="17">
        <v>0</v>
      </c>
      <c r="K33" s="16">
        <f t="shared" si="10"/>
        <v>38305.410000000003</v>
      </c>
      <c r="L33" s="16">
        <f t="shared" si="11"/>
        <v>0</v>
      </c>
    </row>
    <row r="34" spans="1:12">
      <c r="A34" s="15">
        <v>730501</v>
      </c>
      <c r="B34" s="15" t="s">
        <v>50</v>
      </c>
      <c r="C34" s="16">
        <v>7000</v>
      </c>
      <c r="D34" s="16">
        <v>0</v>
      </c>
      <c r="E34" s="16">
        <f>(C34+D34)</f>
        <v>7000</v>
      </c>
      <c r="F34" s="17">
        <v>5600</v>
      </c>
      <c r="G34" s="16">
        <f t="shared" si="6"/>
        <v>1400</v>
      </c>
      <c r="H34" s="16">
        <f t="shared" si="2"/>
        <v>80</v>
      </c>
      <c r="I34" s="17">
        <v>1600</v>
      </c>
      <c r="J34" s="17">
        <v>1600</v>
      </c>
      <c r="K34" s="16">
        <f t="shared" si="10"/>
        <v>5400</v>
      </c>
      <c r="L34" s="16">
        <f t="shared" si="11"/>
        <v>22.857142857142858</v>
      </c>
    </row>
    <row r="35" spans="1:12">
      <c r="A35" s="15">
        <v>730502</v>
      </c>
      <c r="B35" s="15" t="s">
        <v>51</v>
      </c>
      <c r="C35" s="16">
        <v>13540</v>
      </c>
      <c r="D35" s="16">
        <v>0</v>
      </c>
      <c r="E35" s="16">
        <f t="shared" si="9"/>
        <v>13540</v>
      </c>
      <c r="F35" s="17">
        <v>12860</v>
      </c>
      <c r="G35" s="16">
        <f t="shared" si="6"/>
        <v>680</v>
      </c>
      <c r="H35" s="16">
        <f t="shared" si="2"/>
        <v>94.977843426883311</v>
      </c>
      <c r="I35" s="17">
        <v>8852.25</v>
      </c>
      <c r="J35" s="17">
        <v>8852.25</v>
      </c>
      <c r="K35" s="16">
        <f t="shared" si="10"/>
        <v>4687.75</v>
      </c>
      <c r="L35" s="16">
        <f t="shared" si="11"/>
        <v>65.378508124076802</v>
      </c>
    </row>
    <row r="36" spans="1:12">
      <c r="A36" s="15">
        <v>730504</v>
      </c>
      <c r="B36" s="15" t="s">
        <v>52</v>
      </c>
      <c r="C36" s="16">
        <v>74619.490000000005</v>
      </c>
      <c r="D36" s="16">
        <v>0</v>
      </c>
      <c r="E36" s="16">
        <f t="shared" si="9"/>
        <v>74619.490000000005</v>
      </c>
      <c r="F36" s="17">
        <v>70784.479999999996</v>
      </c>
      <c r="G36" s="16">
        <f t="shared" si="6"/>
        <v>3835.0100000000093</v>
      </c>
      <c r="H36" s="16">
        <f t="shared" si="2"/>
        <v>94.860578650430327</v>
      </c>
      <c r="I36" s="17">
        <v>70784.5</v>
      </c>
      <c r="J36" s="17">
        <v>70784.5</v>
      </c>
      <c r="K36" s="16">
        <f t="shared" si="10"/>
        <v>3834.9900000000052</v>
      </c>
      <c r="L36" s="16">
        <f t="shared" si="11"/>
        <v>94.860605453079344</v>
      </c>
    </row>
    <row r="37" spans="1:12">
      <c r="A37" s="15">
        <v>730505</v>
      </c>
      <c r="B37" s="15" t="s">
        <v>53</v>
      </c>
      <c r="C37" s="16">
        <v>270000</v>
      </c>
      <c r="D37" s="16">
        <v>0</v>
      </c>
      <c r="E37" s="16">
        <f t="shared" si="9"/>
        <v>270000</v>
      </c>
      <c r="F37" s="17">
        <v>159939.93</v>
      </c>
      <c r="G37" s="16">
        <f t="shared" si="6"/>
        <v>110060.07</v>
      </c>
      <c r="H37" s="16">
        <f t="shared" si="2"/>
        <v>59.237011111111102</v>
      </c>
      <c r="I37" s="17">
        <v>72380.160000000003</v>
      </c>
      <c r="J37" s="17">
        <v>72380.160000000003</v>
      </c>
      <c r="K37" s="16">
        <f t="shared" si="10"/>
        <v>197619.84</v>
      </c>
      <c r="L37" s="16">
        <f t="shared" si="11"/>
        <v>26.80746666666667</v>
      </c>
    </row>
    <row r="38" spans="1:12" ht="12.75" customHeight="1">
      <c r="A38" s="15">
        <v>730601</v>
      </c>
      <c r="B38" s="19" t="s">
        <v>54</v>
      </c>
      <c r="C38" s="16">
        <v>5250</v>
      </c>
      <c r="D38" s="16">
        <v>0</v>
      </c>
      <c r="E38" s="16">
        <f t="shared" si="9"/>
        <v>5250</v>
      </c>
      <c r="F38" s="16">
        <v>0</v>
      </c>
      <c r="G38" s="16">
        <f t="shared" si="6"/>
        <v>5250</v>
      </c>
      <c r="H38" s="16">
        <f t="shared" si="2"/>
        <v>0</v>
      </c>
      <c r="I38" s="17">
        <v>0</v>
      </c>
      <c r="J38" s="17">
        <v>0</v>
      </c>
      <c r="K38" s="16">
        <f t="shared" si="10"/>
        <v>5250</v>
      </c>
      <c r="L38" s="16">
        <f t="shared" si="11"/>
        <v>0</v>
      </c>
    </row>
    <row r="39" spans="1:12">
      <c r="A39" s="15">
        <v>730801</v>
      </c>
      <c r="B39" s="15" t="s">
        <v>55</v>
      </c>
      <c r="C39" s="16">
        <v>1000</v>
      </c>
      <c r="D39" s="16">
        <v>0</v>
      </c>
      <c r="E39" s="16">
        <f t="shared" si="9"/>
        <v>1000</v>
      </c>
      <c r="F39" s="16">
        <v>256</v>
      </c>
      <c r="G39" s="16">
        <f t="shared" si="6"/>
        <v>744</v>
      </c>
      <c r="H39" s="16">
        <f t="shared" si="2"/>
        <v>25.6</v>
      </c>
      <c r="I39" s="17">
        <v>256</v>
      </c>
      <c r="J39" s="16">
        <v>256</v>
      </c>
      <c r="K39" s="16">
        <f t="shared" si="10"/>
        <v>744</v>
      </c>
      <c r="L39" s="16">
        <f t="shared" si="11"/>
        <v>25.6</v>
      </c>
    </row>
    <row r="40" spans="1:12">
      <c r="A40" s="15">
        <v>730802</v>
      </c>
      <c r="B40" s="15" t="s">
        <v>56</v>
      </c>
      <c r="C40" s="16">
        <v>6200</v>
      </c>
      <c r="D40" s="16">
        <v>0</v>
      </c>
      <c r="E40" s="16">
        <f t="shared" si="9"/>
        <v>6200</v>
      </c>
      <c r="F40" s="16">
        <v>4889.55</v>
      </c>
      <c r="G40" s="16">
        <f t="shared" si="6"/>
        <v>1310.4499999999998</v>
      </c>
      <c r="H40" s="16">
        <f t="shared" si="2"/>
        <v>78.863709677419365</v>
      </c>
      <c r="I40" s="17">
        <v>4889.55</v>
      </c>
      <c r="J40" s="17">
        <v>4889.55</v>
      </c>
      <c r="K40" s="16">
        <f t="shared" si="10"/>
        <v>1310.4499999999998</v>
      </c>
      <c r="L40" s="16">
        <f t="shared" si="11"/>
        <v>78.863709677419365</v>
      </c>
    </row>
    <row r="41" spans="1:12">
      <c r="A41" s="15">
        <v>730803</v>
      </c>
      <c r="B41" s="15" t="s">
        <v>57</v>
      </c>
      <c r="C41" s="16">
        <v>84127.29</v>
      </c>
      <c r="D41" s="16">
        <v>0</v>
      </c>
      <c r="E41" s="16">
        <f t="shared" si="9"/>
        <v>84127.29</v>
      </c>
      <c r="F41" s="16">
        <v>6807.66</v>
      </c>
      <c r="G41" s="16">
        <f t="shared" si="6"/>
        <v>77319.62999999999</v>
      </c>
      <c r="H41" s="16">
        <f t="shared" si="2"/>
        <v>8.0920947293084087</v>
      </c>
      <c r="I41" s="17">
        <v>6807.66</v>
      </c>
      <c r="J41" s="17">
        <v>6807.66</v>
      </c>
      <c r="K41" s="16">
        <f t="shared" si="10"/>
        <v>77319.62999999999</v>
      </c>
      <c r="L41" s="16">
        <f t="shared" si="11"/>
        <v>8.0920947293084087</v>
      </c>
    </row>
    <row r="42" spans="1:12">
      <c r="A42" s="15">
        <v>730804</v>
      </c>
      <c r="B42" s="15" t="s">
        <v>58</v>
      </c>
      <c r="C42" s="16">
        <v>4800</v>
      </c>
      <c r="D42" s="16">
        <v>0</v>
      </c>
      <c r="E42" s="16">
        <f t="shared" si="9"/>
        <v>4800</v>
      </c>
      <c r="F42" s="16">
        <v>1333.39</v>
      </c>
      <c r="G42" s="16">
        <f t="shared" si="6"/>
        <v>3466.6099999999997</v>
      </c>
      <c r="H42" s="16">
        <f t="shared" si="2"/>
        <v>27.778958333333335</v>
      </c>
      <c r="I42" s="17">
        <v>1333.39</v>
      </c>
      <c r="J42" s="17">
        <v>1333.39</v>
      </c>
      <c r="K42" s="16">
        <f t="shared" si="10"/>
        <v>3466.6099999999997</v>
      </c>
      <c r="L42" s="16">
        <f t="shared" si="11"/>
        <v>27.778958333333335</v>
      </c>
    </row>
    <row r="43" spans="1:12">
      <c r="A43" s="15">
        <v>730806</v>
      </c>
      <c r="B43" s="15" t="s">
        <v>59</v>
      </c>
      <c r="C43" s="16">
        <v>6000</v>
      </c>
      <c r="D43" s="16">
        <v>0</v>
      </c>
      <c r="E43" s="16">
        <f t="shared" si="9"/>
        <v>6000</v>
      </c>
      <c r="F43" s="16">
        <v>1943.19</v>
      </c>
      <c r="G43" s="16">
        <f t="shared" si="6"/>
        <v>4056.81</v>
      </c>
      <c r="H43" s="16">
        <f t="shared" si="2"/>
        <v>32.386499999999998</v>
      </c>
      <c r="I43" s="17">
        <v>1841.45</v>
      </c>
      <c r="J43" s="17">
        <v>1841.45</v>
      </c>
      <c r="K43" s="16">
        <f t="shared" si="10"/>
        <v>4158.55</v>
      </c>
      <c r="L43" s="16">
        <f t="shared" si="11"/>
        <v>30.690833333333334</v>
      </c>
    </row>
    <row r="44" spans="1:12" ht="12.75" customHeight="1">
      <c r="A44" s="15">
        <v>730811</v>
      </c>
      <c r="B44" s="19" t="s">
        <v>60</v>
      </c>
      <c r="C44" s="16">
        <v>461303.62</v>
      </c>
      <c r="D44" s="16">
        <v>0</v>
      </c>
      <c r="E44" s="16">
        <f t="shared" si="9"/>
        <v>461303.62</v>
      </c>
      <c r="F44" s="16">
        <v>91048.38</v>
      </c>
      <c r="G44" s="16">
        <f t="shared" si="6"/>
        <v>370255.24</v>
      </c>
      <c r="H44" s="16">
        <f t="shared" si="2"/>
        <v>19.737191743693668</v>
      </c>
      <c r="I44" s="17">
        <v>68361.63</v>
      </c>
      <c r="J44" s="17">
        <v>68361.63</v>
      </c>
      <c r="K44" s="16">
        <f t="shared" si="10"/>
        <v>392941.99</v>
      </c>
      <c r="L44" s="16">
        <f t="shared" si="11"/>
        <v>14.81922686841261</v>
      </c>
    </row>
    <row r="45" spans="1:12">
      <c r="A45" s="15">
        <v>730813</v>
      </c>
      <c r="B45" s="15" t="s">
        <v>61</v>
      </c>
      <c r="C45" s="16">
        <v>113088.12</v>
      </c>
      <c r="D45" s="16">
        <v>0</v>
      </c>
      <c r="E45" s="16">
        <f t="shared" si="9"/>
        <v>113088.12</v>
      </c>
      <c r="F45" s="16">
        <v>63171.7</v>
      </c>
      <c r="G45" s="16">
        <f t="shared" si="6"/>
        <v>49916.42</v>
      </c>
      <c r="H45" s="16">
        <f t="shared" si="2"/>
        <v>55.860597912495138</v>
      </c>
      <c r="I45" s="17">
        <v>47554.400000000001</v>
      </c>
      <c r="J45" s="17">
        <v>47554.400000000001</v>
      </c>
      <c r="K45" s="16">
        <f t="shared" si="10"/>
        <v>65533.719999999994</v>
      </c>
      <c r="L45" s="16">
        <f t="shared" si="11"/>
        <v>42.050747682426767</v>
      </c>
    </row>
    <row r="46" spans="1:12">
      <c r="A46" s="15">
        <v>731403</v>
      </c>
      <c r="B46" s="15" t="s">
        <v>62</v>
      </c>
      <c r="C46" s="16">
        <v>4000</v>
      </c>
      <c r="D46" s="16">
        <v>0</v>
      </c>
      <c r="E46" s="16">
        <f t="shared" si="9"/>
        <v>4000</v>
      </c>
      <c r="F46" s="16">
        <v>176.1</v>
      </c>
      <c r="G46" s="16">
        <f t="shared" si="6"/>
        <v>3823.9</v>
      </c>
      <c r="H46" s="16">
        <f t="shared" si="2"/>
        <v>4.4024999999999999</v>
      </c>
      <c r="I46" s="17">
        <v>176.1</v>
      </c>
      <c r="J46" s="17">
        <v>176.1</v>
      </c>
      <c r="K46" s="16">
        <f t="shared" si="10"/>
        <v>3823.9</v>
      </c>
      <c r="L46" s="16">
        <f t="shared" si="11"/>
        <v>4.4024999999999999</v>
      </c>
    </row>
    <row r="47" spans="1:12">
      <c r="A47" s="15">
        <v>731404</v>
      </c>
      <c r="B47" s="15" t="s">
        <v>52</v>
      </c>
      <c r="C47" s="16">
        <v>5000</v>
      </c>
      <c r="D47" s="16">
        <v>0</v>
      </c>
      <c r="E47" s="16">
        <f t="shared" si="9"/>
        <v>5000</v>
      </c>
      <c r="F47" s="16">
        <v>124.17</v>
      </c>
      <c r="G47" s="16">
        <f t="shared" si="6"/>
        <v>4875.83</v>
      </c>
      <c r="H47" s="16">
        <f t="shared" si="2"/>
        <v>2.4834000000000001</v>
      </c>
      <c r="I47" s="17">
        <v>105.05</v>
      </c>
      <c r="J47" s="17">
        <v>124.17</v>
      </c>
      <c r="K47" s="17">
        <v>124.17</v>
      </c>
      <c r="L47" s="16">
        <f t="shared" si="11"/>
        <v>2.101</v>
      </c>
    </row>
    <row r="48" spans="1:12">
      <c r="A48" s="15">
        <v>731406</v>
      </c>
      <c r="B48" s="15" t="s">
        <v>63</v>
      </c>
      <c r="C48" s="16">
        <v>3900</v>
      </c>
      <c r="D48" s="16">
        <v>0</v>
      </c>
      <c r="E48" s="16">
        <f t="shared" si="9"/>
        <v>3900</v>
      </c>
      <c r="F48" s="16">
        <v>468.76</v>
      </c>
      <c r="G48" s="16">
        <f t="shared" si="6"/>
        <v>3431.24</v>
      </c>
      <c r="H48" s="16">
        <f t="shared" si="2"/>
        <v>12.019487179487179</v>
      </c>
      <c r="I48" s="17">
        <v>468.76</v>
      </c>
      <c r="J48" s="17">
        <v>468.76</v>
      </c>
      <c r="K48" s="16">
        <f t="shared" si="10"/>
        <v>3431.24</v>
      </c>
      <c r="L48" s="16">
        <f t="shared" si="11"/>
        <v>12.019487179487179</v>
      </c>
    </row>
    <row r="49" spans="1:12">
      <c r="A49" s="15">
        <v>770102</v>
      </c>
      <c r="B49" s="15" t="s">
        <v>64</v>
      </c>
      <c r="C49" s="16">
        <v>2000</v>
      </c>
      <c r="D49" s="16">
        <v>0</v>
      </c>
      <c r="E49" s="16">
        <f t="shared" si="9"/>
        <v>2000</v>
      </c>
      <c r="F49" s="16">
        <v>360</v>
      </c>
      <c r="G49" s="16">
        <f t="shared" si="6"/>
        <v>1640</v>
      </c>
      <c r="H49" s="16">
        <f t="shared" si="2"/>
        <v>18</v>
      </c>
      <c r="I49" s="17">
        <v>360</v>
      </c>
      <c r="J49" s="17">
        <v>360</v>
      </c>
      <c r="K49" s="16">
        <f t="shared" si="10"/>
        <v>1640</v>
      </c>
      <c r="L49" s="16">
        <f t="shared" si="11"/>
        <v>18</v>
      </c>
    </row>
    <row r="50" spans="1:12">
      <c r="A50" s="15">
        <v>770203</v>
      </c>
      <c r="B50" s="15" t="s">
        <v>65</v>
      </c>
      <c r="C50" s="16">
        <v>250</v>
      </c>
      <c r="D50" s="16">
        <v>0</v>
      </c>
      <c r="E50" s="16">
        <f t="shared" si="9"/>
        <v>250</v>
      </c>
      <c r="F50" s="17">
        <v>32.1</v>
      </c>
      <c r="G50" s="16">
        <f t="shared" si="6"/>
        <v>217.9</v>
      </c>
      <c r="H50" s="16">
        <f t="shared" si="2"/>
        <v>12.840000000000002</v>
      </c>
      <c r="I50" s="17">
        <v>32.1</v>
      </c>
      <c r="J50" s="17">
        <v>32.1</v>
      </c>
      <c r="K50" s="16">
        <f t="shared" si="10"/>
        <v>217.9</v>
      </c>
      <c r="L50" s="16">
        <f t="shared" si="11"/>
        <v>12.840000000000002</v>
      </c>
    </row>
    <row r="51" spans="1:12">
      <c r="A51" s="15">
        <v>840103</v>
      </c>
      <c r="B51" s="15" t="s">
        <v>62</v>
      </c>
      <c r="C51" s="16">
        <v>12795</v>
      </c>
      <c r="D51" s="16">
        <v>0</v>
      </c>
      <c r="E51" s="16">
        <f t="shared" si="9"/>
        <v>12795</v>
      </c>
      <c r="F51" s="16">
        <v>1825.95</v>
      </c>
      <c r="G51" s="16">
        <f t="shared" si="6"/>
        <v>10969.05</v>
      </c>
      <c r="H51" s="16">
        <f t="shared" si="2"/>
        <v>14.270808909730365</v>
      </c>
      <c r="I51" s="17">
        <v>1825.95</v>
      </c>
      <c r="J51" s="17">
        <v>1825.95</v>
      </c>
      <c r="K51" s="16">
        <f t="shared" si="10"/>
        <v>10969.05</v>
      </c>
      <c r="L51" s="16">
        <f t="shared" si="11"/>
        <v>14.270808909730365</v>
      </c>
    </row>
    <row r="52" spans="1:12">
      <c r="A52" s="15">
        <v>840104</v>
      </c>
      <c r="B52" s="15" t="s">
        <v>52</v>
      </c>
      <c r="C52" s="16">
        <v>33250</v>
      </c>
      <c r="D52" s="16">
        <v>0</v>
      </c>
      <c r="E52" s="16">
        <f t="shared" si="9"/>
        <v>33250</v>
      </c>
      <c r="F52" s="16">
        <v>4344.8999999999996</v>
      </c>
      <c r="G52" s="16">
        <f t="shared" si="6"/>
        <v>28905.1</v>
      </c>
      <c r="H52" s="16">
        <f t="shared" si="2"/>
        <v>13.067368421052631</v>
      </c>
      <c r="I52" s="17">
        <v>3181.4</v>
      </c>
      <c r="J52" s="17">
        <v>3181.4</v>
      </c>
      <c r="K52" s="16">
        <f t="shared" si="10"/>
        <v>30068.6</v>
      </c>
      <c r="L52" s="16">
        <f t="shared" si="11"/>
        <v>9.5681203007518789</v>
      </c>
    </row>
    <row r="53" spans="1:12">
      <c r="A53" s="15">
        <v>840107</v>
      </c>
      <c r="B53" s="15" t="s">
        <v>66</v>
      </c>
      <c r="C53" s="16">
        <v>5710</v>
      </c>
      <c r="D53" s="16">
        <v>0</v>
      </c>
      <c r="E53" s="16">
        <f t="shared" si="9"/>
        <v>5710</v>
      </c>
      <c r="F53" s="16">
        <v>4357.13</v>
      </c>
      <c r="G53" s="16">
        <f t="shared" si="6"/>
        <v>1352.87</v>
      </c>
      <c r="H53" s="16">
        <f t="shared" si="2"/>
        <v>76.307005253940446</v>
      </c>
      <c r="I53" s="16">
        <v>4357.13</v>
      </c>
      <c r="J53" s="16">
        <v>4357.13</v>
      </c>
      <c r="K53" s="16">
        <f t="shared" si="10"/>
        <v>1352.87</v>
      </c>
      <c r="L53" s="16">
        <f t="shared" si="11"/>
        <v>76.307005253940446</v>
      </c>
    </row>
    <row r="54" spans="1:12">
      <c r="A54" s="15"/>
      <c r="B54" s="15"/>
      <c r="C54" s="22">
        <f>SUM(C31:C53)</f>
        <v>1194138.9300000002</v>
      </c>
      <c r="D54" s="23">
        <f>SUM(D31:D53)</f>
        <v>0</v>
      </c>
      <c r="E54" s="24">
        <f t="shared" si="9"/>
        <v>1194138.9300000002</v>
      </c>
      <c r="F54" s="23">
        <f>SUM(F31:F53)</f>
        <v>441528.45999999996</v>
      </c>
      <c r="G54" s="24">
        <f t="shared" si="6"/>
        <v>752610.4700000002</v>
      </c>
      <c r="H54" s="26"/>
      <c r="I54" s="23">
        <f>SUM(I31:I53)</f>
        <v>301336.98000000004</v>
      </c>
      <c r="J54" s="22">
        <f>SUM(J31:J53)</f>
        <v>301356.10000000003</v>
      </c>
      <c r="K54" s="24">
        <f t="shared" si="10"/>
        <v>892801.95000000019</v>
      </c>
      <c r="L54" s="32"/>
    </row>
    <row r="55" spans="1:12">
      <c r="A55" s="15"/>
      <c r="B55" s="15"/>
      <c r="C55" s="25">
        <f>C54/C54</f>
        <v>1</v>
      </c>
      <c r="D55" s="26">
        <f>D54/C54</f>
        <v>0</v>
      </c>
      <c r="E55" s="24">
        <f t="shared" si="9"/>
        <v>1</v>
      </c>
      <c r="F55" s="33">
        <f>F54/E54</f>
        <v>0.36974630749204357</v>
      </c>
      <c r="G55" s="33">
        <f>G54/F54</f>
        <v>1.7045570969536148</v>
      </c>
      <c r="H55" s="33"/>
      <c r="I55" s="33">
        <f>I54/C54</f>
        <v>0.25234666790404364</v>
      </c>
      <c r="J55" s="25">
        <f>J54/C54</f>
        <v>0.25236267944132762</v>
      </c>
      <c r="K55" s="34"/>
      <c r="L55" s="34"/>
    </row>
    <row r="56" spans="1:12">
      <c r="A56" s="9"/>
      <c r="B56" s="9"/>
      <c r="C56" s="24">
        <f>SUM(C19+C28+C54)</f>
        <v>1707468.9000000001</v>
      </c>
      <c r="D56" s="24">
        <v>0</v>
      </c>
      <c r="E56" s="24">
        <f t="shared" si="9"/>
        <v>1707468.9000000001</v>
      </c>
      <c r="F56" s="24">
        <f>SUM(F19+F28+F54)</f>
        <v>655237.64999999991</v>
      </c>
      <c r="G56" s="24">
        <f>(E56-F56)</f>
        <v>1052231.2500000002</v>
      </c>
      <c r="H56" s="16">
        <f>(F56/E56*100)</f>
        <v>38.374792653617284</v>
      </c>
      <c r="I56" s="36">
        <f>SUM(I19+I28+I54)</f>
        <v>509772.04000000004</v>
      </c>
      <c r="J56" s="24">
        <f>SUM(J19+J28+J54)</f>
        <v>509567.66000000003</v>
      </c>
      <c r="K56" s="37">
        <f>(E56-I56)</f>
        <v>1197696.8600000001</v>
      </c>
      <c r="L56" s="24">
        <f>(I56/E56*100)</f>
        <v>29.855421671223407</v>
      </c>
    </row>
    <row r="57" spans="1:12">
      <c r="A57" s="9"/>
      <c r="B57" s="9"/>
      <c r="C57" s="38">
        <f>C56/C56</f>
        <v>1</v>
      </c>
      <c r="D57" s="38">
        <f>D56/C56</f>
        <v>0</v>
      </c>
      <c r="E57" s="24">
        <f t="shared" si="9"/>
        <v>1</v>
      </c>
      <c r="F57" s="38">
        <f>F56/E56</f>
        <v>0.38374792653617285</v>
      </c>
      <c r="G57" s="38">
        <v>0</v>
      </c>
      <c r="H57" s="16"/>
      <c r="I57" s="39">
        <f>I56/C56</f>
        <v>0.29855421671223409</v>
      </c>
      <c r="J57" s="40">
        <f>J56/C56</f>
        <v>0.29843451907088908</v>
      </c>
      <c r="K57" s="41"/>
      <c r="L57" s="41"/>
    </row>
    <row r="58" spans="1:12">
      <c r="A58" s="42"/>
      <c r="B58" s="42"/>
      <c r="C58" s="43"/>
      <c r="D58" s="43"/>
      <c r="E58" s="43"/>
      <c r="F58" s="43"/>
      <c r="G58" s="43"/>
      <c r="H58" s="43"/>
      <c r="I58" s="44"/>
      <c r="J58" s="43"/>
      <c r="K58" s="43"/>
      <c r="L58" s="43"/>
    </row>
    <row r="59" spans="1:12">
      <c r="A59" s="42"/>
      <c r="B59" s="42"/>
      <c r="C59" s="43"/>
      <c r="D59" s="43"/>
      <c r="E59" s="43"/>
      <c r="F59" s="43"/>
      <c r="G59" s="43"/>
      <c r="H59" s="43"/>
      <c r="I59" s="44"/>
      <c r="J59" s="43"/>
      <c r="K59" s="43"/>
      <c r="L59" s="43"/>
    </row>
    <row r="60" spans="1:12">
      <c r="A60" s="42"/>
      <c r="B60" s="42"/>
      <c r="C60" s="43"/>
      <c r="D60" s="43"/>
      <c r="E60" s="43"/>
      <c r="F60" s="43"/>
      <c r="G60" s="43"/>
      <c r="H60" s="43"/>
      <c r="I60" s="44"/>
      <c r="J60" s="43"/>
      <c r="K60" s="43"/>
      <c r="L60" s="43"/>
    </row>
    <row r="61" spans="1:12">
      <c r="A61" s="42"/>
      <c r="B61" s="42"/>
      <c r="C61" s="43"/>
      <c r="D61" s="43"/>
      <c r="E61" s="43"/>
      <c r="F61" s="43"/>
      <c r="G61" s="43"/>
      <c r="H61" s="43"/>
      <c r="I61" s="44"/>
      <c r="J61" s="43"/>
      <c r="K61" s="43"/>
      <c r="L61" s="43"/>
    </row>
    <row r="62" spans="1:12">
      <c r="A62" s="42"/>
      <c r="B62" s="42"/>
      <c r="C62" s="43"/>
      <c r="D62" s="43"/>
      <c r="E62" s="43"/>
      <c r="F62" s="43"/>
      <c r="G62" s="43"/>
      <c r="H62" s="43"/>
      <c r="I62" s="44"/>
      <c r="J62" s="43"/>
      <c r="K62" s="43"/>
      <c r="L62" s="43"/>
    </row>
    <row r="63" spans="1:12">
      <c r="A63" s="42"/>
      <c r="B63" s="42"/>
      <c r="C63" s="43"/>
      <c r="D63" s="43"/>
      <c r="E63" s="43"/>
      <c r="F63" s="43"/>
      <c r="G63" s="43"/>
      <c r="H63" s="43"/>
      <c r="I63" s="44"/>
      <c r="J63" s="43"/>
      <c r="K63" s="43"/>
      <c r="L63" s="43"/>
    </row>
    <row r="64" spans="1:12" ht="15.75">
      <c r="A64" s="45"/>
      <c r="B64" s="1055" t="s">
        <v>67</v>
      </c>
      <c r="C64" s="1055"/>
      <c r="D64" s="1055"/>
      <c r="E64" s="1055"/>
      <c r="F64" s="1055"/>
      <c r="G64" s="1055"/>
      <c r="H64" s="1055"/>
      <c r="I64" s="1055"/>
      <c r="J64" s="1055"/>
      <c r="K64" s="1055"/>
      <c r="L64" s="1055"/>
    </row>
    <row r="65" spans="1:12" ht="15.75">
      <c r="A65" s="45"/>
      <c r="B65" s="1055" t="s">
        <v>68</v>
      </c>
      <c r="C65" s="1055"/>
      <c r="D65" s="1055"/>
      <c r="E65" s="1055"/>
      <c r="F65" s="1055"/>
      <c r="G65" s="1055"/>
      <c r="H65" s="1055"/>
      <c r="I65" s="1055"/>
      <c r="J65" s="1055"/>
      <c r="K65" s="1055"/>
      <c r="L65" s="1055"/>
    </row>
  </sheetData>
  <mergeCells count="6">
    <mergeCell ref="B65:L65"/>
    <mergeCell ref="A1:L1"/>
    <mergeCell ref="A3:L3"/>
    <mergeCell ref="A5:L5"/>
    <mergeCell ref="A7:L7"/>
    <mergeCell ref="B64:L64"/>
  </mergeCells>
  <pageMargins left="0.75" right="0.75" top="1" bottom="1" header="0" footer="0"/>
  <pageSetup paperSize="9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U129"/>
  <sheetViews>
    <sheetView topLeftCell="A8" workbookViewId="0">
      <pane xSplit="2" ySplit="5" topLeftCell="C112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baseColWidth="10" defaultRowHeight="16.5" customHeight="1"/>
  <cols>
    <col min="1" max="1" width="10.140625" customWidth="1"/>
    <col min="2" max="2" width="31.42578125" customWidth="1"/>
    <col min="3" max="3" width="11.42578125" customWidth="1"/>
    <col min="4" max="4" width="10.28515625" customWidth="1"/>
    <col min="5" max="5" width="10.5703125" customWidth="1"/>
    <col min="6" max="6" width="10.28515625" customWidth="1"/>
    <col min="7" max="7" width="10.140625" customWidth="1"/>
    <col min="8" max="8" width="7.28515625" customWidth="1"/>
    <col min="9" max="10" width="9.85546875" customWidth="1"/>
    <col min="11" max="11" width="10.42578125" customWidth="1"/>
    <col min="12" max="12" width="6" customWidth="1"/>
    <col min="13" max="13" width="11.28515625" customWidth="1"/>
  </cols>
  <sheetData>
    <row r="2" spans="1:13" ht="16.5" customHeight="1">
      <c r="A2" s="1056" t="s">
        <v>0</v>
      </c>
      <c r="B2" s="1056"/>
      <c r="C2" s="1056"/>
      <c r="D2" s="1056"/>
      <c r="E2" s="1056"/>
      <c r="F2" s="1056"/>
      <c r="G2" s="1056"/>
      <c r="H2" s="1056"/>
      <c r="I2" s="1056"/>
      <c r="J2" s="1056"/>
      <c r="K2" s="1056"/>
      <c r="L2" s="1056"/>
      <c r="M2" s="1056"/>
    </row>
    <row r="3" spans="1:13" ht="16.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1:13" ht="16.5" customHeight="1">
      <c r="A4" s="1056" t="s">
        <v>1</v>
      </c>
      <c r="B4" s="1056"/>
      <c r="C4" s="1056"/>
      <c r="D4" s="1056"/>
      <c r="E4" s="1056"/>
      <c r="F4" s="1056"/>
      <c r="G4" s="1056"/>
      <c r="H4" s="1056"/>
      <c r="I4" s="1056"/>
      <c r="J4" s="1056"/>
      <c r="K4" s="1056"/>
      <c r="L4" s="1056"/>
      <c r="M4" s="1056"/>
    </row>
    <row r="5" spans="1:13" ht="16.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3" ht="16.5" customHeight="1">
      <c r="A6" s="1056" t="s">
        <v>2</v>
      </c>
      <c r="B6" s="1056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</row>
    <row r="7" spans="1:13" ht="16.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</row>
    <row r="8" spans="1:13" ht="16.5" customHeight="1">
      <c r="A8" s="1056" t="s">
        <v>3</v>
      </c>
      <c r="B8" s="1056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</row>
    <row r="9" spans="1:13" ht="16.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</row>
    <row r="10" spans="1:13" ht="16.5" customHeight="1">
      <c r="A10" s="5" t="s">
        <v>5</v>
      </c>
      <c r="B10" s="6" t="s">
        <v>6</v>
      </c>
      <c r="C10" s="6" t="s">
        <v>7</v>
      </c>
      <c r="D10" s="6" t="s">
        <v>69</v>
      </c>
      <c r="E10" s="6" t="s">
        <v>9</v>
      </c>
      <c r="F10" s="6" t="s">
        <v>10</v>
      </c>
      <c r="G10" s="6" t="s">
        <v>11</v>
      </c>
      <c r="H10" s="7" t="s">
        <v>12</v>
      </c>
      <c r="I10" s="8" t="s">
        <v>13</v>
      </c>
      <c r="J10" s="6" t="s">
        <v>14</v>
      </c>
      <c r="K10" s="6" t="s">
        <v>15</v>
      </c>
      <c r="L10" s="6" t="s">
        <v>16</v>
      </c>
      <c r="M10" s="6" t="s">
        <v>70</v>
      </c>
    </row>
    <row r="11" spans="1:13" ht="16.5" customHeight="1">
      <c r="A11" s="9">
        <v>71</v>
      </c>
      <c r="B11" s="9" t="s">
        <v>23</v>
      </c>
      <c r="C11" s="10" t="s">
        <v>24</v>
      </c>
      <c r="D11" s="11"/>
      <c r="E11" s="10" t="s">
        <v>7</v>
      </c>
      <c r="F11" s="10" t="s">
        <v>26</v>
      </c>
      <c r="G11" s="12" t="s">
        <v>27</v>
      </c>
      <c r="H11" s="13" t="s">
        <v>28</v>
      </c>
      <c r="I11" s="14"/>
      <c r="J11" s="11"/>
      <c r="K11" s="10" t="s">
        <v>29</v>
      </c>
      <c r="L11" s="12" t="s">
        <v>30</v>
      </c>
      <c r="M11" s="11"/>
    </row>
    <row r="12" spans="1:13" ht="22.5" customHeight="1">
      <c r="A12" s="9">
        <v>71</v>
      </c>
      <c r="B12" s="46" t="s">
        <v>71</v>
      </c>
      <c r="C12" s="11"/>
      <c r="D12" s="11"/>
      <c r="E12" s="47" t="s">
        <v>24</v>
      </c>
      <c r="F12" s="11"/>
      <c r="G12" s="11"/>
      <c r="H12" s="48" t="s">
        <v>72</v>
      </c>
      <c r="I12" s="14"/>
      <c r="J12" s="11"/>
      <c r="K12" s="11"/>
      <c r="L12" s="11" t="s">
        <v>73</v>
      </c>
      <c r="M12" s="11"/>
    </row>
    <row r="13" spans="1:13" ht="16.5" customHeight="1">
      <c r="A13" s="15">
        <v>710106</v>
      </c>
      <c r="B13" s="15" t="s">
        <v>74</v>
      </c>
      <c r="C13" s="16">
        <v>1714390.08</v>
      </c>
      <c r="D13" s="16">
        <v>-647863.78</v>
      </c>
      <c r="E13" s="16">
        <f t="shared" ref="E13:E32" si="0">(C13+D13)</f>
        <v>1066526.3</v>
      </c>
      <c r="F13" s="17">
        <v>1304396.1499999999</v>
      </c>
      <c r="G13" s="16">
        <f>(E13-F13)</f>
        <v>-237869.84999999986</v>
      </c>
      <c r="H13" s="16">
        <f>(F13/E13*100)</f>
        <v>122.30323340362071</v>
      </c>
      <c r="I13" s="17">
        <v>1304396.1499999999</v>
      </c>
      <c r="J13" s="17">
        <v>1304396.1499999999</v>
      </c>
      <c r="K13" s="16">
        <f>(E13-I13)</f>
        <v>-237869.84999999986</v>
      </c>
      <c r="L13" s="16">
        <f>(I13/E13*100)</f>
        <v>122.30323340362071</v>
      </c>
      <c r="M13" s="16">
        <f t="shared" ref="M13:M22" si="1">SUM(C13-I13)</f>
        <v>409993.93000000017</v>
      </c>
    </row>
    <row r="14" spans="1:13" ht="16.5" customHeight="1">
      <c r="A14" s="15">
        <v>710105</v>
      </c>
      <c r="B14" s="15" t="s">
        <v>75</v>
      </c>
      <c r="C14" s="16">
        <v>534781.16</v>
      </c>
      <c r="D14" s="16">
        <v>-200000</v>
      </c>
      <c r="E14" s="16">
        <f t="shared" si="0"/>
        <v>334781.16000000003</v>
      </c>
      <c r="F14" s="17">
        <v>244689.11</v>
      </c>
      <c r="G14" s="16">
        <f t="shared" ref="G14:G31" si="2">(E14-F14)</f>
        <v>90092.050000000047</v>
      </c>
      <c r="H14" s="16">
        <f t="shared" ref="H14:H77" si="3">(F14/E14*100)</f>
        <v>73.089271212274895</v>
      </c>
      <c r="I14" s="17">
        <v>244689.11</v>
      </c>
      <c r="J14" s="17">
        <v>244689.11</v>
      </c>
      <c r="K14" s="16">
        <f t="shared" ref="K14:K30" si="4">(E14-I14)</f>
        <v>90092.050000000047</v>
      </c>
      <c r="L14" s="16">
        <f t="shared" ref="L14:L28" si="5">(I14/E14*100)</f>
        <v>73.089271212274895</v>
      </c>
      <c r="M14" s="16">
        <f t="shared" si="1"/>
        <v>290092.05000000005</v>
      </c>
    </row>
    <row r="15" spans="1:13" ht="16.5" customHeight="1">
      <c r="A15" s="15">
        <v>710203</v>
      </c>
      <c r="B15" s="15" t="s">
        <v>32</v>
      </c>
      <c r="C15" s="16">
        <v>238008.94</v>
      </c>
      <c r="D15" s="16">
        <v>-150800</v>
      </c>
      <c r="E15" s="16">
        <f t="shared" si="0"/>
        <v>87208.94</v>
      </c>
      <c r="F15" s="17">
        <v>28594.799999999999</v>
      </c>
      <c r="G15" s="16">
        <f t="shared" si="2"/>
        <v>58614.14</v>
      </c>
      <c r="H15" s="16">
        <f t="shared" si="3"/>
        <v>32.788840226701524</v>
      </c>
      <c r="I15" s="17">
        <v>28321.67</v>
      </c>
      <c r="J15" s="17">
        <v>28321.67</v>
      </c>
      <c r="K15" s="16">
        <f t="shared" si="4"/>
        <v>58887.270000000004</v>
      </c>
      <c r="L15" s="16">
        <f t="shared" si="5"/>
        <v>32.475649858833279</v>
      </c>
      <c r="M15" s="16">
        <f t="shared" si="1"/>
        <v>209687.27000000002</v>
      </c>
    </row>
    <row r="16" spans="1:13" ht="16.5" customHeight="1">
      <c r="A16" s="15">
        <v>710204</v>
      </c>
      <c r="B16" s="15" t="s">
        <v>33</v>
      </c>
      <c r="C16" s="16">
        <v>97644.800000000003</v>
      </c>
      <c r="D16" s="16">
        <v>0</v>
      </c>
      <c r="E16" s="16">
        <f t="shared" si="0"/>
        <v>97644.800000000003</v>
      </c>
      <c r="F16" s="17">
        <v>11522.29</v>
      </c>
      <c r="G16" s="16">
        <f t="shared" si="2"/>
        <v>86122.510000000009</v>
      </c>
      <c r="H16" s="16">
        <f t="shared" si="3"/>
        <v>11.800208510847481</v>
      </c>
      <c r="I16" s="17">
        <v>11119.51</v>
      </c>
      <c r="J16" s="17">
        <v>11119.51</v>
      </c>
      <c r="K16" s="16">
        <f t="shared" si="4"/>
        <v>86525.290000000008</v>
      </c>
      <c r="L16" s="16">
        <f t="shared" si="5"/>
        <v>11.387713426623845</v>
      </c>
      <c r="M16" s="16">
        <f t="shared" si="1"/>
        <v>86525.290000000008</v>
      </c>
    </row>
    <row r="17" spans="1:21" ht="16.5" customHeight="1">
      <c r="A17" s="15">
        <v>710304</v>
      </c>
      <c r="B17" s="15" t="s">
        <v>76</v>
      </c>
      <c r="C17" s="16">
        <v>29964</v>
      </c>
      <c r="D17" s="16">
        <v>0</v>
      </c>
      <c r="E17" s="16">
        <f t="shared" si="0"/>
        <v>29964</v>
      </c>
      <c r="F17" s="17">
        <v>15312</v>
      </c>
      <c r="G17" s="16">
        <f t="shared" si="2"/>
        <v>14652</v>
      </c>
      <c r="H17" s="16">
        <f t="shared" si="3"/>
        <v>51.101321585903079</v>
      </c>
      <c r="I17" s="17">
        <v>15312</v>
      </c>
      <c r="J17" s="17">
        <v>15312</v>
      </c>
      <c r="K17" s="16">
        <f t="shared" si="4"/>
        <v>14652</v>
      </c>
      <c r="L17" s="16">
        <f t="shared" si="5"/>
        <v>51.101321585903079</v>
      </c>
      <c r="M17" s="16">
        <f t="shared" si="1"/>
        <v>14652</v>
      </c>
      <c r="Q17" s="2" t="s">
        <v>77</v>
      </c>
      <c r="R17" s="2"/>
      <c r="S17" s="2"/>
      <c r="T17" s="2"/>
      <c r="U17" s="2"/>
    </row>
    <row r="18" spans="1:21" ht="16.5" customHeight="1">
      <c r="A18" s="15">
        <v>710306</v>
      </c>
      <c r="B18" s="15" t="s">
        <v>78</v>
      </c>
      <c r="C18" s="16">
        <v>239712</v>
      </c>
      <c r="D18" s="16">
        <v>-87000</v>
      </c>
      <c r="E18" s="16">
        <f t="shared" si="0"/>
        <v>152712</v>
      </c>
      <c r="F18" s="17">
        <v>122496</v>
      </c>
      <c r="G18" s="16">
        <f t="shared" si="2"/>
        <v>30216</v>
      </c>
      <c r="H18" s="16">
        <f t="shared" si="3"/>
        <v>80.213735659280218</v>
      </c>
      <c r="I18" s="17">
        <v>122496</v>
      </c>
      <c r="J18" s="17">
        <v>122496</v>
      </c>
      <c r="K18" s="16">
        <f t="shared" si="4"/>
        <v>30216</v>
      </c>
      <c r="L18" s="16">
        <f t="shared" si="5"/>
        <v>80.213735659280218</v>
      </c>
      <c r="M18" s="16">
        <f t="shared" si="1"/>
        <v>117216</v>
      </c>
      <c r="Q18" s="2" t="s">
        <v>79</v>
      </c>
      <c r="R18" s="2"/>
      <c r="S18" s="2"/>
      <c r="T18" s="2"/>
      <c r="U18" s="2"/>
    </row>
    <row r="19" spans="1:21" ht="16.5" customHeight="1">
      <c r="A19" s="15">
        <v>710401</v>
      </c>
      <c r="B19" s="15" t="s">
        <v>80</v>
      </c>
      <c r="C19" s="16">
        <v>10582.08</v>
      </c>
      <c r="D19" s="16">
        <v>0</v>
      </c>
      <c r="E19" s="16">
        <f t="shared" si="0"/>
        <v>10582.08</v>
      </c>
      <c r="F19" s="17">
        <v>4161.6000000000004</v>
      </c>
      <c r="G19" s="16">
        <f t="shared" si="2"/>
        <v>6420.48</v>
      </c>
      <c r="H19" s="16">
        <f t="shared" si="3"/>
        <v>39.326862015785181</v>
      </c>
      <c r="I19" s="17">
        <v>4161.6000000000004</v>
      </c>
      <c r="J19" s="17">
        <v>4161.6000000000004</v>
      </c>
      <c r="K19" s="16">
        <f t="shared" si="4"/>
        <v>6420.48</v>
      </c>
      <c r="L19" s="16">
        <f t="shared" si="5"/>
        <v>39.326862015785181</v>
      </c>
      <c r="M19" s="16">
        <f t="shared" si="1"/>
        <v>6420.48</v>
      </c>
    </row>
    <row r="20" spans="1:21" ht="16.5" customHeight="1">
      <c r="A20" s="15">
        <v>710408</v>
      </c>
      <c r="B20" s="15" t="s">
        <v>81</v>
      </c>
      <c r="C20" s="16">
        <v>12857.93</v>
      </c>
      <c r="D20" s="16">
        <v>0</v>
      </c>
      <c r="E20" s="16">
        <f t="shared" si="0"/>
        <v>12857.93</v>
      </c>
      <c r="F20" s="17">
        <v>6493.6</v>
      </c>
      <c r="G20" s="16">
        <f t="shared" si="2"/>
        <v>6364.33</v>
      </c>
      <c r="H20" s="16">
        <f t="shared" si="3"/>
        <v>50.502685891119334</v>
      </c>
      <c r="I20" s="17">
        <v>6493.6</v>
      </c>
      <c r="J20" s="17">
        <v>6493.6</v>
      </c>
      <c r="K20" s="16">
        <f t="shared" si="4"/>
        <v>6364.33</v>
      </c>
      <c r="L20" s="16">
        <f t="shared" si="5"/>
        <v>50.502685891119334</v>
      </c>
      <c r="M20" s="16">
        <f t="shared" si="1"/>
        <v>6364.33</v>
      </c>
    </row>
    <row r="21" spans="1:21" ht="16.5" customHeight="1">
      <c r="A21" s="15">
        <v>710512</v>
      </c>
      <c r="B21" s="15" t="s">
        <v>82</v>
      </c>
      <c r="C21" s="16">
        <v>20000</v>
      </c>
      <c r="D21" s="16">
        <v>0</v>
      </c>
      <c r="E21" s="16">
        <f t="shared" si="0"/>
        <v>20000</v>
      </c>
      <c r="F21" s="16">
        <v>10473.1</v>
      </c>
      <c r="G21" s="16">
        <f t="shared" si="2"/>
        <v>9526.9</v>
      </c>
      <c r="H21" s="16">
        <f t="shared" si="3"/>
        <v>52.365499999999997</v>
      </c>
      <c r="I21" s="16">
        <v>9916.83</v>
      </c>
      <c r="J21" s="16">
        <v>10019.31</v>
      </c>
      <c r="K21" s="16">
        <f t="shared" si="4"/>
        <v>10083.17</v>
      </c>
      <c r="L21" s="16">
        <f t="shared" si="5"/>
        <v>49.584150000000001</v>
      </c>
      <c r="M21" s="16">
        <f t="shared" si="1"/>
        <v>10083.17</v>
      </c>
    </row>
    <row r="22" spans="1:21" ht="16.5" customHeight="1">
      <c r="A22" s="15">
        <v>710513</v>
      </c>
      <c r="B22" s="15" t="s">
        <v>83</v>
      </c>
      <c r="C22" s="16">
        <v>5000</v>
      </c>
      <c r="D22" s="16">
        <v>0</v>
      </c>
      <c r="E22" s="16">
        <f t="shared" si="0"/>
        <v>5000</v>
      </c>
      <c r="F22" s="16">
        <v>0</v>
      </c>
      <c r="G22" s="16">
        <f t="shared" si="2"/>
        <v>5000</v>
      </c>
      <c r="H22" s="16">
        <f t="shared" si="3"/>
        <v>0</v>
      </c>
      <c r="I22" s="17">
        <v>0</v>
      </c>
      <c r="J22" s="16">
        <v>0</v>
      </c>
      <c r="K22" s="16">
        <f t="shared" si="4"/>
        <v>5000</v>
      </c>
      <c r="L22" s="16">
        <f t="shared" si="5"/>
        <v>0</v>
      </c>
      <c r="M22" s="16">
        <f t="shared" si="1"/>
        <v>5000</v>
      </c>
    </row>
    <row r="23" spans="1:21" ht="16.5" customHeight="1">
      <c r="A23" s="15">
        <v>710510</v>
      </c>
      <c r="B23" s="16" t="s">
        <v>35</v>
      </c>
      <c r="C23" s="16">
        <v>606936</v>
      </c>
      <c r="D23" s="16">
        <v>-100000</v>
      </c>
      <c r="E23" s="16">
        <f t="shared" si="0"/>
        <v>506936</v>
      </c>
      <c r="F23" s="17">
        <v>447959.95</v>
      </c>
      <c r="G23" s="16">
        <f t="shared" si="2"/>
        <v>58976.049999999988</v>
      </c>
      <c r="H23" s="16">
        <f t="shared" si="3"/>
        <v>88.366174428330197</v>
      </c>
      <c r="I23" s="17">
        <v>433700.91</v>
      </c>
      <c r="J23" s="17">
        <v>433700.91</v>
      </c>
      <c r="K23" s="16">
        <f t="shared" si="4"/>
        <v>73235.090000000026</v>
      </c>
      <c r="L23" s="16">
        <f t="shared" si="5"/>
        <v>85.553385437214942</v>
      </c>
      <c r="M23" s="16">
        <f>SUM(C23+D23-I23)</f>
        <v>73235.090000000026</v>
      </c>
    </row>
    <row r="24" spans="1:21" ht="16.5" customHeight="1">
      <c r="A24" s="15">
        <v>710601</v>
      </c>
      <c r="B24" s="15" t="s">
        <v>36</v>
      </c>
      <c r="C24" s="16">
        <v>341308.44</v>
      </c>
      <c r="D24" s="16">
        <v>-40000</v>
      </c>
      <c r="E24" s="16">
        <f t="shared" si="0"/>
        <v>301308.44</v>
      </c>
      <c r="F24" s="16">
        <v>240308.25</v>
      </c>
      <c r="G24" s="16">
        <f t="shared" si="2"/>
        <v>61000.19</v>
      </c>
      <c r="H24" s="16">
        <f t="shared" si="3"/>
        <v>79.754901654928744</v>
      </c>
      <c r="I24" s="16">
        <v>238684.33</v>
      </c>
      <c r="J24" s="16">
        <v>238684.33</v>
      </c>
      <c r="K24" s="16">
        <f t="shared" si="4"/>
        <v>62624.110000000015</v>
      </c>
      <c r="L24" s="16">
        <f t="shared" si="5"/>
        <v>79.21594562701263</v>
      </c>
      <c r="M24" s="16">
        <f>SUM(C24-I24)</f>
        <v>102624.11000000002</v>
      </c>
    </row>
    <row r="25" spans="1:21" ht="16.5" customHeight="1">
      <c r="A25" s="15">
        <v>710602</v>
      </c>
      <c r="B25" s="15" t="s">
        <v>37</v>
      </c>
      <c r="C25" s="16">
        <v>209988.74</v>
      </c>
      <c r="D25" s="16">
        <v>0</v>
      </c>
      <c r="E25" s="16">
        <f t="shared" si="0"/>
        <v>209988.74</v>
      </c>
      <c r="F25" s="17">
        <v>138448.1</v>
      </c>
      <c r="G25" s="16">
        <f t="shared" si="2"/>
        <v>71540.639999999985</v>
      </c>
      <c r="H25" s="16">
        <f t="shared" si="3"/>
        <v>65.931201834917445</v>
      </c>
      <c r="I25" s="17">
        <v>135273.07</v>
      </c>
      <c r="J25" s="17">
        <v>135273.07</v>
      </c>
      <c r="K25" s="16">
        <f t="shared" si="4"/>
        <v>74715.669999999984</v>
      </c>
      <c r="L25" s="16">
        <f t="shared" si="5"/>
        <v>64.419201715291976</v>
      </c>
      <c r="M25" s="16">
        <f>SUM(C25-I25)</f>
        <v>74715.669999999984</v>
      </c>
    </row>
    <row r="26" spans="1:21" ht="16.5" customHeight="1">
      <c r="A26" s="15">
        <v>710603</v>
      </c>
      <c r="B26" s="15" t="s">
        <v>84</v>
      </c>
      <c r="C26" s="16"/>
      <c r="D26" s="16">
        <v>3796</v>
      </c>
      <c r="E26" s="16">
        <f t="shared" si="0"/>
        <v>3796</v>
      </c>
      <c r="F26" s="17">
        <v>1752</v>
      </c>
      <c r="G26" s="16">
        <f t="shared" si="2"/>
        <v>2044</v>
      </c>
      <c r="H26" s="16">
        <f t="shared" si="3"/>
        <v>46.153846153846153</v>
      </c>
      <c r="I26" s="17">
        <v>1752</v>
      </c>
      <c r="J26" s="17">
        <v>1752</v>
      </c>
      <c r="K26" s="16">
        <f t="shared" si="4"/>
        <v>2044</v>
      </c>
      <c r="L26" s="16">
        <f t="shared" si="5"/>
        <v>46.153846153846153</v>
      </c>
      <c r="M26" s="16">
        <f>SUM(D26-I26)</f>
        <v>2044</v>
      </c>
    </row>
    <row r="27" spans="1:21" ht="16.5" customHeight="1">
      <c r="A27" s="15">
        <v>710706</v>
      </c>
      <c r="B27" s="15" t="s">
        <v>85</v>
      </c>
      <c r="C27" s="16">
        <v>104756.18</v>
      </c>
      <c r="D27" s="16">
        <v>-104756.18</v>
      </c>
      <c r="E27" s="16">
        <f t="shared" si="0"/>
        <v>0</v>
      </c>
      <c r="F27" s="16">
        <v>0</v>
      </c>
      <c r="G27" s="16">
        <f t="shared" si="2"/>
        <v>0</v>
      </c>
      <c r="H27" s="16">
        <v>0</v>
      </c>
      <c r="I27" s="17">
        <v>0</v>
      </c>
      <c r="J27" s="16">
        <v>0</v>
      </c>
      <c r="K27" s="16">
        <f t="shared" si="4"/>
        <v>0</v>
      </c>
      <c r="L27" s="16">
        <v>0</v>
      </c>
      <c r="M27" s="16">
        <f>SUM(C27+D27)</f>
        <v>0</v>
      </c>
    </row>
    <row r="28" spans="1:21" ht="23.25" customHeight="1">
      <c r="A28" s="15">
        <v>710707</v>
      </c>
      <c r="B28" s="19" t="s">
        <v>38</v>
      </c>
      <c r="C28" s="20">
        <v>5000</v>
      </c>
      <c r="D28" s="20">
        <v>34000</v>
      </c>
      <c r="E28" s="16">
        <f t="shared" si="0"/>
        <v>39000</v>
      </c>
      <c r="F28" s="17">
        <v>26539.09</v>
      </c>
      <c r="G28" s="16">
        <f t="shared" si="2"/>
        <v>12460.91</v>
      </c>
      <c r="H28" s="16">
        <f t="shared" si="3"/>
        <v>68.048948717948718</v>
      </c>
      <c r="I28" s="17">
        <v>24007.83</v>
      </c>
      <c r="J28" s="17">
        <v>24007.83</v>
      </c>
      <c r="K28" s="16">
        <f t="shared" si="4"/>
        <v>14992.169999999998</v>
      </c>
      <c r="L28" s="16">
        <f t="shared" si="5"/>
        <v>61.558538461538468</v>
      </c>
      <c r="M28" s="16">
        <f>SUM(C28-I28+D28)</f>
        <v>14992.169999999998</v>
      </c>
    </row>
    <row r="29" spans="1:21" ht="16.5" customHeight="1">
      <c r="A29" s="15">
        <v>710709</v>
      </c>
      <c r="B29" s="19" t="s">
        <v>86</v>
      </c>
      <c r="C29" s="20">
        <v>30000</v>
      </c>
      <c r="D29" s="20">
        <v>-30000</v>
      </c>
      <c r="E29" s="16">
        <f t="shared" si="0"/>
        <v>0</v>
      </c>
      <c r="F29" s="20">
        <v>0</v>
      </c>
      <c r="G29" s="16">
        <f t="shared" si="2"/>
        <v>0</v>
      </c>
      <c r="H29" s="16">
        <v>0</v>
      </c>
      <c r="I29" s="17">
        <v>0</v>
      </c>
      <c r="J29" s="16">
        <v>0</v>
      </c>
      <c r="K29" s="16">
        <f t="shared" si="4"/>
        <v>0</v>
      </c>
      <c r="L29" s="16">
        <v>0</v>
      </c>
      <c r="M29" s="16">
        <f>SUM(C29-I29)</f>
        <v>30000</v>
      </c>
    </row>
    <row r="30" spans="1:21" ht="16.5" customHeight="1">
      <c r="A30" s="15">
        <v>710710</v>
      </c>
      <c r="B30" s="19" t="s">
        <v>87</v>
      </c>
      <c r="C30" s="20">
        <v>131000</v>
      </c>
      <c r="D30" s="20">
        <v>-131000</v>
      </c>
      <c r="E30" s="16">
        <f t="shared" si="0"/>
        <v>0</v>
      </c>
      <c r="F30" s="20">
        <v>0</v>
      </c>
      <c r="G30" s="16">
        <f t="shared" si="2"/>
        <v>0</v>
      </c>
      <c r="H30" s="16">
        <v>0</v>
      </c>
      <c r="I30" s="17">
        <v>0</v>
      </c>
      <c r="J30" s="16">
        <v>0</v>
      </c>
      <c r="K30" s="16">
        <f t="shared" si="4"/>
        <v>0</v>
      </c>
      <c r="L30" s="16">
        <v>0</v>
      </c>
      <c r="M30" s="16">
        <f>SUM(C30-I30)</f>
        <v>131000</v>
      </c>
    </row>
    <row r="31" spans="1:21" ht="16.5" customHeight="1">
      <c r="A31" s="9">
        <v>71</v>
      </c>
      <c r="B31" s="21" t="s">
        <v>39</v>
      </c>
      <c r="C31" s="22">
        <f>SUM(C13:C30)</f>
        <v>4331930.3499999996</v>
      </c>
      <c r="D31" s="23">
        <f>SUM(D13:D30)</f>
        <v>-1453623.96</v>
      </c>
      <c r="E31" s="24">
        <f t="shared" si="0"/>
        <v>2878306.3899999997</v>
      </c>
      <c r="F31" s="22">
        <f>SUM(F13:F30)</f>
        <v>2603146.04</v>
      </c>
      <c r="G31" s="24">
        <f t="shared" si="2"/>
        <v>275160.34999999963</v>
      </c>
      <c r="H31" s="24">
        <f t="shared" si="3"/>
        <v>90.440199453540473</v>
      </c>
      <c r="I31" s="23">
        <f>SUM(I13:I30)</f>
        <v>2580324.61</v>
      </c>
      <c r="J31" s="22">
        <f>SUM(J13:J30)</f>
        <v>2580427.09</v>
      </c>
      <c r="K31" s="22">
        <f>SUM(K13:K30)</f>
        <v>297981.7800000002</v>
      </c>
      <c r="L31" s="22">
        <f>SUM(L13:L30)</f>
        <v>846.88554044834473</v>
      </c>
      <c r="M31" s="22">
        <f>SUM(M13:M30)</f>
        <v>1584645.5600000003</v>
      </c>
    </row>
    <row r="32" spans="1:21" ht="16.5" customHeight="1">
      <c r="A32" s="9"/>
      <c r="B32" s="21"/>
      <c r="C32" s="34">
        <f>C31/C31</f>
        <v>1</v>
      </c>
      <c r="D32" s="33">
        <f>D31/C31</f>
        <v>-0.33556032589489815</v>
      </c>
      <c r="E32" s="16">
        <f t="shared" si="0"/>
        <v>0.66443967410510185</v>
      </c>
      <c r="F32" s="33">
        <f>F31/E31</f>
        <v>0.90440199453540471</v>
      </c>
      <c r="G32" s="33">
        <f>G31/F31</f>
        <v>0.10570300158803216</v>
      </c>
      <c r="H32" s="16"/>
      <c r="I32" s="33">
        <f>I31/C31</f>
        <v>0.59565237700555362</v>
      </c>
      <c r="J32" s="34">
        <f>J31/C31</f>
        <v>0.59567603389560497</v>
      </c>
      <c r="K32" s="34"/>
      <c r="L32" s="34"/>
      <c r="M32" s="34">
        <f>M31/C31</f>
        <v>0.36580587220198507</v>
      </c>
    </row>
    <row r="33" spans="1:13" ht="16.5" customHeight="1">
      <c r="A33" s="28" t="s">
        <v>5</v>
      </c>
      <c r="B33" s="29" t="s">
        <v>6</v>
      </c>
      <c r="C33" s="30" t="s">
        <v>7</v>
      </c>
      <c r="D33" s="30"/>
      <c r="E33" s="16"/>
      <c r="F33" s="29"/>
      <c r="G33" s="29"/>
      <c r="H33" s="29"/>
      <c r="I33" s="31" t="s">
        <v>40</v>
      </c>
      <c r="J33" s="29" t="s">
        <v>14</v>
      </c>
      <c r="K33" s="29"/>
      <c r="L33" s="29"/>
      <c r="M33" s="29" t="s">
        <v>88</v>
      </c>
    </row>
    <row r="34" spans="1:13" ht="16.5" customHeight="1">
      <c r="A34" s="15">
        <v>730101</v>
      </c>
      <c r="B34" s="49" t="s">
        <v>89</v>
      </c>
      <c r="C34" s="50">
        <v>3414.6</v>
      </c>
      <c r="D34" s="50">
        <v>0</v>
      </c>
      <c r="E34" s="16">
        <f t="shared" ref="E34:E51" si="6">(C34+D34)</f>
        <v>3414.6</v>
      </c>
      <c r="F34" s="17">
        <v>243.64</v>
      </c>
      <c r="G34" s="16">
        <f t="shared" ref="G34:G95" si="7">(E34-F34)</f>
        <v>3170.96</v>
      </c>
      <c r="H34" s="16">
        <f t="shared" si="3"/>
        <v>7.1352427809992385</v>
      </c>
      <c r="I34" s="17">
        <v>243.64</v>
      </c>
      <c r="J34" s="17">
        <v>243.64</v>
      </c>
      <c r="K34" s="16">
        <f t="shared" ref="K34:K51" si="8">(E34-I34)</f>
        <v>3170.96</v>
      </c>
      <c r="L34" s="16">
        <f t="shared" ref="L34:L50" si="9">(I34/E34*100)</f>
        <v>7.1352427809992385</v>
      </c>
      <c r="M34" s="16">
        <f>SUM(C34-I34+D34)</f>
        <v>3170.96</v>
      </c>
    </row>
    <row r="35" spans="1:13" ht="16.5" customHeight="1">
      <c r="A35" s="15">
        <v>730104</v>
      </c>
      <c r="B35" s="19" t="s">
        <v>90</v>
      </c>
      <c r="C35" s="20">
        <v>1935.49</v>
      </c>
      <c r="D35" s="20">
        <v>0</v>
      </c>
      <c r="E35" s="16">
        <f t="shared" si="6"/>
        <v>1935.49</v>
      </c>
      <c r="F35" s="17">
        <v>1541.83</v>
      </c>
      <c r="G35" s="16">
        <f t="shared" si="7"/>
        <v>393.66000000000008</v>
      </c>
      <c r="H35" s="16">
        <f t="shared" si="3"/>
        <v>79.66096440694605</v>
      </c>
      <c r="I35" s="17">
        <v>1541.83</v>
      </c>
      <c r="J35" s="17">
        <v>1541.83</v>
      </c>
      <c r="K35" s="16">
        <f t="shared" si="8"/>
        <v>393.66000000000008</v>
      </c>
      <c r="L35" s="16">
        <f t="shared" si="9"/>
        <v>79.66096440694605</v>
      </c>
      <c r="M35" s="16">
        <f>SUM(C35-I35+D35)</f>
        <v>393.66000000000008</v>
      </c>
    </row>
    <row r="36" spans="1:13" ht="16.5" customHeight="1">
      <c r="A36" s="15">
        <v>730105</v>
      </c>
      <c r="B36" s="19" t="s">
        <v>91</v>
      </c>
      <c r="C36" s="20">
        <v>11554.58</v>
      </c>
      <c r="D36" s="20">
        <v>-5000</v>
      </c>
      <c r="E36" s="16">
        <f t="shared" si="6"/>
        <v>6554.58</v>
      </c>
      <c r="F36" s="20">
        <v>2292.81</v>
      </c>
      <c r="G36" s="16">
        <f t="shared" si="7"/>
        <v>4261.7700000000004</v>
      </c>
      <c r="H36" s="16">
        <f t="shared" si="3"/>
        <v>34.980273335591292</v>
      </c>
      <c r="I36" s="20">
        <v>2292.81</v>
      </c>
      <c r="J36" s="20">
        <v>2292.81</v>
      </c>
      <c r="K36" s="16">
        <f t="shared" si="8"/>
        <v>4261.7700000000004</v>
      </c>
      <c r="L36" s="16">
        <f t="shared" si="9"/>
        <v>34.980273335591292</v>
      </c>
      <c r="M36" s="16">
        <f>SUM(C36-I36+D36)</f>
        <v>4261.7700000000004</v>
      </c>
    </row>
    <row r="37" spans="1:13" ht="16.5" customHeight="1">
      <c r="A37" s="15">
        <v>730106</v>
      </c>
      <c r="B37" s="19" t="s">
        <v>92</v>
      </c>
      <c r="C37" s="20">
        <v>252</v>
      </c>
      <c r="D37" s="20">
        <v>0</v>
      </c>
      <c r="E37" s="16">
        <f t="shared" si="6"/>
        <v>252</v>
      </c>
      <c r="F37" s="20">
        <v>20.76</v>
      </c>
      <c r="G37" s="16">
        <f t="shared" si="7"/>
        <v>231.24</v>
      </c>
      <c r="H37" s="16">
        <f t="shared" si="3"/>
        <v>8.238095238095239</v>
      </c>
      <c r="I37" s="17">
        <v>20.76</v>
      </c>
      <c r="J37" s="17">
        <v>20.76</v>
      </c>
      <c r="K37" s="16">
        <f t="shared" si="8"/>
        <v>231.24</v>
      </c>
      <c r="L37" s="16">
        <f t="shared" si="9"/>
        <v>8.238095238095239</v>
      </c>
      <c r="M37" s="16">
        <f>SUM(C37-I37)</f>
        <v>231.24</v>
      </c>
    </row>
    <row r="38" spans="1:13" ht="16.5" customHeight="1">
      <c r="A38" s="15">
        <v>730203</v>
      </c>
      <c r="B38" s="19" t="s">
        <v>93</v>
      </c>
      <c r="C38" s="20">
        <v>0</v>
      </c>
      <c r="D38" s="20">
        <v>1000</v>
      </c>
      <c r="E38" s="16">
        <f>(C38+D38)</f>
        <v>1000</v>
      </c>
      <c r="F38" s="20">
        <v>523.79999999999995</v>
      </c>
      <c r="G38" s="16">
        <f>(E38-F38)</f>
        <v>476.20000000000005</v>
      </c>
      <c r="H38" s="16">
        <f>(F38/E38*100)</f>
        <v>52.379999999999995</v>
      </c>
      <c r="I38" s="17">
        <v>523.79999999999995</v>
      </c>
      <c r="J38" s="17">
        <v>523.79999999999995</v>
      </c>
      <c r="K38" s="16">
        <f>(E38-I38)</f>
        <v>476.20000000000005</v>
      </c>
      <c r="L38" s="16">
        <f>(I38/E38*100)</f>
        <v>52.379999999999995</v>
      </c>
      <c r="M38" s="16">
        <f>SUM(D38-I38)</f>
        <v>476.20000000000005</v>
      </c>
    </row>
    <row r="39" spans="1:13" ht="22.5" customHeight="1">
      <c r="A39" s="15">
        <v>730204</v>
      </c>
      <c r="B39" s="19" t="s">
        <v>42</v>
      </c>
      <c r="C39" s="20">
        <v>6300</v>
      </c>
      <c r="D39" s="20">
        <v>0</v>
      </c>
      <c r="E39" s="16">
        <f t="shared" si="6"/>
        <v>6300</v>
      </c>
      <c r="F39" s="20">
        <v>4836.55</v>
      </c>
      <c r="G39" s="16">
        <f t="shared" si="7"/>
        <v>1463.4499999999998</v>
      </c>
      <c r="H39" s="16">
        <f t="shared" si="3"/>
        <v>76.770634920634933</v>
      </c>
      <c r="I39" s="17">
        <v>4288.55</v>
      </c>
      <c r="J39" s="17">
        <v>4288.55</v>
      </c>
      <c r="K39" s="16">
        <f t="shared" si="8"/>
        <v>2011.4499999999998</v>
      </c>
      <c r="L39" s="16">
        <f t="shared" si="9"/>
        <v>68.072222222222223</v>
      </c>
      <c r="M39" s="16">
        <f>SUM(C39+D39-I39)</f>
        <v>2011.4499999999998</v>
      </c>
    </row>
    <row r="40" spans="1:13" ht="16.5" customHeight="1">
      <c r="A40" s="15">
        <v>730206</v>
      </c>
      <c r="B40" s="19" t="s">
        <v>94</v>
      </c>
      <c r="C40" s="20">
        <v>6300</v>
      </c>
      <c r="D40" s="20">
        <v>-6300</v>
      </c>
      <c r="E40" s="16">
        <f t="shared" si="6"/>
        <v>0</v>
      </c>
      <c r="F40" s="20">
        <v>0</v>
      </c>
      <c r="G40" s="16">
        <f t="shared" si="7"/>
        <v>0</v>
      </c>
      <c r="H40" s="16">
        <v>0</v>
      </c>
      <c r="I40" s="17">
        <v>0</v>
      </c>
      <c r="J40" s="16">
        <v>0</v>
      </c>
      <c r="K40" s="16">
        <f t="shared" si="8"/>
        <v>0</v>
      </c>
      <c r="L40" s="16">
        <v>0</v>
      </c>
      <c r="M40" s="16">
        <f>SUM(C40+D40)</f>
        <v>0</v>
      </c>
    </row>
    <row r="41" spans="1:13" ht="16.5" customHeight="1">
      <c r="A41" s="15">
        <v>730207</v>
      </c>
      <c r="B41" s="19" t="s">
        <v>43</v>
      </c>
      <c r="C41" s="20">
        <v>40142</v>
      </c>
      <c r="D41" s="20">
        <v>-27285</v>
      </c>
      <c r="E41" s="16">
        <f t="shared" si="6"/>
        <v>12857</v>
      </c>
      <c r="F41" s="17">
        <v>12857</v>
      </c>
      <c r="G41" s="16">
        <f t="shared" si="7"/>
        <v>0</v>
      </c>
      <c r="H41" s="16">
        <f t="shared" si="3"/>
        <v>100</v>
      </c>
      <c r="I41" s="17">
        <v>11809.44</v>
      </c>
      <c r="J41" s="17">
        <v>11809.44</v>
      </c>
      <c r="K41" s="16">
        <f t="shared" si="8"/>
        <v>1047.5599999999995</v>
      </c>
      <c r="L41" s="16">
        <f t="shared" si="9"/>
        <v>91.852220580228675</v>
      </c>
      <c r="M41" s="16">
        <f>SUM(C41-I41+D41)</f>
        <v>1047.5599999999977</v>
      </c>
    </row>
    <row r="42" spans="1:13" ht="24" customHeight="1">
      <c r="A42" s="15">
        <v>730209</v>
      </c>
      <c r="B42" s="19" t="s">
        <v>95</v>
      </c>
      <c r="C42" s="20">
        <v>0</v>
      </c>
      <c r="D42" s="20">
        <v>17900</v>
      </c>
      <c r="E42" s="16">
        <f t="shared" si="6"/>
        <v>17900</v>
      </c>
      <c r="F42" s="20">
        <v>15678.28</v>
      </c>
      <c r="G42" s="16">
        <f t="shared" si="7"/>
        <v>2221.7199999999993</v>
      </c>
      <c r="H42" s="16">
        <f t="shared" si="3"/>
        <v>87.588156424581015</v>
      </c>
      <c r="I42" s="17">
        <v>11238.77</v>
      </c>
      <c r="J42" s="17">
        <v>11238.77</v>
      </c>
      <c r="K42" s="16">
        <f t="shared" si="8"/>
        <v>6661.23</v>
      </c>
      <c r="L42" s="16">
        <f t="shared" si="9"/>
        <v>62.786424581005583</v>
      </c>
      <c r="M42" s="16">
        <f>SUM(D42-I42)</f>
        <v>6661.23</v>
      </c>
    </row>
    <row r="43" spans="1:13" ht="24.75" customHeight="1">
      <c r="A43" s="15">
        <v>730212</v>
      </c>
      <c r="B43" s="19" t="s">
        <v>96</v>
      </c>
      <c r="C43" s="20">
        <v>0</v>
      </c>
      <c r="D43" s="20">
        <v>350</v>
      </c>
      <c r="E43" s="16">
        <f t="shared" si="6"/>
        <v>350</v>
      </c>
      <c r="F43" s="20">
        <v>310</v>
      </c>
      <c r="G43" s="16">
        <f t="shared" si="7"/>
        <v>40</v>
      </c>
      <c r="H43" s="16">
        <f t="shared" si="3"/>
        <v>88.571428571428569</v>
      </c>
      <c r="I43" s="17">
        <v>0</v>
      </c>
      <c r="J43" s="17">
        <v>0</v>
      </c>
      <c r="K43" s="16">
        <f t="shared" si="8"/>
        <v>350</v>
      </c>
      <c r="L43" s="16">
        <f t="shared" si="9"/>
        <v>0</v>
      </c>
      <c r="M43" s="16">
        <f>SUM(D43-I43)</f>
        <v>350</v>
      </c>
    </row>
    <row r="44" spans="1:13" ht="23.25" customHeight="1">
      <c r="A44" s="15">
        <v>730218</v>
      </c>
      <c r="B44" s="19" t="s">
        <v>44</v>
      </c>
      <c r="C44" s="20">
        <v>0</v>
      </c>
      <c r="D44" s="20">
        <v>7285</v>
      </c>
      <c r="E44" s="16">
        <f t="shared" si="6"/>
        <v>7285</v>
      </c>
      <c r="F44" s="17">
        <v>3138.2</v>
      </c>
      <c r="G44" s="16">
        <f t="shared" si="7"/>
        <v>4146.8</v>
      </c>
      <c r="H44" s="16">
        <f t="shared" si="3"/>
        <v>43.077556623198348</v>
      </c>
      <c r="I44" s="17">
        <v>1995.33</v>
      </c>
      <c r="J44" s="17">
        <v>1995.33</v>
      </c>
      <c r="K44" s="16">
        <f t="shared" si="8"/>
        <v>5289.67</v>
      </c>
      <c r="L44" s="16">
        <f t="shared" si="9"/>
        <v>27.389567604667125</v>
      </c>
      <c r="M44" s="16">
        <f>SUM(D44-I44)</f>
        <v>5289.67</v>
      </c>
    </row>
    <row r="45" spans="1:13" ht="16.5" customHeight="1">
      <c r="A45" s="15">
        <v>730301</v>
      </c>
      <c r="B45" s="19" t="s">
        <v>97</v>
      </c>
      <c r="C45" s="20">
        <v>9639</v>
      </c>
      <c r="D45" s="20">
        <v>0</v>
      </c>
      <c r="E45" s="16">
        <f t="shared" si="6"/>
        <v>9639</v>
      </c>
      <c r="F45" s="20">
        <v>6715.84</v>
      </c>
      <c r="G45" s="16">
        <f t="shared" si="7"/>
        <v>2923.16</v>
      </c>
      <c r="H45" s="16">
        <f t="shared" si="3"/>
        <v>69.673617595186215</v>
      </c>
      <c r="I45" s="17">
        <v>3715.84</v>
      </c>
      <c r="J45" s="17">
        <v>3715.84</v>
      </c>
      <c r="K45" s="16">
        <f t="shared" si="8"/>
        <v>5923.16</v>
      </c>
      <c r="L45" s="16">
        <f t="shared" si="9"/>
        <v>38.550057059860983</v>
      </c>
      <c r="M45" s="16">
        <f>SUM(C45-I45)</f>
        <v>5923.16</v>
      </c>
    </row>
    <row r="46" spans="1:13" ht="16.5" customHeight="1">
      <c r="A46" s="15">
        <v>730302</v>
      </c>
      <c r="B46" s="19" t="s">
        <v>98</v>
      </c>
      <c r="C46" s="20">
        <v>3000</v>
      </c>
      <c r="D46" s="20">
        <v>-3000</v>
      </c>
      <c r="E46" s="16">
        <f t="shared" si="6"/>
        <v>0</v>
      </c>
      <c r="F46" s="20">
        <v>0</v>
      </c>
      <c r="G46" s="16">
        <f t="shared" si="7"/>
        <v>0</v>
      </c>
      <c r="H46" s="16">
        <v>0</v>
      </c>
      <c r="I46" s="17">
        <v>0</v>
      </c>
      <c r="J46" s="16">
        <v>0</v>
      </c>
      <c r="K46" s="16">
        <f t="shared" si="8"/>
        <v>0</v>
      </c>
      <c r="L46" s="16">
        <v>0</v>
      </c>
      <c r="M46" s="16">
        <f>SUM(C46-I46)</f>
        <v>3000</v>
      </c>
    </row>
    <row r="47" spans="1:13" ht="16.5" customHeight="1">
      <c r="A47" s="15">
        <v>730303</v>
      </c>
      <c r="B47" s="19" t="s">
        <v>46</v>
      </c>
      <c r="C47" s="20">
        <v>11190.37</v>
      </c>
      <c r="D47" s="20">
        <v>33000</v>
      </c>
      <c r="E47" s="16">
        <f t="shared" si="6"/>
        <v>44190.37</v>
      </c>
      <c r="F47" s="20">
        <v>37383.56</v>
      </c>
      <c r="G47" s="16">
        <f t="shared" si="7"/>
        <v>6806.8100000000049</v>
      </c>
      <c r="H47" s="16">
        <f t="shared" si="3"/>
        <v>84.596621390588041</v>
      </c>
      <c r="I47" s="17">
        <v>37371.31</v>
      </c>
      <c r="J47" s="17">
        <v>37371.31</v>
      </c>
      <c r="K47" s="16">
        <f t="shared" si="8"/>
        <v>6819.0600000000049</v>
      </c>
      <c r="L47" s="16">
        <f t="shared" si="9"/>
        <v>84.568900418801647</v>
      </c>
      <c r="M47" s="16">
        <f>SUM(C47-I47+D47)</f>
        <v>6819.0600000000049</v>
      </c>
    </row>
    <row r="48" spans="1:13" ht="16.5" customHeight="1">
      <c r="A48" s="15">
        <v>730304</v>
      </c>
      <c r="B48" s="19" t="s">
        <v>99</v>
      </c>
      <c r="C48" s="20">
        <v>3000</v>
      </c>
      <c r="D48" s="20">
        <v>0</v>
      </c>
      <c r="E48" s="16">
        <f t="shared" si="6"/>
        <v>3000</v>
      </c>
      <c r="F48" s="20">
        <v>0</v>
      </c>
      <c r="G48" s="16">
        <f t="shared" si="7"/>
        <v>3000</v>
      </c>
      <c r="H48" s="16">
        <f t="shared" si="3"/>
        <v>0</v>
      </c>
      <c r="I48" s="17">
        <v>0</v>
      </c>
      <c r="J48" s="16">
        <v>0</v>
      </c>
      <c r="K48" s="16">
        <f t="shared" si="8"/>
        <v>3000</v>
      </c>
      <c r="L48" s="16">
        <f t="shared" si="9"/>
        <v>0</v>
      </c>
      <c r="M48" s="16">
        <f>SUM(C48-I48)</f>
        <v>3000</v>
      </c>
    </row>
    <row r="49" spans="1:13" ht="16.5" customHeight="1">
      <c r="A49" s="15">
        <v>730402</v>
      </c>
      <c r="B49" s="19" t="s">
        <v>51</v>
      </c>
      <c r="C49" s="20">
        <v>1947</v>
      </c>
      <c r="D49" s="20">
        <v>39000</v>
      </c>
      <c r="E49" s="16">
        <f t="shared" si="6"/>
        <v>40947</v>
      </c>
      <c r="F49" s="20">
        <v>17159.2</v>
      </c>
      <c r="G49" s="16">
        <f t="shared" si="7"/>
        <v>23787.8</v>
      </c>
      <c r="H49" s="16">
        <f t="shared" si="3"/>
        <v>41.905878330524828</v>
      </c>
      <c r="I49" s="20">
        <v>10075.1</v>
      </c>
      <c r="J49" s="20">
        <v>10075.1</v>
      </c>
      <c r="K49" s="16">
        <f t="shared" si="8"/>
        <v>30871.9</v>
      </c>
      <c r="L49" s="16">
        <f t="shared" si="9"/>
        <v>24.605221383739959</v>
      </c>
      <c r="M49" s="16">
        <f>SUM(C49-I49+D49)</f>
        <v>30871.9</v>
      </c>
    </row>
    <row r="50" spans="1:13" ht="16.5" customHeight="1">
      <c r="A50" s="15">
        <v>730403</v>
      </c>
      <c r="B50" s="19" t="s">
        <v>62</v>
      </c>
      <c r="C50" s="20">
        <v>630</v>
      </c>
      <c r="D50" s="20">
        <v>0</v>
      </c>
      <c r="E50" s="16">
        <f t="shared" si="6"/>
        <v>630</v>
      </c>
      <c r="F50" s="20">
        <v>0</v>
      </c>
      <c r="G50" s="16">
        <f t="shared" si="7"/>
        <v>630</v>
      </c>
      <c r="H50" s="16">
        <f t="shared" si="3"/>
        <v>0</v>
      </c>
      <c r="I50" s="17">
        <v>0</v>
      </c>
      <c r="J50" s="16">
        <v>0</v>
      </c>
      <c r="K50" s="16">
        <f t="shared" si="8"/>
        <v>630</v>
      </c>
      <c r="L50" s="16">
        <f t="shared" si="9"/>
        <v>0</v>
      </c>
      <c r="M50" s="16">
        <f>SUM(C50-I50)</f>
        <v>630</v>
      </c>
    </row>
    <row r="51" spans="1:13" ht="16.5" customHeight="1">
      <c r="A51" s="15"/>
      <c r="B51" s="19"/>
      <c r="C51" s="22">
        <f>SUM(C34:C50)</f>
        <v>99305.04</v>
      </c>
      <c r="D51" s="23">
        <f>SUM(D34:D50)</f>
        <v>56950</v>
      </c>
      <c r="E51" s="24">
        <f t="shared" si="6"/>
        <v>156255.03999999998</v>
      </c>
      <c r="F51" s="23">
        <f>SUM(F34:F50)</f>
        <v>102701.46999999999</v>
      </c>
      <c r="G51" s="24">
        <f t="shared" si="7"/>
        <v>53553.569999999992</v>
      </c>
      <c r="H51" s="24">
        <f t="shared" si="3"/>
        <v>65.726820715670996</v>
      </c>
      <c r="I51" s="23">
        <f>SUM(I34:I50)</f>
        <v>85117.180000000008</v>
      </c>
      <c r="J51" s="22">
        <f>SUM(J34:J50)</f>
        <v>85117.180000000008</v>
      </c>
      <c r="K51" s="24">
        <f t="shared" si="8"/>
        <v>71137.859999999971</v>
      </c>
      <c r="L51" s="32"/>
      <c r="M51" s="22">
        <f>SUM(M34:M50)</f>
        <v>74137.86</v>
      </c>
    </row>
    <row r="52" spans="1:13" ht="16.5" customHeight="1">
      <c r="A52" s="15"/>
      <c r="B52" s="19"/>
      <c r="C52" s="34">
        <f>C51/C51</f>
        <v>1</v>
      </c>
      <c r="D52" s="33">
        <f>D51/C51</f>
        <v>0.57348549479462474</v>
      </c>
      <c r="E52" s="33"/>
      <c r="F52" s="33">
        <f>F51/E51</f>
        <v>0.65726820715670997</v>
      </c>
      <c r="G52" s="34">
        <v>0.62160000000000004</v>
      </c>
      <c r="H52" s="16"/>
      <c r="I52" s="33">
        <f>I51/C51</f>
        <v>0.85712850022516496</v>
      </c>
      <c r="J52" s="34">
        <f>J51/C51</f>
        <v>0.85712850022516496</v>
      </c>
      <c r="K52" s="34"/>
      <c r="L52" s="34"/>
      <c r="M52" s="34">
        <f>M51/C51</f>
        <v>0.74656694161746484</v>
      </c>
    </row>
    <row r="53" spans="1:13" ht="16.5" customHeight="1">
      <c r="A53" s="28" t="s">
        <v>5</v>
      </c>
      <c r="B53" s="29" t="s">
        <v>6</v>
      </c>
      <c r="C53" s="35" t="s">
        <v>7</v>
      </c>
      <c r="D53" s="29"/>
      <c r="E53" s="16"/>
      <c r="F53" s="29"/>
      <c r="G53" s="29"/>
      <c r="H53" s="16"/>
      <c r="I53" s="31" t="s">
        <v>40</v>
      </c>
      <c r="J53" s="29" t="s">
        <v>14</v>
      </c>
      <c r="K53" s="29"/>
      <c r="L53" s="29"/>
      <c r="M53" s="29" t="s">
        <v>88</v>
      </c>
    </row>
    <row r="54" spans="1:13" ht="16.5" customHeight="1">
      <c r="A54" s="15">
        <v>730404</v>
      </c>
      <c r="B54" s="19" t="s">
        <v>52</v>
      </c>
      <c r="C54" s="20">
        <v>8360.26</v>
      </c>
      <c r="D54" s="20">
        <v>14850</v>
      </c>
      <c r="E54" s="16">
        <f t="shared" ref="E54:E117" si="10">(C54+D54)</f>
        <v>23210.260000000002</v>
      </c>
      <c r="F54" s="17">
        <v>22204.39</v>
      </c>
      <c r="G54" s="16">
        <f t="shared" si="7"/>
        <v>1005.8700000000026</v>
      </c>
      <c r="H54" s="16">
        <f t="shared" si="3"/>
        <v>95.666270003007284</v>
      </c>
      <c r="I54" s="17">
        <v>22204.39</v>
      </c>
      <c r="J54" s="17">
        <v>22204.39</v>
      </c>
      <c r="K54" s="16">
        <f t="shared" ref="K54:K91" si="11">(E54-I54)</f>
        <v>1005.8700000000026</v>
      </c>
      <c r="L54" s="16">
        <f t="shared" ref="L54:L89" si="12">(I54/E54*100)</f>
        <v>95.666270003007284</v>
      </c>
      <c r="M54" s="16">
        <f>SUM(C54-I54+D54)</f>
        <v>1005.8700000000008</v>
      </c>
    </row>
    <row r="55" spans="1:13" ht="16.5" customHeight="1">
      <c r="A55" s="15">
        <v>730405</v>
      </c>
      <c r="B55" s="15" t="s">
        <v>53</v>
      </c>
      <c r="C55" s="16">
        <v>4412.5200000000004</v>
      </c>
      <c r="D55" s="16">
        <v>8500</v>
      </c>
      <c r="E55" s="16">
        <f>(C55+D55)</f>
        <v>12912.52</v>
      </c>
      <c r="F55" s="17">
        <v>12352.56</v>
      </c>
      <c r="G55" s="16">
        <f t="shared" si="7"/>
        <v>559.96000000000095</v>
      </c>
      <c r="H55" s="16">
        <f t="shared" si="3"/>
        <v>95.663433628757204</v>
      </c>
      <c r="I55" s="17">
        <v>8821.3799999999992</v>
      </c>
      <c r="J55" s="17">
        <v>8821.3799999999992</v>
      </c>
      <c r="K55" s="16">
        <f t="shared" si="11"/>
        <v>4091.1400000000012</v>
      </c>
      <c r="L55" s="16">
        <f t="shared" si="12"/>
        <v>68.316486634677034</v>
      </c>
      <c r="M55" s="16">
        <f>SUM(C55-I55+D55)</f>
        <v>4091.1400000000012</v>
      </c>
    </row>
    <row r="56" spans="1:13" ht="16.5" customHeight="1">
      <c r="A56" s="15">
        <v>730502</v>
      </c>
      <c r="B56" s="15" t="s">
        <v>51</v>
      </c>
      <c r="C56" s="16">
        <v>59159.519999999997</v>
      </c>
      <c r="D56" s="16">
        <v>-6000</v>
      </c>
      <c r="E56" s="16">
        <f t="shared" si="10"/>
        <v>53159.519999999997</v>
      </c>
      <c r="F56" s="17">
        <v>51371.46</v>
      </c>
      <c r="G56" s="16">
        <f t="shared" si="7"/>
        <v>1788.0599999999977</v>
      </c>
      <c r="H56" s="16">
        <f t="shared" si="3"/>
        <v>96.636425611066471</v>
      </c>
      <c r="I56" s="17">
        <v>30684.98</v>
      </c>
      <c r="J56" s="17">
        <v>30684.98</v>
      </c>
      <c r="K56" s="16">
        <f t="shared" si="11"/>
        <v>22474.539999999997</v>
      </c>
      <c r="L56" s="16">
        <f t="shared" si="12"/>
        <v>57.722454980782366</v>
      </c>
      <c r="M56" s="16">
        <f>SUM(C56-I56+D56)</f>
        <v>22474.539999999997</v>
      </c>
    </row>
    <row r="57" spans="1:13" ht="16.5" customHeight="1">
      <c r="A57" s="15">
        <v>730504</v>
      </c>
      <c r="B57" s="15" t="s">
        <v>52</v>
      </c>
      <c r="C57" s="16">
        <v>0</v>
      </c>
      <c r="D57" s="16">
        <v>197000</v>
      </c>
      <c r="E57" s="16">
        <f t="shared" si="10"/>
        <v>197000</v>
      </c>
      <c r="F57" s="17">
        <v>193786.82</v>
      </c>
      <c r="G57" s="16">
        <f t="shared" si="7"/>
        <v>3213.179999999993</v>
      </c>
      <c r="H57" s="16">
        <f t="shared" si="3"/>
        <v>98.368944162436549</v>
      </c>
      <c r="I57" s="17">
        <v>192338.71</v>
      </c>
      <c r="J57" s="17">
        <v>192338.71</v>
      </c>
      <c r="K57" s="16">
        <f t="shared" si="11"/>
        <v>4661.2900000000081</v>
      </c>
      <c r="L57" s="16">
        <f t="shared" si="12"/>
        <v>97.633862944162431</v>
      </c>
      <c r="M57" s="16">
        <f>SUM(D57-I57)</f>
        <v>4661.2900000000081</v>
      </c>
    </row>
    <row r="58" spans="1:13" ht="16.5" customHeight="1">
      <c r="A58" s="15">
        <v>730505</v>
      </c>
      <c r="B58" s="15" t="s">
        <v>53</v>
      </c>
      <c r="C58" s="16">
        <v>79059.8</v>
      </c>
      <c r="D58" s="16">
        <v>-59000</v>
      </c>
      <c r="E58" s="16">
        <f t="shared" si="10"/>
        <v>20059.800000000003</v>
      </c>
      <c r="F58" s="17">
        <v>13898.69</v>
      </c>
      <c r="G58" s="16">
        <f t="shared" si="7"/>
        <v>6161.1100000000024</v>
      </c>
      <c r="H58" s="16">
        <f t="shared" si="3"/>
        <v>69.286284010807677</v>
      </c>
      <c r="I58" s="17">
        <v>13898.69</v>
      </c>
      <c r="J58" s="17">
        <v>13898.69</v>
      </c>
      <c r="K58" s="16">
        <f t="shared" si="11"/>
        <v>6161.1100000000024</v>
      </c>
      <c r="L58" s="16">
        <f t="shared" si="12"/>
        <v>69.286284010807677</v>
      </c>
      <c r="M58" s="16">
        <f>SUM(C58-I58+D58)</f>
        <v>6161.1100000000006</v>
      </c>
    </row>
    <row r="59" spans="1:13" ht="25.5" customHeight="1">
      <c r="A59" s="15">
        <v>730601</v>
      </c>
      <c r="B59" s="19" t="s">
        <v>54</v>
      </c>
      <c r="C59" s="16">
        <v>80000</v>
      </c>
      <c r="D59" s="16">
        <v>-49010</v>
      </c>
      <c r="E59" s="16">
        <f t="shared" si="10"/>
        <v>30990</v>
      </c>
      <c r="F59" s="16">
        <v>30277.56</v>
      </c>
      <c r="G59" s="16">
        <f t="shared" si="7"/>
        <v>712.43999999999869</v>
      </c>
      <c r="H59" s="16">
        <f t="shared" si="3"/>
        <v>97.70106485963214</v>
      </c>
      <c r="I59" s="17">
        <v>13399.9</v>
      </c>
      <c r="J59" s="17">
        <v>13399.9</v>
      </c>
      <c r="K59" s="16">
        <f t="shared" si="11"/>
        <v>17590.099999999999</v>
      </c>
      <c r="L59" s="16">
        <f t="shared" si="12"/>
        <v>43.239432074862862</v>
      </c>
      <c r="M59" s="16">
        <f>SUM(C59-I59+D59)</f>
        <v>17590.100000000006</v>
      </c>
    </row>
    <row r="60" spans="1:13" ht="16.5" customHeight="1">
      <c r="A60" s="15">
        <v>730603</v>
      </c>
      <c r="B60" s="15" t="s">
        <v>100</v>
      </c>
      <c r="C60" s="16">
        <v>35000</v>
      </c>
      <c r="D60" s="16">
        <v>-27000</v>
      </c>
      <c r="E60" s="16">
        <f t="shared" si="10"/>
        <v>8000</v>
      </c>
      <c r="F60" s="16">
        <v>444.5</v>
      </c>
      <c r="G60" s="16">
        <f t="shared" si="7"/>
        <v>7555.5</v>
      </c>
      <c r="H60" s="16">
        <f t="shared" si="3"/>
        <v>5.5562500000000004</v>
      </c>
      <c r="I60" s="17">
        <v>444.5</v>
      </c>
      <c r="J60" s="17">
        <v>444.5</v>
      </c>
      <c r="K60" s="16">
        <f t="shared" si="11"/>
        <v>7555.5</v>
      </c>
      <c r="L60" s="16">
        <f t="shared" si="12"/>
        <v>5.5562500000000004</v>
      </c>
      <c r="M60" s="16">
        <f>SUM(C60+D60-I60)</f>
        <v>7555.5</v>
      </c>
    </row>
    <row r="61" spans="1:13" ht="16.5" customHeight="1">
      <c r="A61" s="15">
        <v>730605</v>
      </c>
      <c r="B61" s="15" t="s">
        <v>101</v>
      </c>
      <c r="C61" s="16">
        <v>18900</v>
      </c>
      <c r="D61" s="16">
        <v>-18900</v>
      </c>
      <c r="E61" s="16">
        <f t="shared" si="10"/>
        <v>0</v>
      </c>
      <c r="F61" s="16">
        <v>0</v>
      </c>
      <c r="G61" s="16">
        <f t="shared" si="7"/>
        <v>0</v>
      </c>
      <c r="H61" s="16">
        <v>0</v>
      </c>
      <c r="I61" s="17">
        <v>0</v>
      </c>
      <c r="J61" s="16">
        <v>0</v>
      </c>
      <c r="K61" s="16">
        <f t="shared" si="11"/>
        <v>0</v>
      </c>
      <c r="L61" s="16">
        <v>0</v>
      </c>
      <c r="M61" s="16">
        <f>SUM(C61-I61)</f>
        <v>18900</v>
      </c>
    </row>
    <row r="62" spans="1:13" ht="16.5" customHeight="1">
      <c r="A62" s="15">
        <v>730702</v>
      </c>
      <c r="B62" s="15" t="s">
        <v>102</v>
      </c>
      <c r="C62" s="16">
        <v>17200</v>
      </c>
      <c r="D62" s="16">
        <v>-10000</v>
      </c>
      <c r="E62" s="16">
        <f t="shared" si="10"/>
        <v>7200</v>
      </c>
      <c r="F62" s="16">
        <v>0</v>
      </c>
      <c r="G62" s="16">
        <f t="shared" si="7"/>
        <v>7200</v>
      </c>
      <c r="H62" s="16">
        <f t="shared" si="3"/>
        <v>0</v>
      </c>
      <c r="I62" s="17">
        <v>0</v>
      </c>
      <c r="J62" s="16">
        <v>0</v>
      </c>
      <c r="K62" s="16">
        <f t="shared" si="11"/>
        <v>7200</v>
      </c>
      <c r="L62" s="16">
        <f t="shared" si="12"/>
        <v>0</v>
      </c>
      <c r="M62" s="16">
        <f>SUM(C62+D62)</f>
        <v>7200</v>
      </c>
    </row>
    <row r="63" spans="1:13" ht="27" customHeight="1">
      <c r="A63" s="15">
        <v>730704</v>
      </c>
      <c r="B63" s="19" t="s">
        <v>103</v>
      </c>
      <c r="C63" s="16">
        <v>1000</v>
      </c>
      <c r="D63" s="16">
        <v>0</v>
      </c>
      <c r="E63" s="16">
        <f t="shared" si="10"/>
        <v>1000</v>
      </c>
      <c r="F63" s="16">
        <v>0</v>
      </c>
      <c r="G63" s="16">
        <f t="shared" si="7"/>
        <v>1000</v>
      </c>
      <c r="H63" s="16">
        <f t="shared" si="3"/>
        <v>0</v>
      </c>
      <c r="I63" s="17">
        <v>0</v>
      </c>
      <c r="J63" s="16">
        <v>80</v>
      </c>
      <c r="K63" s="16">
        <f t="shared" si="11"/>
        <v>1000</v>
      </c>
      <c r="L63" s="16">
        <f t="shared" si="12"/>
        <v>0</v>
      </c>
      <c r="M63" s="16">
        <f>SUM(C63-I63)</f>
        <v>1000</v>
      </c>
    </row>
    <row r="64" spans="1:13" ht="16.5" customHeight="1">
      <c r="A64" s="15">
        <v>730801</v>
      </c>
      <c r="B64" s="15" t="s">
        <v>55</v>
      </c>
      <c r="C64" s="16">
        <v>1049.96</v>
      </c>
      <c r="D64" s="16">
        <v>0</v>
      </c>
      <c r="E64" s="16">
        <f t="shared" si="10"/>
        <v>1049.96</v>
      </c>
      <c r="F64" s="16">
        <v>0</v>
      </c>
      <c r="G64" s="16">
        <f t="shared" si="7"/>
        <v>1049.96</v>
      </c>
      <c r="H64" s="16">
        <f t="shared" si="3"/>
        <v>0</v>
      </c>
      <c r="I64" s="17">
        <v>0</v>
      </c>
      <c r="J64" s="16">
        <v>0</v>
      </c>
      <c r="K64" s="16">
        <f t="shared" si="11"/>
        <v>1049.96</v>
      </c>
      <c r="L64" s="16">
        <f t="shared" si="12"/>
        <v>0</v>
      </c>
      <c r="M64" s="16">
        <f>SUM(C64-I64)</f>
        <v>1049.96</v>
      </c>
    </row>
    <row r="65" spans="1:13" ht="16.5" customHeight="1">
      <c r="A65" s="15">
        <v>730802</v>
      </c>
      <c r="B65" s="15" t="s">
        <v>56</v>
      </c>
      <c r="C65" s="16">
        <v>31801.62</v>
      </c>
      <c r="D65" s="16">
        <v>0</v>
      </c>
      <c r="E65" s="16">
        <f t="shared" si="10"/>
        <v>31801.62</v>
      </c>
      <c r="F65" s="16">
        <v>26597.68</v>
      </c>
      <c r="G65" s="16">
        <f t="shared" si="7"/>
        <v>5203.9399999999987</v>
      </c>
      <c r="H65" s="16">
        <f t="shared" si="3"/>
        <v>83.63624243041707</v>
      </c>
      <c r="I65" s="17">
        <v>332.72</v>
      </c>
      <c r="J65" s="17">
        <v>332.72</v>
      </c>
      <c r="K65" s="16">
        <f t="shared" si="11"/>
        <v>31468.899999999998</v>
      </c>
      <c r="L65" s="16">
        <f t="shared" si="12"/>
        <v>1.0462360093605296</v>
      </c>
      <c r="M65" s="16">
        <f>SUM(C65-I65+D65)</f>
        <v>31468.899999999998</v>
      </c>
    </row>
    <row r="66" spans="1:13" ht="16.5" customHeight="1">
      <c r="A66" s="15">
        <v>730803</v>
      </c>
      <c r="B66" s="15" t="s">
        <v>57</v>
      </c>
      <c r="C66" s="16">
        <v>400000</v>
      </c>
      <c r="D66" s="16">
        <v>-145000</v>
      </c>
      <c r="E66" s="16">
        <f t="shared" si="10"/>
        <v>255000</v>
      </c>
      <c r="F66" s="16">
        <v>252088.61</v>
      </c>
      <c r="G66" s="16">
        <f t="shared" si="7"/>
        <v>2911.390000000014</v>
      </c>
      <c r="H66" s="16">
        <f t="shared" si="3"/>
        <v>98.858278431372554</v>
      </c>
      <c r="I66" s="17">
        <v>182107.2</v>
      </c>
      <c r="J66" s="17">
        <v>182107.2</v>
      </c>
      <c r="K66" s="16">
        <f t="shared" si="11"/>
        <v>72892.799999999988</v>
      </c>
      <c r="L66" s="16">
        <f t="shared" si="12"/>
        <v>71.414588235294119</v>
      </c>
      <c r="M66" s="16">
        <f>SUM(C66-I66+D66)</f>
        <v>72892.799999999988</v>
      </c>
    </row>
    <row r="67" spans="1:13" ht="16.5" customHeight="1">
      <c r="A67" s="15">
        <v>730804</v>
      </c>
      <c r="B67" s="15" t="s">
        <v>58</v>
      </c>
      <c r="C67" s="16">
        <v>48510</v>
      </c>
      <c r="D67" s="16">
        <v>-30000</v>
      </c>
      <c r="E67" s="16">
        <f t="shared" si="10"/>
        <v>18510</v>
      </c>
      <c r="F67" s="16">
        <v>14314.7</v>
      </c>
      <c r="G67" s="16">
        <f t="shared" si="7"/>
        <v>4195.2999999999993</v>
      </c>
      <c r="H67" s="16">
        <f t="shared" si="3"/>
        <v>77.334954078876279</v>
      </c>
      <c r="I67" s="17">
        <v>14114.69</v>
      </c>
      <c r="J67" s="17">
        <v>14114.69</v>
      </c>
      <c r="K67" s="16">
        <f t="shared" si="11"/>
        <v>4395.3099999999995</v>
      </c>
      <c r="L67" s="16">
        <f t="shared" si="12"/>
        <v>76.254403025391682</v>
      </c>
      <c r="M67" s="16">
        <f>SUM(C67+D67-I67)</f>
        <v>4395.3099999999995</v>
      </c>
    </row>
    <row r="68" spans="1:13" ht="16.5" customHeight="1">
      <c r="A68" s="15">
        <v>730805</v>
      </c>
      <c r="B68" s="15" t="s">
        <v>104</v>
      </c>
      <c r="C68" s="16">
        <v>6300</v>
      </c>
      <c r="D68" s="16">
        <v>0</v>
      </c>
      <c r="E68" s="16">
        <f t="shared" si="10"/>
        <v>6300</v>
      </c>
      <c r="F68" s="16">
        <v>2250.54</v>
      </c>
      <c r="G68" s="16">
        <f t="shared" si="7"/>
        <v>4049.46</v>
      </c>
      <c r="H68" s="16">
        <f t="shared" si="3"/>
        <v>35.722857142857137</v>
      </c>
      <c r="I68" s="17">
        <v>551.29</v>
      </c>
      <c r="J68" s="17">
        <v>551.29</v>
      </c>
      <c r="K68" s="16">
        <f t="shared" si="11"/>
        <v>5748.71</v>
      </c>
      <c r="L68" s="16">
        <f t="shared" si="12"/>
        <v>8.7506349206349192</v>
      </c>
      <c r="M68" s="16">
        <f>SUM(C68+D68-I68)</f>
        <v>5748.71</v>
      </c>
    </row>
    <row r="69" spans="1:13" ht="16.5" customHeight="1">
      <c r="A69" s="15">
        <v>730806</v>
      </c>
      <c r="B69" s="15" t="s">
        <v>63</v>
      </c>
      <c r="C69" s="16">
        <v>2000</v>
      </c>
      <c r="D69" s="16">
        <v>0</v>
      </c>
      <c r="E69" s="16">
        <f t="shared" si="10"/>
        <v>2000</v>
      </c>
      <c r="F69" s="16">
        <v>1423.2</v>
      </c>
      <c r="G69" s="16">
        <f t="shared" si="7"/>
        <v>576.79999999999995</v>
      </c>
      <c r="H69" s="16">
        <f t="shared" si="3"/>
        <v>71.16</v>
      </c>
      <c r="I69" s="17">
        <v>333.2</v>
      </c>
      <c r="J69" s="17">
        <v>333.2</v>
      </c>
      <c r="K69" s="16">
        <f t="shared" si="11"/>
        <v>1666.8</v>
      </c>
      <c r="L69" s="16">
        <f t="shared" si="12"/>
        <v>16.66</v>
      </c>
      <c r="M69" s="16">
        <f>SUM(C69-I69+D69)</f>
        <v>1666.8</v>
      </c>
    </row>
    <row r="70" spans="1:13" ht="16.5" customHeight="1">
      <c r="A70" s="15">
        <v>730807</v>
      </c>
      <c r="B70" s="15" t="s">
        <v>105</v>
      </c>
      <c r="C70" s="16">
        <v>6300</v>
      </c>
      <c r="D70" s="16">
        <v>0</v>
      </c>
      <c r="E70" s="16">
        <f t="shared" si="10"/>
        <v>6300</v>
      </c>
      <c r="F70" s="16">
        <v>0</v>
      </c>
      <c r="G70" s="16">
        <f t="shared" si="7"/>
        <v>6300</v>
      </c>
      <c r="H70" s="16">
        <f t="shared" si="3"/>
        <v>0</v>
      </c>
      <c r="I70" s="17">
        <v>0</v>
      </c>
      <c r="J70" s="16">
        <v>0</v>
      </c>
      <c r="K70" s="16">
        <f t="shared" si="11"/>
        <v>6300</v>
      </c>
      <c r="L70" s="16">
        <f t="shared" si="12"/>
        <v>0</v>
      </c>
      <c r="M70" s="16">
        <f>SUM(C70+D70)</f>
        <v>6300</v>
      </c>
    </row>
    <row r="71" spans="1:13" ht="16.5" customHeight="1">
      <c r="A71" s="15">
        <v>730809</v>
      </c>
      <c r="B71" s="15" t="s">
        <v>106</v>
      </c>
      <c r="C71" s="16">
        <v>4500</v>
      </c>
      <c r="D71" s="16">
        <v>0</v>
      </c>
      <c r="E71" s="16">
        <f t="shared" si="10"/>
        <v>4500</v>
      </c>
      <c r="F71" s="16">
        <v>0</v>
      </c>
      <c r="G71" s="16">
        <f t="shared" si="7"/>
        <v>4500</v>
      </c>
      <c r="H71" s="16">
        <f t="shared" si="3"/>
        <v>0</v>
      </c>
      <c r="I71" s="17">
        <v>0</v>
      </c>
      <c r="J71" s="16">
        <v>0</v>
      </c>
      <c r="K71" s="16">
        <f t="shared" si="11"/>
        <v>4500</v>
      </c>
      <c r="L71" s="16">
        <f t="shared" si="12"/>
        <v>0</v>
      </c>
      <c r="M71" s="16">
        <f>SUM(C71-I71)</f>
        <v>4500</v>
      </c>
    </row>
    <row r="72" spans="1:13" ht="27" customHeight="1">
      <c r="A72" s="15">
        <v>730811</v>
      </c>
      <c r="B72" s="19" t="s">
        <v>60</v>
      </c>
      <c r="C72" s="16">
        <v>9450</v>
      </c>
      <c r="D72" s="16">
        <v>51000</v>
      </c>
      <c r="E72" s="16">
        <f t="shared" si="10"/>
        <v>60450</v>
      </c>
      <c r="F72" s="16">
        <v>25151.41</v>
      </c>
      <c r="G72" s="16">
        <f t="shared" si="7"/>
        <v>35298.589999999997</v>
      </c>
      <c r="H72" s="16">
        <f t="shared" si="3"/>
        <v>41.606964433416046</v>
      </c>
      <c r="I72" s="17">
        <v>25151.41</v>
      </c>
      <c r="J72" s="17">
        <v>25151.41</v>
      </c>
      <c r="K72" s="16">
        <f t="shared" si="11"/>
        <v>35298.589999999997</v>
      </c>
      <c r="L72" s="16">
        <f t="shared" si="12"/>
        <v>41.606964433416046</v>
      </c>
      <c r="M72" s="16">
        <f>SUM(C72-I72+D72)</f>
        <v>35298.589999999997</v>
      </c>
    </row>
    <row r="73" spans="1:13" ht="16.5" customHeight="1">
      <c r="A73" s="15">
        <v>730813</v>
      </c>
      <c r="B73" s="15" t="s">
        <v>61</v>
      </c>
      <c r="C73" s="16">
        <v>243316.02</v>
      </c>
      <c r="D73" s="16">
        <v>1000</v>
      </c>
      <c r="E73" s="16">
        <f t="shared" si="10"/>
        <v>244316.02</v>
      </c>
      <c r="F73" s="16">
        <v>216584.48</v>
      </c>
      <c r="G73" s="16">
        <f t="shared" si="7"/>
        <v>27731.539999999979</v>
      </c>
      <c r="H73" s="16">
        <f t="shared" si="3"/>
        <v>88.649315750968768</v>
      </c>
      <c r="I73" s="17">
        <v>158631.71</v>
      </c>
      <c r="J73" s="17">
        <v>158631.71</v>
      </c>
      <c r="K73" s="16">
        <f t="shared" si="11"/>
        <v>85684.31</v>
      </c>
      <c r="L73" s="16">
        <f t="shared" si="12"/>
        <v>64.928902329040881</v>
      </c>
      <c r="M73" s="16">
        <f>SUM(C73-I73+D73)</f>
        <v>85684.31</v>
      </c>
    </row>
    <row r="74" spans="1:13" ht="16.5" customHeight="1">
      <c r="A74" s="15">
        <v>730819</v>
      </c>
      <c r="B74" s="15" t="s">
        <v>107</v>
      </c>
      <c r="C74" s="16"/>
      <c r="D74" s="16">
        <v>300</v>
      </c>
      <c r="E74" s="16">
        <v>300</v>
      </c>
      <c r="F74" s="16">
        <v>279.45999999999998</v>
      </c>
      <c r="G74" s="16">
        <f t="shared" si="7"/>
        <v>20.54000000000002</v>
      </c>
      <c r="H74" s="16">
        <f t="shared" si="3"/>
        <v>93.153333333333322</v>
      </c>
      <c r="I74" s="17">
        <v>0</v>
      </c>
      <c r="J74" s="17">
        <v>0</v>
      </c>
      <c r="K74" s="16">
        <f t="shared" si="11"/>
        <v>300</v>
      </c>
      <c r="L74" s="16">
        <f t="shared" si="12"/>
        <v>0</v>
      </c>
      <c r="M74" s="16">
        <f>SUM(C74-I74+D74)</f>
        <v>300</v>
      </c>
    </row>
    <row r="75" spans="1:13" ht="16.5" customHeight="1">
      <c r="A75" s="15">
        <v>730820</v>
      </c>
      <c r="B75" s="15" t="s">
        <v>108</v>
      </c>
      <c r="C75" s="16">
        <v>12800</v>
      </c>
      <c r="D75" s="16">
        <v>-5696</v>
      </c>
      <c r="E75" s="16">
        <f t="shared" si="10"/>
        <v>7104</v>
      </c>
      <c r="F75" s="16">
        <v>0</v>
      </c>
      <c r="G75" s="16">
        <f t="shared" si="7"/>
        <v>7104</v>
      </c>
      <c r="H75" s="16">
        <f t="shared" si="3"/>
        <v>0</v>
      </c>
      <c r="I75" s="17">
        <v>0</v>
      </c>
      <c r="J75" s="16">
        <v>0</v>
      </c>
      <c r="K75" s="16">
        <f t="shared" si="11"/>
        <v>7104</v>
      </c>
      <c r="L75" s="16">
        <f t="shared" si="12"/>
        <v>0</v>
      </c>
      <c r="M75" s="16">
        <f>SUM(C75+D75)</f>
        <v>7104</v>
      </c>
    </row>
    <row r="76" spans="1:13" ht="16.5" customHeight="1">
      <c r="A76" s="15" t="s">
        <v>109</v>
      </c>
      <c r="B76" s="15" t="s">
        <v>110</v>
      </c>
      <c r="C76" s="16">
        <v>5000</v>
      </c>
      <c r="D76" s="16">
        <v>-5000</v>
      </c>
      <c r="E76" s="16">
        <f t="shared" si="10"/>
        <v>0</v>
      </c>
      <c r="F76" s="16">
        <v>0</v>
      </c>
      <c r="G76" s="16">
        <f t="shared" si="7"/>
        <v>0</v>
      </c>
      <c r="H76" s="16">
        <v>0</v>
      </c>
      <c r="I76" s="17">
        <v>0</v>
      </c>
      <c r="J76" s="16">
        <v>0</v>
      </c>
      <c r="K76" s="16">
        <f t="shared" si="11"/>
        <v>0</v>
      </c>
      <c r="L76" s="16">
        <v>0</v>
      </c>
      <c r="M76" s="16">
        <f>SUM(C76+D76)</f>
        <v>0</v>
      </c>
    </row>
    <row r="77" spans="1:13" ht="16.5" customHeight="1">
      <c r="A77" s="15">
        <v>731403</v>
      </c>
      <c r="B77" s="15" t="s">
        <v>62</v>
      </c>
      <c r="C77" s="16">
        <v>1596.14</v>
      </c>
      <c r="D77" s="16">
        <v>0</v>
      </c>
      <c r="E77" s="16">
        <f t="shared" si="10"/>
        <v>1596.14</v>
      </c>
      <c r="F77" s="16">
        <v>379.32</v>
      </c>
      <c r="G77" s="16">
        <f t="shared" si="7"/>
        <v>1216.8200000000002</v>
      </c>
      <c r="H77" s="16">
        <f t="shared" si="3"/>
        <v>23.764832658789327</v>
      </c>
      <c r="I77" s="17">
        <v>268.07</v>
      </c>
      <c r="J77" s="16">
        <v>268.07</v>
      </c>
      <c r="K77" s="16">
        <f t="shared" si="11"/>
        <v>1328.0700000000002</v>
      </c>
      <c r="L77" s="16">
        <f t="shared" si="12"/>
        <v>16.79489267858709</v>
      </c>
      <c r="M77" s="16">
        <f>SUM(C77-I77)</f>
        <v>1328.0700000000002</v>
      </c>
    </row>
    <row r="78" spans="1:13" ht="16.5" customHeight="1">
      <c r="A78" s="15">
        <v>731404</v>
      </c>
      <c r="B78" s="15" t="s">
        <v>52</v>
      </c>
      <c r="C78" s="16">
        <v>4620</v>
      </c>
      <c r="D78" s="16">
        <v>0</v>
      </c>
      <c r="E78" s="16">
        <f t="shared" si="10"/>
        <v>4620</v>
      </c>
      <c r="F78" s="16">
        <v>676.72</v>
      </c>
      <c r="G78" s="16">
        <f t="shared" si="7"/>
        <v>3943.2799999999997</v>
      </c>
      <c r="H78" s="16">
        <f t="shared" ref="H78:H89" si="13">(F78/E78*100)</f>
        <v>14.647619047619049</v>
      </c>
      <c r="I78" s="17">
        <v>440.65</v>
      </c>
      <c r="J78" s="17">
        <v>440.65</v>
      </c>
      <c r="K78" s="16">
        <f t="shared" si="11"/>
        <v>4179.3500000000004</v>
      </c>
      <c r="L78" s="16">
        <f t="shared" si="12"/>
        <v>9.5378787878787872</v>
      </c>
      <c r="M78" s="16">
        <f>SUM(C78-I78)</f>
        <v>4179.3500000000004</v>
      </c>
    </row>
    <row r="79" spans="1:13" ht="16.5" customHeight="1">
      <c r="A79" s="15">
        <v>731406</v>
      </c>
      <c r="B79" s="15" t="s">
        <v>63</v>
      </c>
      <c r="C79" s="16">
        <v>0</v>
      </c>
      <c r="D79" s="16">
        <v>10000</v>
      </c>
      <c r="E79" s="16">
        <f t="shared" si="10"/>
        <v>10000</v>
      </c>
      <c r="F79" s="16">
        <v>4504.07</v>
      </c>
      <c r="G79" s="16">
        <f t="shared" si="7"/>
        <v>5495.93</v>
      </c>
      <c r="H79" s="16">
        <f t="shared" si="13"/>
        <v>45.040699999999994</v>
      </c>
      <c r="I79" s="16">
        <v>4504.07</v>
      </c>
      <c r="J79" s="16">
        <v>4504.07</v>
      </c>
      <c r="K79" s="16">
        <f t="shared" si="11"/>
        <v>5495.93</v>
      </c>
      <c r="L79" s="16">
        <f t="shared" si="12"/>
        <v>45.040699999999994</v>
      </c>
      <c r="M79" s="16">
        <f>SUM(D79-I79)</f>
        <v>5495.93</v>
      </c>
    </row>
    <row r="80" spans="1:13" ht="16.5" customHeight="1">
      <c r="A80" s="15">
        <v>731407</v>
      </c>
      <c r="B80" s="15" t="s">
        <v>111</v>
      </c>
      <c r="C80" s="16">
        <v>2117.29</v>
      </c>
      <c r="D80" s="16">
        <v>0</v>
      </c>
      <c r="E80" s="16">
        <f t="shared" si="10"/>
        <v>2117.29</v>
      </c>
      <c r="F80" s="16">
        <v>37.49</v>
      </c>
      <c r="G80" s="16">
        <f t="shared" si="7"/>
        <v>2079.8000000000002</v>
      </c>
      <c r="H80" s="16">
        <f t="shared" si="13"/>
        <v>1.7706596640044585</v>
      </c>
      <c r="I80" s="17">
        <v>37.49</v>
      </c>
      <c r="J80" s="17">
        <v>37.49</v>
      </c>
      <c r="K80" s="16">
        <f t="shared" si="11"/>
        <v>2079.8000000000002</v>
      </c>
      <c r="L80" s="16">
        <f t="shared" si="12"/>
        <v>1.7706596640044585</v>
      </c>
      <c r="M80" s="16">
        <f>SUM(C80-I80)</f>
        <v>2079.8000000000002</v>
      </c>
    </row>
    <row r="81" spans="1:16" ht="16.5" customHeight="1">
      <c r="A81" s="15">
        <v>731411</v>
      </c>
      <c r="B81" s="15" t="s">
        <v>112</v>
      </c>
      <c r="C81" s="16">
        <v>1520</v>
      </c>
      <c r="D81" s="16">
        <v>0</v>
      </c>
      <c r="E81" s="16">
        <f t="shared" si="10"/>
        <v>1520</v>
      </c>
      <c r="F81" s="16">
        <v>0</v>
      </c>
      <c r="G81" s="16">
        <f t="shared" si="7"/>
        <v>1520</v>
      </c>
      <c r="H81" s="16">
        <f t="shared" si="13"/>
        <v>0</v>
      </c>
      <c r="I81" s="17">
        <v>0</v>
      </c>
      <c r="J81" s="17">
        <v>0</v>
      </c>
      <c r="K81" s="16">
        <f t="shared" si="11"/>
        <v>1520</v>
      </c>
      <c r="L81" s="16">
        <f t="shared" si="12"/>
        <v>0</v>
      </c>
      <c r="M81" s="16">
        <f>SUM(C81-I81+D81)</f>
        <v>1520</v>
      </c>
    </row>
    <row r="82" spans="1:16" ht="16.5" customHeight="1">
      <c r="A82" s="15">
        <v>770102</v>
      </c>
      <c r="B82" s="15" t="s">
        <v>64</v>
      </c>
      <c r="C82" s="16">
        <v>59535</v>
      </c>
      <c r="D82" s="16">
        <v>0</v>
      </c>
      <c r="E82" s="16">
        <f t="shared" si="10"/>
        <v>59535</v>
      </c>
      <c r="F82" s="16">
        <v>7631.24</v>
      </c>
      <c r="G82" s="16">
        <f t="shared" si="7"/>
        <v>51903.76</v>
      </c>
      <c r="H82" s="16">
        <f t="shared" si="13"/>
        <v>12.818073402200387</v>
      </c>
      <c r="I82" s="17">
        <v>6984.24</v>
      </c>
      <c r="J82" s="17">
        <v>5533.8</v>
      </c>
      <c r="K82" s="16">
        <f t="shared" si="11"/>
        <v>52550.76</v>
      </c>
      <c r="L82" s="16">
        <f t="shared" si="12"/>
        <v>11.731317712270092</v>
      </c>
      <c r="M82" s="16">
        <f>SUM(C82-I82+D82)</f>
        <v>52550.76</v>
      </c>
      <c r="P82" s="51"/>
    </row>
    <row r="83" spans="1:16" ht="16.5" customHeight="1">
      <c r="A83" s="15">
        <v>770201</v>
      </c>
      <c r="B83" s="15" t="s">
        <v>113</v>
      </c>
      <c r="C83" s="16">
        <v>109620</v>
      </c>
      <c r="D83" s="16">
        <v>95000</v>
      </c>
      <c r="E83" s="16">
        <f t="shared" si="10"/>
        <v>204620</v>
      </c>
      <c r="F83" s="16">
        <v>186445.84</v>
      </c>
      <c r="G83" s="16">
        <f t="shared" si="7"/>
        <v>18174.160000000003</v>
      </c>
      <c r="H83" s="16">
        <f t="shared" si="13"/>
        <v>91.118092073111129</v>
      </c>
      <c r="I83" s="17">
        <v>58505.63</v>
      </c>
      <c r="J83" s="17">
        <v>58505.63</v>
      </c>
      <c r="K83" s="16">
        <f t="shared" si="11"/>
        <v>146114.37</v>
      </c>
      <c r="L83" s="16">
        <f t="shared" si="12"/>
        <v>28.592332127846738</v>
      </c>
      <c r="M83" s="16">
        <f>SUM(C83-I83+D83)</f>
        <v>146114.37</v>
      </c>
    </row>
    <row r="84" spans="1:16" ht="16.5" customHeight="1">
      <c r="A84" s="15">
        <v>770203</v>
      </c>
      <c r="B84" s="15" t="s">
        <v>65</v>
      </c>
      <c r="C84" s="16">
        <v>1575</v>
      </c>
      <c r="D84" s="16">
        <v>0</v>
      </c>
      <c r="E84" s="16">
        <f t="shared" si="10"/>
        <v>1575</v>
      </c>
      <c r="F84" s="17">
        <v>673.92</v>
      </c>
      <c r="G84" s="16">
        <f t="shared" si="7"/>
        <v>901.08</v>
      </c>
      <c r="H84" s="16">
        <f t="shared" si="13"/>
        <v>42.788571428571423</v>
      </c>
      <c r="I84" s="17">
        <v>673.92</v>
      </c>
      <c r="J84" s="17">
        <v>673.92</v>
      </c>
      <c r="K84" s="16">
        <f t="shared" si="11"/>
        <v>901.08</v>
      </c>
      <c r="L84" s="16">
        <f t="shared" si="12"/>
        <v>42.788571428571423</v>
      </c>
      <c r="M84" s="16">
        <f>SUM(C84-I84)</f>
        <v>901.08</v>
      </c>
    </row>
    <row r="85" spans="1:16" ht="16.5" customHeight="1">
      <c r="A85" s="15">
        <v>770206</v>
      </c>
      <c r="B85" s="15" t="s">
        <v>114</v>
      </c>
      <c r="C85" s="16">
        <v>3150</v>
      </c>
      <c r="D85" s="16">
        <v>0</v>
      </c>
      <c r="E85" s="16">
        <f t="shared" si="10"/>
        <v>3150</v>
      </c>
      <c r="F85" s="17">
        <v>88.4</v>
      </c>
      <c r="G85" s="16">
        <f t="shared" si="7"/>
        <v>3061.6</v>
      </c>
      <c r="H85" s="16">
        <f t="shared" si="13"/>
        <v>2.8063492063492066</v>
      </c>
      <c r="I85" s="17">
        <v>88.4</v>
      </c>
      <c r="J85" s="17">
        <v>88.4</v>
      </c>
      <c r="K85" s="16">
        <f t="shared" si="11"/>
        <v>3061.6</v>
      </c>
      <c r="L85" s="16">
        <f t="shared" si="12"/>
        <v>2.8063492063492066</v>
      </c>
      <c r="M85" s="16">
        <f>SUM(C85-I85)</f>
        <v>3061.6</v>
      </c>
    </row>
    <row r="86" spans="1:16" ht="16.5" customHeight="1">
      <c r="A86" s="15">
        <v>840103</v>
      </c>
      <c r="B86" s="15" t="s">
        <v>62</v>
      </c>
      <c r="C86" s="16">
        <v>9000</v>
      </c>
      <c r="D86" s="16">
        <v>0</v>
      </c>
      <c r="E86" s="16">
        <f t="shared" si="10"/>
        <v>9000</v>
      </c>
      <c r="F86" s="16">
        <v>1060.68</v>
      </c>
      <c r="G86" s="16">
        <f t="shared" si="7"/>
        <v>7939.32</v>
      </c>
      <c r="H86" s="16">
        <f t="shared" si="13"/>
        <v>11.785333333333334</v>
      </c>
      <c r="I86" s="17">
        <v>1060.68</v>
      </c>
      <c r="J86" s="17">
        <v>1060.68</v>
      </c>
      <c r="K86" s="16">
        <f t="shared" si="11"/>
        <v>7939.32</v>
      </c>
      <c r="L86" s="16">
        <f t="shared" si="12"/>
        <v>11.785333333333334</v>
      </c>
      <c r="M86" s="16">
        <f>SUM(C86-I86+D86)</f>
        <v>7939.32</v>
      </c>
    </row>
    <row r="87" spans="1:16" ht="16.5" customHeight="1">
      <c r="A87" s="15">
        <v>840104</v>
      </c>
      <c r="B87" s="15" t="s">
        <v>52</v>
      </c>
      <c r="C87" s="16">
        <v>55000</v>
      </c>
      <c r="D87" s="16">
        <v>25000</v>
      </c>
      <c r="E87" s="16">
        <f t="shared" si="10"/>
        <v>80000</v>
      </c>
      <c r="F87" s="16">
        <v>71849.94</v>
      </c>
      <c r="G87" s="16">
        <f t="shared" si="7"/>
        <v>8150.0599999999977</v>
      </c>
      <c r="H87" s="16">
        <f t="shared" si="13"/>
        <v>89.812425000000005</v>
      </c>
      <c r="I87" s="17">
        <v>48842.81</v>
      </c>
      <c r="J87" s="17">
        <v>48842.81</v>
      </c>
      <c r="K87" s="16">
        <f t="shared" si="11"/>
        <v>31157.190000000002</v>
      </c>
      <c r="L87" s="16">
        <f t="shared" si="12"/>
        <v>61.053512499999997</v>
      </c>
      <c r="M87" s="16">
        <f>SUM(C87-I87+D87)</f>
        <v>31157.190000000002</v>
      </c>
    </row>
    <row r="88" spans="1:16" ht="16.5" customHeight="1">
      <c r="A88" s="15">
        <v>840106</v>
      </c>
      <c r="B88" s="15" t="s">
        <v>63</v>
      </c>
      <c r="C88" s="16">
        <v>0</v>
      </c>
      <c r="D88" s="16">
        <v>11000</v>
      </c>
      <c r="E88" s="16">
        <f t="shared" si="10"/>
        <v>11000</v>
      </c>
      <c r="F88" s="16">
        <v>6719.36</v>
      </c>
      <c r="G88" s="16">
        <f t="shared" si="7"/>
        <v>4280.6400000000003</v>
      </c>
      <c r="H88" s="16">
        <f t="shared" si="13"/>
        <v>61.085090909090908</v>
      </c>
      <c r="I88" s="16">
        <v>6719.36</v>
      </c>
      <c r="J88" s="16">
        <v>6719.36</v>
      </c>
      <c r="K88" s="16">
        <f t="shared" si="11"/>
        <v>4280.6400000000003</v>
      </c>
      <c r="L88" s="16">
        <f t="shared" si="12"/>
        <v>61.085090909090908</v>
      </c>
      <c r="M88" s="16">
        <f>SUM(C88-I88+D88)</f>
        <v>4280.6400000000003</v>
      </c>
    </row>
    <row r="89" spans="1:16" ht="16.5" customHeight="1">
      <c r="A89" s="15">
        <v>840107</v>
      </c>
      <c r="B89" s="15" t="s">
        <v>66</v>
      </c>
      <c r="C89" s="16">
        <v>13000</v>
      </c>
      <c r="D89" s="16">
        <v>0</v>
      </c>
      <c r="E89" s="16">
        <f t="shared" si="10"/>
        <v>13000</v>
      </c>
      <c r="F89" s="16">
        <v>480.6</v>
      </c>
      <c r="G89" s="16">
        <f t="shared" si="7"/>
        <v>12519.4</v>
      </c>
      <c r="H89" s="16">
        <f t="shared" si="13"/>
        <v>3.6969230769230768</v>
      </c>
      <c r="I89" s="17">
        <v>480.6</v>
      </c>
      <c r="J89" s="17">
        <v>480.6</v>
      </c>
      <c r="K89" s="16">
        <f t="shared" si="11"/>
        <v>12519.4</v>
      </c>
      <c r="L89" s="16">
        <f t="shared" si="12"/>
        <v>3.6969230769230768</v>
      </c>
      <c r="M89" s="16">
        <f>SUM(C89-I89+D89)</f>
        <v>12519.4</v>
      </c>
    </row>
    <row r="90" spans="1:16" ht="16.5" customHeight="1">
      <c r="A90" s="15">
        <v>840202</v>
      </c>
      <c r="B90" s="15" t="s">
        <v>51</v>
      </c>
      <c r="C90" s="16">
        <v>18000</v>
      </c>
      <c r="D90" s="16">
        <v>-18000</v>
      </c>
      <c r="E90" s="16">
        <f t="shared" si="10"/>
        <v>0</v>
      </c>
      <c r="F90" s="16">
        <v>0</v>
      </c>
      <c r="G90" s="16">
        <f t="shared" si="7"/>
        <v>0</v>
      </c>
      <c r="H90" s="16">
        <v>0</v>
      </c>
      <c r="I90" s="17">
        <v>0</v>
      </c>
      <c r="J90" s="17">
        <v>0</v>
      </c>
      <c r="K90" s="16">
        <f t="shared" si="11"/>
        <v>0</v>
      </c>
      <c r="L90" s="16">
        <v>0</v>
      </c>
      <c r="M90" s="16">
        <f>SUM(C90-I90)</f>
        <v>18000</v>
      </c>
    </row>
    <row r="91" spans="1:16" ht="16.5" customHeight="1">
      <c r="A91" s="15"/>
      <c r="B91" s="15"/>
      <c r="C91" s="22">
        <f>SUM(C54:C90)</f>
        <v>1352853.13</v>
      </c>
      <c r="D91" s="23">
        <f>SUM(D54:D90)</f>
        <v>40044</v>
      </c>
      <c r="E91" s="24">
        <f t="shared" si="10"/>
        <v>1392897.13</v>
      </c>
      <c r="F91" s="23">
        <f>SUM(F54:F90)</f>
        <v>1143573.6399999997</v>
      </c>
      <c r="G91" s="24">
        <f t="shared" si="7"/>
        <v>249323.49000000022</v>
      </c>
      <c r="H91" s="26"/>
      <c r="I91" s="23">
        <f>SUM(I54:I90)</f>
        <v>791620.69</v>
      </c>
      <c r="J91" s="22">
        <f>SUM(J54:J90)</f>
        <v>790250.25</v>
      </c>
      <c r="K91" s="24">
        <f t="shared" si="11"/>
        <v>601276.43999999994</v>
      </c>
      <c r="L91" s="32"/>
      <c r="M91" s="22">
        <f>SUM(M75:M90)</f>
        <v>298231.51</v>
      </c>
    </row>
    <row r="92" spans="1:16" ht="16.5" customHeight="1">
      <c r="A92" s="15"/>
      <c r="B92" s="15"/>
      <c r="C92" s="34">
        <f>C91/C91</f>
        <v>1</v>
      </c>
      <c r="D92" s="33">
        <f>D91/C91</f>
        <v>2.9599665412312719E-2</v>
      </c>
      <c r="E92" s="16">
        <f t="shared" si="10"/>
        <v>1.0295996654123127</v>
      </c>
      <c r="F92" s="33">
        <f>F91/E91</f>
        <v>0.82100365875547443</v>
      </c>
      <c r="G92" s="33">
        <f>G91/F91</f>
        <v>0.2180213685233251</v>
      </c>
      <c r="H92" s="33"/>
      <c r="I92" s="33">
        <f>I91/C91</f>
        <v>0.58514902500909316</v>
      </c>
      <c r="J92" s="34">
        <f>J91/C91</f>
        <v>0.58413602517222252</v>
      </c>
      <c r="K92" s="34"/>
      <c r="L92" s="34"/>
      <c r="M92" s="34">
        <f>M91/C91</f>
        <v>0.22044633182021764</v>
      </c>
    </row>
    <row r="93" spans="1:16" ht="16.5" customHeight="1">
      <c r="A93" s="15"/>
      <c r="B93" s="15" t="s">
        <v>115</v>
      </c>
      <c r="C93" s="16"/>
      <c r="D93" s="16"/>
      <c r="E93" s="16"/>
      <c r="F93" s="16"/>
      <c r="G93" s="16"/>
      <c r="H93" s="16"/>
      <c r="I93" s="17"/>
      <c r="J93" s="17"/>
      <c r="K93" s="17"/>
      <c r="L93" s="17"/>
      <c r="M93" s="16"/>
    </row>
    <row r="94" spans="1:16" ht="16.5" customHeight="1">
      <c r="A94" s="15">
        <v>730601</v>
      </c>
      <c r="B94" s="15" t="s">
        <v>54</v>
      </c>
      <c r="C94" s="16">
        <v>9000</v>
      </c>
      <c r="D94" s="16">
        <v>0</v>
      </c>
      <c r="E94" s="16">
        <f t="shared" si="10"/>
        <v>9000</v>
      </c>
      <c r="F94" s="16">
        <v>6714.21</v>
      </c>
      <c r="G94" s="16">
        <f t="shared" si="7"/>
        <v>2285.79</v>
      </c>
      <c r="H94" s="16">
        <f>(F94/E94*100)</f>
        <v>74.602333333333334</v>
      </c>
      <c r="I94" s="17">
        <v>6714.21</v>
      </c>
      <c r="J94" s="17">
        <v>6714.21</v>
      </c>
      <c r="K94" s="16">
        <f>(E94-I94)</f>
        <v>2285.79</v>
      </c>
      <c r="L94" s="16">
        <f>(I94/E94*100)</f>
        <v>74.602333333333334</v>
      </c>
      <c r="M94" s="16">
        <f>SUM(C94-I94)</f>
        <v>2285.79</v>
      </c>
    </row>
    <row r="95" spans="1:16" ht="16.5" customHeight="1">
      <c r="A95" s="15">
        <v>730605</v>
      </c>
      <c r="B95" s="15" t="s">
        <v>101</v>
      </c>
      <c r="C95" s="16">
        <v>9000</v>
      </c>
      <c r="D95" s="16">
        <v>0</v>
      </c>
      <c r="E95" s="16">
        <f t="shared" si="10"/>
        <v>9000</v>
      </c>
      <c r="F95" s="16">
        <v>6000</v>
      </c>
      <c r="G95" s="16">
        <f t="shared" si="7"/>
        <v>3000</v>
      </c>
      <c r="H95" s="16">
        <f>(F95/E95*100)</f>
        <v>66.666666666666657</v>
      </c>
      <c r="I95" s="17">
        <v>4500</v>
      </c>
      <c r="J95" s="17">
        <v>4500</v>
      </c>
      <c r="K95" s="16">
        <f>(E95-I95)</f>
        <v>4500</v>
      </c>
      <c r="L95" s="16">
        <f>(I95/E95*100)</f>
        <v>50</v>
      </c>
      <c r="M95" s="16">
        <f>SUM(C95-I95)</f>
        <v>4500</v>
      </c>
    </row>
    <row r="96" spans="1:16" ht="16.5" customHeight="1">
      <c r="A96" s="15"/>
      <c r="B96" s="15"/>
      <c r="C96" s="24">
        <f>SUM(C94:C95)</f>
        <v>18000</v>
      </c>
      <c r="D96" s="24">
        <f>SUM(D93:D95)</f>
        <v>0</v>
      </c>
      <c r="E96" s="32">
        <f t="shared" si="10"/>
        <v>18000</v>
      </c>
      <c r="F96" s="24">
        <f>SUM(F94:F95)</f>
        <v>12714.21</v>
      </c>
      <c r="G96" s="24">
        <f>SUM(G94:G95)</f>
        <v>5285.79</v>
      </c>
      <c r="H96" s="24">
        <v>0</v>
      </c>
      <c r="I96" s="36">
        <v>0</v>
      </c>
      <c r="J96" s="36">
        <v>0</v>
      </c>
      <c r="K96" s="32">
        <f>(E96-I96)</f>
        <v>18000</v>
      </c>
      <c r="L96" s="32">
        <f>(I96/E96*100)</f>
        <v>0</v>
      </c>
      <c r="M96" s="24">
        <f>SUM(M94:M95)</f>
        <v>6785.79</v>
      </c>
    </row>
    <row r="97" spans="1:13" ht="16.5" customHeight="1">
      <c r="A97" s="15"/>
      <c r="B97" s="15"/>
      <c r="C97" s="41">
        <f>C96/C96</f>
        <v>1</v>
      </c>
      <c r="D97" s="41">
        <f>D96/C96</f>
        <v>0</v>
      </c>
      <c r="E97" s="16">
        <f t="shared" si="10"/>
        <v>1</v>
      </c>
      <c r="F97" s="41">
        <f>F96/E96</f>
        <v>0.706345</v>
      </c>
      <c r="G97" s="41">
        <v>0</v>
      </c>
      <c r="H97" s="52">
        <v>0</v>
      </c>
      <c r="I97" s="53">
        <f>I96/C96</f>
        <v>0</v>
      </c>
      <c r="J97" s="52">
        <f>J96/C96</f>
        <v>0</v>
      </c>
      <c r="K97" s="52">
        <v>0</v>
      </c>
      <c r="L97" s="52">
        <v>0</v>
      </c>
      <c r="M97" s="41">
        <f>M96/C96</f>
        <v>0.37698833333333331</v>
      </c>
    </row>
    <row r="98" spans="1:13" ht="16.5" customHeight="1">
      <c r="A98" s="28" t="s">
        <v>5</v>
      </c>
      <c r="B98" s="29" t="s">
        <v>6</v>
      </c>
      <c r="C98" s="29" t="s">
        <v>7</v>
      </c>
      <c r="D98" s="29" t="s">
        <v>116</v>
      </c>
      <c r="E98" s="16" t="s">
        <v>117</v>
      </c>
      <c r="F98" s="29" t="s">
        <v>19</v>
      </c>
      <c r="G98" s="29" t="s">
        <v>27</v>
      </c>
      <c r="H98" s="29"/>
      <c r="I98" s="31" t="s">
        <v>40</v>
      </c>
      <c r="J98" s="29" t="s">
        <v>14</v>
      </c>
      <c r="K98" s="29" t="s">
        <v>118</v>
      </c>
      <c r="L98" s="29"/>
      <c r="M98" s="29" t="s">
        <v>88</v>
      </c>
    </row>
    <row r="99" spans="1:13" ht="16.5" customHeight="1">
      <c r="A99" s="15"/>
      <c r="B99" s="15" t="s">
        <v>119</v>
      </c>
      <c r="C99" s="16"/>
      <c r="D99" s="16"/>
      <c r="E99" s="16"/>
      <c r="F99" s="16"/>
      <c r="G99" s="16"/>
      <c r="H99" s="16"/>
      <c r="I99" s="17"/>
      <c r="J99" s="16"/>
      <c r="K99" s="16" t="s">
        <v>29</v>
      </c>
      <c r="L99" s="16"/>
      <c r="M99" s="16"/>
    </row>
    <row r="100" spans="1:13" ht="16.5" customHeight="1">
      <c r="A100" s="15">
        <v>7501050107</v>
      </c>
      <c r="B100" s="15" t="s">
        <v>120</v>
      </c>
      <c r="C100" s="16">
        <v>15411.48</v>
      </c>
      <c r="D100" s="16">
        <v>0</v>
      </c>
      <c r="E100" s="16">
        <f t="shared" si="10"/>
        <v>15411.48</v>
      </c>
      <c r="F100" s="17">
        <v>0</v>
      </c>
      <c r="G100" s="16">
        <f>(E100-F100)</f>
        <v>15411.48</v>
      </c>
      <c r="H100" s="16">
        <f>(F100/E100*100)</f>
        <v>0</v>
      </c>
      <c r="I100" s="17">
        <v>0</v>
      </c>
      <c r="J100" s="17">
        <v>0</v>
      </c>
      <c r="K100" s="16">
        <f>(E100-I100)</f>
        <v>15411.48</v>
      </c>
      <c r="L100" s="16">
        <f>(I100/E100*100)</f>
        <v>0</v>
      </c>
      <c r="M100" s="16">
        <f>SUM(C100-I100)</f>
        <v>15411.48</v>
      </c>
    </row>
    <row r="101" spans="1:13" ht="16.5" customHeight="1">
      <c r="A101" s="15">
        <v>7501050207</v>
      </c>
      <c r="B101" s="15" t="s">
        <v>121</v>
      </c>
      <c r="C101" s="16">
        <v>30000</v>
      </c>
      <c r="D101" s="16">
        <v>0</v>
      </c>
      <c r="E101" s="16">
        <f t="shared" si="10"/>
        <v>30000</v>
      </c>
      <c r="F101" s="16">
        <v>0</v>
      </c>
      <c r="G101" s="16">
        <f>(E101-F101)</f>
        <v>30000</v>
      </c>
      <c r="H101" s="16">
        <f>(F101/E101*100)</f>
        <v>0</v>
      </c>
      <c r="I101" s="17">
        <v>0</v>
      </c>
      <c r="J101" s="16">
        <v>0</v>
      </c>
      <c r="K101" s="16">
        <f>(E101-I101)</f>
        <v>30000</v>
      </c>
      <c r="L101" s="16">
        <f>(I101/E101*100)</f>
        <v>0</v>
      </c>
      <c r="M101" s="16">
        <f>SUM(C101-I101)</f>
        <v>30000</v>
      </c>
    </row>
    <row r="102" spans="1:13" ht="16.5" customHeight="1">
      <c r="A102" s="15"/>
      <c r="B102" s="9"/>
      <c r="C102" s="11">
        <f>SUM(C100:C101)</f>
        <v>45411.479999999996</v>
      </c>
      <c r="D102" s="14">
        <f>SUM(D99:D101)</f>
        <v>0</v>
      </c>
      <c r="E102" s="16">
        <f t="shared" si="10"/>
        <v>45411.479999999996</v>
      </c>
      <c r="F102" s="14">
        <f>SUM(F100:F101)</f>
        <v>0</v>
      </c>
      <c r="G102" s="16">
        <f>(E102-F102)</f>
        <v>45411.479999999996</v>
      </c>
      <c r="H102" s="16">
        <f>(F102/E102*100)</f>
        <v>0</v>
      </c>
      <c r="I102" s="14">
        <f>SUM(I99:I101)</f>
        <v>0</v>
      </c>
      <c r="J102" s="14">
        <f>SUM(J99:J101)</f>
        <v>0</v>
      </c>
      <c r="K102" s="16">
        <f>(E102-I102)</f>
        <v>45411.479999999996</v>
      </c>
      <c r="L102" s="16">
        <f>(I102/E102*100)</f>
        <v>0</v>
      </c>
      <c r="M102" s="11">
        <f>SUM(M100:M101)</f>
        <v>45411.479999999996</v>
      </c>
    </row>
    <row r="103" spans="1:13" ht="16.5" customHeight="1">
      <c r="A103" s="15"/>
      <c r="B103" s="9"/>
      <c r="C103" s="41">
        <f>C102/C102</f>
        <v>1</v>
      </c>
      <c r="D103" s="54">
        <f>D102/C102</f>
        <v>0</v>
      </c>
      <c r="E103" s="16">
        <f t="shared" si="10"/>
        <v>1</v>
      </c>
      <c r="F103" s="54">
        <f>F102/E102</f>
        <v>0</v>
      </c>
      <c r="G103" s="54"/>
      <c r="H103" s="16">
        <v>0</v>
      </c>
      <c r="I103" s="53">
        <f>I102/C102</f>
        <v>0</v>
      </c>
      <c r="J103" s="52">
        <f>J102/C102</f>
        <v>0</v>
      </c>
      <c r="K103" s="41"/>
      <c r="L103" s="41"/>
      <c r="M103" s="41">
        <f>M102/C102</f>
        <v>1</v>
      </c>
    </row>
    <row r="104" spans="1:13" ht="16.5" customHeight="1">
      <c r="A104" s="15"/>
      <c r="B104" s="15" t="s">
        <v>122</v>
      </c>
      <c r="C104" s="16"/>
      <c r="D104" s="16"/>
      <c r="E104" s="16"/>
      <c r="F104" s="16"/>
      <c r="G104" s="16"/>
      <c r="H104" s="16"/>
      <c r="I104" s="17"/>
      <c r="J104" s="16"/>
      <c r="K104" s="16"/>
      <c r="L104" s="16"/>
      <c r="M104" s="16"/>
    </row>
    <row r="105" spans="1:13" ht="16.5" customHeight="1">
      <c r="A105" s="15">
        <v>7501050107</v>
      </c>
      <c r="B105" s="16" t="s">
        <v>120</v>
      </c>
      <c r="C105" s="16">
        <v>15000</v>
      </c>
      <c r="D105" s="16">
        <v>0</v>
      </c>
      <c r="E105" s="16">
        <f t="shared" si="10"/>
        <v>15000</v>
      </c>
      <c r="F105" s="16">
        <v>0</v>
      </c>
      <c r="G105" s="16">
        <f>(E105-F105)</f>
        <v>15000</v>
      </c>
      <c r="H105" s="16">
        <f>(F105/E105*100)</f>
        <v>0</v>
      </c>
      <c r="I105" s="17">
        <v>0</v>
      </c>
      <c r="J105" s="17">
        <v>0</v>
      </c>
      <c r="K105" s="16">
        <f>(E105-I105)</f>
        <v>15000</v>
      </c>
      <c r="L105" s="16">
        <f>(I105/E105*100)</f>
        <v>0</v>
      </c>
      <c r="M105" s="16">
        <f>SUM(C105-I105)</f>
        <v>15000</v>
      </c>
    </row>
    <row r="106" spans="1:13" ht="16.5" customHeight="1">
      <c r="A106" s="15">
        <v>7501050207</v>
      </c>
      <c r="B106" s="16" t="s">
        <v>121</v>
      </c>
      <c r="C106" s="16">
        <v>30000</v>
      </c>
      <c r="D106" s="16">
        <v>0</v>
      </c>
      <c r="E106" s="16">
        <f t="shared" si="10"/>
        <v>30000</v>
      </c>
      <c r="F106" s="16">
        <v>0</v>
      </c>
      <c r="G106" s="16">
        <f>(E106-F106)</f>
        <v>30000</v>
      </c>
      <c r="H106" s="16">
        <f>(F106/E106*100)</f>
        <v>0</v>
      </c>
      <c r="I106" s="17">
        <v>0</v>
      </c>
      <c r="J106" s="16">
        <v>0</v>
      </c>
      <c r="K106" s="16">
        <f>(E106-I106)</f>
        <v>30000</v>
      </c>
      <c r="L106" s="16">
        <f>(I106/E106*100)</f>
        <v>0</v>
      </c>
      <c r="M106" s="16">
        <f>SUM(C106-I106)</f>
        <v>30000</v>
      </c>
    </row>
    <row r="107" spans="1:13" ht="16.5" customHeight="1">
      <c r="A107" s="9"/>
      <c r="B107" s="21"/>
      <c r="C107" s="11">
        <f>SUM(C105:C106)</f>
        <v>45000</v>
      </c>
      <c r="D107" s="11">
        <f>SUM(D104:D106)</f>
        <v>0</v>
      </c>
      <c r="E107" s="16">
        <f t="shared" si="10"/>
        <v>45000</v>
      </c>
      <c r="F107" s="11">
        <f>SUM(F105:F106)</f>
        <v>0</v>
      </c>
      <c r="G107" s="16">
        <f>(E107-F107)</f>
        <v>45000</v>
      </c>
      <c r="H107" s="16">
        <v>0</v>
      </c>
      <c r="I107" s="14">
        <f>SUM(I104:I106)</f>
        <v>0</v>
      </c>
      <c r="J107" s="11">
        <f>SUM(J104:J106)</f>
        <v>0</v>
      </c>
      <c r="K107" s="16">
        <f>(E107-I107)</f>
        <v>45000</v>
      </c>
      <c r="L107" s="16">
        <f>(I107/E107*100)</f>
        <v>0</v>
      </c>
      <c r="M107" s="11">
        <f>SUM(M104:M106)</f>
        <v>45000</v>
      </c>
    </row>
    <row r="108" spans="1:13" ht="16.5" customHeight="1">
      <c r="A108" s="9"/>
      <c r="B108" s="21"/>
      <c r="C108" s="41">
        <f>C107/C107</f>
        <v>1</v>
      </c>
      <c r="D108" s="41">
        <f>D107/C107</f>
        <v>0</v>
      </c>
      <c r="E108" s="16">
        <f t="shared" si="10"/>
        <v>1</v>
      </c>
      <c r="F108" s="41">
        <f>F107/E107</f>
        <v>0</v>
      </c>
      <c r="G108" s="55">
        <v>0</v>
      </c>
      <c r="H108" s="52">
        <v>0</v>
      </c>
      <c r="I108" s="53">
        <f>I107/C107</f>
        <v>0</v>
      </c>
      <c r="J108" s="52">
        <f>J107/C107</f>
        <v>0</v>
      </c>
      <c r="K108" s="41"/>
      <c r="L108" s="41"/>
      <c r="M108" s="41">
        <f>M107/C107</f>
        <v>1</v>
      </c>
    </row>
    <row r="109" spans="1:13" ht="16.5" customHeight="1">
      <c r="A109" s="15"/>
      <c r="B109" s="16" t="s">
        <v>123</v>
      </c>
      <c r="C109" s="16"/>
      <c r="D109" s="16"/>
      <c r="E109" s="16"/>
      <c r="F109" s="16"/>
      <c r="G109" s="16"/>
      <c r="H109" s="16"/>
      <c r="I109" s="17"/>
      <c r="J109" s="16"/>
      <c r="K109" s="16"/>
      <c r="L109" s="16"/>
      <c r="M109" s="16"/>
    </row>
    <row r="110" spans="1:13" ht="16.5" customHeight="1">
      <c r="A110" s="15">
        <v>7501050107</v>
      </c>
      <c r="B110" s="16" t="s">
        <v>120</v>
      </c>
      <c r="C110" s="16">
        <v>15000</v>
      </c>
      <c r="D110" s="16">
        <v>0</v>
      </c>
      <c r="E110" s="16">
        <f t="shared" si="10"/>
        <v>15000</v>
      </c>
      <c r="F110" s="16">
        <v>0</v>
      </c>
      <c r="G110" s="16">
        <f>(E110-F110)</f>
        <v>15000</v>
      </c>
      <c r="H110" s="16">
        <f>(F110/E110*100)</f>
        <v>0</v>
      </c>
      <c r="I110" s="17">
        <v>0</v>
      </c>
      <c r="J110" s="17">
        <v>0</v>
      </c>
      <c r="K110" s="16">
        <f>(E110-I110)</f>
        <v>15000</v>
      </c>
      <c r="L110" s="16">
        <f>(I110/E110*100)</f>
        <v>0</v>
      </c>
      <c r="M110" s="16">
        <f>SUM(C110-I110)</f>
        <v>15000</v>
      </c>
    </row>
    <row r="111" spans="1:13" ht="16.5" customHeight="1">
      <c r="A111" s="15">
        <v>7501050207</v>
      </c>
      <c r="B111" s="16" t="s">
        <v>121</v>
      </c>
      <c r="C111" s="16">
        <v>30000</v>
      </c>
      <c r="D111" s="16">
        <v>0</v>
      </c>
      <c r="E111" s="16">
        <f t="shared" si="10"/>
        <v>30000</v>
      </c>
      <c r="F111" s="16">
        <v>0</v>
      </c>
      <c r="G111" s="16">
        <f>(E111-F111)</f>
        <v>30000</v>
      </c>
      <c r="H111" s="16">
        <f>(F111/E111*100)</f>
        <v>0</v>
      </c>
      <c r="I111" s="17">
        <v>0</v>
      </c>
      <c r="J111" s="16">
        <v>0</v>
      </c>
      <c r="K111" s="16">
        <f>(E111-I111)</f>
        <v>30000</v>
      </c>
      <c r="L111" s="16">
        <f>(I111/E111*100)</f>
        <v>0</v>
      </c>
      <c r="M111" s="16">
        <f>SUM(C111-I111)</f>
        <v>30000</v>
      </c>
    </row>
    <row r="112" spans="1:13" ht="16.5" customHeight="1">
      <c r="A112" s="9"/>
      <c r="B112" s="9"/>
      <c r="C112" s="11">
        <f>SUM(C110:C111)</f>
        <v>45000</v>
      </c>
      <c r="D112" s="11">
        <f>SUM(D109:D111)</f>
        <v>0</v>
      </c>
      <c r="E112" s="16">
        <f t="shared" si="10"/>
        <v>45000</v>
      </c>
      <c r="F112" s="11">
        <f>SUM(F110:F111)</f>
        <v>0</v>
      </c>
      <c r="G112" s="16">
        <f>(E112-F112)</f>
        <v>45000</v>
      </c>
      <c r="H112" s="16">
        <f>(F112/E112*100)</f>
        <v>0</v>
      </c>
      <c r="I112" s="14">
        <f>SUM(I109:I111)</f>
        <v>0</v>
      </c>
      <c r="J112" s="11">
        <f>SUM(J109:J111)</f>
        <v>0</v>
      </c>
      <c r="K112" s="16">
        <f>(E112-I112)</f>
        <v>45000</v>
      </c>
      <c r="L112" s="16">
        <f>(I112/E112*100)</f>
        <v>0</v>
      </c>
      <c r="M112" s="11">
        <f>SUM(M109:M111)</f>
        <v>45000</v>
      </c>
    </row>
    <row r="113" spans="1:13" ht="16.5" customHeight="1">
      <c r="A113" s="9"/>
      <c r="B113" s="9"/>
      <c r="C113" s="41">
        <f>C112/C112</f>
        <v>1</v>
      </c>
      <c r="D113" s="41">
        <f>D112/C112</f>
        <v>0</v>
      </c>
      <c r="E113" s="16">
        <f t="shared" si="10"/>
        <v>1</v>
      </c>
      <c r="F113" s="41">
        <f>F112/E112</f>
        <v>0</v>
      </c>
      <c r="G113" s="56"/>
      <c r="H113" s="16"/>
      <c r="I113" s="53">
        <f>I112/C112</f>
        <v>0</v>
      </c>
      <c r="J113" s="52">
        <f>J112/C112</f>
        <v>0</v>
      </c>
      <c r="K113" s="41"/>
      <c r="L113" s="41"/>
      <c r="M113" s="41">
        <f>M112/C112</f>
        <v>1</v>
      </c>
    </row>
    <row r="114" spans="1:13" ht="16.5" customHeight="1">
      <c r="A114" s="9"/>
      <c r="B114" s="9" t="s">
        <v>124</v>
      </c>
      <c r="C114" s="41"/>
      <c r="D114" s="41"/>
      <c r="E114" s="16"/>
      <c r="F114" s="41"/>
      <c r="G114" s="41"/>
      <c r="H114" s="41"/>
      <c r="I114" s="54"/>
      <c r="J114" s="41"/>
      <c r="K114" s="41"/>
      <c r="L114" s="41"/>
      <c r="M114" s="41"/>
    </row>
    <row r="115" spans="1:13" ht="16.5" customHeight="1">
      <c r="A115" s="15">
        <v>7501050107</v>
      </c>
      <c r="B115" s="15" t="s">
        <v>120</v>
      </c>
      <c r="C115" s="16">
        <v>22500</v>
      </c>
      <c r="D115" s="16">
        <v>0</v>
      </c>
      <c r="E115" s="16">
        <f t="shared" si="10"/>
        <v>22500</v>
      </c>
      <c r="F115" s="16">
        <v>16019.39</v>
      </c>
      <c r="G115" s="16">
        <f>(E115-F115)</f>
        <v>6480.6100000000006</v>
      </c>
      <c r="H115" s="16">
        <f t="shared" ref="H115:H120" si="14">(F115/E115*100)</f>
        <v>71.197288888888892</v>
      </c>
      <c r="I115" s="17">
        <v>16019.39</v>
      </c>
      <c r="J115" s="17">
        <v>16019.39</v>
      </c>
      <c r="K115" s="16">
        <f>(E115-I115)</f>
        <v>6480.6100000000006</v>
      </c>
      <c r="L115" s="16">
        <f t="shared" ref="L115:L120" si="15">(I115/E115*100)</f>
        <v>71.197288888888892</v>
      </c>
      <c r="M115" s="16">
        <f>SUM(C115-I115+D115)</f>
        <v>6480.6100000000006</v>
      </c>
    </row>
    <row r="116" spans="1:13" ht="16.5" customHeight="1">
      <c r="A116" s="15">
        <v>7501050207</v>
      </c>
      <c r="B116" s="15" t="s">
        <v>121</v>
      </c>
      <c r="C116" s="16">
        <v>40000</v>
      </c>
      <c r="D116" s="16">
        <v>0</v>
      </c>
      <c r="E116" s="16">
        <f t="shared" si="10"/>
        <v>40000</v>
      </c>
      <c r="F116" s="16">
        <v>37590.6</v>
      </c>
      <c r="G116" s="16">
        <f>(E116-F116)</f>
        <v>2409.4000000000015</v>
      </c>
      <c r="H116" s="16">
        <f t="shared" si="14"/>
        <v>93.976500000000001</v>
      </c>
      <c r="I116" s="17">
        <v>5743.06</v>
      </c>
      <c r="J116" s="17">
        <v>5743.06</v>
      </c>
      <c r="K116" s="16">
        <f>(E116-I116)</f>
        <v>34256.94</v>
      </c>
      <c r="L116" s="16">
        <f t="shared" si="15"/>
        <v>14.357650000000003</v>
      </c>
      <c r="M116" s="16">
        <f>SUM(C116-I116+D116)</f>
        <v>34256.94</v>
      </c>
    </row>
    <row r="117" spans="1:13" ht="16.5" customHeight="1">
      <c r="A117" s="9"/>
      <c r="B117" s="9"/>
      <c r="C117" s="11">
        <f>SUM(C115:C116)</f>
        <v>62500</v>
      </c>
      <c r="D117" s="11">
        <f>SUM(D115:D116)</f>
        <v>0</v>
      </c>
      <c r="E117" s="16">
        <f t="shared" si="10"/>
        <v>62500</v>
      </c>
      <c r="F117" s="11">
        <f>SUM(F115:F116)</f>
        <v>53609.99</v>
      </c>
      <c r="G117" s="16">
        <f>(E117-F117)</f>
        <v>8890.010000000002</v>
      </c>
      <c r="H117" s="16">
        <f t="shared" si="14"/>
        <v>85.775983999999994</v>
      </c>
      <c r="I117" s="14">
        <f>SUM(I115:M116)</f>
        <v>125085.55493888889</v>
      </c>
      <c r="J117" s="11">
        <f>SUM(J115:J116)</f>
        <v>21762.45</v>
      </c>
      <c r="K117" s="16">
        <f>SUM(K115:K116)</f>
        <v>40737.550000000003</v>
      </c>
      <c r="L117" s="16">
        <f t="shared" si="15"/>
        <v>200.13688790222224</v>
      </c>
      <c r="M117" s="11">
        <f>SUM(M115:M116)</f>
        <v>40737.550000000003</v>
      </c>
    </row>
    <row r="118" spans="1:13" ht="16.5" customHeight="1">
      <c r="A118" s="9"/>
      <c r="B118" s="9"/>
      <c r="C118" s="38">
        <f>C117/C117</f>
        <v>1</v>
      </c>
      <c r="D118" s="38">
        <f>D117/C117</f>
        <v>0</v>
      </c>
      <c r="E118" s="24">
        <v>227.09</v>
      </c>
      <c r="F118" s="24"/>
      <c r="G118" s="24">
        <f>(E118-F118)</f>
        <v>227.09</v>
      </c>
      <c r="H118" s="24">
        <f t="shared" si="14"/>
        <v>0</v>
      </c>
      <c r="I118" s="57">
        <f>I117/C117</f>
        <v>2.0013688790222224</v>
      </c>
      <c r="J118" s="38">
        <f>J117/C117</f>
        <v>0.34819919999999999</v>
      </c>
      <c r="K118" s="16">
        <f>SUM(K116:K117)</f>
        <v>74994.490000000005</v>
      </c>
      <c r="L118" s="16">
        <f t="shared" si="15"/>
        <v>0.88131088071787489</v>
      </c>
      <c r="M118" s="38">
        <f>M117/C117</f>
        <v>0.65180080000000007</v>
      </c>
    </row>
    <row r="119" spans="1:13" ht="16.5" customHeight="1">
      <c r="A119" s="15"/>
      <c r="B119" s="15"/>
      <c r="C119" s="58">
        <f>SUM(C51+C91+C102+C107+C112+C117+C31+C96)</f>
        <v>6000000</v>
      </c>
      <c r="D119" s="58">
        <f>SUM(D51+D91+D102+D107+D112+D117+D31)</f>
        <v>-1356629.96</v>
      </c>
      <c r="E119" s="24">
        <f>(C119-D119)</f>
        <v>7356629.96</v>
      </c>
      <c r="F119" s="59">
        <f>SUM(F31,F51,F91,F96,F102,F107,F112,F117)</f>
        <v>3915745.35</v>
      </c>
      <c r="G119" s="58">
        <f>(E119-F119)</f>
        <v>3440884.61</v>
      </c>
      <c r="H119" s="24">
        <f t="shared" si="14"/>
        <v>53.227433910513014</v>
      </c>
      <c r="I119" s="60">
        <f>SUM(I51+I91+I102+I107+I112+I117+I31)</f>
        <v>3582148.0349388886</v>
      </c>
      <c r="J119" s="60">
        <f>SUM(J51+J91+J102+J107+J112+J117+J31)</f>
        <v>3477556.9699999997</v>
      </c>
      <c r="K119" s="60">
        <f>SUM(K51+K91+K102+K107+K112+K117+K31)</f>
        <v>1146545.1100000001</v>
      </c>
      <c r="L119" s="16">
        <f t="shared" si="15"/>
        <v>48.692785343506507</v>
      </c>
      <c r="M119" s="60">
        <f>SUM(M51+M91+M102+M107+M112+M117)</f>
        <v>548518.40000000002</v>
      </c>
    </row>
    <row r="120" spans="1:13" ht="16.5" customHeight="1">
      <c r="A120" s="15"/>
      <c r="B120" s="15"/>
      <c r="C120" s="61">
        <f>C119/C119</f>
        <v>1</v>
      </c>
      <c r="D120" s="62">
        <f>D119/C119</f>
        <v>-0.22610499333333334</v>
      </c>
      <c r="E120" s="16">
        <f t="shared" ref="E120" si="16">(C120+D120)</f>
        <v>0.77389500666666666</v>
      </c>
      <c r="F120" s="41">
        <f>F119/E119</f>
        <v>0.53227433910513011</v>
      </c>
      <c r="G120" s="41">
        <v>0.22020000000000001</v>
      </c>
      <c r="H120" s="16">
        <f t="shared" si="14"/>
        <v>68.778624299147623</v>
      </c>
      <c r="I120" s="62">
        <f>I119/C119</f>
        <v>0.59702467248981472</v>
      </c>
      <c r="J120" s="61">
        <f>J119/C119</f>
        <v>0.57959282833333325</v>
      </c>
      <c r="K120" s="61">
        <f>K119/D119</f>
        <v>-0.84514211229715153</v>
      </c>
      <c r="L120" s="16">
        <f t="shared" si="15"/>
        <v>77.145435407488833</v>
      </c>
      <c r="M120" s="61">
        <f>M119/C119</f>
        <v>9.1419733333333336E-2</v>
      </c>
    </row>
    <row r="121" spans="1:13" ht="16.5" customHeight="1">
      <c r="A121" s="42"/>
      <c r="B121" s="42"/>
      <c r="C121" s="43"/>
      <c r="D121" s="43"/>
      <c r="E121" s="43"/>
      <c r="F121" s="43"/>
      <c r="G121" s="43"/>
      <c r="H121" s="43"/>
      <c r="I121" s="44"/>
      <c r="J121" s="43"/>
      <c r="K121" s="43"/>
      <c r="L121" s="43"/>
      <c r="M121" s="43"/>
    </row>
    <row r="122" spans="1:13" ht="16.5" customHeight="1">
      <c r="A122" s="42"/>
      <c r="B122" s="42"/>
      <c r="C122" s="43"/>
      <c r="D122" s="43"/>
      <c r="E122" s="43"/>
      <c r="F122" s="43"/>
      <c r="G122" s="43"/>
      <c r="H122" s="43"/>
      <c r="I122" s="44"/>
      <c r="J122" s="43"/>
      <c r="K122" s="43"/>
      <c r="L122" s="43"/>
      <c r="M122" s="43"/>
    </row>
    <row r="123" spans="1:13" ht="16.5" customHeight="1">
      <c r="A123" s="42"/>
      <c r="B123" s="42"/>
      <c r="C123" s="43"/>
      <c r="D123" s="43"/>
      <c r="E123" s="43"/>
      <c r="F123" s="43"/>
      <c r="G123" s="43"/>
      <c r="H123" s="43"/>
      <c r="I123" s="44"/>
      <c r="J123" s="43"/>
      <c r="K123" s="43"/>
      <c r="L123" s="43"/>
      <c r="M123" s="43"/>
    </row>
    <row r="124" spans="1:13" ht="16.5" customHeight="1">
      <c r="A124" s="42"/>
      <c r="B124" s="42"/>
      <c r="C124" s="43"/>
      <c r="D124" s="43"/>
      <c r="E124" s="43"/>
      <c r="F124" s="43"/>
      <c r="G124" s="43"/>
      <c r="H124" s="43"/>
      <c r="I124" s="44"/>
      <c r="J124" s="43"/>
      <c r="K124" s="43"/>
      <c r="L124" s="43"/>
      <c r="M124" s="43"/>
    </row>
    <row r="125" spans="1:13" ht="16.5" customHeight="1">
      <c r="A125" s="42"/>
      <c r="B125" s="42"/>
      <c r="C125" s="43"/>
      <c r="D125" s="43"/>
      <c r="E125" s="43"/>
      <c r="F125" s="43"/>
      <c r="G125" s="43"/>
      <c r="H125" s="43"/>
      <c r="I125" s="44"/>
      <c r="J125" s="43"/>
      <c r="K125" s="43"/>
      <c r="L125" s="43"/>
      <c r="M125" s="43"/>
    </row>
    <row r="126" spans="1:13" ht="16.5" customHeight="1">
      <c r="A126" s="42"/>
      <c r="B126" s="42"/>
      <c r="C126" s="43"/>
      <c r="D126" s="43"/>
      <c r="E126" s="43"/>
      <c r="F126" s="43"/>
      <c r="G126" s="43"/>
      <c r="H126" s="43"/>
      <c r="I126" s="44"/>
      <c r="J126" s="43"/>
      <c r="K126" s="43"/>
      <c r="L126" s="43"/>
      <c r="M126" s="43"/>
    </row>
    <row r="127" spans="1:13" ht="16.5" customHeight="1">
      <c r="A127" s="45"/>
      <c r="B127" s="1055" t="s">
        <v>67</v>
      </c>
      <c r="C127" s="1055"/>
      <c r="D127" s="1055"/>
      <c r="E127" s="1055"/>
      <c r="F127" s="1055"/>
      <c r="G127" s="1055"/>
      <c r="H127" s="1055"/>
      <c r="I127" s="1055"/>
      <c r="J127" s="1055"/>
      <c r="K127" s="1055"/>
      <c r="L127" s="1055"/>
      <c r="M127" s="1055"/>
    </row>
    <row r="128" spans="1:13" ht="16.5" customHeight="1">
      <c r="A128" s="45"/>
      <c r="B128" s="1055" t="s">
        <v>68</v>
      </c>
      <c r="C128" s="1055"/>
      <c r="D128" s="1055"/>
      <c r="E128" s="1055"/>
      <c r="F128" s="1055"/>
      <c r="G128" s="1055"/>
      <c r="H128" s="1055"/>
      <c r="I128" s="1055"/>
      <c r="J128" s="1055"/>
      <c r="K128" s="1055"/>
      <c r="L128" s="1055"/>
      <c r="M128" s="1055"/>
    </row>
    <row r="129" spans="1:13" ht="16.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</row>
  </sheetData>
  <mergeCells count="6">
    <mergeCell ref="B128:M128"/>
    <mergeCell ref="A2:M2"/>
    <mergeCell ref="A4:M4"/>
    <mergeCell ref="A6:M6"/>
    <mergeCell ref="A8:M8"/>
    <mergeCell ref="B127:M127"/>
  </mergeCells>
  <pageMargins left="0.7" right="0.7" top="0.75" bottom="0.75" header="0.3" footer="0.3"/>
  <pageSetup paperSize="9" scale="9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4"/>
    <pageSetUpPr fitToPage="1"/>
  </sheetPr>
  <dimension ref="A1:AP508"/>
  <sheetViews>
    <sheetView showZeros="0" zoomScale="55" zoomScaleNormal="55" zoomScaleSheetLayoutView="55" workbookViewId="0">
      <selection activeCell="B1" sqref="B1"/>
    </sheetView>
  </sheetViews>
  <sheetFormatPr baseColWidth="10" defaultColWidth="11.42578125" defaultRowHeight="23.25"/>
  <cols>
    <col min="1" max="1" width="7.28515625" style="115" customWidth="1"/>
    <col min="2" max="2" width="17.7109375" style="114" customWidth="1"/>
    <col min="3" max="3" width="22.7109375" style="63" customWidth="1"/>
    <col min="4" max="4" width="39.28515625" style="63" customWidth="1"/>
    <col min="5" max="5" width="77.42578125" style="531" customWidth="1"/>
    <col min="6" max="6" width="21.42578125" style="63" customWidth="1"/>
    <col min="7" max="7" width="20.7109375" style="63" hidden="1" customWidth="1"/>
    <col min="8" max="8" width="18.140625" style="63" hidden="1" customWidth="1"/>
    <col min="9" max="9" width="16.7109375" style="63" hidden="1" customWidth="1"/>
    <col min="10" max="10" width="15.5703125" style="63" hidden="1" customWidth="1"/>
    <col min="11" max="11" width="13.7109375" style="63" hidden="1" customWidth="1"/>
    <col min="12" max="12" width="16.5703125" style="63" hidden="1" customWidth="1"/>
    <col min="13" max="13" width="29.28515625" style="63" hidden="1" customWidth="1"/>
    <col min="14" max="14" width="36" style="63" customWidth="1"/>
    <col min="15" max="15" width="14.140625" style="116" customWidth="1"/>
    <col min="16" max="16" width="11.7109375" style="116" customWidth="1"/>
    <col min="17" max="17" width="11.42578125" style="116" customWidth="1"/>
    <col min="18" max="18" width="21.5703125" style="117" customWidth="1"/>
    <col min="19" max="19" width="37.7109375" style="117" customWidth="1"/>
    <col min="20" max="20" width="39.28515625" style="63" customWidth="1"/>
    <col min="21" max="21" width="16.28515625" style="63" customWidth="1"/>
    <col min="22" max="22" width="23.140625" style="63" customWidth="1"/>
    <col min="23" max="23" width="22.28515625" style="63" customWidth="1"/>
    <col min="24" max="24" width="21.28515625" style="63" customWidth="1"/>
    <col min="25" max="25" width="21" style="117" customWidth="1"/>
    <col min="26" max="26" width="20.140625" style="117" customWidth="1"/>
    <col min="27" max="27" width="29.42578125" style="118" customWidth="1"/>
    <col min="28" max="28" width="11.42578125" style="63" customWidth="1"/>
    <col min="29" max="29" width="24" style="63" customWidth="1"/>
    <col min="30" max="30" width="13.42578125" style="63" customWidth="1"/>
    <col min="31" max="31" width="21.42578125" style="63" customWidth="1"/>
    <col min="32" max="32" width="16.28515625" style="119" customWidth="1"/>
    <col min="33" max="33" width="14.7109375" style="63" bestFit="1" customWidth="1"/>
    <col min="34" max="34" width="13.5703125" style="63" customWidth="1"/>
    <col min="35" max="52" width="11.42578125" style="63" customWidth="1"/>
    <col min="53" max="16384" width="11.42578125" style="63"/>
  </cols>
  <sheetData>
    <row r="1" spans="1:34" ht="24" thickTop="1">
      <c r="A1" s="593"/>
      <c r="B1" s="594"/>
      <c r="C1" s="595" t="s">
        <v>125</v>
      </c>
      <c r="D1" s="595"/>
      <c r="E1" s="596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7"/>
      <c r="AB1" s="595"/>
      <c r="AC1" s="595"/>
      <c r="AD1" s="595"/>
      <c r="AE1" s="595"/>
      <c r="AF1" s="598"/>
      <c r="AG1" s="599"/>
      <c r="AH1" s="599"/>
    </row>
    <row r="2" spans="1:34" s="70" customFormat="1">
      <c r="A2" s="600"/>
      <c r="B2" s="601"/>
      <c r="C2" s="64" t="s">
        <v>126</v>
      </c>
      <c r="D2" s="602"/>
      <c r="E2" s="603"/>
      <c r="F2" s="604"/>
      <c r="G2" s="65"/>
      <c r="H2" s="65"/>
      <c r="I2" s="65"/>
      <c r="J2" s="65"/>
      <c r="K2" s="65"/>
      <c r="L2" s="65"/>
      <c r="M2" s="65"/>
      <c r="N2" s="65"/>
      <c r="O2" s="66"/>
      <c r="P2" s="66"/>
      <c r="Q2" s="66"/>
      <c r="R2" s="65"/>
      <c r="S2" s="65"/>
      <c r="T2" s="65"/>
      <c r="U2" s="65"/>
      <c r="V2" s="65"/>
      <c r="W2" s="65"/>
      <c r="X2" s="65"/>
      <c r="Y2" s="65"/>
      <c r="Z2" s="65"/>
      <c r="AA2" s="67"/>
      <c r="AB2" s="65"/>
      <c r="AC2" s="65"/>
      <c r="AD2" s="65"/>
      <c r="AE2" s="68"/>
      <c r="AF2" s="69"/>
      <c r="AG2" s="599"/>
      <c r="AH2" s="599"/>
    </row>
    <row r="3" spans="1:34" s="70" customFormat="1">
      <c r="A3" s="600"/>
      <c r="B3" s="601"/>
      <c r="C3" s="214" t="s">
        <v>127</v>
      </c>
      <c r="D3" s="602"/>
      <c r="E3" s="603"/>
      <c r="F3" s="604"/>
      <c r="G3" s="65"/>
      <c r="H3" s="65"/>
      <c r="I3" s="71"/>
      <c r="J3" s="120" t="s">
        <v>128</v>
      </c>
      <c r="K3" s="65"/>
      <c r="L3" s="122" t="s">
        <v>129</v>
      </c>
      <c r="M3" s="65"/>
      <c r="N3" s="65"/>
      <c r="O3" s="66"/>
      <c r="P3" s="66"/>
      <c r="Q3" s="66"/>
      <c r="R3" s="72"/>
      <c r="S3" s="65"/>
      <c r="T3" s="65"/>
      <c r="U3" s="65"/>
      <c r="V3" s="65"/>
      <c r="W3" s="65"/>
      <c r="X3" s="65"/>
      <c r="Y3" s="65"/>
      <c r="Z3" s="65"/>
      <c r="AA3" s="67"/>
      <c r="AB3" s="65"/>
      <c r="AC3" s="65"/>
      <c r="AD3" s="65"/>
      <c r="AE3" s="68"/>
      <c r="AF3" s="69"/>
      <c r="AG3" s="599"/>
      <c r="AH3" s="599"/>
    </row>
    <row r="4" spans="1:34">
      <c r="A4" s="600"/>
      <c r="B4" s="601"/>
      <c r="C4" s="605" t="s">
        <v>130</v>
      </c>
      <c r="D4" s="534">
        <v>41641</v>
      </c>
      <c r="E4" s="526"/>
      <c r="F4" s="73" t="s">
        <v>131</v>
      </c>
      <c r="G4" s="1057" t="s">
        <v>783</v>
      </c>
      <c r="H4" s="1057"/>
      <c r="I4" s="74"/>
      <c r="J4" s="121" t="s">
        <v>132</v>
      </c>
      <c r="K4" s="76"/>
      <c r="L4" s="77" t="s">
        <v>133</v>
      </c>
      <c r="M4" s="76"/>
      <c r="N4" s="76"/>
      <c r="O4" s="78"/>
      <c r="P4" s="78"/>
      <c r="Q4" s="78"/>
      <c r="R4" s="75"/>
      <c r="S4" s="75"/>
      <c r="T4" s="75"/>
      <c r="U4" s="75"/>
      <c r="V4" s="75"/>
      <c r="W4" s="75"/>
      <c r="X4" s="75"/>
      <c r="Y4" s="75"/>
      <c r="Z4" s="75"/>
      <c r="AA4" s="79"/>
      <c r="AB4" s="80"/>
      <c r="AC4" s="81"/>
      <c r="AD4" s="80"/>
      <c r="AE4" s="82"/>
      <c r="AF4" s="83"/>
      <c r="AG4" s="599"/>
      <c r="AH4" s="599"/>
    </row>
    <row r="5" spans="1:34" ht="24" thickBot="1">
      <c r="A5" s="600"/>
      <c r="B5" s="601"/>
      <c r="C5" s="605"/>
      <c r="D5" s="84"/>
      <c r="E5" s="527"/>
      <c r="F5" s="73"/>
      <c r="G5" s="533"/>
      <c r="H5" s="533"/>
      <c r="I5" s="533"/>
      <c r="J5" s="75"/>
      <c r="K5" s="76"/>
      <c r="L5" s="76"/>
      <c r="M5" s="76"/>
      <c r="N5" s="76"/>
      <c r="O5" s="78"/>
      <c r="P5" s="78"/>
      <c r="Q5" s="78"/>
      <c r="R5" s="75"/>
      <c r="S5" s="75"/>
      <c r="T5" s="75"/>
      <c r="U5" s="75"/>
      <c r="V5" s="75"/>
      <c r="W5" s="75"/>
      <c r="X5" s="75"/>
      <c r="Y5" s="75"/>
      <c r="Z5" s="75"/>
      <c r="AA5" s="79"/>
      <c r="AB5" s="80"/>
      <c r="AC5" s="80"/>
      <c r="AD5" s="80"/>
      <c r="AE5" s="82"/>
      <c r="AF5" s="83"/>
      <c r="AG5" s="599"/>
      <c r="AH5" s="599"/>
    </row>
    <row r="6" spans="1:34" ht="25.9" customHeight="1" thickTop="1">
      <c r="B6" s="1058" t="s">
        <v>134</v>
      </c>
      <c r="C6" s="606" t="s">
        <v>135</v>
      </c>
      <c r="D6" s="404">
        <f>SUBTOTAL(3,B11:B478)</f>
        <v>1</v>
      </c>
      <c r="E6" s="528"/>
      <c r="F6" s="73"/>
      <c r="G6" s="533"/>
      <c r="H6" s="533"/>
      <c r="I6" s="533"/>
      <c r="J6" s="75"/>
      <c r="K6" s="505"/>
      <c r="L6" s="76"/>
      <c r="M6" s="76"/>
      <c r="N6" s="76"/>
      <c r="O6" s="78"/>
      <c r="P6" s="78"/>
      <c r="Q6" s="78"/>
      <c r="R6" s="75"/>
      <c r="S6" s="75"/>
      <c r="T6" s="75"/>
      <c r="U6" s="75"/>
      <c r="V6" s="75"/>
      <c r="W6" s="75"/>
      <c r="X6" s="75"/>
      <c r="Y6" s="75"/>
      <c r="Z6" s="75"/>
      <c r="AA6" s="79"/>
      <c r="AB6" s="80"/>
      <c r="AC6" s="80"/>
      <c r="AD6" s="80"/>
      <c r="AE6" s="82"/>
      <c r="AF6" s="83"/>
      <c r="AG6" s="599"/>
      <c r="AH6" s="599"/>
    </row>
    <row r="7" spans="1:34" ht="25.5">
      <c r="A7" s="607"/>
      <c r="B7" s="1059"/>
      <c r="C7" s="608" t="s">
        <v>136</v>
      </c>
      <c r="D7" s="405">
        <f>+D8-D6</f>
        <v>0</v>
      </c>
      <c r="E7" s="528"/>
      <c r="F7" s="73"/>
      <c r="G7" s="533"/>
      <c r="H7" s="533"/>
      <c r="I7" s="533"/>
      <c r="J7" s="75"/>
      <c r="K7" s="76"/>
      <c r="L7" s="76"/>
      <c r="M7" s="76"/>
      <c r="N7" s="76"/>
      <c r="O7" s="78"/>
      <c r="P7" s="78"/>
      <c r="Q7" s="78"/>
      <c r="R7" s="75"/>
      <c r="S7" s="75"/>
      <c r="T7" s="75"/>
      <c r="U7" s="75"/>
      <c r="V7" s="75"/>
      <c r="W7" s="75"/>
      <c r="X7" s="75"/>
      <c r="Y7" s="75"/>
      <c r="Z7" s="75"/>
      <c r="AA7" s="79"/>
      <c r="AB7" s="80"/>
      <c r="AC7" s="80"/>
      <c r="AD7" s="80"/>
      <c r="AE7" s="82"/>
      <c r="AF7" s="83"/>
      <c r="AG7" s="599"/>
      <c r="AH7" s="599"/>
    </row>
    <row r="8" spans="1:34" ht="26.25" thickBot="1">
      <c r="A8" s="609"/>
      <c r="B8" s="1060"/>
      <c r="C8" s="610" t="s">
        <v>9</v>
      </c>
      <c r="D8" s="406">
        <f>+SUBTOTAL(3,D11:D478)</f>
        <v>1</v>
      </c>
      <c r="E8" s="528"/>
      <c r="F8" s="89"/>
      <c r="G8" s="90"/>
      <c r="H8" s="90"/>
      <c r="I8" s="76"/>
      <c r="J8" s="75"/>
      <c r="K8" s="76"/>
      <c r="L8" s="76"/>
      <c r="M8" s="76"/>
      <c r="N8" s="76"/>
      <c r="O8" s="78"/>
      <c r="P8" s="78"/>
      <c r="Q8" s="78"/>
      <c r="R8" s="75"/>
      <c r="S8" s="75"/>
      <c r="T8" s="75"/>
      <c r="U8" s="75"/>
      <c r="V8" s="75"/>
      <c r="W8" s="75"/>
      <c r="X8" s="75"/>
      <c r="Y8" s="75"/>
      <c r="Z8" s="75"/>
      <c r="AA8" s="79"/>
      <c r="AB8" s="80"/>
      <c r="AC8" s="80"/>
      <c r="AD8" s="80"/>
      <c r="AE8" s="82"/>
      <c r="AF8" s="83"/>
      <c r="AG8" s="599"/>
      <c r="AH8" s="599"/>
    </row>
    <row r="9" spans="1:34" s="124" customFormat="1" ht="54.75" thickTop="1">
      <c r="A9" s="1061" t="s">
        <v>539</v>
      </c>
      <c r="B9" s="1062"/>
      <c r="C9" s="1063"/>
      <c r="D9" s="143">
        <f>+V480</f>
        <v>456264.82</v>
      </c>
      <c r="E9" s="611"/>
      <c r="F9" s="612" t="s">
        <v>538</v>
      </c>
      <c r="G9" s="613" t="str">
        <f>K480&amp;" km"</f>
        <v>6.17 km</v>
      </c>
      <c r="H9" s="614"/>
      <c r="I9" s="1064"/>
      <c r="J9" s="1064"/>
      <c r="K9" s="1064"/>
      <c r="L9" s="614"/>
      <c r="M9" s="615" t="s">
        <v>137</v>
      </c>
      <c r="N9" s="616">
        <f>+M480</f>
        <v>17667</v>
      </c>
      <c r="O9" s="617"/>
      <c r="P9" s="617"/>
      <c r="Q9" s="617"/>
      <c r="R9" s="618"/>
      <c r="S9" s="1065" t="s">
        <v>138</v>
      </c>
      <c r="T9" s="1066"/>
      <c r="U9" s="619"/>
      <c r="V9" s="1067"/>
      <c r="W9" s="1067"/>
      <c r="X9" s="1067"/>
      <c r="Y9" s="1067"/>
      <c r="Z9" s="1067"/>
      <c r="AA9" s="620"/>
      <c r="AB9" s="621"/>
      <c r="AC9" s="618"/>
      <c r="AD9" s="1075" t="s">
        <v>139</v>
      </c>
      <c r="AE9" s="1075"/>
      <c r="AF9" s="1075"/>
      <c r="AG9" s="622"/>
      <c r="AH9" s="622"/>
    </row>
    <row r="10" spans="1:34" s="92" customFormat="1" ht="49.5">
      <c r="A10" s="623" t="s">
        <v>140</v>
      </c>
      <c r="B10" s="623" t="s">
        <v>141</v>
      </c>
      <c r="C10" s="624" t="s">
        <v>142</v>
      </c>
      <c r="D10" s="624" t="s">
        <v>143</v>
      </c>
      <c r="E10" s="625" t="s">
        <v>666</v>
      </c>
      <c r="F10" s="624" t="s">
        <v>145</v>
      </c>
      <c r="G10" s="624" t="s">
        <v>146</v>
      </c>
      <c r="H10" s="624" t="s">
        <v>147</v>
      </c>
      <c r="I10" s="626" t="s">
        <v>148</v>
      </c>
      <c r="J10" s="627" t="s">
        <v>149</v>
      </c>
      <c r="K10" s="627" t="s">
        <v>150</v>
      </c>
      <c r="L10" s="628" t="s">
        <v>151</v>
      </c>
      <c r="M10" s="627" t="s">
        <v>137</v>
      </c>
      <c r="N10" s="627" t="s">
        <v>152</v>
      </c>
      <c r="O10" s="627" t="s">
        <v>153</v>
      </c>
      <c r="P10" s="629" t="s">
        <v>154</v>
      </c>
      <c r="Q10" s="629" t="s">
        <v>155</v>
      </c>
      <c r="R10" s="627" t="s">
        <v>156</v>
      </c>
      <c r="S10" s="624" t="s">
        <v>157</v>
      </c>
      <c r="T10" s="624" t="s">
        <v>158</v>
      </c>
      <c r="U10" s="624" t="s">
        <v>159</v>
      </c>
      <c r="V10" s="630" t="s">
        <v>160</v>
      </c>
      <c r="W10" s="630" t="s">
        <v>735</v>
      </c>
      <c r="X10" s="630" t="s">
        <v>772</v>
      </c>
      <c r="Y10" s="631" t="s">
        <v>161</v>
      </c>
      <c r="Z10" s="631" t="s">
        <v>162</v>
      </c>
      <c r="AA10" s="632" t="s">
        <v>163</v>
      </c>
      <c r="AB10" s="633" t="s">
        <v>164</v>
      </c>
      <c r="AC10" s="627" t="s">
        <v>165</v>
      </c>
      <c r="AD10" s="627" t="s">
        <v>166</v>
      </c>
      <c r="AE10" s="624" t="s">
        <v>167</v>
      </c>
      <c r="AF10" s="624" t="s">
        <v>168</v>
      </c>
      <c r="AG10" s="634"/>
      <c r="AH10" s="634"/>
    </row>
    <row r="11" spans="1:34" s="94" customFormat="1" ht="50.1" hidden="1" customHeight="1">
      <c r="A11" s="1076"/>
      <c r="B11" s="635"/>
      <c r="C11" s="635" t="s">
        <v>169</v>
      </c>
      <c r="D11" s="1069" t="s">
        <v>170</v>
      </c>
      <c r="E11" s="636" t="str">
        <f>+D11</f>
        <v>TERMINACIÓN DE RECONFORMACIÓN DE LA VÍA PURUNUMA - CHINGUILAMACA  ( L TOTAL = 18,8Km, TRABAJO EJECUTADO, 1 KM DE RECONFORMACIÓN Y 3KM DE RESANTEO EN ESTA JORNADA FINAL)</v>
      </c>
      <c r="F11" s="536" t="s">
        <v>171</v>
      </c>
      <c r="G11" s="536" t="str">
        <f>VLOOKUP(H11,'[5]Pob. Ext, Parroquial'!$B$9:$C$117,2,0)</f>
        <v>GONZANAMA</v>
      </c>
      <c r="H11" s="536" t="s">
        <v>172</v>
      </c>
      <c r="I11" s="536" t="s">
        <v>173</v>
      </c>
      <c r="J11" s="536" t="s">
        <v>174</v>
      </c>
      <c r="K11" s="537">
        <v>18.8</v>
      </c>
      <c r="L11" s="537"/>
      <c r="M11" s="538">
        <f>IF(K11&gt;0,VLOOKUP(H11,'[5]Pob. Ext, Parroquial'!$B$8:$F$117,4,FALSE),0)</f>
        <v>494</v>
      </c>
      <c r="N11" s="539" t="s">
        <v>175</v>
      </c>
      <c r="O11" s="540" t="s">
        <v>176</v>
      </c>
      <c r="P11" s="540">
        <v>1.62</v>
      </c>
      <c r="Q11" s="637">
        <v>1200</v>
      </c>
      <c r="R11" s="540"/>
      <c r="S11" s="541">
        <v>41640</v>
      </c>
      <c r="T11" s="541">
        <v>41670</v>
      </c>
      <c r="U11" s="542" t="str">
        <f t="shared" ref="U11:U94" si="0">IF(T11&lt;$G$4,"EJECUTADO","EN EJECUCION")</f>
        <v>EJECUTADO</v>
      </c>
      <c r="V11" s="543">
        <f t="shared" ref="V11:V94" si="1">ROUND(P11*Q11,2)</f>
        <v>1944</v>
      </c>
      <c r="W11" s="543">
        <v>1512</v>
      </c>
      <c r="X11" s="543">
        <f>+(V11-W11)/3*4.5</f>
        <v>648</v>
      </c>
      <c r="Y11" s="544"/>
      <c r="Z11" s="544"/>
      <c r="AA11" s="1077">
        <f>SUM(V11:V14)</f>
        <v>7584</v>
      </c>
      <c r="AB11" s="638"/>
      <c r="AC11" s="545" t="s">
        <v>177</v>
      </c>
      <c r="AD11" s="545" t="s">
        <v>178</v>
      </c>
      <c r="AE11" s="546" t="s">
        <v>179</v>
      </c>
      <c r="AF11" s="547">
        <v>2014</v>
      </c>
      <c r="AG11" s="639"/>
      <c r="AH11" s="639"/>
    </row>
    <row r="12" spans="1:34" s="94" customFormat="1" ht="50.1" hidden="1" customHeight="1">
      <c r="A12" s="1076"/>
      <c r="B12" s="635"/>
      <c r="C12" s="635" t="s">
        <v>169</v>
      </c>
      <c r="D12" s="1070"/>
      <c r="E12" s="636" t="str">
        <f>+E11</f>
        <v>TERMINACIÓN DE RECONFORMACIÓN DE LA VÍA PURUNUMA - CHINGUILAMACA  ( L TOTAL = 18,8Km, TRABAJO EJECUTADO, 1 KM DE RECONFORMACIÓN Y 3KM DE RESANTEO EN ESTA JORNADA FINAL)</v>
      </c>
      <c r="F12" s="536" t="s">
        <v>171</v>
      </c>
      <c r="G12" s="536" t="str">
        <f>VLOOKUP(H12,'[5]Pob. Ext, Parroquial'!$B$9:$C$117,2,0)</f>
        <v>GONZANAMA</v>
      </c>
      <c r="H12" s="536" t="s">
        <v>172</v>
      </c>
      <c r="I12" s="536" t="s">
        <v>173</v>
      </c>
      <c r="J12" s="536" t="s">
        <v>174</v>
      </c>
      <c r="K12" s="537"/>
      <c r="L12" s="537"/>
      <c r="M12" s="538">
        <f>IF(K12&gt;0,VLOOKUP(H12,'[5]Pob. Ext, Parroquial'!$B$8:$F$117,4,FALSE),0)</f>
        <v>0</v>
      </c>
      <c r="N12" s="539" t="s">
        <v>180</v>
      </c>
      <c r="O12" s="540" t="s">
        <v>181</v>
      </c>
      <c r="P12" s="540">
        <v>0.35</v>
      </c>
      <c r="Q12" s="637">
        <v>6000</v>
      </c>
      <c r="R12" s="540"/>
      <c r="S12" s="541">
        <v>41640</v>
      </c>
      <c r="T12" s="541">
        <v>41670</v>
      </c>
      <c r="U12" s="542" t="str">
        <f t="shared" si="0"/>
        <v>EJECUTADO</v>
      </c>
      <c r="V12" s="543">
        <f t="shared" si="1"/>
        <v>2100</v>
      </c>
      <c r="W12" s="543">
        <v>2100</v>
      </c>
      <c r="X12" s="543">
        <f t="shared" ref="X12:X94" si="2">+(V12-W12)/3*4.5</f>
        <v>0</v>
      </c>
      <c r="Y12" s="544"/>
      <c r="Z12" s="544"/>
      <c r="AA12" s="1077"/>
      <c r="AB12" s="638"/>
      <c r="AC12" s="545" t="s">
        <v>177</v>
      </c>
      <c r="AD12" s="545" t="s">
        <v>178</v>
      </c>
      <c r="AE12" s="546" t="s">
        <v>179</v>
      </c>
      <c r="AF12" s="547">
        <v>2014</v>
      </c>
      <c r="AG12" s="639"/>
      <c r="AH12" s="639"/>
    </row>
    <row r="13" spans="1:34" s="94" customFormat="1" ht="50.1" hidden="1" customHeight="1">
      <c r="A13" s="1076"/>
      <c r="B13" s="635"/>
      <c r="C13" s="635" t="s">
        <v>182</v>
      </c>
      <c r="D13" s="1070"/>
      <c r="E13" s="636" t="str">
        <f t="shared" ref="E13:E14" si="3">+E12</f>
        <v>TERMINACIÓN DE RECONFORMACIÓN DE LA VÍA PURUNUMA - CHINGUILAMACA  ( L TOTAL = 18,8Km, TRABAJO EJECUTADO, 1 KM DE RECONFORMACIÓN Y 3KM DE RESANTEO EN ESTA JORNADA FINAL)</v>
      </c>
      <c r="F13" s="536" t="s">
        <v>171</v>
      </c>
      <c r="G13" s="536" t="str">
        <f>VLOOKUP(H13,'[5]Pob. Ext, Parroquial'!$B$9:$C$117,2,0)</f>
        <v>GONZANAMA</v>
      </c>
      <c r="H13" s="536" t="s">
        <v>172</v>
      </c>
      <c r="I13" s="536" t="s">
        <v>173</v>
      </c>
      <c r="J13" s="536" t="s">
        <v>174</v>
      </c>
      <c r="K13" s="537"/>
      <c r="L13" s="537">
        <f>ROUNDUP(Q13/5.5/1000,2)</f>
        <v>1.1000000000000001</v>
      </c>
      <c r="M13" s="538">
        <f>IF(K13&gt;0,VLOOKUP(H13,'[5]Pob. Ext, Parroquial'!$B$8:$F$117,4,FALSE),0)</f>
        <v>0</v>
      </c>
      <c r="N13" s="539" t="s">
        <v>183</v>
      </c>
      <c r="O13" s="540" t="s">
        <v>184</v>
      </c>
      <c r="P13" s="540">
        <v>0.35</v>
      </c>
      <c r="Q13" s="637">
        <v>6000</v>
      </c>
      <c r="R13" s="540"/>
      <c r="S13" s="541">
        <v>41640</v>
      </c>
      <c r="T13" s="541">
        <v>41670</v>
      </c>
      <c r="U13" s="542" t="str">
        <f t="shared" si="0"/>
        <v>EJECUTADO</v>
      </c>
      <c r="V13" s="543">
        <f t="shared" si="1"/>
        <v>2100</v>
      </c>
      <c r="W13" s="543">
        <v>2100</v>
      </c>
      <c r="X13" s="543">
        <f t="shared" si="2"/>
        <v>0</v>
      </c>
      <c r="Y13" s="544"/>
      <c r="Z13" s="544"/>
      <c r="AA13" s="1077"/>
      <c r="AB13" s="638"/>
      <c r="AC13" s="545" t="s">
        <v>177</v>
      </c>
      <c r="AD13" s="545" t="s">
        <v>178</v>
      </c>
      <c r="AE13" s="546" t="s">
        <v>179</v>
      </c>
      <c r="AF13" s="547">
        <v>2014</v>
      </c>
      <c r="AG13" s="639"/>
      <c r="AH13" s="639"/>
    </row>
    <row r="14" spans="1:34" s="94" customFormat="1" ht="50.1" hidden="1" customHeight="1">
      <c r="A14" s="1076"/>
      <c r="B14" s="635"/>
      <c r="C14" s="635" t="s">
        <v>182</v>
      </c>
      <c r="D14" s="1071"/>
      <c r="E14" s="636" t="str">
        <f t="shared" si="3"/>
        <v>TERMINACIÓN DE RECONFORMACIÓN DE LA VÍA PURUNUMA - CHINGUILAMACA  ( L TOTAL = 18,8Km, TRABAJO EJECUTADO, 1 KM DE RECONFORMACIÓN Y 3KM DE RESANTEO EN ESTA JORNADA FINAL)</v>
      </c>
      <c r="F14" s="536" t="s">
        <v>171</v>
      </c>
      <c r="G14" s="536" t="str">
        <f>VLOOKUP(H14,'[5]Pob. Ext, Parroquial'!$B$9:$C$117,2,0)</f>
        <v>GONZANAMA</v>
      </c>
      <c r="H14" s="536" t="s">
        <v>172</v>
      </c>
      <c r="I14" s="536" t="s">
        <v>173</v>
      </c>
      <c r="J14" s="536" t="s">
        <v>174</v>
      </c>
      <c r="K14" s="537"/>
      <c r="L14" s="537">
        <f>ROUNDUP(Q14/5.5/1000,2)</f>
        <v>3.28</v>
      </c>
      <c r="M14" s="538">
        <f>IF(K14&gt;0,VLOOKUP(H14,'[5]Pob. Ext, Parroquial'!$B$8:$F$117,4,FALSE),0)</f>
        <v>0</v>
      </c>
      <c r="N14" s="539" t="s">
        <v>185</v>
      </c>
      <c r="O14" s="540" t="s">
        <v>184</v>
      </c>
      <c r="P14" s="540">
        <v>0.08</v>
      </c>
      <c r="Q14" s="637">
        <v>18000</v>
      </c>
      <c r="R14" s="540"/>
      <c r="S14" s="541">
        <v>41640</v>
      </c>
      <c r="T14" s="541">
        <v>41670</v>
      </c>
      <c r="U14" s="542" t="str">
        <f t="shared" si="0"/>
        <v>EJECUTADO</v>
      </c>
      <c r="V14" s="543">
        <f t="shared" si="1"/>
        <v>1440</v>
      </c>
      <c r="W14" s="543">
        <v>1440</v>
      </c>
      <c r="X14" s="543">
        <f t="shared" si="2"/>
        <v>0</v>
      </c>
      <c r="Y14" s="544"/>
      <c r="Z14" s="544"/>
      <c r="AA14" s="1077"/>
      <c r="AB14" s="638"/>
      <c r="AC14" s="545" t="s">
        <v>177</v>
      </c>
      <c r="AD14" s="545" t="s">
        <v>178</v>
      </c>
      <c r="AE14" s="546" t="s">
        <v>179</v>
      </c>
      <c r="AF14" s="547">
        <v>2014</v>
      </c>
      <c r="AG14" s="639"/>
      <c r="AH14" s="639"/>
    </row>
    <row r="15" spans="1:34" s="94" customFormat="1" ht="50.1" hidden="1" customHeight="1">
      <c r="A15" s="1068"/>
      <c r="B15" s="635"/>
      <c r="C15" s="635" t="s">
        <v>169</v>
      </c>
      <c r="D15" s="1069" t="s">
        <v>186</v>
      </c>
      <c r="E15" s="636" t="str">
        <f>+D15</f>
        <v>RECONFORMACIÓN DE LA VÍA PURUNUMA GONZANAMÁ (L INTERVENCIÓN = 5KM A LA FECHA, SON EN TOTAL 7KM)</v>
      </c>
      <c r="F15" s="536" t="s">
        <v>171</v>
      </c>
      <c r="G15" s="536" t="str">
        <f>VLOOKUP(H15,'[5]Pob. Ext, Parroquial'!$B$9:$C$117,2,0)</f>
        <v>GONZANAMA</v>
      </c>
      <c r="H15" s="536" t="s">
        <v>172</v>
      </c>
      <c r="I15" s="536" t="s">
        <v>173</v>
      </c>
      <c r="J15" s="536" t="s">
        <v>174</v>
      </c>
      <c r="K15" s="537">
        <v>5</v>
      </c>
      <c r="L15" s="537"/>
      <c r="M15" s="538">
        <f>IF(K15&gt;0,VLOOKUP(H15,'[5]Pob. Ext, Parroquial'!$B$8:$F$117,4,FALSE),0)</f>
        <v>494</v>
      </c>
      <c r="N15" s="539" t="s">
        <v>175</v>
      </c>
      <c r="O15" s="540" t="s">
        <v>176</v>
      </c>
      <c r="P15" s="540">
        <v>1.62</v>
      </c>
      <c r="Q15" s="637">
        <v>2080</v>
      </c>
      <c r="R15" s="540"/>
      <c r="S15" s="541">
        <v>41640</v>
      </c>
      <c r="T15" s="541">
        <v>41729</v>
      </c>
      <c r="U15" s="542" t="str">
        <f t="shared" si="0"/>
        <v>EJECUTADO</v>
      </c>
      <c r="V15" s="543">
        <f t="shared" si="1"/>
        <v>3369.6</v>
      </c>
      <c r="W15" s="543">
        <v>2620.8000000000002</v>
      </c>
      <c r="X15" s="543">
        <f t="shared" si="2"/>
        <v>1123.1999999999996</v>
      </c>
      <c r="Y15" s="544"/>
      <c r="Z15" s="544"/>
      <c r="AA15" s="1072">
        <f>SUM(V15:V17)</f>
        <v>31590.799999999999</v>
      </c>
      <c r="AB15" s="640"/>
      <c r="AC15" s="545" t="s">
        <v>177</v>
      </c>
      <c r="AD15" s="545" t="s">
        <v>178</v>
      </c>
      <c r="AE15" s="546" t="s">
        <v>187</v>
      </c>
      <c r="AF15" s="547">
        <v>2014</v>
      </c>
      <c r="AG15" s="639"/>
      <c r="AH15" s="639"/>
    </row>
    <row r="16" spans="1:34" s="94" customFormat="1" ht="50.1" hidden="1" customHeight="1">
      <c r="A16" s="1068"/>
      <c r="B16" s="635"/>
      <c r="C16" s="635" t="s">
        <v>169</v>
      </c>
      <c r="D16" s="1070"/>
      <c r="E16" s="636" t="str">
        <f>+E15</f>
        <v>RECONFORMACIÓN DE LA VÍA PURUNUMA GONZANAMÁ (L INTERVENCIÓN = 5KM A LA FECHA, SON EN TOTAL 7KM)</v>
      </c>
      <c r="F16" s="536" t="s">
        <v>171</v>
      </c>
      <c r="G16" s="536" t="str">
        <f>VLOOKUP(H16,'[5]Pob. Ext, Parroquial'!$B$9:$C$117,2,0)</f>
        <v>GONZANAMA</v>
      </c>
      <c r="H16" s="536" t="s">
        <v>172</v>
      </c>
      <c r="I16" s="536" t="s">
        <v>173</v>
      </c>
      <c r="J16" s="536" t="s">
        <v>174</v>
      </c>
      <c r="K16" s="537"/>
      <c r="L16" s="537"/>
      <c r="M16" s="538">
        <f>IF(K16&gt;0,VLOOKUP(H16,'[5]Pob. Ext, Parroquial'!$B$8:$F$117,4,FALSE),0)</f>
        <v>0</v>
      </c>
      <c r="N16" s="539" t="s">
        <v>180</v>
      </c>
      <c r="O16" s="540" t="s">
        <v>181</v>
      </c>
      <c r="P16" s="540">
        <v>0.35</v>
      </c>
      <c r="Q16" s="637">
        <v>46632</v>
      </c>
      <c r="R16" s="540"/>
      <c r="S16" s="541">
        <v>41640</v>
      </c>
      <c r="T16" s="541">
        <v>41729</v>
      </c>
      <c r="U16" s="542" t="str">
        <f t="shared" si="0"/>
        <v>EJECUTADO</v>
      </c>
      <c r="V16" s="543">
        <f t="shared" si="1"/>
        <v>16321.2</v>
      </c>
      <c r="W16" s="543">
        <v>16321.2</v>
      </c>
      <c r="X16" s="543">
        <f t="shared" si="2"/>
        <v>0</v>
      </c>
      <c r="Y16" s="544"/>
      <c r="Z16" s="544"/>
      <c r="AA16" s="1072"/>
      <c r="AB16" s="640"/>
      <c r="AC16" s="545" t="s">
        <v>177</v>
      </c>
      <c r="AD16" s="545" t="s">
        <v>178</v>
      </c>
      <c r="AE16" s="546" t="s">
        <v>187</v>
      </c>
      <c r="AF16" s="547">
        <v>2014</v>
      </c>
      <c r="AG16" s="639"/>
      <c r="AH16" s="639"/>
    </row>
    <row r="17" spans="1:34" s="94" customFormat="1" ht="50.1" hidden="1" customHeight="1">
      <c r="A17" s="1068"/>
      <c r="B17" s="635"/>
      <c r="C17" s="635" t="s">
        <v>182</v>
      </c>
      <c r="D17" s="1071"/>
      <c r="E17" s="636" t="str">
        <f>+E16</f>
        <v>RECONFORMACIÓN DE LA VÍA PURUNUMA GONZANAMÁ (L INTERVENCIÓN = 5KM A LA FECHA, SON EN TOTAL 7KM)</v>
      </c>
      <c r="F17" s="536" t="s">
        <v>171</v>
      </c>
      <c r="G17" s="536" t="str">
        <f>VLOOKUP(H17,'[5]Pob. Ext, Parroquial'!$B$9:$C$117,2,0)</f>
        <v>GONZANAMA</v>
      </c>
      <c r="H17" s="536" t="s">
        <v>172</v>
      </c>
      <c r="I17" s="536" t="s">
        <v>173</v>
      </c>
      <c r="J17" s="536" t="s">
        <v>174</v>
      </c>
      <c r="K17" s="537"/>
      <c r="L17" s="537">
        <f>ROUNDUP(Q17/5.5/1000,2)</f>
        <v>6.1899999999999995</v>
      </c>
      <c r="M17" s="538">
        <f>IF(K17&gt;0,VLOOKUP(H17,'[5]Pob. Ext, Parroquial'!$B$8:$F$117,4,FALSE),0)</f>
        <v>0</v>
      </c>
      <c r="N17" s="539" t="s">
        <v>183</v>
      </c>
      <c r="O17" s="540" t="s">
        <v>184</v>
      </c>
      <c r="P17" s="540">
        <v>0.35</v>
      </c>
      <c r="Q17" s="637">
        <v>34000</v>
      </c>
      <c r="R17" s="540"/>
      <c r="S17" s="541">
        <v>41640</v>
      </c>
      <c r="T17" s="541">
        <v>41729</v>
      </c>
      <c r="U17" s="542" t="str">
        <f t="shared" si="0"/>
        <v>EJECUTADO</v>
      </c>
      <c r="V17" s="543">
        <f t="shared" si="1"/>
        <v>11900</v>
      </c>
      <c r="W17" s="543">
        <v>11900</v>
      </c>
      <c r="X17" s="543">
        <f t="shared" si="2"/>
        <v>0</v>
      </c>
      <c r="Y17" s="544"/>
      <c r="Z17" s="544"/>
      <c r="AA17" s="1072"/>
      <c r="AB17" s="640"/>
      <c r="AC17" s="545" t="s">
        <v>177</v>
      </c>
      <c r="AD17" s="545" t="s">
        <v>178</v>
      </c>
      <c r="AE17" s="546" t="s">
        <v>187</v>
      </c>
      <c r="AF17" s="547">
        <v>2014</v>
      </c>
      <c r="AG17" s="639"/>
      <c r="AH17" s="639"/>
    </row>
    <row r="18" spans="1:34" s="94" customFormat="1" ht="50.1" hidden="1" customHeight="1">
      <c r="A18" s="1068"/>
      <c r="B18" s="635"/>
      <c r="C18" s="635" t="s">
        <v>169</v>
      </c>
      <c r="D18" s="1069" t="s">
        <v>188</v>
      </c>
      <c r="E18" s="636" t="str">
        <f>+D18</f>
        <v xml:space="preserve">CONSTRUCCIÓN DE OBRAS DE ARTE EN LA VÍA CHIRIHUALA-CHANGAIMINA </v>
      </c>
      <c r="F18" s="536" t="s">
        <v>171</v>
      </c>
      <c r="G18" s="536" t="str">
        <f>VLOOKUP(H18,'[5]Pob. Ext, Parroquial'!$B$9:$C$117,2,0)</f>
        <v>GONZANAMA</v>
      </c>
      <c r="H18" s="536" t="s">
        <v>189</v>
      </c>
      <c r="I18" s="536" t="s">
        <v>173</v>
      </c>
      <c r="J18" s="536" t="s">
        <v>174</v>
      </c>
      <c r="K18" s="537"/>
      <c r="L18" s="537"/>
      <c r="M18" s="538">
        <f>IF(K18&gt;0,VLOOKUP(H18,'[5]Pob. Ext, Parroquial'!$B$8:$F$117,4,FALSE),0)</f>
        <v>0</v>
      </c>
      <c r="N18" s="539" t="s">
        <v>190</v>
      </c>
      <c r="O18" s="540" t="s">
        <v>176</v>
      </c>
      <c r="P18" s="540">
        <v>10.55</v>
      </c>
      <c r="Q18" s="637">
        <v>42.16</v>
      </c>
      <c r="R18" s="540"/>
      <c r="S18" s="541">
        <v>41640</v>
      </c>
      <c r="T18" s="541">
        <v>41729</v>
      </c>
      <c r="U18" s="542" t="str">
        <f t="shared" si="0"/>
        <v>EJECUTADO</v>
      </c>
      <c r="V18" s="543">
        <f t="shared" si="1"/>
        <v>444.79</v>
      </c>
      <c r="W18" s="543">
        <v>444.79</v>
      </c>
      <c r="X18" s="543">
        <f t="shared" si="2"/>
        <v>0</v>
      </c>
      <c r="Y18" s="544"/>
      <c r="Z18" s="544"/>
      <c r="AA18" s="1072">
        <f>SUM(V18:V22)</f>
        <v>17934.11</v>
      </c>
      <c r="AB18" s="640"/>
      <c r="AC18" s="545" t="s">
        <v>177</v>
      </c>
      <c r="AD18" s="545" t="s">
        <v>178</v>
      </c>
      <c r="AE18" s="546" t="s">
        <v>187</v>
      </c>
      <c r="AF18" s="547">
        <v>2014</v>
      </c>
      <c r="AG18" s="639"/>
      <c r="AH18" s="639"/>
    </row>
    <row r="19" spans="1:34" s="94" customFormat="1" ht="50.1" hidden="1" customHeight="1">
      <c r="A19" s="1068"/>
      <c r="B19" s="635"/>
      <c r="C19" s="635" t="s">
        <v>191</v>
      </c>
      <c r="D19" s="1070"/>
      <c r="E19" s="636" t="str">
        <f>+E18</f>
        <v xml:space="preserve">CONSTRUCCIÓN DE OBRAS DE ARTE EN LA VÍA CHIRIHUALA-CHANGAIMINA </v>
      </c>
      <c r="F19" s="536" t="s">
        <v>171</v>
      </c>
      <c r="G19" s="536" t="str">
        <f>VLOOKUP(H19,'[5]Pob. Ext, Parroquial'!$B$9:$C$117,2,0)</f>
        <v>GONZANAMA</v>
      </c>
      <c r="H19" s="536" t="s">
        <v>189</v>
      </c>
      <c r="I19" s="536" t="s">
        <v>173</v>
      </c>
      <c r="J19" s="536" t="s">
        <v>174</v>
      </c>
      <c r="K19" s="537"/>
      <c r="L19" s="537"/>
      <c r="M19" s="538">
        <f>IF(K19&gt;0,VLOOKUP(H19,'[5]Pob. Ext, Parroquial'!$B$8:$F$117,4,FALSE),0)</f>
        <v>0</v>
      </c>
      <c r="N19" s="539" t="s">
        <v>192</v>
      </c>
      <c r="O19" s="540" t="s">
        <v>176</v>
      </c>
      <c r="P19" s="540">
        <v>178.13</v>
      </c>
      <c r="Q19" s="637">
        <v>96.34</v>
      </c>
      <c r="R19" s="540"/>
      <c r="S19" s="541">
        <v>41640</v>
      </c>
      <c r="T19" s="541">
        <v>41729</v>
      </c>
      <c r="U19" s="542" t="str">
        <f t="shared" si="0"/>
        <v>EJECUTADO</v>
      </c>
      <c r="V19" s="543">
        <f t="shared" si="1"/>
        <v>17161.04</v>
      </c>
      <c r="W19" s="543">
        <v>17161.04</v>
      </c>
      <c r="X19" s="543">
        <f t="shared" si="2"/>
        <v>0</v>
      </c>
      <c r="Y19" s="544"/>
      <c r="Z19" s="544"/>
      <c r="AA19" s="1072"/>
      <c r="AB19" s="640"/>
      <c r="AC19" s="545" t="s">
        <v>177</v>
      </c>
      <c r="AD19" s="545" t="s">
        <v>178</v>
      </c>
      <c r="AE19" s="546" t="s">
        <v>187</v>
      </c>
      <c r="AF19" s="547">
        <v>2014</v>
      </c>
      <c r="AG19" s="639"/>
      <c r="AH19" s="639"/>
    </row>
    <row r="20" spans="1:34" s="94" customFormat="1" ht="50.1" hidden="1" customHeight="1">
      <c r="A20" s="1068"/>
      <c r="B20" s="635"/>
      <c r="C20" s="635" t="s">
        <v>191</v>
      </c>
      <c r="D20" s="1070"/>
      <c r="E20" s="636" t="str">
        <f t="shared" ref="E20:E22" si="4">+E19</f>
        <v xml:space="preserve">CONSTRUCCIÓN DE OBRAS DE ARTE EN LA VÍA CHIRIHUALA-CHANGAIMINA </v>
      </c>
      <c r="F20" s="536" t="s">
        <v>171</v>
      </c>
      <c r="G20" s="536" t="str">
        <f>VLOOKUP(H20,'[5]Pob. Ext, Parroquial'!$B$9:$C$117,2,0)</f>
        <v>GONZANAMA</v>
      </c>
      <c r="H20" s="536" t="s">
        <v>189</v>
      </c>
      <c r="I20" s="536" t="s">
        <v>173</v>
      </c>
      <c r="J20" s="536" t="s">
        <v>174</v>
      </c>
      <c r="K20" s="537"/>
      <c r="L20" s="537"/>
      <c r="M20" s="538">
        <f>IF(K20&gt;0,VLOOKUP(H20,'[5]Pob. Ext, Parroquial'!$B$8:$F$117,4,FALSE),0)</f>
        <v>0</v>
      </c>
      <c r="N20" s="539" t="s">
        <v>193</v>
      </c>
      <c r="O20" s="540" t="s">
        <v>194</v>
      </c>
      <c r="P20" s="540">
        <v>15.04</v>
      </c>
      <c r="Q20" s="637"/>
      <c r="R20" s="540"/>
      <c r="S20" s="541">
        <v>41640</v>
      </c>
      <c r="T20" s="541">
        <v>41670</v>
      </c>
      <c r="U20" s="542" t="str">
        <f t="shared" si="0"/>
        <v>EJECUTADO</v>
      </c>
      <c r="V20" s="543">
        <f t="shared" si="1"/>
        <v>0</v>
      </c>
      <c r="W20" s="543"/>
      <c r="X20" s="543">
        <f t="shared" si="2"/>
        <v>0</v>
      </c>
      <c r="Y20" s="544"/>
      <c r="Z20" s="544"/>
      <c r="AA20" s="1072"/>
      <c r="AB20" s="640"/>
      <c r="AC20" s="545" t="s">
        <v>177</v>
      </c>
      <c r="AD20" s="545" t="s">
        <v>178</v>
      </c>
      <c r="AE20" s="546" t="s">
        <v>179</v>
      </c>
      <c r="AF20" s="547">
        <v>2014</v>
      </c>
      <c r="AG20" s="639"/>
      <c r="AH20" s="639"/>
    </row>
    <row r="21" spans="1:34" s="94" customFormat="1" ht="50.1" hidden="1" customHeight="1">
      <c r="A21" s="1068"/>
      <c r="B21" s="635"/>
      <c r="C21" s="635" t="s">
        <v>191</v>
      </c>
      <c r="D21" s="1070"/>
      <c r="E21" s="636" t="str">
        <f t="shared" si="4"/>
        <v xml:space="preserve">CONSTRUCCIÓN DE OBRAS DE ARTE EN LA VÍA CHIRIHUALA-CHANGAIMINA </v>
      </c>
      <c r="F21" s="536" t="s">
        <v>171</v>
      </c>
      <c r="G21" s="536" t="str">
        <f>VLOOKUP(H21,'[5]Pob. Ext, Parroquial'!$B$9:$C$117,2,0)</f>
        <v>GONZANAMA</v>
      </c>
      <c r="H21" s="536" t="s">
        <v>189</v>
      </c>
      <c r="I21" s="536" t="s">
        <v>173</v>
      </c>
      <c r="J21" s="536" t="s">
        <v>174</v>
      </c>
      <c r="K21" s="537"/>
      <c r="L21" s="537"/>
      <c r="M21" s="538">
        <f>IF(K21&gt;0,VLOOKUP(H21,'[5]Pob. Ext, Parroquial'!$B$8:$F$117,4,FALSE),0)</f>
        <v>0</v>
      </c>
      <c r="N21" s="539" t="s">
        <v>195</v>
      </c>
      <c r="O21" s="540" t="s">
        <v>176</v>
      </c>
      <c r="P21" s="540">
        <v>141.09</v>
      </c>
      <c r="Q21" s="637"/>
      <c r="R21" s="540"/>
      <c r="S21" s="541">
        <v>41640</v>
      </c>
      <c r="T21" s="541">
        <v>41670</v>
      </c>
      <c r="U21" s="542" t="str">
        <f t="shared" si="0"/>
        <v>EJECUTADO</v>
      </c>
      <c r="V21" s="543">
        <f t="shared" si="1"/>
        <v>0</v>
      </c>
      <c r="W21" s="543"/>
      <c r="X21" s="543">
        <f t="shared" si="2"/>
        <v>0</v>
      </c>
      <c r="Y21" s="544"/>
      <c r="Z21" s="544"/>
      <c r="AA21" s="1072"/>
      <c r="AB21" s="640"/>
      <c r="AC21" s="545" t="s">
        <v>177</v>
      </c>
      <c r="AD21" s="545" t="s">
        <v>178</v>
      </c>
      <c r="AE21" s="546" t="s">
        <v>179</v>
      </c>
      <c r="AF21" s="547">
        <v>2014</v>
      </c>
      <c r="AG21" s="639"/>
      <c r="AH21" s="639"/>
    </row>
    <row r="22" spans="1:34" s="94" customFormat="1" ht="50.1" hidden="1" customHeight="1">
      <c r="A22" s="1068"/>
      <c r="B22" s="635"/>
      <c r="C22" s="635" t="s">
        <v>196</v>
      </c>
      <c r="D22" s="1071"/>
      <c r="E22" s="636" t="str">
        <f t="shared" si="4"/>
        <v xml:space="preserve">CONSTRUCCIÓN DE OBRAS DE ARTE EN LA VÍA CHIRIHUALA-CHANGAIMINA </v>
      </c>
      <c r="F22" s="536" t="s">
        <v>171</v>
      </c>
      <c r="G22" s="536" t="str">
        <f>VLOOKUP(H22,'[5]Pob. Ext, Parroquial'!$B$9:$C$117,2,0)</f>
        <v>GONZANAMA</v>
      </c>
      <c r="H22" s="536" t="s">
        <v>189</v>
      </c>
      <c r="I22" s="536" t="s">
        <v>173</v>
      </c>
      <c r="J22" s="536" t="s">
        <v>174</v>
      </c>
      <c r="K22" s="537"/>
      <c r="L22" s="537"/>
      <c r="M22" s="538">
        <f>IF(K22&gt;0,VLOOKUP(H22,'[5]Pob. Ext, Parroquial'!$B$8:$F$117,4,FALSE),0)</f>
        <v>0</v>
      </c>
      <c r="N22" s="539" t="s">
        <v>197</v>
      </c>
      <c r="O22" s="540" t="s">
        <v>153</v>
      </c>
      <c r="P22" s="540">
        <v>11.32</v>
      </c>
      <c r="Q22" s="637">
        <v>29</v>
      </c>
      <c r="R22" s="540"/>
      <c r="S22" s="541">
        <v>41640</v>
      </c>
      <c r="T22" s="541">
        <v>41698</v>
      </c>
      <c r="U22" s="542" t="str">
        <f t="shared" si="0"/>
        <v>EJECUTADO</v>
      </c>
      <c r="V22" s="543">
        <f t="shared" si="1"/>
        <v>328.28</v>
      </c>
      <c r="W22" s="543">
        <v>328.28</v>
      </c>
      <c r="X22" s="543">
        <f t="shared" si="2"/>
        <v>0</v>
      </c>
      <c r="Y22" s="544"/>
      <c r="Z22" s="544"/>
      <c r="AA22" s="1072"/>
      <c r="AB22" s="640"/>
      <c r="AC22" s="545" t="s">
        <v>177</v>
      </c>
      <c r="AD22" s="545" t="s">
        <v>178</v>
      </c>
      <c r="AE22" s="546" t="s">
        <v>187</v>
      </c>
      <c r="AF22" s="547">
        <v>2014</v>
      </c>
      <c r="AG22" s="639"/>
      <c r="AH22" s="639"/>
    </row>
    <row r="23" spans="1:34" s="94" customFormat="1" ht="50.1" hidden="1" customHeight="1">
      <c r="A23" s="641"/>
      <c r="B23" s="635"/>
      <c r="C23" s="635" t="s">
        <v>182</v>
      </c>
      <c r="D23" s="635" t="s">
        <v>198</v>
      </c>
      <c r="E23" s="642" t="str">
        <f>+D23</f>
        <v>LIMPIEZA DE DERRUMBES EN LA VIA GONZANAMÁ QUILANGA</v>
      </c>
      <c r="F23" s="536" t="s">
        <v>171</v>
      </c>
      <c r="G23" s="536" t="str">
        <f>VLOOKUP(H23,'[5]Pob. Ext, Parroquial'!$B$9:$C$117,2,0)</f>
        <v>QUILANGA</v>
      </c>
      <c r="H23" s="536" t="s">
        <v>199</v>
      </c>
      <c r="I23" s="536" t="s">
        <v>173</v>
      </c>
      <c r="J23" s="536" t="s">
        <v>174</v>
      </c>
      <c r="K23" s="537"/>
      <c r="L23" s="537"/>
      <c r="M23" s="538">
        <f>IF(K23&gt;0,VLOOKUP(H23,'[5]Pob. Ext, Parroquial'!$B$8:$F$117,4,FALSE),0)</f>
        <v>0</v>
      </c>
      <c r="N23" s="539" t="s">
        <v>200</v>
      </c>
      <c r="O23" s="540" t="s">
        <v>176</v>
      </c>
      <c r="P23" s="540">
        <v>1.46</v>
      </c>
      <c r="Q23" s="637">
        <v>120</v>
      </c>
      <c r="R23" s="540"/>
      <c r="S23" s="541">
        <v>41699</v>
      </c>
      <c r="T23" s="541">
        <v>41729</v>
      </c>
      <c r="U23" s="542" t="str">
        <f t="shared" si="0"/>
        <v>EJECUTADO</v>
      </c>
      <c r="V23" s="543">
        <f t="shared" si="1"/>
        <v>175.2</v>
      </c>
      <c r="W23" s="543">
        <v>171.6</v>
      </c>
      <c r="X23" s="543">
        <f t="shared" si="2"/>
        <v>5.3999999999999915</v>
      </c>
      <c r="Y23" s="544"/>
      <c r="Z23" s="544"/>
      <c r="AA23" s="643">
        <f t="shared" ref="AA23:AA54" si="5">V23+Y23+Z23</f>
        <v>175.2</v>
      </c>
      <c r="AB23" s="640"/>
      <c r="AC23" s="545" t="s">
        <v>177</v>
      </c>
      <c r="AD23" s="545" t="s">
        <v>178</v>
      </c>
      <c r="AE23" s="546" t="s">
        <v>187</v>
      </c>
      <c r="AF23" s="547">
        <v>2014</v>
      </c>
      <c r="AG23" s="639"/>
      <c r="AH23" s="639"/>
    </row>
    <row r="24" spans="1:34" s="94" customFormat="1" ht="50.1" hidden="1" customHeight="1">
      <c r="A24" s="641"/>
      <c r="B24" s="635"/>
      <c r="C24" s="635" t="s">
        <v>182</v>
      </c>
      <c r="D24" s="635" t="s">
        <v>201</v>
      </c>
      <c r="E24" s="642" t="str">
        <f>+D24</f>
        <v>LIMPIEZA DE DERRUMBES EN LA VIA LLANO GRANDE - LUJINUMA</v>
      </c>
      <c r="F24" s="536" t="s">
        <v>171</v>
      </c>
      <c r="G24" s="536" t="str">
        <f>VLOOKUP(H24,'[5]Pob. Ext, Parroquial'!$B$9:$C$117,2,0)</f>
        <v>QUILANGA</v>
      </c>
      <c r="H24" s="536" t="s">
        <v>199</v>
      </c>
      <c r="I24" s="536" t="s">
        <v>173</v>
      </c>
      <c r="J24" s="536" t="s">
        <v>174</v>
      </c>
      <c r="K24" s="537"/>
      <c r="L24" s="537"/>
      <c r="M24" s="538">
        <f>IF(K24&gt;0,VLOOKUP(H24,'[5]Pob. Ext, Parroquial'!$B$8:$F$117,4,FALSE),0)</f>
        <v>0</v>
      </c>
      <c r="N24" s="539" t="s">
        <v>200</v>
      </c>
      <c r="O24" s="540" t="s">
        <v>176</v>
      </c>
      <c r="P24" s="540">
        <v>1.46</v>
      </c>
      <c r="Q24" s="637">
        <v>50</v>
      </c>
      <c r="R24" s="540"/>
      <c r="S24" s="541">
        <v>41699</v>
      </c>
      <c r="T24" s="541">
        <v>41729</v>
      </c>
      <c r="U24" s="542" t="str">
        <f t="shared" si="0"/>
        <v>EJECUTADO</v>
      </c>
      <c r="V24" s="543">
        <f t="shared" si="1"/>
        <v>73</v>
      </c>
      <c r="W24" s="543">
        <v>71.5</v>
      </c>
      <c r="X24" s="543">
        <f t="shared" si="2"/>
        <v>2.25</v>
      </c>
      <c r="Y24" s="544"/>
      <c r="Z24" s="544"/>
      <c r="AA24" s="643">
        <f t="shared" si="5"/>
        <v>73</v>
      </c>
      <c r="AB24" s="640"/>
      <c r="AC24" s="545" t="s">
        <v>177</v>
      </c>
      <c r="AD24" s="545" t="s">
        <v>178</v>
      </c>
      <c r="AE24" s="546" t="s">
        <v>187</v>
      </c>
      <c r="AF24" s="547">
        <v>2014</v>
      </c>
      <c r="AG24" s="639"/>
      <c r="AH24" s="639"/>
    </row>
    <row r="25" spans="1:34" s="94" customFormat="1" ht="50.1" hidden="1" customHeight="1">
      <c r="A25" s="641"/>
      <c r="B25" s="635"/>
      <c r="C25" s="635" t="s">
        <v>182</v>
      </c>
      <c r="D25" s="635" t="s">
        <v>202</v>
      </c>
      <c r="E25" s="642" t="str">
        <f>+D25</f>
        <v>LIMPIEZA DE DERRUMBES EN LA VIA COMBOLO - POTRERILLOS</v>
      </c>
      <c r="F25" s="536" t="s">
        <v>171</v>
      </c>
      <c r="G25" s="536" t="str">
        <f>VLOOKUP(H25,'[5]Pob. Ext, Parroquial'!$B$9:$C$117,2,0)</f>
        <v>QUILANGA</v>
      </c>
      <c r="H25" s="536" t="s">
        <v>199</v>
      </c>
      <c r="I25" s="536" t="s">
        <v>173</v>
      </c>
      <c r="J25" s="536" t="s">
        <v>174</v>
      </c>
      <c r="K25" s="537"/>
      <c r="L25" s="537"/>
      <c r="M25" s="538">
        <f>IF(K25&gt;0,VLOOKUP(H25,'[5]Pob. Ext, Parroquial'!$B$8:$F$117,4,FALSE),0)</f>
        <v>0</v>
      </c>
      <c r="N25" s="539" t="s">
        <v>200</v>
      </c>
      <c r="O25" s="540" t="s">
        <v>176</v>
      </c>
      <c r="P25" s="540">
        <v>1.46</v>
      </c>
      <c r="Q25" s="637">
        <v>1960</v>
      </c>
      <c r="R25" s="540"/>
      <c r="S25" s="541">
        <v>41699</v>
      </c>
      <c r="T25" s="541">
        <v>41729</v>
      </c>
      <c r="U25" s="542" t="str">
        <f t="shared" si="0"/>
        <v>EJECUTADO</v>
      </c>
      <c r="V25" s="543">
        <f t="shared" si="1"/>
        <v>2861.6</v>
      </c>
      <c r="W25" s="543">
        <v>2802.8</v>
      </c>
      <c r="X25" s="543">
        <f t="shared" si="2"/>
        <v>88.199999999999591</v>
      </c>
      <c r="Y25" s="544"/>
      <c r="Z25" s="544"/>
      <c r="AA25" s="643">
        <f t="shared" si="5"/>
        <v>2861.6</v>
      </c>
      <c r="AB25" s="640"/>
      <c r="AC25" s="545" t="s">
        <v>177</v>
      </c>
      <c r="AD25" s="545" t="s">
        <v>178</v>
      </c>
      <c r="AE25" s="546" t="s">
        <v>187</v>
      </c>
      <c r="AF25" s="547">
        <v>2014</v>
      </c>
      <c r="AG25" s="639"/>
      <c r="AH25" s="639"/>
    </row>
    <row r="26" spans="1:34" s="94" customFormat="1" ht="50.1" hidden="1" customHeight="1">
      <c r="A26" s="641"/>
      <c r="B26" s="635"/>
      <c r="C26" s="635" t="s">
        <v>182</v>
      </c>
      <c r="D26" s="635" t="s">
        <v>203</v>
      </c>
      <c r="E26" s="642" t="str">
        <f>+D26</f>
        <v>LIMPIEZA DE DERRUMBES EN LA VIA CHIRIHUALA - CHANGAIMINA</v>
      </c>
      <c r="F26" s="536" t="s">
        <v>171</v>
      </c>
      <c r="G26" s="536" t="str">
        <f>VLOOKUP(H26,'[5]Pob. Ext, Parroquial'!$B$9:$C$117,2,0)</f>
        <v>GONZANAMA</v>
      </c>
      <c r="H26" s="536" t="s">
        <v>189</v>
      </c>
      <c r="I26" s="536" t="s">
        <v>173</v>
      </c>
      <c r="J26" s="536" t="s">
        <v>174</v>
      </c>
      <c r="K26" s="537"/>
      <c r="L26" s="537"/>
      <c r="M26" s="538">
        <f>IF(K26&gt;0,VLOOKUP(H26,'[5]Pob. Ext, Parroquial'!$B$8:$F$117,4,FALSE),0)</f>
        <v>0</v>
      </c>
      <c r="N26" s="539" t="s">
        <v>200</v>
      </c>
      <c r="O26" s="540" t="s">
        <v>176</v>
      </c>
      <c r="P26" s="540">
        <v>1.46</v>
      </c>
      <c r="Q26" s="637">
        <v>250</v>
      </c>
      <c r="R26" s="540"/>
      <c r="S26" s="541">
        <v>41699</v>
      </c>
      <c r="T26" s="541">
        <v>41729</v>
      </c>
      <c r="U26" s="542" t="str">
        <f t="shared" si="0"/>
        <v>EJECUTADO</v>
      </c>
      <c r="V26" s="543">
        <f t="shared" si="1"/>
        <v>365</v>
      </c>
      <c r="W26" s="543">
        <v>357.5</v>
      </c>
      <c r="X26" s="543">
        <f t="shared" si="2"/>
        <v>11.25</v>
      </c>
      <c r="Y26" s="544"/>
      <c r="Z26" s="544"/>
      <c r="AA26" s="643">
        <f t="shared" si="5"/>
        <v>365</v>
      </c>
      <c r="AB26" s="640"/>
      <c r="AC26" s="545" t="s">
        <v>177</v>
      </c>
      <c r="AD26" s="545" t="s">
        <v>178</v>
      </c>
      <c r="AE26" s="546" t="s">
        <v>187</v>
      </c>
      <c r="AF26" s="547">
        <v>2014</v>
      </c>
      <c r="AG26" s="639"/>
      <c r="AH26" s="639"/>
    </row>
    <row r="27" spans="1:34" s="94" customFormat="1" ht="50.1" hidden="1" customHeight="1">
      <c r="A27" s="641"/>
      <c r="B27" s="635"/>
      <c r="C27" s="635" t="s">
        <v>182</v>
      </c>
      <c r="D27" s="635" t="s">
        <v>204</v>
      </c>
      <c r="E27" s="642" t="str">
        <f>+D27</f>
        <v>LIMPIEZA DE DERRUMBES EN LA VIA ACCESO PRINCIPAL A SACAPALCA</v>
      </c>
      <c r="F27" s="536" t="s">
        <v>171</v>
      </c>
      <c r="G27" s="536" t="str">
        <f>VLOOKUP(H27,'[5]Pob. Ext, Parroquial'!$B$9:$C$117,2,0)</f>
        <v>GONZANAMA</v>
      </c>
      <c r="H27" s="536" t="s">
        <v>205</v>
      </c>
      <c r="I27" s="536" t="s">
        <v>173</v>
      </c>
      <c r="J27" s="536" t="s">
        <v>174</v>
      </c>
      <c r="K27" s="537"/>
      <c r="L27" s="537"/>
      <c r="M27" s="538">
        <f>IF(K27&gt;0,VLOOKUP(H27,'[5]Pob. Ext, Parroquial'!$B$8:$F$117,4,FALSE),0)</f>
        <v>0</v>
      </c>
      <c r="N27" s="539" t="s">
        <v>200</v>
      </c>
      <c r="O27" s="540" t="s">
        <v>176</v>
      </c>
      <c r="P27" s="540">
        <v>1.46</v>
      </c>
      <c r="Q27" s="637">
        <v>250</v>
      </c>
      <c r="R27" s="540"/>
      <c r="S27" s="541">
        <v>41699</v>
      </c>
      <c r="T27" s="541">
        <v>41729</v>
      </c>
      <c r="U27" s="542" t="str">
        <f t="shared" si="0"/>
        <v>EJECUTADO</v>
      </c>
      <c r="V27" s="543">
        <f t="shared" si="1"/>
        <v>365</v>
      </c>
      <c r="W27" s="543">
        <v>357.5</v>
      </c>
      <c r="X27" s="543">
        <f t="shared" si="2"/>
        <v>11.25</v>
      </c>
      <c r="Y27" s="544"/>
      <c r="Z27" s="544"/>
      <c r="AA27" s="643">
        <f t="shared" si="5"/>
        <v>365</v>
      </c>
      <c r="AB27" s="640"/>
      <c r="AC27" s="545" t="s">
        <v>177</v>
      </c>
      <c r="AD27" s="545" t="s">
        <v>178</v>
      </c>
      <c r="AE27" s="546" t="s">
        <v>187</v>
      </c>
      <c r="AF27" s="547">
        <v>2014</v>
      </c>
      <c r="AG27" s="639"/>
      <c r="AH27" s="639"/>
    </row>
    <row r="28" spans="1:34" s="94" customFormat="1" ht="50.1" hidden="1" customHeight="1">
      <c r="A28" s="641"/>
      <c r="B28" s="635"/>
      <c r="C28" s="635" t="s">
        <v>182</v>
      </c>
      <c r="D28" s="635" t="s">
        <v>206</v>
      </c>
      <c r="E28" s="642" t="s">
        <v>206</v>
      </c>
      <c r="F28" s="536" t="s">
        <v>171</v>
      </c>
      <c r="G28" s="536" t="str">
        <f>VLOOKUP(H28,'[5]Pob. Ext, Parroquial'!$B$9:$C$117,2,0)</f>
        <v>GONZANAMA</v>
      </c>
      <c r="H28" s="536" t="s">
        <v>207</v>
      </c>
      <c r="I28" s="536" t="s">
        <v>173</v>
      </c>
      <c r="J28" s="536" t="s">
        <v>174</v>
      </c>
      <c r="K28" s="537"/>
      <c r="L28" s="537">
        <f>ROUNDUP(Q28/5.5/1000,2)</f>
        <v>16.37</v>
      </c>
      <c r="M28" s="538">
        <f>IF(K28&gt;0,VLOOKUP(H28,'[5]Pob. Ext, Parroquial'!$B$8:$F$117,4,FALSE),0)</f>
        <v>0</v>
      </c>
      <c r="N28" s="539" t="s">
        <v>185</v>
      </c>
      <c r="O28" s="540" t="s">
        <v>184</v>
      </c>
      <c r="P28" s="540">
        <v>0.08</v>
      </c>
      <c r="Q28" s="637">
        <v>90000</v>
      </c>
      <c r="R28" s="540"/>
      <c r="S28" s="541">
        <v>41699</v>
      </c>
      <c r="T28" s="541">
        <v>41729</v>
      </c>
      <c r="U28" s="542" t="str">
        <f t="shared" si="0"/>
        <v>EJECUTADO</v>
      </c>
      <c r="V28" s="543">
        <f t="shared" si="1"/>
        <v>7200</v>
      </c>
      <c r="W28" s="644">
        <v>7200</v>
      </c>
      <c r="X28" s="543">
        <f t="shared" si="2"/>
        <v>0</v>
      </c>
      <c r="Y28" s="544"/>
      <c r="Z28" s="544"/>
      <c r="AA28" s="643">
        <f t="shared" si="5"/>
        <v>7200</v>
      </c>
      <c r="AB28" s="640"/>
      <c r="AC28" s="545" t="s">
        <v>177</v>
      </c>
      <c r="AD28" s="545" t="s">
        <v>178</v>
      </c>
      <c r="AE28" s="546" t="s">
        <v>187</v>
      </c>
      <c r="AF28" s="547">
        <v>2014</v>
      </c>
      <c r="AG28" s="639"/>
      <c r="AH28" s="639"/>
    </row>
    <row r="29" spans="1:34" s="94" customFormat="1" ht="50.1" hidden="1" customHeight="1">
      <c r="A29" s="641"/>
      <c r="B29" s="635"/>
      <c r="C29" s="635" t="s">
        <v>182</v>
      </c>
      <c r="D29" s="635" t="s">
        <v>208</v>
      </c>
      <c r="E29" s="642" t="s">
        <v>208</v>
      </c>
      <c r="F29" s="536" t="s">
        <v>171</v>
      </c>
      <c r="G29" s="536" t="str">
        <f>VLOOKUP(H29,'[5]Pob. Ext, Parroquial'!$B$9:$C$117,2,0)</f>
        <v>GONZANAMA</v>
      </c>
      <c r="H29" s="536" t="s">
        <v>207</v>
      </c>
      <c r="I29" s="536" t="s">
        <v>173</v>
      </c>
      <c r="J29" s="536" t="s">
        <v>174</v>
      </c>
      <c r="K29" s="537"/>
      <c r="L29" s="537">
        <f>ROUNDUP(Q29/5.5/1000,2)</f>
        <v>4.5</v>
      </c>
      <c r="M29" s="538">
        <f>IF(K29&gt;0,VLOOKUP(H29,'[5]Pob. Ext, Parroquial'!$B$8:$F$117,4,FALSE),0)</f>
        <v>0</v>
      </c>
      <c r="N29" s="539" t="s">
        <v>185</v>
      </c>
      <c r="O29" s="540" t="s">
        <v>184</v>
      </c>
      <c r="P29" s="540">
        <v>0.08</v>
      </c>
      <c r="Q29" s="637">
        <v>24750</v>
      </c>
      <c r="R29" s="540"/>
      <c r="S29" s="541">
        <v>41643</v>
      </c>
      <c r="T29" s="541">
        <v>41759</v>
      </c>
      <c r="U29" s="542" t="str">
        <f t="shared" si="0"/>
        <v>EJECUTADO</v>
      </c>
      <c r="V29" s="543">
        <f t="shared" si="1"/>
        <v>1980</v>
      </c>
      <c r="W29" s="543">
        <v>1980</v>
      </c>
      <c r="X29" s="543">
        <f t="shared" si="2"/>
        <v>0</v>
      </c>
      <c r="Y29" s="544"/>
      <c r="Z29" s="544"/>
      <c r="AA29" s="643">
        <f t="shared" si="5"/>
        <v>1980</v>
      </c>
      <c r="AB29" s="640"/>
      <c r="AC29" s="545" t="s">
        <v>177</v>
      </c>
      <c r="AD29" s="545" t="s">
        <v>178</v>
      </c>
      <c r="AE29" s="546" t="s">
        <v>187</v>
      </c>
      <c r="AF29" s="547">
        <v>2014</v>
      </c>
      <c r="AG29" s="639"/>
      <c r="AH29" s="639"/>
    </row>
    <row r="30" spans="1:34" s="94" customFormat="1" ht="50.1" hidden="1" customHeight="1">
      <c r="A30" s="641"/>
      <c r="B30" s="635"/>
      <c r="C30" s="635" t="s">
        <v>182</v>
      </c>
      <c r="D30" s="635" t="s">
        <v>209</v>
      </c>
      <c r="E30" s="642" t="s">
        <v>209</v>
      </c>
      <c r="F30" s="536" t="s">
        <v>171</v>
      </c>
      <c r="G30" s="536" t="str">
        <f>VLOOKUP(H30,'[5]Pob. Ext, Parroquial'!$B$9:$C$117,2,0)</f>
        <v>GONZANAMA</v>
      </c>
      <c r="H30" s="536" t="s">
        <v>207</v>
      </c>
      <c r="I30" s="536" t="s">
        <v>173</v>
      </c>
      <c r="J30" s="536" t="s">
        <v>174</v>
      </c>
      <c r="K30" s="537"/>
      <c r="L30" s="537">
        <f>ROUNDUP(Q30/5.5/1000,2)</f>
        <v>0.91</v>
      </c>
      <c r="M30" s="538">
        <f>IF(K30&gt;0,VLOOKUP(H30,'[5]Pob. Ext, Parroquial'!$B$8:$F$117,4,FALSE),0)</f>
        <v>0</v>
      </c>
      <c r="N30" s="539" t="s">
        <v>185</v>
      </c>
      <c r="O30" s="540" t="s">
        <v>184</v>
      </c>
      <c r="P30" s="540">
        <v>0.08</v>
      </c>
      <c r="Q30" s="637">
        <v>5000</v>
      </c>
      <c r="R30" s="540"/>
      <c r="S30" s="541">
        <v>41643</v>
      </c>
      <c r="T30" s="541">
        <v>41759</v>
      </c>
      <c r="U30" s="542" t="str">
        <f t="shared" si="0"/>
        <v>EJECUTADO</v>
      </c>
      <c r="V30" s="543">
        <f t="shared" si="1"/>
        <v>400</v>
      </c>
      <c r="W30" s="543">
        <v>400</v>
      </c>
      <c r="X30" s="543">
        <f t="shared" si="2"/>
        <v>0</v>
      </c>
      <c r="Y30" s="544"/>
      <c r="Z30" s="544"/>
      <c r="AA30" s="643">
        <f t="shared" si="5"/>
        <v>400</v>
      </c>
      <c r="AB30" s="640"/>
      <c r="AC30" s="545" t="s">
        <v>177</v>
      </c>
      <c r="AD30" s="545" t="s">
        <v>178</v>
      </c>
      <c r="AE30" s="546" t="s">
        <v>187</v>
      </c>
      <c r="AF30" s="547">
        <v>2014</v>
      </c>
      <c r="AG30" s="639"/>
      <c r="AH30" s="639"/>
    </row>
    <row r="31" spans="1:34" s="94" customFormat="1" ht="50.1" hidden="1" customHeight="1">
      <c r="A31" s="641"/>
      <c r="B31" s="635"/>
      <c r="C31" s="635" t="s">
        <v>182</v>
      </c>
      <c r="D31" s="635" t="s">
        <v>210</v>
      </c>
      <c r="E31" s="642" t="s">
        <v>210</v>
      </c>
      <c r="F31" s="536" t="s">
        <v>171</v>
      </c>
      <c r="G31" s="536" t="str">
        <f>VLOOKUP(H31,'[5]Pob. Ext, Parroquial'!$B$9:$C$117,2,0)</f>
        <v>GONZANAMA</v>
      </c>
      <c r="H31" s="536" t="s">
        <v>207</v>
      </c>
      <c r="I31" s="536" t="s">
        <v>173</v>
      </c>
      <c r="J31" s="536" t="s">
        <v>174</v>
      </c>
      <c r="K31" s="537"/>
      <c r="L31" s="537">
        <f>ROUNDUP(Q31/5.5/1000,2)</f>
        <v>1.8</v>
      </c>
      <c r="M31" s="538">
        <f>IF(K31&gt;0,VLOOKUP(H31,'[5]Pob. Ext, Parroquial'!$B$8:$F$117,4,FALSE),0)</f>
        <v>0</v>
      </c>
      <c r="N31" s="539" t="s">
        <v>185</v>
      </c>
      <c r="O31" s="540" t="s">
        <v>184</v>
      </c>
      <c r="P31" s="540">
        <v>0.08</v>
      </c>
      <c r="Q31" s="637">
        <v>9900</v>
      </c>
      <c r="R31" s="540"/>
      <c r="S31" s="541">
        <v>41643</v>
      </c>
      <c r="T31" s="541">
        <v>41759</v>
      </c>
      <c r="U31" s="542" t="str">
        <f t="shared" si="0"/>
        <v>EJECUTADO</v>
      </c>
      <c r="V31" s="543">
        <f t="shared" si="1"/>
        <v>792</v>
      </c>
      <c r="W31" s="543">
        <v>792</v>
      </c>
      <c r="X31" s="543">
        <f t="shared" si="2"/>
        <v>0</v>
      </c>
      <c r="Y31" s="544"/>
      <c r="Z31" s="544"/>
      <c r="AA31" s="643">
        <f t="shared" si="5"/>
        <v>792</v>
      </c>
      <c r="AB31" s="640"/>
      <c r="AC31" s="545" t="s">
        <v>177</v>
      </c>
      <c r="AD31" s="545" t="s">
        <v>178</v>
      </c>
      <c r="AE31" s="546" t="s">
        <v>187</v>
      </c>
      <c r="AF31" s="547">
        <v>2014</v>
      </c>
      <c r="AG31" s="639"/>
      <c r="AH31" s="639"/>
    </row>
    <row r="32" spans="1:34" s="94" customFormat="1" ht="50.1" hidden="1" customHeight="1">
      <c r="A32" s="641"/>
      <c r="B32" s="635"/>
      <c r="C32" s="635" t="s">
        <v>182</v>
      </c>
      <c r="D32" s="635" t="s">
        <v>211</v>
      </c>
      <c r="E32" s="642" t="s">
        <v>211</v>
      </c>
      <c r="F32" s="536" t="s">
        <v>171</v>
      </c>
      <c r="G32" s="536" t="str">
        <f>VLOOKUP(H32,'[5]Pob. Ext, Parroquial'!$B$9:$C$117,2,0)</f>
        <v>GONZANAMA</v>
      </c>
      <c r="H32" s="536" t="s">
        <v>207</v>
      </c>
      <c r="I32" s="536" t="s">
        <v>173</v>
      </c>
      <c r="J32" s="536" t="s">
        <v>174</v>
      </c>
      <c r="K32" s="537"/>
      <c r="L32" s="537">
        <f>ROUNDUP(Q32/5.5/1000,2)</f>
        <v>1</v>
      </c>
      <c r="M32" s="538">
        <f>IF(K32&gt;0,VLOOKUP(H32,'[5]Pob. Ext, Parroquial'!$B$8:$F$117,4,FALSE),0)</f>
        <v>0</v>
      </c>
      <c r="N32" s="539" t="s">
        <v>185</v>
      </c>
      <c r="O32" s="540" t="s">
        <v>184</v>
      </c>
      <c r="P32" s="540">
        <v>0.08</v>
      </c>
      <c r="Q32" s="637">
        <v>5500</v>
      </c>
      <c r="R32" s="540"/>
      <c r="S32" s="541">
        <v>41643</v>
      </c>
      <c r="T32" s="541">
        <v>41759</v>
      </c>
      <c r="U32" s="542" t="str">
        <f t="shared" si="0"/>
        <v>EJECUTADO</v>
      </c>
      <c r="V32" s="543">
        <f t="shared" si="1"/>
        <v>440</v>
      </c>
      <c r="W32" s="543">
        <v>440</v>
      </c>
      <c r="X32" s="543">
        <f t="shared" si="2"/>
        <v>0</v>
      </c>
      <c r="Y32" s="544"/>
      <c r="Z32" s="544"/>
      <c r="AA32" s="643">
        <f t="shared" si="5"/>
        <v>440</v>
      </c>
      <c r="AB32" s="640"/>
      <c r="AC32" s="545" t="s">
        <v>177</v>
      </c>
      <c r="AD32" s="545" t="s">
        <v>178</v>
      </c>
      <c r="AE32" s="546" t="s">
        <v>187</v>
      </c>
      <c r="AF32" s="547">
        <v>2014</v>
      </c>
      <c r="AG32" s="639"/>
      <c r="AH32" s="639"/>
    </row>
    <row r="33" spans="1:34" s="94" customFormat="1" ht="50.1" hidden="1" customHeight="1">
      <c r="A33" s="1068"/>
      <c r="B33" s="645"/>
      <c r="C33" s="635" t="s">
        <v>182</v>
      </c>
      <c r="D33" s="1069" t="s">
        <v>212</v>
      </c>
      <c r="E33" s="636" t="s">
        <v>212</v>
      </c>
      <c r="F33" s="536" t="s">
        <v>171</v>
      </c>
      <c r="G33" s="536" t="str">
        <f>VLOOKUP(H33,'[5]Pob. Ext, Parroquial'!$B$9:$C$117,2,0)</f>
        <v>GONZANAMA</v>
      </c>
      <c r="H33" s="536" t="s">
        <v>205</v>
      </c>
      <c r="I33" s="536" t="s">
        <v>173</v>
      </c>
      <c r="J33" s="536" t="s">
        <v>174</v>
      </c>
      <c r="K33" s="537"/>
      <c r="L33" s="537"/>
      <c r="M33" s="538">
        <f>IF(K33&gt;0,VLOOKUP(H33,'[5]Pob. Ext, Parroquial'!$B$8:$F$117,4,FALSE),0)</f>
        <v>0</v>
      </c>
      <c r="N33" s="539" t="s">
        <v>200</v>
      </c>
      <c r="O33" s="540" t="s">
        <v>176</v>
      </c>
      <c r="P33" s="540">
        <v>1.46</v>
      </c>
      <c r="Q33" s="637">
        <v>720</v>
      </c>
      <c r="R33" s="540"/>
      <c r="S33" s="541">
        <v>41643</v>
      </c>
      <c r="T33" s="541">
        <v>41759</v>
      </c>
      <c r="U33" s="542" t="str">
        <f t="shared" si="0"/>
        <v>EJECUTADO</v>
      </c>
      <c r="V33" s="543">
        <f t="shared" si="1"/>
        <v>1051.2</v>
      </c>
      <c r="W33" s="644">
        <v>1029.5999999999999</v>
      </c>
      <c r="X33" s="543">
        <f t="shared" si="2"/>
        <v>32.400000000000205</v>
      </c>
      <c r="Y33" s="544"/>
      <c r="Z33" s="544"/>
      <c r="AA33" s="643">
        <f t="shared" si="5"/>
        <v>1051.2</v>
      </c>
      <c r="AB33" s="640"/>
      <c r="AC33" s="545" t="s">
        <v>177</v>
      </c>
      <c r="AD33" s="545" t="s">
        <v>178</v>
      </c>
      <c r="AE33" s="546" t="s">
        <v>187</v>
      </c>
      <c r="AF33" s="547">
        <v>2014</v>
      </c>
      <c r="AG33" s="639"/>
      <c r="AH33" s="639"/>
    </row>
    <row r="34" spans="1:34" s="94" customFormat="1" ht="50.1" hidden="1" customHeight="1">
      <c r="A34" s="1068"/>
      <c r="B34" s="646"/>
      <c r="C34" s="635" t="s">
        <v>169</v>
      </c>
      <c r="D34" s="1071"/>
      <c r="E34" s="636" t="str">
        <f>+E33</f>
        <v>LIMPIEZA DE DERRUMBES EN LA VIA LA HUACA - SACAPALCA - Y BACHEO CON LASTRES</v>
      </c>
      <c r="F34" s="536" t="s">
        <v>171</v>
      </c>
      <c r="G34" s="536" t="str">
        <f>VLOOKUP(H34,'[5]Pob. Ext, Parroquial'!$B$9:$C$117,2,0)</f>
        <v>GONZANAMA</v>
      </c>
      <c r="H34" s="536" t="s">
        <v>205</v>
      </c>
      <c r="I34" s="536" t="s">
        <v>173</v>
      </c>
      <c r="J34" s="536" t="s">
        <v>174</v>
      </c>
      <c r="K34" s="537"/>
      <c r="L34" s="537"/>
      <c r="M34" s="538">
        <f>IF(K34&gt;0,VLOOKUP(H34,'[5]Pob. Ext, Parroquial'!$B$8:$F$117,4,FALSE),0)</f>
        <v>0</v>
      </c>
      <c r="N34" s="539" t="s">
        <v>180</v>
      </c>
      <c r="O34" s="540" t="s">
        <v>181</v>
      </c>
      <c r="P34" s="540">
        <v>0.35</v>
      </c>
      <c r="Q34" s="637">
        <v>720</v>
      </c>
      <c r="R34" s="540"/>
      <c r="S34" s="541">
        <v>41643</v>
      </c>
      <c r="T34" s="541">
        <v>41759</v>
      </c>
      <c r="U34" s="542" t="str">
        <f t="shared" si="0"/>
        <v>EJECUTADO</v>
      </c>
      <c r="V34" s="543">
        <f t="shared" si="1"/>
        <v>252</v>
      </c>
      <c r="W34" s="543">
        <v>252</v>
      </c>
      <c r="X34" s="543">
        <f t="shared" si="2"/>
        <v>0</v>
      </c>
      <c r="Y34" s="544"/>
      <c r="Z34" s="544"/>
      <c r="AA34" s="643">
        <f t="shared" si="5"/>
        <v>252</v>
      </c>
      <c r="AB34" s="640"/>
      <c r="AC34" s="545" t="s">
        <v>177</v>
      </c>
      <c r="AD34" s="545" t="s">
        <v>178</v>
      </c>
      <c r="AE34" s="546" t="s">
        <v>187</v>
      </c>
      <c r="AF34" s="547">
        <v>2014</v>
      </c>
      <c r="AG34" s="639"/>
      <c r="AH34" s="639"/>
    </row>
    <row r="35" spans="1:34" s="94" customFormat="1" ht="50.1" hidden="1" customHeight="1">
      <c r="A35" s="1068"/>
      <c r="B35" s="645"/>
      <c r="C35" s="635" t="s">
        <v>182</v>
      </c>
      <c r="D35" s="1073" t="s">
        <v>213</v>
      </c>
      <c r="E35" s="636" t="str">
        <f>+D35</f>
        <v>LIMPIEZA DE DERRUMBES EN LA VIA AYASAPA - CHANGAIMINA Y BACHEO CON LASTRE</v>
      </c>
      <c r="F35" s="536" t="s">
        <v>171</v>
      </c>
      <c r="G35" s="536" t="str">
        <f>VLOOKUP(H35,'[5]Pob. Ext, Parroquial'!$B$9:$C$117,2,0)</f>
        <v>GONZANAMA</v>
      </c>
      <c r="H35" s="536" t="s">
        <v>189</v>
      </c>
      <c r="I35" s="536" t="s">
        <v>173</v>
      </c>
      <c r="J35" s="536" t="s">
        <v>174</v>
      </c>
      <c r="K35" s="537"/>
      <c r="L35" s="537"/>
      <c r="M35" s="538">
        <f>IF(K35&gt;0,VLOOKUP(H35,'[5]Pob. Ext, Parroquial'!$B$8:$F$117,4,FALSE),0)</f>
        <v>0</v>
      </c>
      <c r="N35" s="539" t="s">
        <v>200</v>
      </c>
      <c r="O35" s="540" t="s">
        <v>176</v>
      </c>
      <c r="P35" s="540">
        <v>1.46</v>
      </c>
      <c r="Q35" s="637">
        <v>280</v>
      </c>
      <c r="R35" s="540"/>
      <c r="S35" s="541">
        <v>41643</v>
      </c>
      <c r="T35" s="541">
        <v>41759</v>
      </c>
      <c r="U35" s="542" t="str">
        <f t="shared" si="0"/>
        <v>EJECUTADO</v>
      </c>
      <c r="V35" s="543">
        <f t="shared" si="1"/>
        <v>408.8</v>
      </c>
      <c r="W35" s="543">
        <v>400.4</v>
      </c>
      <c r="X35" s="543">
        <f t="shared" si="2"/>
        <v>12.600000000000051</v>
      </c>
      <c r="Y35" s="544"/>
      <c r="Z35" s="544"/>
      <c r="AA35" s="643">
        <f t="shared" si="5"/>
        <v>408.8</v>
      </c>
      <c r="AB35" s="640"/>
      <c r="AC35" s="545" t="s">
        <v>177</v>
      </c>
      <c r="AD35" s="545" t="s">
        <v>178</v>
      </c>
      <c r="AE35" s="546" t="s">
        <v>187</v>
      </c>
      <c r="AF35" s="547">
        <v>2014</v>
      </c>
      <c r="AG35" s="639"/>
      <c r="AH35" s="639"/>
    </row>
    <row r="36" spans="1:34" s="94" customFormat="1" ht="50.1" hidden="1" customHeight="1">
      <c r="A36" s="1068"/>
      <c r="B36" s="646"/>
      <c r="C36" s="635" t="s">
        <v>169</v>
      </c>
      <c r="D36" s="1074"/>
      <c r="E36" s="636" t="str">
        <f>+E35</f>
        <v>LIMPIEZA DE DERRUMBES EN LA VIA AYASAPA - CHANGAIMINA Y BACHEO CON LASTRE</v>
      </c>
      <c r="F36" s="536" t="s">
        <v>171</v>
      </c>
      <c r="G36" s="536" t="str">
        <f>VLOOKUP(H36,'[5]Pob. Ext, Parroquial'!$B$9:$C$117,2,0)</f>
        <v>GONZANAMA</v>
      </c>
      <c r="H36" s="536" t="s">
        <v>189</v>
      </c>
      <c r="I36" s="536" t="s">
        <v>173</v>
      </c>
      <c r="J36" s="536" t="s">
        <v>174</v>
      </c>
      <c r="K36" s="537"/>
      <c r="L36" s="537"/>
      <c r="M36" s="538">
        <f>IF(K36&gt;0,VLOOKUP(H36,'[5]Pob. Ext, Parroquial'!$B$8:$F$117,4,FALSE),0)</f>
        <v>0</v>
      </c>
      <c r="N36" s="539" t="s">
        <v>180</v>
      </c>
      <c r="O36" s="540" t="s">
        <v>181</v>
      </c>
      <c r="P36" s="540">
        <v>0.35</v>
      </c>
      <c r="Q36" s="637">
        <v>2160</v>
      </c>
      <c r="R36" s="540"/>
      <c r="S36" s="541">
        <v>41643</v>
      </c>
      <c r="T36" s="541">
        <v>41759</v>
      </c>
      <c r="U36" s="542" t="str">
        <f t="shared" si="0"/>
        <v>EJECUTADO</v>
      </c>
      <c r="V36" s="543">
        <f t="shared" si="1"/>
        <v>756</v>
      </c>
      <c r="W36" s="644">
        <v>756</v>
      </c>
      <c r="X36" s="543">
        <f t="shared" si="2"/>
        <v>0</v>
      </c>
      <c r="Y36" s="544"/>
      <c r="Z36" s="544"/>
      <c r="AA36" s="643">
        <f t="shared" si="5"/>
        <v>756</v>
      </c>
      <c r="AB36" s="640"/>
      <c r="AC36" s="545" t="s">
        <v>177</v>
      </c>
      <c r="AD36" s="545" t="s">
        <v>178</v>
      </c>
      <c r="AE36" s="546" t="s">
        <v>187</v>
      </c>
      <c r="AF36" s="547">
        <v>2014</v>
      </c>
      <c r="AG36" s="639"/>
      <c r="AH36" s="639"/>
    </row>
    <row r="37" spans="1:34" s="94" customFormat="1" ht="50.1" hidden="1" customHeight="1">
      <c r="A37" s="641"/>
      <c r="B37" s="635"/>
      <c r="C37" s="635" t="s">
        <v>182</v>
      </c>
      <c r="D37" s="647" t="s">
        <v>214</v>
      </c>
      <c r="E37" s="642" t="str">
        <f>+D37</f>
        <v>RECONFORMACIÓN Y LIMPIEZA DE CUNETAS EN LA VIA PRINCIPAL - YACURA</v>
      </c>
      <c r="F37" s="536" t="s">
        <v>171</v>
      </c>
      <c r="G37" s="536" t="str">
        <f>VLOOKUP(H37,'[5]Pob. Ext, Parroquial'!$B$9:$C$117,2,0)</f>
        <v>GONZANAMA</v>
      </c>
      <c r="H37" s="536" t="s">
        <v>189</v>
      </c>
      <c r="I37" s="536" t="s">
        <v>173</v>
      </c>
      <c r="J37" s="536" t="s">
        <v>174</v>
      </c>
      <c r="K37" s="537"/>
      <c r="L37" s="537">
        <f>ROUNDUP(Q37/5.5/1000,2)</f>
        <v>1.64</v>
      </c>
      <c r="M37" s="538">
        <f>IF(K37&gt;0,VLOOKUP(H37,'[5]Pob. Ext, Parroquial'!$B$8:$F$117,4,FALSE),0)</f>
        <v>0</v>
      </c>
      <c r="N37" s="539" t="s">
        <v>183</v>
      </c>
      <c r="O37" s="540" t="s">
        <v>184</v>
      </c>
      <c r="P37" s="540">
        <v>0.35</v>
      </c>
      <c r="Q37" s="637">
        <v>9000</v>
      </c>
      <c r="R37" s="540"/>
      <c r="S37" s="541">
        <v>41730</v>
      </c>
      <c r="T37" s="541">
        <v>41759</v>
      </c>
      <c r="U37" s="542" t="str">
        <f t="shared" si="0"/>
        <v>EJECUTADO</v>
      </c>
      <c r="V37" s="543">
        <f t="shared" si="1"/>
        <v>3150</v>
      </c>
      <c r="W37" s="543">
        <v>3150</v>
      </c>
      <c r="X37" s="543">
        <f t="shared" si="2"/>
        <v>0</v>
      </c>
      <c r="Y37" s="544"/>
      <c r="Z37" s="544"/>
      <c r="AA37" s="643">
        <f t="shared" si="5"/>
        <v>3150</v>
      </c>
      <c r="AB37" s="640"/>
      <c r="AC37" s="545" t="s">
        <v>177</v>
      </c>
      <c r="AD37" s="545" t="s">
        <v>178</v>
      </c>
      <c r="AE37" s="546" t="s">
        <v>187</v>
      </c>
      <c r="AF37" s="547">
        <v>2014</v>
      </c>
      <c r="AG37" s="639"/>
      <c r="AH37" s="639"/>
    </row>
    <row r="38" spans="1:34" s="94" customFormat="1" ht="50.1" hidden="1" customHeight="1">
      <c r="A38" s="641"/>
      <c r="B38" s="635"/>
      <c r="C38" s="635" t="s">
        <v>182</v>
      </c>
      <c r="D38" s="647" t="s">
        <v>215</v>
      </c>
      <c r="E38" s="642" t="str">
        <f>+D38</f>
        <v>RECONFORMACIÓN Y LIMPIEZA DE CUNETAS EN LA VIA EL LIMON - CARBONERA - PLATANAL</v>
      </c>
      <c r="F38" s="536" t="s">
        <v>171</v>
      </c>
      <c r="G38" s="536" t="str">
        <f>VLOOKUP(H38,'[5]Pob. Ext, Parroquial'!$B$9:$C$117,2,0)</f>
        <v>GONZANAMA</v>
      </c>
      <c r="H38" s="536" t="s">
        <v>207</v>
      </c>
      <c r="I38" s="536" t="s">
        <v>173</v>
      </c>
      <c r="J38" s="536" t="s">
        <v>174</v>
      </c>
      <c r="K38" s="537"/>
      <c r="L38" s="537">
        <f>ROUNDUP(Q38/5.5/1000,2)</f>
        <v>3.6399999999999997</v>
      </c>
      <c r="M38" s="538">
        <f>IF(K38&gt;0,VLOOKUP(H38,'[5]Pob. Ext, Parroquial'!$B$8:$F$117,4,FALSE),0)</f>
        <v>0</v>
      </c>
      <c r="N38" s="539" t="s">
        <v>183</v>
      </c>
      <c r="O38" s="540" t="s">
        <v>184</v>
      </c>
      <c r="P38" s="540">
        <v>0.35</v>
      </c>
      <c r="Q38" s="637">
        <v>20000</v>
      </c>
      <c r="R38" s="540"/>
      <c r="S38" s="541">
        <v>41730</v>
      </c>
      <c r="T38" s="541">
        <v>41759</v>
      </c>
      <c r="U38" s="542" t="str">
        <f t="shared" si="0"/>
        <v>EJECUTADO</v>
      </c>
      <c r="V38" s="543">
        <f t="shared" si="1"/>
        <v>7000</v>
      </c>
      <c r="W38" s="543">
        <v>7000</v>
      </c>
      <c r="X38" s="543">
        <f t="shared" si="2"/>
        <v>0</v>
      </c>
      <c r="Y38" s="544"/>
      <c r="Z38" s="544"/>
      <c r="AA38" s="643">
        <f t="shared" si="5"/>
        <v>7000</v>
      </c>
      <c r="AB38" s="640"/>
      <c r="AC38" s="545" t="s">
        <v>177</v>
      </c>
      <c r="AD38" s="545" t="s">
        <v>178</v>
      </c>
      <c r="AE38" s="546" t="s">
        <v>187</v>
      </c>
      <c r="AF38" s="547">
        <v>2014</v>
      </c>
      <c r="AG38" s="639"/>
      <c r="AH38" s="639"/>
    </row>
    <row r="39" spans="1:34" s="94" customFormat="1" ht="50.1" hidden="1" customHeight="1">
      <c r="A39" s="641"/>
      <c r="B39" s="635"/>
      <c r="C39" s="635" t="s">
        <v>182</v>
      </c>
      <c r="D39" s="647" t="s">
        <v>216</v>
      </c>
      <c r="E39" s="642" t="str">
        <f>+D39</f>
        <v>RECONFORMACIÓN Y LIMPIEZA DE CUNETAS EN LA VIA PRINCIPAL - PIEDRA GRANDE</v>
      </c>
      <c r="F39" s="536" t="s">
        <v>171</v>
      </c>
      <c r="G39" s="536" t="str">
        <f>VLOOKUP(H39,'[5]Pob. Ext, Parroquial'!$B$9:$C$117,2,0)</f>
        <v>GONZANAMA</v>
      </c>
      <c r="H39" s="536" t="s">
        <v>207</v>
      </c>
      <c r="I39" s="536" t="s">
        <v>173</v>
      </c>
      <c r="J39" s="536" t="s">
        <v>174</v>
      </c>
      <c r="K39" s="537"/>
      <c r="L39" s="537">
        <f>ROUNDUP(Q39/5.5/1000,2)</f>
        <v>0.91</v>
      </c>
      <c r="M39" s="538">
        <f>IF(K39&gt;0,VLOOKUP(H39,'[5]Pob. Ext, Parroquial'!$B$8:$F$117,4,FALSE),0)</f>
        <v>0</v>
      </c>
      <c r="N39" s="539" t="s">
        <v>183</v>
      </c>
      <c r="O39" s="540" t="s">
        <v>184</v>
      </c>
      <c r="P39" s="540">
        <v>0.35</v>
      </c>
      <c r="Q39" s="637">
        <v>5000</v>
      </c>
      <c r="R39" s="540"/>
      <c r="S39" s="541">
        <v>41730</v>
      </c>
      <c r="T39" s="541">
        <v>41759</v>
      </c>
      <c r="U39" s="542" t="str">
        <f t="shared" si="0"/>
        <v>EJECUTADO</v>
      </c>
      <c r="V39" s="543">
        <f t="shared" si="1"/>
        <v>1750</v>
      </c>
      <c r="W39" s="543">
        <v>1750</v>
      </c>
      <c r="X39" s="543">
        <f t="shared" si="2"/>
        <v>0</v>
      </c>
      <c r="Y39" s="544"/>
      <c r="Z39" s="544"/>
      <c r="AA39" s="643">
        <f t="shared" si="5"/>
        <v>1750</v>
      </c>
      <c r="AB39" s="640"/>
      <c r="AC39" s="545" t="s">
        <v>177</v>
      </c>
      <c r="AD39" s="545" t="s">
        <v>178</v>
      </c>
      <c r="AE39" s="546" t="s">
        <v>187</v>
      </c>
      <c r="AF39" s="547">
        <v>2014</v>
      </c>
      <c r="AG39" s="639"/>
      <c r="AH39" s="639"/>
    </row>
    <row r="40" spans="1:34" s="94" customFormat="1" ht="50.1" hidden="1" customHeight="1">
      <c r="A40" s="641"/>
      <c r="B40" s="635"/>
      <c r="C40" s="635" t="s">
        <v>182</v>
      </c>
      <c r="D40" s="647" t="s">
        <v>217</v>
      </c>
      <c r="E40" s="642" t="str">
        <f>+D40</f>
        <v>RECONFORMACIÓN Y LIMPIEZA DE CUNETAS EN LA VIA MOLLEPAMBA BAJO - MOLLEPAMBA ALTO</v>
      </c>
      <c r="F40" s="536" t="s">
        <v>171</v>
      </c>
      <c r="G40" s="536" t="str">
        <f>VLOOKUP(H40,'[5]Pob. Ext, Parroquial'!$B$9:$C$117,2,0)</f>
        <v>GONZANAMA</v>
      </c>
      <c r="H40" s="536" t="s">
        <v>207</v>
      </c>
      <c r="I40" s="536" t="s">
        <v>173</v>
      </c>
      <c r="J40" s="536" t="s">
        <v>174</v>
      </c>
      <c r="K40" s="537"/>
      <c r="L40" s="537">
        <f>ROUNDUP(Q40/5.5/1000,2)</f>
        <v>1.1000000000000001</v>
      </c>
      <c r="M40" s="538">
        <f>IF(K40&gt;0,VLOOKUP(H40,'[5]Pob. Ext, Parroquial'!$B$8:$F$117,4,FALSE),0)</f>
        <v>0</v>
      </c>
      <c r="N40" s="539" t="s">
        <v>183</v>
      </c>
      <c r="O40" s="540" t="s">
        <v>184</v>
      </c>
      <c r="P40" s="540">
        <v>0.35</v>
      </c>
      <c r="Q40" s="637">
        <v>6000</v>
      </c>
      <c r="R40" s="540"/>
      <c r="S40" s="541">
        <v>41730</v>
      </c>
      <c r="T40" s="541">
        <v>41759</v>
      </c>
      <c r="U40" s="542" t="str">
        <f t="shared" si="0"/>
        <v>EJECUTADO</v>
      </c>
      <c r="V40" s="543">
        <f t="shared" si="1"/>
        <v>2100</v>
      </c>
      <c r="W40" s="543">
        <v>2100</v>
      </c>
      <c r="X40" s="543">
        <f t="shared" si="2"/>
        <v>0</v>
      </c>
      <c r="Y40" s="544"/>
      <c r="Z40" s="544"/>
      <c r="AA40" s="643">
        <f t="shared" si="5"/>
        <v>2100</v>
      </c>
      <c r="AB40" s="640"/>
      <c r="AC40" s="545" t="s">
        <v>177</v>
      </c>
      <c r="AD40" s="545" t="s">
        <v>178</v>
      </c>
      <c r="AE40" s="546" t="s">
        <v>187</v>
      </c>
      <c r="AF40" s="547">
        <v>2014</v>
      </c>
      <c r="AG40" s="639"/>
      <c r="AH40" s="639"/>
    </row>
    <row r="41" spans="1:34" s="94" customFormat="1" ht="50.1" hidden="1" customHeight="1">
      <c r="A41" s="641"/>
      <c r="B41" s="635"/>
      <c r="C41" s="635" t="s">
        <v>182</v>
      </c>
      <c r="D41" s="1069" t="s">
        <v>218</v>
      </c>
      <c r="E41" s="636" t="str">
        <f>+D41</f>
        <v>RECONFORMACION, BACHEO Y LIMPIEZA DE CUNETAS EN LA VIA ACCESO PRINCIPAL A LA PARROQUIA NAMBACOLA</v>
      </c>
      <c r="F41" s="536" t="s">
        <v>171</v>
      </c>
      <c r="G41" s="536" t="str">
        <f>VLOOKUP(H41,'[5]Pob. Ext, Parroquial'!$B$9:$C$117,2,0)</f>
        <v>GONZANAMA</v>
      </c>
      <c r="H41" s="536" t="s">
        <v>207</v>
      </c>
      <c r="I41" s="536" t="s">
        <v>173</v>
      </c>
      <c r="J41" s="536" t="s">
        <v>174</v>
      </c>
      <c r="K41" s="537"/>
      <c r="L41" s="537">
        <f>ROUNDUP(Q41/5.5/1000,2)</f>
        <v>4.1399999999999997</v>
      </c>
      <c r="M41" s="538">
        <f>IF(K41&gt;0,VLOOKUP(H41,'[5]Pob. Ext, Parroquial'!$B$8:$F$117,4,FALSE),0)</f>
        <v>0</v>
      </c>
      <c r="N41" s="539" t="s">
        <v>183</v>
      </c>
      <c r="O41" s="540" t="s">
        <v>184</v>
      </c>
      <c r="P41" s="540">
        <v>0.35</v>
      </c>
      <c r="Q41" s="637">
        <v>22750</v>
      </c>
      <c r="R41" s="540"/>
      <c r="S41" s="541">
        <v>41644</v>
      </c>
      <c r="T41" s="541">
        <v>41790</v>
      </c>
      <c r="U41" s="542" t="str">
        <f t="shared" si="0"/>
        <v>EJECUTADO</v>
      </c>
      <c r="V41" s="543">
        <f t="shared" si="1"/>
        <v>7962.5</v>
      </c>
      <c r="W41" s="543"/>
      <c r="X41" s="543">
        <f t="shared" si="2"/>
        <v>11943.75</v>
      </c>
      <c r="Y41" s="544"/>
      <c r="Z41" s="544"/>
      <c r="AA41" s="643">
        <f t="shared" si="5"/>
        <v>7962.5</v>
      </c>
      <c r="AB41" s="640"/>
      <c r="AC41" s="545" t="s">
        <v>177</v>
      </c>
      <c r="AD41" s="545" t="s">
        <v>178</v>
      </c>
      <c r="AE41" s="546" t="s">
        <v>187</v>
      </c>
      <c r="AF41" s="547">
        <v>2014</v>
      </c>
      <c r="AG41" s="639"/>
      <c r="AH41" s="639"/>
    </row>
    <row r="42" spans="1:34" s="94" customFormat="1" ht="50.1" hidden="1" customHeight="1">
      <c r="A42" s="641"/>
      <c r="B42" s="635"/>
      <c r="C42" s="635" t="s">
        <v>169</v>
      </c>
      <c r="D42" s="1071"/>
      <c r="E42" s="636" t="str">
        <f>+E41</f>
        <v>RECONFORMACION, BACHEO Y LIMPIEZA DE CUNETAS EN LA VIA ACCESO PRINCIPAL A LA PARROQUIA NAMBACOLA</v>
      </c>
      <c r="F42" s="536" t="s">
        <v>171</v>
      </c>
      <c r="G42" s="536" t="str">
        <f>VLOOKUP(H42,'[5]Pob. Ext, Parroquial'!$B$9:$C$117,2,0)</f>
        <v>GONZANAMA</v>
      </c>
      <c r="H42" s="536" t="s">
        <v>207</v>
      </c>
      <c r="I42" s="536" t="s">
        <v>173</v>
      </c>
      <c r="J42" s="536" t="s">
        <v>174</v>
      </c>
      <c r="K42" s="537"/>
      <c r="L42" s="537"/>
      <c r="M42" s="538">
        <f>IF(K42&gt;0,VLOOKUP(H42,'[5]Pob. Ext, Parroquial'!$B$8:$F$117,4,FALSE),0)</f>
        <v>0</v>
      </c>
      <c r="N42" s="539" t="s">
        <v>219</v>
      </c>
      <c r="O42" s="540" t="s">
        <v>176</v>
      </c>
      <c r="P42" s="540">
        <v>0.35</v>
      </c>
      <c r="Q42" s="637">
        <v>3774</v>
      </c>
      <c r="R42" s="540"/>
      <c r="S42" s="541">
        <v>41644</v>
      </c>
      <c r="T42" s="541">
        <v>41790</v>
      </c>
      <c r="U42" s="542" t="str">
        <f t="shared" si="0"/>
        <v>EJECUTADO</v>
      </c>
      <c r="V42" s="543">
        <f t="shared" si="1"/>
        <v>1320.9</v>
      </c>
      <c r="W42" s="543"/>
      <c r="X42" s="543">
        <f t="shared" si="2"/>
        <v>1981.3500000000001</v>
      </c>
      <c r="Y42" s="544"/>
      <c r="Z42" s="544"/>
      <c r="AA42" s="643">
        <f t="shared" si="5"/>
        <v>1320.9</v>
      </c>
      <c r="AB42" s="640"/>
      <c r="AC42" s="545" t="s">
        <v>177</v>
      </c>
      <c r="AD42" s="545" t="s">
        <v>178</v>
      </c>
      <c r="AE42" s="546" t="s">
        <v>187</v>
      </c>
      <c r="AF42" s="547">
        <v>2014</v>
      </c>
      <c r="AG42" s="639"/>
      <c r="AH42" s="639"/>
    </row>
    <row r="43" spans="1:34" s="94" customFormat="1" ht="50.1" hidden="1" customHeight="1">
      <c r="A43" s="641"/>
      <c r="B43" s="635"/>
      <c r="C43" s="635" t="s">
        <v>182</v>
      </c>
      <c r="D43" s="1069" t="s">
        <v>794</v>
      </c>
      <c r="E43" s="636" t="str">
        <f>+D43</f>
        <v>RECONFORMACION, BACHEO Y LIMPIEZA DE CUNETAS EN LA VIA SACAPALCA CHANGAIMINA</v>
      </c>
      <c r="F43" s="536" t="s">
        <v>171</v>
      </c>
      <c r="G43" s="536" t="str">
        <f>VLOOKUP(H43,'[5]Pob. Ext, Parroquial'!$B$9:$C$117,2,0)</f>
        <v>GONZANAMA</v>
      </c>
      <c r="H43" s="536" t="s">
        <v>205</v>
      </c>
      <c r="I43" s="536" t="s">
        <v>173</v>
      </c>
      <c r="J43" s="536" t="s">
        <v>174</v>
      </c>
      <c r="K43" s="537"/>
      <c r="L43" s="537">
        <v>14</v>
      </c>
      <c r="M43" s="538">
        <f>IF(K43&gt;0,VLOOKUP(H43,'[5]Pob. Ext, Parroquial'!$B$8:$F$117,4,FALSE),0)</f>
        <v>0</v>
      </c>
      <c r="N43" s="539" t="s">
        <v>183</v>
      </c>
      <c r="O43" s="540" t="s">
        <v>184</v>
      </c>
      <c r="P43" s="540">
        <v>0.35</v>
      </c>
      <c r="Q43" s="637">
        <v>117000</v>
      </c>
      <c r="R43" s="540"/>
      <c r="S43" s="541">
        <v>41791</v>
      </c>
      <c r="T43" s="541">
        <v>41820</v>
      </c>
      <c r="U43" s="542" t="str">
        <f t="shared" si="0"/>
        <v>EJECUTADO</v>
      </c>
      <c r="V43" s="543">
        <f t="shared" si="1"/>
        <v>40950</v>
      </c>
      <c r="W43" s="543"/>
      <c r="X43" s="543">
        <f t="shared" si="2"/>
        <v>61425</v>
      </c>
      <c r="Y43" s="544"/>
      <c r="Z43" s="544"/>
      <c r="AA43" s="643">
        <f t="shared" si="5"/>
        <v>40950</v>
      </c>
      <c r="AB43" s="640"/>
      <c r="AC43" s="545" t="s">
        <v>221</v>
      </c>
      <c r="AD43" s="545" t="s">
        <v>178</v>
      </c>
      <c r="AE43" s="546" t="s">
        <v>187</v>
      </c>
      <c r="AF43" s="547">
        <v>2014</v>
      </c>
      <c r="AG43" s="639"/>
      <c r="AH43" s="639"/>
    </row>
    <row r="44" spans="1:34" s="94" customFormat="1" ht="50.1" hidden="1" customHeight="1">
      <c r="A44" s="641"/>
      <c r="B44" s="635"/>
      <c r="C44" s="635" t="s">
        <v>169</v>
      </c>
      <c r="D44" s="1071"/>
      <c r="E44" s="636" t="str">
        <f>+E43</f>
        <v>RECONFORMACION, BACHEO Y LIMPIEZA DE CUNETAS EN LA VIA SACAPALCA CHANGAIMINA</v>
      </c>
      <c r="F44" s="536" t="s">
        <v>171</v>
      </c>
      <c r="G44" s="536" t="str">
        <f>VLOOKUP(H44,'[5]Pob. Ext, Parroquial'!$B$9:$C$117,2,0)</f>
        <v>GONZANAMA</v>
      </c>
      <c r="H44" s="536" t="s">
        <v>205</v>
      </c>
      <c r="I44" s="536" t="s">
        <v>173</v>
      </c>
      <c r="J44" s="536" t="s">
        <v>174</v>
      </c>
      <c r="K44" s="537"/>
      <c r="L44" s="537"/>
      <c r="M44" s="538">
        <f>IF(K44&gt;0,VLOOKUP(H44,'[5]Pob. Ext, Parroquial'!$B$8:$F$117,4,FALSE),0)</f>
        <v>0</v>
      </c>
      <c r="N44" s="539" t="s">
        <v>219</v>
      </c>
      <c r="O44" s="540" t="s">
        <v>176</v>
      </c>
      <c r="P44" s="540">
        <v>0.35</v>
      </c>
      <c r="Q44" s="637">
        <v>31590</v>
      </c>
      <c r="R44" s="540"/>
      <c r="S44" s="541">
        <v>41791</v>
      </c>
      <c r="T44" s="541">
        <v>41820</v>
      </c>
      <c r="U44" s="542" t="str">
        <f t="shared" si="0"/>
        <v>EJECUTADO</v>
      </c>
      <c r="V44" s="543">
        <f t="shared" si="1"/>
        <v>11056.5</v>
      </c>
      <c r="W44" s="543"/>
      <c r="X44" s="543">
        <f t="shared" si="2"/>
        <v>16584.75</v>
      </c>
      <c r="Y44" s="544"/>
      <c r="Z44" s="544"/>
      <c r="AA44" s="643">
        <f t="shared" si="5"/>
        <v>11056.5</v>
      </c>
      <c r="AB44" s="640"/>
      <c r="AC44" s="545" t="s">
        <v>221</v>
      </c>
      <c r="AD44" s="545" t="s">
        <v>178</v>
      </c>
      <c r="AE44" s="546" t="s">
        <v>187</v>
      </c>
      <c r="AF44" s="547">
        <v>2014</v>
      </c>
      <c r="AG44" s="639"/>
      <c r="AH44" s="639"/>
    </row>
    <row r="45" spans="1:34" s="94" customFormat="1" ht="50.1" hidden="1" customHeight="1">
      <c r="A45" s="641"/>
      <c r="B45" s="635"/>
      <c r="C45" s="635" t="s">
        <v>182</v>
      </c>
      <c r="D45" s="1069" t="s">
        <v>220</v>
      </c>
      <c r="E45" s="636" t="str">
        <f>+D45</f>
        <v>RECONFORMACION, BACHEO Y LIMPIEZA DE CUNETAS EN LA VIA SUNAMANGA SACAPALCA</v>
      </c>
      <c r="F45" s="536" t="s">
        <v>171</v>
      </c>
      <c r="G45" s="536" t="str">
        <f>VLOOKUP(H45,'[5]Pob. Ext, Parroquial'!$B$9:$C$117,2,0)</f>
        <v>GONZANAMA</v>
      </c>
      <c r="H45" s="536" t="s">
        <v>205</v>
      </c>
      <c r="I45" s="536" t="s">
        <v>173</v>
      </c>
      <c r="J45" s="536" t="s">
        <v>174</v>
      </c>
      <c r="K45" s="537"/>
      <c r="L45" s="537">
        <v>21.28</v>
      </c>
      <c r="M45" s="538">
        <f>IF(K45&gt;0,VLOOKUP(H45,'[5]Pob. Ext, Parroquial'!$B$8:$F$117,4,FALSE),0)</f>
        <v>0</v>
      </c>
      <c r="N45" s="539" t="s">
        <v>183</v>
      </c>
      <c r="O45" s="540" t="s">
        <v>184</v>
      </c>
      <c r="P45" s="540">
        <v>0.35</v>
      </c>
      <c r="Q45" s="637">
        <v>84000</v>
      </c>
      <c r="R45" s="540"/>
      <c r="S45" s="541">
        <v>41883</v>
      </c>
      <c r="T45" s="541">
        <v>41912</v>
      </c>
      <c r="U45" s="542" t="str">
        <f t="shared" si="0"/>
        <v>EJECUTADO</v>
      </c>
      <c r="V45" s="543">
        <f t="shared" si="1"/>
        <v>29400</v>
      </c>
      <c r="W45" s="543"/>
      <c r="X45" s="543">
        <f t="shared" si="2"/>
        <v>44100</v>
      </c>
      <c r="Y45" s="544"/>
      <c r="Z45" s="544"/>
      <c r="AA45" s="643">
        <f t="shared" si="5"/>
        <v>29400</v>
      </c>
      <c r="AB45" s="640"/>
      <c r="AC45" s="545" t="s">
        <v>221</v>
      </c>
      <c r="AD45" s="545" t="s">
        <v>178</v>
      </c>
      <c r="AE45" s="546" t="s">
        <v>187</v>
      </c>
      <c r="AF45" s="547">
        <v>2014</v>
      </c>
      <c r="AG45" s="639"/>
      <c r="AH45" s="639"/>
    </row>
    <row r="46" spans="1:34" s="94" customFormat="1" ht="50.1" hidden="1" customHeight="1">
      <c r="A46" s="641"/>
      <c r="B46" s="635"/>
      <c r="C46" s="635" t="s">
        <v>169</v>
      </c>
      <c r="D46" s="1071"/>
      <c r="E46" s="636" t="str">
        <f>+E45</f>
        <v>RECONFORMACION, BACHEO Y LIMPIEZA DE CUNETAS EN LA VIA SUNAMANGA SACAPALCA</v>
      </c>
      <c r="F46" s="536" t="s">
        <v>171</v>
      </c>
      <c r="G46" s="536" t="str">
        <f>VLOOKUP(H46,'[5]Pob. Ext, Parroquial'!$B$9:$C$117,2,0)</f>
        <v>GONZANAMA</v>
      </c>
      <c r="H46" s="536" t="s">
        <v>205</v>
      </c>
      <c r="I46" s="536" t="s">
        <v>173</v>
      </c>
      <c r="J46" s="536" t="s">
        <v>174</v>
      </c>
      <c r="K46" s="537"/>
      <c r="L46" s="537"/>
      <c r="M46" s="538">
        <f>IF(K46&gt;0,VLOOKUP(H46,'[5]Pob. Ext, Parroquial'!$B$8:$F$117,4,FALSE),0)</f>
        <v>0</v>
      </c>
      <c r="N46" s="539" t="s">
        <v>219</v>
      </c>
      <c r="O46" s="540" t="s">
        <v>176</v>
      </c>
      <c r="P46" s="540">
        <v>0.35</v>
      </c>
      <c r="Q46" s="637">
        <v>22680</v>
      </c>
      <c r="R46" s="540"/>
      <c r="S46" s="541">
        <v>41883</v>
      </c>
      <c r="T46" s="541">
        <v>41912</v>
      </c>
      <c r="U46" s="542" t="str">
        <f t="shared" si="0"/>
        <v>EJECUTADO</v>
      </c>
      <c r="V46" s="543">
        <f t="shared" si="1"/>
        <v>7938</v>
      </c>
      <c r="W46" s="543"/>
      <c r="X46" s="543">
        <f t="shared" si="2"/>
        <v>11907</v>
      </c>
      <c r="Y46" s="544"/>
      <c r="Z46" s="544"/>
      <c r="AA46" s="643">
        <f t="shared" si="5"/>
        <v>7938</v>
      </c>
      <c r="AB46" s="640"/>
      <c r="AC46" s="545" t="s">
        <v>221</v>
      </c>
      <c r="AD46" s="545" t="s">
        <v>178</v>
      </c>
      <c r="AE46" s="546" t="s">
        <v>187</v>
      </c>
      <c r="AF46" s="547">
        <v>2014</v>
      </c>
      <c r="AG46" s="639"/>
      <c r="AH46" s="639"/>
    </row>
    <row r="47" spans="1:34" s="94" customFormat="1" ht="50.1" hidden="1" customHeight="1">
      <c r="A47" s="641"/>
      <c r="B47" s="635"/>
      <c r="C47" s="635" t="s">
        <v>182</v>
      </c>
      <c r="D47" s="1069" t="s">
        <v>795</v>
      </c>
      <c r="E47" s="636" t="str">
        <f>+D47</f>
        <v>RECONFORMACION, BACHEO Y LIMPIEZA DE CUNETAS EN LA VIA SACAPALCA SAN VICENTE DEL RIO</v>
      </c>
      <c r="F47" s="536" t="s">
        <v>171</v>
      </c>
      <c r="G47" s="536" t="str">
        <f>VLOOKUP(H47,'[5]Pob. Ext, Parroquial'!$B$9:$C$117,2,0)</f>
        <v>GONZANAMA</v>
      </c>
      <c r="H47" s="536" t="s">
        <v>205</v>
      </c>
      <c r="I47" s="536" t="s">
        <v>173</v>
      </c>
      <c r="J47" s="536" t="s">
        <v>174</v>
      </c>
      <c r="K47" s="537"/>
      <c r="L47" s="537">
        <v>10</v>
      </c>
      <c r="M47" s="538">
        <f>IF(K47&gt;0,VLOOKUP(H47,'[5]Pob. Ext, Parroquial'!$B$8:$F$117,4,FALSE),0)</f>
        <v>0</v>
      </c>
      <c r="N47" s="539" t="s">
        <v>183</v>
      </c>
      <c r="O47" s="540" t="s">
        <v>184</v>
      </c>
      <c r="P47" s="540">
        <v>0.35</v>
      </c>
      <c r="Q47" s="637">
        <v>48000</v>
      </c>
      <c r="R47" s="540"/>
      <c r="S47" s="541">
        <v>41883</v>
      </c>
      <c r="T47" s="541">
        <v>41912</v>
      </c>
      <c r="U47" s="542" t="str">
        <f t="shared" si="0"/>
        <v>EJECUTADO</v>
      </c>
      <c r="V47" s="543">
        <f t="shared" si="1"/>
        <v>16800</v>
      </c>
      <c r="W47" s="543"/>
      <c r="X47" s="543">
        <f t="shared" si="2"/>
        <v>25200</v>
      </c>
      <c r="Y47" s="544"/>
      <c r="Z47" s="544"/>
      <c r="AA47" s="643">
        <f t="shared" si="5"/>
        <v>16800</v>
      </c>
      <c r="AB47" s="640"/>
      <c r="AC47" s="545" t="s">
        <v>221</v>
      </c>
      <c r="AD47" s="545" t="s">
        <v>178</v>
      </c>
      <c r="AE47" s="546" t="s">
        <v>187</v>
      </c>
      <c r="AF47" s="547">
        <v>2014</v>
      </c>
      <c r="AG47" s="639"/>
      <c r="AH47" s="639"/>
    </row>
    <row r="48" spans="1:34" s="94" customFormat="1" ht="50.1" hidden="1" customHeight="1">
      <c r="A48" s="641"/>
      <c r="B48" s="635"/>
      <c r="C48" s="635" t="s">
        <v>169</v>
      </c>
      <c r="D48" s="1071"/>
      <c r="E48" s="636" t="str">
        <f>+E47</f>
        <v>RECONFORMACION, BACHEO Y LIMPIEZA DE CUNETAS EN LA VIA SACAPALCA SAN VICENTE DEL RIO</v>
      </c>
      <c r="F48" s="536" t="s">
        <v>171</v>
      </c>
      <c r="G48" s="536" t="str">
        <f>VLOOKUP(H48,'[5]Pob. Ext, Parroquial'!$B$9:$C$117,2,0)</f>
        <v>GONZANAMA</v>
      </c>
      <c r="H48" s="536" t="s">
        <v>205</v>
      </c>
      <c r="I48" s="536" t="s">
        <v>173</v>
      </c>
      <c r="J48" s="536" t="s">
        <v>174</v>
      </c>
      <c r="K48" s="537"/>
      <c r="L48" s="537"/>
      <c r="M48" s="538">
        <f>IF(K48&gt;0,VLOOKUP(H48,'[5]Pob. Ext, Parroquial'!$B$8:$F$117,4,FALSE),0)</f>
        <v>0</v>
      </c>
      <c r="N48" s="539" t="s">
        <v>219</v>
      </c>
      <c r="O48" s="540" t="s">
        <v>176</v>
      </c>
      <c r="P48" s="540">
        <v>0.35</v>
      </c>
      <c r="Q48" s="637">
        <v>12960</v>
      </c>
      <c r="R48" s="540"/>
      <c r="S48" s="541">
        <v>41883</v>
      </c>
      <c r="T48" s="541">
        <v>41912</v>
      </c>
      <c r="U48" s="542" t="str">
        <f t="shared" si="0"/>
        <v>EJECUTADO</v>
      </c>
      <c r="V48" s="543">
        <f t="shared" si="1"/>
        <v>4536</v>
      </c>
      <c r="W48" s="543"/>
      <c r="X48" s="543">
        <f t="shared" si="2"/>
        <v>6804</v>
      </c>
      <c r="Y48" s="544"/>
      <c r="Z48" s="544"/>
      <c r="AA48" s="643">
        <f t="shared" si="5"/>
        <v>4536</v>
      </c>
      <c r="AB48" s="640"/>
      <c r="AC48" s="545" t="s">
        <v>221</v>
      </c>
      <c r="AD48" s="545" t="s">
        <v>178</v>
      </c>
      <c r="AE48" s="546" t="s">
        <v>187</v>
      </c>
      <c r="AF48" s="547">
        <v>2014</v>
      </c>
      <c r="AG48" s="639"/>
      <c r="AH48" s="639"/>
    </row>
    <row r="49" spans="1:34" s="94" customFormat="1" ht="50.1" hidden="1" customHeight="1">
      <c r="A49" s="641"/>
      <c r="B49" s="635"/>
      <c r="C49" s="635" t="s">
        <v>182</v>
      </c>
      <c r="D49" s="1069" t="s">
        <v>796</v>
      </c>
      <c r="E49" s="636" t="str">
        <f>+D49</f>
        <v>RECONFORMACION, BACHEO Y LIMPIEZA DE CUNETAS EN LA VIA SACAPALCA  CHIRIMOYO</v>
      </c>
      <c r="F49" s="536" t="s">
        <v>171</v>
      </c>
      <c r="G49" s="536" t="str">
        <f>VLOOKUP(H49,'[5]Pob. Ext, Parroquial'!$B$9:$C$117,2,0)</f>
        <v>GONZANAMA</v>
      </c>
      <c r="H49" s="536" t="s">
        <v>205</v>
      </c>
      <c r="I49" s="536" t="s">
        <v>173</v>
      </c>
      <c r="J49" s="536" t="s">
        <v>174</v>
      </c>
      <c r="K49" s="537"/>
      <c r="L49" s="537">
        <v>2</v>
      </c>
      <c r="M49" s="538">
        <f>IF(K49&gt;0,VLOOKUP(H49,'[5]Pob. Ext, Parroquial'!$B$8:$F$117,4,FALSE),0)</f>
        <v>0</v>
      </c>
      <c r="N49" s="539" t="s">
        <v>183</v>
      </c>
      <c r="O49" s="540" t="s">
        <v>184</v>
      </c>
      <c r="P49" s="540">
        <v>0.35</v>
      </c>
      <c r="Q49" s="637">
        <v>12000</v>
      </c>
      <c r="R49" s="540"/>
      <c r="S49" s="541">
        <v>41883</v>
      </c>
      <c r="T49" s="541">
        <v>41912</v>
      </c>
      <c r="U49" s="542" t="str">
        <f t="shared" si="0"/>
        <v>EJECUTADO</v>
      </c>
      <c r="V49" s="543">
        <f t="shared" si="1"/>
        <v>4200</v>
      </c>
      <c r="W49" s="543"/>
      <c r="X49" s="543">
        <f t="shared" si="2"/>
        <v>6300</v>
      </c>
      <c r="Y49" s="544"/>
      <c r="Z49" s="544"/>
      <c r="AA49" s="643">
        <f t="shared" si="5"/>
        <v>4200</v>
      </c>
      <c r="AB49" s="640"/>
      <c r="AC49" s="545" t="s">
        <v>221</v>
      </c>
      <c r="AD49" s="545" t="s">
        <v>178</v>
      </c>
      <c r="AE49" s="546" t="s">
        <v>187</v>
      </c>
      <c r="AF49" s="547">
        <v>2014</v>
      </c>
      <c r="AG49" s="639"/>
      <c r="AH49" s="639"/>
    </row>
    <row r="50" spans="1:34" s="94" customFormat="1" ht="50.1" hidden="1" customHeight="1">
      <c r="A50" s="641"/>
      <c r="B50" s="635"/>
      <c r="C50" s="635" t="s">
        <v>169</v>
      </c>
      <c r="D50" s="1071"/>
      <c r="E50" s="636" t="str">
        <f>+E49</f>
        <v>RECONFORMACION, BACHEO Y LIMPIEZA DE CUNETAS EN LA VIA SACAPALCA  CHIRIMOYO</v>
      </c>
      <c r="F50" s="536" t="s">
        <v>171</v>
      </c>
      <c r="G50" s="536" t="str">
        <f>VLOOKUP(H50,'[5]Pob. Ext, Parroquial'!$B$9:$C$117,2,0)</f>
        <v>GONZANAMA</v>
      </c>
      <c r="H50" s="536" t="s">
        <v>205</v>
      </c>
      <c r="I50" s="536" t="s">
        <v>173</v>
      </c>
      <c r="J50" s="536" t="s">
        <v>174</v>
      </c>
      <c r="K50" s="537"/>
      <c r="L50" s="537"/>
      <c r="M50" s="538">
        <f>IF(K50&gt;0,VLOOKUP(H50,'[5]Pob. Ext, Parroquial'!$B$8:$F$117,4,FALSE),0)</f>
        <v>0</v>
      </c>
      <c r="N50" s="539" t="s">
        <v>219</v>
      </c>
      <c r="O50" s="540" t="s">
        <v>176</v>
      </c>
      <c r="P50" s="540">
        <v>0.35</v>
      </c>
      <c r="Q50" s="637">
        <v>3240</v>
      </c>
      <c r="R50" s="540"/>
      <c r="S50" s="541">
        <v>41883</v>
      </c>
      <c r="T50" s="541">
        <v>41912</v>
      </c>
      <c r="U50" s="542" t="str">
        <f t="shared" si="0"/>
        <v>EJECUTADO</v>
      </c>
      <c r="V50" s="543">
        <f t="shared" si="1"/>
        <v>1134</v>
      </c>
      <c r="W50" s="543"/>
      <c r="X50" s="543">
        <f t="shared" si="2"/>
        <v>1701</v>
      </c>
      <c r="Y50" s="544"/>
      <c r="Z50" s="544"/>
      <c r="AA50" s="643">
        <f t="shared" si="5"/>
        <v>1134</v>
      </c>
      <c r="AB50" s="640"/>
      <c r="AC50" s="545" t="s">
        <v>221</v>
      </c>
      <c r="AD50" s="545" t="s">
        <v>178</v>
      </c>
      <c r="AE50" s="546" t="s">
        <v>187</v>
      </c>
      <c r="AF50" s="547">
        <v>2014</v>
      </c>
      <c r="AG50" s="639"/>
      <c r="AH50" s="639"/>
    </row>
    <row r="51" spans="1:34" s="94" customFormat="1" ht="50.1" hidden="1" customHeight="1">
      <c r="A51" s="641"/>
      <c r="B51" s="635"/>
      <c r="C51" s="635" t="s">
        <v>182</v>
      </c>
      <c r="D51" s="1069" t="s">
        <v>797</v>
      </c>
      <c r="E51" s="636" t="str">
        <f>+D51</f>
        <v>RECONFORMACION, BACHEO Y LIMPIEZA DE CUNETAS EN LA VIA CHIRIMOYO LIMON VEGA</v>
      </c>
      <c r="F51" s="536" t="s">
        <v>171</v>
      </c>
      <c r="G51" s="536" t="str">
        <f>VLOOKUP(H51,'[5]Pob. Ext, Parroquial'!$B$9:$C$117,2,0)</f>
        <v>GONZANAMA</v>
      </c>
      <c r="H51" s="536" t="s">
        <v>205</v>
      </c>
      <c r="I51" s="536" t="s">
        <v>173</v>
      </c>
      <c r="J51" s="536" t="s">
        <v>174</v>
      </c>
      <c r="K51" s="537"/>
      <c r="L51" s="537">
        <v>8</v>
      </c>
      <c r="M51" s="538">
        <f>IF(K51&gt;0,VLOOKUP(H51,'[5]Pob. Ext, Parroquial'!$B$8:$F$117,4,FALSE),0)</f>
        <v>0</v>
      </c>
      <c r="N51" s="539" t="s">
        <v>183</v>
      </c>
      <c r="O51" s="540" t="s">
        <v>184</v>
      </c>
      <c r="P51" s="540">
        <v>0.35</v>
      </c>
      <c r="Q51" s="637">
        <v>60000</v>
      </c>
      <c r="R51" s="540"/>
      <c r="S51" s="541">
        <v>41883</v>
      </c>
      <c r="T51" s="541">
        <v>41912</v>
      </c>
      <c r="U51" s="542" t="str">
        <f t="shared" si="0"/>
        <v>EJECUTADO</v>
      </c>
      <c r="V51" s="543">
        <f t="shared" si="1"/>
        <v>21000</v>
      </c>
      <c r="W51" s="543"/>
      <c r="X51" s="543">
        <f t="shared" si="2"/>
        <v>31500</v>
      </c>
      <c r="Y51" s="544"/>
      <c r="Z51" s="544"/>
      <c r="AA51" s="643">
        <f t="shared" si="5"/>
        <v>21000</v>
      </c>
      <c r="AB51" s="640"/>
      <c r="AC51" s="545" t="s">
        <v>221</v>
      </c>
      <c r="AD51" s="545" t="s">
        <v>178</v>
      </c>
      <c r="AE51" s="546" t="s">
        <v>187</v>
      </c>
      <c r="AF51" s="547">
        <v>2014</v>
      </c>
      <c r="AG51" s="639"/>
      <c r="AH51" s="639"/>
    </row>
    <row r="52" spans="1:34" s="94" customFormat="1" ht="50.1" hidden="1" customHeight="1">
      <c r="A52" s="641"/>
      <c r="B52" s="635"/>
      <c r="C52" s="635" t="s">
        <v>169</v>
      </c>
      <c r="D52" s="1071"/>
      <c r="E52" s="636" t="str">
        <f>+E51</f>
        <v>RECONFORMACION, BACHEO Y LIMPIEZA DE CUNETAS EN LA VIA CHIRIMOYO LIMON VEGA</v>
      </c>
      <c r="F52" s="536" t="s">
        <v>171</v>
      </c>
      <c r="G52" s="536" t="str">
        <f>VLOOKUP(H52,'[5]Pob. Ext, Parroquial'!$B$9:$C$117,2,0)</f>
        <v>GONZANAMA</v>
      </c>
      <c r="H52" s="536" t="s">
        <v>205</v>
      </c>
      <c r="I52" s="536" t="s">
        <v>173</v>
      </c>
      <c r="J52" s="536" t="s">
        <v>174</v>
      </c>
      <c r="K52" s="537"/>
      <c r="L52" s="537"/>
      <c r="M52" s="538">
        <f>IF(K52&gt;0,VLOOKUP(H52,'[5]Pob. Ext, Parroquial'!$B$8:$F$117,4,FALSE),0)</f>
        <v>0</v>
      </c>
      <c r="N52" s="539" t="s">
        <v>219</v>
      </c>
      <c r="O52" s="540" t="s">
        <v>176</v>
      </c>
      <c r="P52" s="540">
        <v>0.35</v>
      </c>
      <c r="Q52" s="637">
        <v>16200</v>
      </c>
      <c r="R52" s="540"/>
      <c r="S52" s="541">
        <v>41883</v>
      </c>
      <c r="T52" s="541">
        <v>41912</v>
      </c>
      <c r="U52" s="542" t="str">
        <f t="shared" si="0"/>
        <v>EJECUTADO</v>
      </c>
      <c r="V52" s="543">
        <f t="shared" si="1"/>
        <v>5670</v>
      </c>
      <c r="W52" s="543"/>
      <c r="X52" s="543">
        <f t="shared" si="2"/>
        <v>8505</v>
      </c>
      <c r="Y52" s="544"/>
      <c r="Z52" s="544"/>
      <c r="AA52" s="643">
        <f t="shared" si="5"/>
        <v>5670</v>
      </c>
      <c r="AB52" s="640"/>
      <c r="AC52" s="545" t="s">
        <v>221</v>
      </c>
      <c r="AD52" s="545" t="s">
        <v>178</v>
      </c>
      <c r="AE52" s="546" t="s">
        <v>187</v>
      </c>
      <c r="AF52" s="547">
        <v>2014</v>
      </c>
      <c r="AG52" s="639"/>
      <c r="AH52" s="639"/>
    </row>
    <row r="53" spans="1:34" s="94" customFormat="1" ht="50.1" hidden="1" customHeight="1">
      <c r="A53" s="641"/>
      <c r="B53" s="635"/>
      <c r="C53" s="635" t="s">
        <v>182</v>
      </c>
      <c r="D53" s="647" t="s">
        <v>222</v>
      </c>
      <c r="E53" s="642" t="str">
        <f>+D53</f>
        <v>TRABAJOS EMERGENTES PARA RAZANTEO Y LIMPIEZA DE CUNETAS BARRIO EL INGENIO</v>
      </c>
      <c r="F53" s="536" t="s">
        <v>171</v>
      </c>
      <c r="G53" s="536" t="str">
        <f>VLOOKUP(H53,'[5]Pob. Ext, Parroquial'!$B$9:$C$117,2,0)</f>
        <v>ESPINDOLA</v>
      </c>
      <c r="H53" s="536" t="s">
        <v>223</v>
      </c>
      <c r="I53" s="536" t="s">
        <v>173</v>
      </c>
      <c r="J53" s="536" t="s">
        <v>174</v>
      </c>
      <c r="K53" s="537"/>
      <c r="L53" s="537">
        <f>ROUNDUP(Q53/5.5/1000,2)</f>
        <v>6.55</v>
      </c>
      <c r="M53" s="538">
        <f>IF(K53&gt;0,VLOOKUP(H53,'[5]Pob. Ext, Parroquial'!$B$8:$F$117,4,FALSE),0)</f>
        <v>0</v>
      </c>
      <c r="N53" s="539" t="s">
        <v>185</v>
      </c>
      <c r="O53" s="540" t="s">
        <v>224</v>
      </c>
      <c r="P53" s="540">
        <v>0.08</v>
      </c>
      <c r="Q53" s="637">
        <v>36000</v>
      </c>
      <c r="R53" s="540"/>
      <c r="S53" s="541">
        <v>41883</v>
      </c>
      <c r="T53" s="541">
        <v>41912</v>
      </c>
      <c r="U53" s="542" t="str">
        <f t="shared" si="0"/>
        <v>EJECUTADO</v>
      </c>
      <c r="V53" s="543">
        <f t="shared" si="1"/>
        <v>2880</v>
      </c>
      <c r="W53" s="543">
        <v>2880</v>
      </c>
      <c r="X53" s="543">
        <f t="shared" si="2"/>
        <v>0</v>
      </c>
      <c r="Y53" s="544"/>
      <c r="Z53" s="544"/>
      <c r="AA53" s="643">
        <f t="shared" si="5"/>
        <v>2880</v>
      </c>
      <c r="AB53" s="640"/>
      <c r="AC53" s="545" t="s">
        <v>177</v>
      </c>
      <c r="AD53" s="545" t="s">
        <v>178</v>
      </c>
      <c r="AE53" s="546" t="s">
        <v>187</v>
      </c>
      <c r="AF53" s="547">
        <v>2014</v>
      </c>
      <c r="AG53" s="639"/>
      <c r="AH53" s="639"/>
    </row>
    <row r="54" spans="1:34" s="94" customFormat="1" ht="50.1" hidden="1" customHeight="1">
      <c r="A54" s="641"/>
      <c r="B54" s="635"/>
      <c r="C54" s="635" t="s">
        <v>169</v>
      </c>
      <c r="D54" s="647" t="s">
        <v>225</v>
      </c>
      <c r="E54" s="642" t="str">
        <f>+D54</f>
        <v>AMPLIACIÓN DE CURVAS Y DE VIA EN EL BARRIO EL GUABO</v>
      </c>
      <c r="F54" s="536" t="s">
        <v>171</v>
      </c>
      <c r="G54" s="536" t="str">
        <f>VLOOKUP(H54,'[5]Pob. Ext, Parroquial'!$B$9:$C$117,2,0)</f>
        <v>ESPINDOLA</v>
      </c>
      <c r="H54" s="536" t="s">
        <v>223</v>
      </c>
      <c r="I54" s="536" t="s">
        <v>173</v>
      </c>
      <c r="J54" s="536" t="s">
        <v>174</v>
      </c>
      <c r="K54" s="537"/>
      <c r="L54" s="537"/>
      <c r="M54" s="538">
        <f>IF(K54&gt;0,VLOOKUP(H54,'[5]Pob. Ext, Parroquial'!$B$8:$F$117,4,FALSE),0)</f>
        <v>0</v>
      </c>
      <c r="N54" s="539" t="s">
        <v>226</v>
      </c>
      <c r="O54" s="540" t="s">
        <v>176</v>
      </c>
      <c r="P54" s="540">
        <v>1.62</v>
      </c>
      <c r="Q54" s="637">
        <v>8000</v>
      </c>
      <c r="R54" s="540"/>
      <c r="S54" s="541">
        <v>41883</v>
      </c>
      <c r="T54" s="541">
        <v>41912</v>
      </c>
      <c r="U54" s="542" t="str">
        <f t="shared" si="0"/>
        <v>EJECUTADO</v>
      </c>
      <c r="V54" s="543">
        <f t="shared" si="1"/>
        <v>12960</v>
      </c>
      <c r="W54" s="543">
        <v>10080</v>
      </c>
      <c r="X54" s="543">
        <f t="shared" si="2"/>
        <v>4320</v>
      </c>
      <c r="Y54" s="544"/>
      <c r="Z54" s="544"/>
      <c r="AA54" s="643">
        <f t="shared" si="5"/>
        <v>12960</v>
      </c>
      <c r="AB54" s="640"/>
      <c r="AC54" s="545" t="s">
        <v>177</v>
      </c>
      <c r="AD54" s="545" t="s">
        <v>178</v>
      </c>
      <c r="AE54" s="546" t="s">
        <v>187</v>
      </c>
      <c r="AF54" s="547">
        <v>2014</v>
      </c>
      <c r="AG54" s="639"/>
      <c r="AH54" s="639"/>
    </row>
    <row r="55" spans="1:34" s="94" customFormat="1" ht="50.1" hidden="1" customHeight="1">
      <c r="A55" s="1068"/>
      <c r="B55" s="645"/>
      <c r="C55" s="635" t="s">
        <v>169</v>
      </c>
      <c r="D55" s="1073" t="s">
        <v>227</v>
      </c>
      <c r="E55" s="636" t="str">
        <f>+D55</f>
        <v>MEJORAMIENTO DE LA VIA BARRIO EL GUABO - COLOCACION DE MATERIAL DE MEJORAMIENTO EN TRAMOS CRITICOS</v>
      </c>
      <c r="F55" s="536" t="s">
        <v>171</v>
      </c>
      <c r="G55" s="536" t="str">
        <f>VLOOKUP(H55,'[5]Pob. Ext, Parroquial'!$B$9:$C$117,2,0)</f>
        <v>ESPINDOLA</v>
      </c>
      <c r="H55" s="536" t="s">
        <v>228</v>
      </c>
      <c r="I55" s="536" t="s">
        <v>173</v>
      </c>
      <c r="J55" s="536" t="s">
        <v>174</v>
      </c>
      <c r="K55" s="537"/>
      <c r="L55" s="537"/>
      <c r="M55" s="538">
        <f>IF(K55&gt;0,VLOOKUP(H55,'[5]Pob. Ext, Parroquial'!$B$8:$F$117,4,FALSE),0)</f>
        <v>0</v>
      </c>
      <c r="N55" s="539" t="s">
        <v>175</v>
      </c>
      <c r="O55" s="540" t="s">
        <v>176</v>
      </c>
      <c r="P55" s="540">
        <v>1.62</v>
      </c>
      <c r="Q55" s="637">
        <v>3000</v>
      </c>
      <c r="R55" s="540"/>
      <c r="S55" s="541">
        <v>41883</v>
      </c>
      <c r="T55" s="541">
        <v>41912</v>
      </c>
      <c r="U55" s="542" t="str">
        <f t="shared" si="0"/>
        <v>EJECUTADO</v>
      </c>
      <c r="V55" s="543">
        <f t="shared" si="1"/>
        <v>4860</v>
      </c>
      <c r="W55" s="543">
        <v>3150</v>
      </c>
      <c r="X55" s="543">
        <f t="shared" si="2"/>
        <v>2565</v>
      </c>
      <c r="Y55" s="544"/>
      <c r="Z55" s="544"/>
      <c r="AA55" s="1072">
        <f>SUM(V55:V57)</f>
        <v>23670</v>
      </c>
      <c r="AB55" s="640"/>
      <c r="AC55" s="545" t="s">
        <v>177</v>
      </c>
      <c r="AD55" s="545" t="s">
        <v>178</v>
      </c>
      <c r="AE55" s="546" t="s">
        <v>179</v>
      </c>
      <c r="AF55" s="547">
        <v>2014</v>
      </c>
      <c r="AG55" s="639"/>
      <c r="AH55" s="639"/>
    </row>
    <row r="56" spans="1:34" s="94" customFormat="1" ht="50.1" hidden="1" customHeight="1">
      <c r="A56" s="1068"/>
      <c r="B56" s="648"/>
      <c r="C56" s="635" t="s">
        <v>169</v>
      </c>
      <c r="D56" s="1078"/>
      <c r="E56" s="636" t="str">
        <f>+E55</f>
        <v>MEJORAMIENTO DE LA VIA BARRIO EL GUABO - COLOCACION DE MATERIAL DE MEJORAMIENTO EN TRAMOS CRITICOS</v>
      </c>
      <c r="F56" s="536" t="s">
        <v>171</v>
      </c>
      <c r="G56" s="536" t="str">
        <f>VLOOKUP(H56,'[5]Pob. Ext, Parroquial'!$B$9:$C$117,2,0)</f>
        <v>ESPINDOLA</v>
      </c>
      <c r="H56" s="536" t="s">
        <v>228</v>
      </c>
      <c r="I56" s="536" t="s">
        <v>173</v>
      </c>
      <c r="J56" s="536" t="s">
        <v>174</v>
      </c>
      <c r="K56" s="537"/>
      <c r="L56" s="537"/>
      <c r="M56" s="538">
        <f>IF(K56&gt;0,VLOOKUP(H56,'[5]Pob. Ext, Parroquial'!$B$8:$F$117,4,FALSE),0)</f>
        <v>0</v>
      </c>
      <c r="N56" s="539" t="s">
        <v>180</v>
      </c>
      <c r="O56" s="540" t="s">
        <v>181</v>
      </c>
      <c r="P56" s="540">
        <v>0.35</v>
      </c>
      <c r="Q56" s="637">
        <v>3000</v>
      </c>
      <c r="R56" s="540"/>
      <c r="S56" s="541">
        <v>41883</v>
      </c>
      <c r="T56" s="541">
        <v>41912</v>
      </c>
      <c r="U56" s="542" t="str">
        <f t="shared" si="0"/>
        <v>EJECUTADO</v>
      </c>
      <c r="V56" s="543">
        <f t="shared" si="1"/>
        <v>1050</v>
      </c>
      <c r="W56" s="543">
        <v>612.5</v>
      </c>
      <c r="X56" s="543">
        <f t="shared" si="2"/>
        <v>656.25</v>
      </c>
      <c r="Y56" s="544"/>
      <c r="Z56" s="544"/>
      <c r="AA56" s="1072"/>
      <c r="AB56" s="640"/>
      <c r="AC56" s="545" t="s">
        <v>177</v>
      </c>
      <c r="AD56" s="545" t="s">
        <v>178</v>
      </c>
      <c r="AE56" s="546" t="s">
        <v>179</v>
      </c>
      <c r="AF56" s="547">
        <v>2014</v>
      </c>
      <c r="AG56" s="639"/>
      <c r="AH56" s="639"/>
    </row>
    <row r="57" spans="1:34" s="94" customFormat="1" ht="50.1" hidden="1" customHeight="1">
      <c r="A57" s="1068"/>
      <c r="B57" s="646"/>
      <c r="C57" s="635" t="s">
        <v>169</v>
      </c>
      <c r="D57" s="1074"/>
      <c r="E57" s="636" t="str">
        <f>+E56</f>
        <v>MEJORAMIENTO DE LA VIA BARRIO EL GUABO - COLOCACION DE MATERIAL DE MEJORAMIENTO EN TRAMOS CRITICOS</v>
      </c>
      <c r="F57" s="536" t="s">
        <v>171</v>
      </c>
      <c r="G57" s="536" t="str">
        <f>VLOOKUP(H57,'[5]Pob. Ext, Parroquial'!$B$9:$C$117,2,0)</f>
        <v>ESPINDOLA</v>
      </c>
      <c r="H57" s="536" t="s">
        <v>228</v>
      </c>
      <c r="I57" s="536" t="s">
        <v>173</v>
      </c>
      <c r="J57" s="536" t="s">
        <v>174</v>
      </c>
      <c r="K57" s="537"/>
      <c r="L57" s="537">
        <f>+ROUND(Q57/5500/0.2,2)</f>
        <v>2.73</v>
      </c>
      <c r="M57" s="538">
        <f>IF(K57&gt;0,VLOOKUP(H57,'[5]Pob. Ext, Parroquial'!$B$8:$F$117,4,FALSE),0)</f>
        <v>0</v>
      </c>
      <c r="N57" s="539" t="s">
        <v>229</v>
      </c>
      <c r="O57" s="540" t="s">
        <v>176</v>
      </c>
      <c r="P57" s="540">
        <v>5.92</v>
      </c>
      <c r="Q57" s="637">
        <v>3000</v>
      </c>
      <c r="R57" s="540"/>
      <c r="S57" s="541">
        <v>41883</v>
      </c>
      <c r="T57" s="541">
        <v>41912</v>
      </c>
      <c r="U57" s="542" t="str">
        <f t="shared" si="0"/>
        <v>EJECUTADO</v>
      </c>
      <c r="V57" s="543">
        <f t="shared" si="1"/>
        <v>17760</v>
      </c>
      <c r="W57" s="543">
        <v>11075</v>
      </c>
      <c r="X57" s="543">
        <f t="shared" si="2"/>
        <v>10027.5</v>
      </c>
      <c r="Y57" s="544"/>
      <c r="Z57" s="544"/>
      <c r="AA57" s="1072"/>
      <c r="AB57" s="640"/>
      <c r="AC57" s="545" t="s">
        <v>177</v>
      </c>
      <c r="AD57" s="545" t="s">
        <v>178</v>
      </c>
      <c r="AE57" s="546" t="s">
        <v>179</v>
      </c>
      <c r="AF57" s="547">
        <v>2014</v>
      </c>
      <c r="AG57" s="639"/>
      <c r="AH57" s="639"/>
    </row>
    <row r="58" spans="1:34" s="94" customFormat="1" ht="50.1" hidden="1" customHeight="1">
      <c r="A58" s="641"/>
      <c r="B58" s="635"/>
      <c r="C58" s="635" t="s">
        <v>169</v>
      </c>
      <c r="D58" s="1069" t="s">
        <v>230</v>
      </c>
      <c r="E58" s="636" t="str">
        <f>+D58</f>
        <v>MEJORAMIENTO DE LA VIA BARRIO CONSAGUANA</v>
      </c>
      <c r="F58" s="536" t="s">
        <v>171</v>
      </c>
      <c r="G58" s="536" t="str">
        <f>VLOOKUP(H58,'[5]Pob. Ext, Parroquial'!$B$9:$C$117,2,0)</f>
        <v>ESPINDOLA</v>
      </c>
      <c r="H58" s="536" t="s">
        <v>228</v>
      </c>
      <c r="I58" s="536" t="s">
        <v>173</v>
      </c>
      <c r="J58" s="536" t="s">
        <v>174</v>
      </c>
      <c r="K58" s="537"/>
      <c r="L58" s="537"/>
      <c r="M58" s="538">
        <f>IF(K58&gt;0,VLOOKUP(H58,'[5]Pob. Ext, Parroquial'!$B$8:$F$117,4,FALSE),0)</f>
        <v>0</v>
      </c>
      <c r="N58" s="539" t="s">
        <v>175</v>
      </c>
      <c r="O58" s="540" t="s">
        <v>176</v>
      </c>
      <c r="P58" s="540">
        <v>1.62</v>
      </c>
      <c r="Q58" s="637">
        <v>2598</v>
      </c>
      <c r="R58" s="540"/>
      <c r="S58" s="541">
        <v>41883</v>
      </c>
      <c r="T58" s="541">
        <v>41912</v>
      </c>
      <c r="U58" s="542" t="str">
        <f t="shared" si="0"/>
        <v>EJECUTADO</v>
      </c>
      <c r="V58" s="543">
        <f t="shared" si="1"/>
        <v>4208.76</v>
      </c>
      <c r="W58" s="543"/>
      <c r="X58" s="543">
        <f t="shared" si="2"/>
        <v>6313.14</v>
      </c>
      <c r="Y58" s="544"/>
      <c r="Z58" s="544"/>
      <c r="AA58" s="1072">
        <f>SUM(V58:V60)</f>
        <v>19845.2</v>
      </c>
      <c r="AB58" s="640"/>
      <c r="AC58" s="545" t="s">
        <v>221</v>
      </c>
      <c r="AD58" s="545" t="s">
        <v>178</v>
      </c>
      <c r="AE58" s="546" t="s">
        <v>179</v>
      </c>
      <c r="AF58" s="547">
        <v>2014</v>
      </c>
      <c r="AG58" s="639"/>
      <c r="AH58" s="639"/>
    </row>
    <row r="59" spans="1:34" s="94" customFormat="1" ht="50.1" hidden="1" customHeight="1">
      <c r="A59" s="641"/>
      <c r="B59" s="635"/>
      <c r="C59" s="635" t="s">
        <v>169</v>
      </c>
      <c r="D59" s="1070"/>
      <c r="E59" s="636" t="str">
        <f>+E58</f>
        <v>MEJORAMIENTO DE LA VIA BARRIO CONSAGUANA</v>
      </c>
      <c r="F59" s="536" t="s">
        <v>171</v>
      </c>
      <c r="G59" s="536" t="str">
        <f>VLOOKUP(H59,'[5]Pob. Ext, Parroquial'!$B$9:$C$117,2,0)</f>
        <v>ESPINDOLA</v>
      </c>
      <c r="H59" s="536" t="s">
        <v>228</v>
      </c>
      <c r="I59" s="536" t="s">
        <v>173</v>
      </c>
      <c r="J59" s="536" t="s">
        <v>174</v>
      </c>
      <c r="K59" s="537"/>
      <c r="L59" s="537"/>
      <c r="M59" s="538">
        <f>IF(K59&gt;0,VLOOKUP(H59,'[5]Pob. Ext, Parroquial'!$B$8:$F$117,4,FALSE),0)</f>
        <v>0</v>
      </c>
      <c r="N59" s="539" t="s">
        <v>180</v>
      </c>
      <c r="O59" s="540" t="s">
        <v>181</v>
      </c>
      <c r="P59" s="540">
        <v>0.35</v>
      </c>
      <c r="Q59" s="637">
        <v>4724</v>
      </c>
      <c r="R59" s="540"/>
      <c r="S59" s="541">
        <v>41883</v>
      </c>
      <c r="T59" s="541">
        <v>41912</v>
      </c>
      <c r="U59" s="542" t="str">
        <f t="shared" si="0"/>
        <v>EJECUTADO</v>
      </c>
      <c r="V59" s="543">
        <f t="shared" si="1"/>
        <v>1653.4</v>
      </c>
      <c r="W59" s="543"/>
      <c r="X59" s="543">
        <f t="shared" si="2"/>
        <v>2480.1</v>
      </c>
      <c r="Y59" s="544"/>
      <c r="Z59" s="544"/>
      <c r="AA59" s="1072"/>
      <c r="AB59" s="640"/>
      <c r="AC59" s="545" t="s">
        <v>221</v>
      </c>
      <c r="AD59" s="545" t="s">
        <v>178</v>
      </c>
      <c r="AE59" s="546" t="s">
        <v>179</v>
      </c>
      <c r="AF59" s="547">
        <v>2014</v>
      </c>
      <c r="AG59" s="639"/>
      <c r="AH59" s="639"/>
    </row>
    <row r="60" spans="1:34" s="94" customFormat="1" ht="50.1" hidden="1" customHeight="1">
      <c r="A60" s="641"/>
      <c r="B60" s="635"/>
      <c r="C60" s="635" t="s">
        <v>169</v>
      </c>
      <c r="D60" s="1071"/>
      <c r="E60" s="636" t="str">
        <f>+E59</f>
        <v>MEJORAMIENTO DE LA VIA BARRIO CONSAGUANA</v>
      </c>
      <c r="F60" s="536" t="s">
        <v>171</v>
      </c>
      <c r="G60" s="536" t="str">
        <f>VLOOKUP(H60,'[5]Pob. Ext, Parroquial'!$B$9:$C$117,2,0)</f>
        <v>ESPINDOLA</v>
      </c>
      <c r="H60" s="536" t="s">
        <v>228</v>
      </c>
      <c r="I60" s="536" t="s">
        <v>173</v>
      </c>
      <c r="J60" s="536" t="s">
        <v>174</v>
      </c>
      <c r="K60" s="537"/>
      <c r="L60" s="537">
        <f>+ROUND(Q60/5500/0.2,2)</f>
        <v>2.15</v>
      </c>
      <c r="M60" s="538">
        <f>IF(K60&gt;0,VLOOKUP(H60,'[5]Pob. Ext, Parroquial'!$B$8:$F$117,4,FALSE),0)</f>
        <v>0</v>
      </c>
      <c r="N60" s="539" t="s">
        <v>229</v>
      </c>
      <c r="O60" s="540" t="s">
        <v>176</v>
      </c>
      <c r="P60" s="540">
        <v>5.92</v>
      </c>
      <c r="Q60" s="637">
        <v>2362</v>
      </c>
      <c r="R60" s="540"/>
      <c r="S60" s="541">
        <v>41883</v>
      </c>
      <c r="T60" s="541">
        <v>41912</v>
      </c>
      <c r="U60" s="542" t="str">
        <f t="shared" si="0"/>
        <v>EJECUTADO</v>
      </c>
      <c r="V60" s="543">
        <f t="shared" si="1"/>
        <v>13983.04</v>
      </c>
      <c r="W60" s="543"/>
      <c r="X60" s="543">
        <f t="shared" si="2"/>
        <v>20974.560000000001</v>
      </c>
      <c r="Y60" s="544"/>
      <c r="Z60" s="544"/>
      <c r="AA60" s="1072"/>
      <c r="AB60" s="640"/>
      <c r="AC60" s="545" t="s">
        <v>221</v>
      </c>
      <c r="AD60" s="545" t="s">
        <v>178</v>
      </c>
      <c r="AE60" s="546" t="s">
        <v>179</v>
      </c>
      <c r="AF60" s="547">
        <v>2014</v>
      </c>
      <c r="AG60" s="639"/>
      <c r="AH60" s="639"/>
    </row>
    <row r="61" spans="1:34" s="94" customFormat="1" ht="71.45" hidden="1" customHeight="1">
      <c r="A61" s="641"/>
      <c r="B61" s="635"/>
      <c r="C61" s="635" t="s">
        <v>182</v>
      </c>
      <c r="D61" s="635" t="s">
        <v>231</v>
      </c>
      <c r="E61" s="642" t="str">
        <f>+D61</f>
        <v xml:space="preserve">TRABAJOS EMERGENTES DE LIMPIEZA DE DERRUMBES PARROQUIA EL AIRO; PARROQUIA SANTA TERESITA
</v>
      </c>
      <c r="F61" s="536" t="s">
        <v>171</v>
      </c>
      <c r="G61" s="536" t="s">
        <v>232</v>
      </c>
      <c r="H61" s="536" t="s">
        <v>233</v>
      </c>
      <c r="I61" s="536" t="s">
        <v>173</v>
      </c>
      <c r="J61" s="536" t="s">
        <v>174</v>
      </c>
      <c r="K61" s="537"/>
      <c r="L61" s="537"/>
      <c r="M61" s="538">
        <f>IF(K61&gt;0,VLOOKUP(H61,'[5]Pob. Ext, Parroquial'!$B$8:$F$117,4,FALSE),0)</f>
        <v>0</v>
      </c>
      <c r="N61" s="539" t="s">
        <v>200</v>
      </c>
      <c r="O61" s="540" t="s">
        <v>176</v>
      </c>
      <c r="P61" s="540">
        <v>1.46</v>
      </c>
      <c r="Q61" s="637">
        <v>2500</v>
      </c>
      <c r="R61" s="540"/>
      <c r="S61" s="541">
        <v>41883</v>
      </c>
      <c r="T61" s="541">
        <v>41912</v>
      </c>
      <c r="U61" s="542" t="str">
        <f t="shared" si="0"/>
        <v>EJECUTADO</v>
      </c>
      <c r="V61" s="543">
        <f>ROUND(P61*Q61,2)</f>
        <v>3650</v>
      </c>
      <c r="W61" s="543"/>
      <c r="X61" s="543">
        <f t="shared" si="2"/>
        <v>5475</v>
      </c>
      <c r="Y61" s="544"/>
      <c r="Z61" s="544"/>
      <c r="AA61" s="643">
        <f>V61+Y61+Z61</f>
        <v>3650</v>
      </c>
      <c r="AB61" s="640"/>
      <c r="AC61" s="545" t="s">
        <v>177</v>
      </c>
      <c r="AD61" s="545" t="s">
        <v>178</v>
      </c>
      <c r="AE61" s="546" t="s">
        <v>187</v>
      </c>
      <c r="AF61" s="547">
        <v>2014</v>
      </c>
      <c r="AG61" s="639"/>
      <c r="AH61" s="639"/>
    </row>
    <row r="62" spans="1:34" s="94" customFormat="1" ht="50.1" hidden="1" customHeight="1">
      <c r="A62" s="641" t="s">
        <v>234</v>
      </c>
      <c r="B62" s="635" t="str">
        <f>+U62</f>
        <v>EJECUTADO</v>
      </c>
      <c r="C62" s="635" t="s">
        <v>182</v>
      </c>
      <c r="D62" s="635" t="s">
        <v>235</v>
      </c>
      <c r="E62" s="642" t="str">
        <f>+D62</f>
        <v>MANTENIMIENTO DE VIAS DE LA PARROQUIA BELLAVISTA</v>
      </c>
      <c r="F62" s="536" t="s">
        <v>171</v>
      </c>
      <c r="G62" s="536" t="s">
        <v>232</v>
      </c>
      <c r="H62" s="536" t="s">
        <v>236</v>
      </c>
      <c r="I62" s="536" t="s">
        <v>173</v>
      </c>
      <c r="J62" s="536" t="s">
        <v>174</v>
      </c>
      <c r="K62" s="537"/>
      <c r="L62" s="537"/>
      <c r="M62" s="538">
        <f>IF(K62&gt;0,VLOOKUP(H62,'[5]Pob. Ext, Parroquial'!$B$8:$F$117,4,FALSE),0)</f>
        <v>0</v>
      </c>
      <c r="N62" s="539" t="s">
        <v>200</v>
      </c>
      <c r="O62" s="540" t="s">
        <v>176</v>
      </c>
      <c r="P62" s="540">
        <v>1.46</v>
      </c>
      <c r="Q62" s="637">
        <v>4000</v>
      </c>
      <c r="R62" s="540"/>
      <c r="S62" s="541">
        <v>41883</v>
      </c>
      <c r="T62" s="541">
        <v>41912</v>
      </c>
      <c r="U62" s="542" t="str">
        <f t="shared" si="0"/>
        <v>EJECUTADO</v>
      </c>
      <c r="V62" s="543">
        <f>ROUND(P62*Q62,2)</f>
        <v>5840</v>
      </c>
      <c r="W62" s="543"/>
      <c r="X62" s="543">
        <f t="shared" si="2"/>
        <v>8760</v>
      </c>
      <c r="Y62" s="544"/>
      <c r="Z62" s="544"/>
      <c r="AA62" s="643">
        <f>V62+Y62+Z62</f>
        <v>5840</v>
      </c>
      <c r="AB62" s="640"/>
      <c r="AC62" s="545" t="s">
        <v>221</v>
      </c>
      <c r="AD62" s="545" t="s">
        <v>178</v>
      </c>
      <c r="AE62" s="546" t="s">
        <v>187</v>
      </c>
      <c r="AF62" s="547">
        <v>2014</v>
      </c>
      <c r="AG62" s="639"/>
      <c r="AH62" s="639"/>
    </row>
    <row r="63" spans="1:34" s="94" customFormat="1" ht="50.1" hidden="1" customHeight="1">
      <c r="A63" s="641" t="s">
        <v>237</v>
      </c>
      <c r="B63" s="635" t="str">
        <f>+U63</f>
        <v>EJECUTADO</v>
      </c>
      <c r="C63" s="635" t="s">
        <v>182</v>
      </c>
      <c r="D63" s="635" t="s">
        <v>238</v>
      </c>
      <c r="E63" s="642" t="s">
        <v>238</v>
      </c>
      <c r="F63" s="536" t="s">
        <v>171</v>
      </c>
      <c r="G63" s="536" t="s">
        <v>232</v>
      </c>
      <c r="H63" s="536" t="s">
        <v>239</v>
      </c>
      <c r="I63" s="536" t="s">
        <v>173</v>
      </c>
      <c r="J63" s="536" t="s">
        <v>174</v>
      </c>
      <c r="K63" s="537"/>
      <c r="L63" s="537"/>
      <c r="M63" s="538">
        <f>IF(K63&gt;0,VLOOKUP(H63,'[5]Pob. Ext, Parroquial'!$B$8:$F$117,4,FALSE),0)</f>
        <v>0</v>
      </c>
      <c r="N63" s="539" t="s">
        <v>200</v>
      </c>
      <c r="O63" s="540" t="s">
        <v>176</v>
      </c>
      <c r="P63" s="540">
        <v>1.46</v>
      </c>
      <c r="Q63" s="637">
        <v>3000</v>
      </c>
      <c r="R63" s="540"/>
      <c r="S63" s="541">
        <v>41883</v>
      </c>
      <c r="T63" s="541">
        <v>41912</v>
      </c>
      <c r="U63" s="542" t="str">
        <f t="shared" si="0"/>
        <v>EJECUTADO</v>
      </c>
      <c r="V63" s="543">
        <f>ROUND(P63*Q63,2)</f>
        <v>4380</v>
      </c>
      <c r="W63" s="543"/>
      <c r="X63" s="543">
        <f t="shared" si="2"/>
        <v>6570</v>
      </c>
      <c r="Y63" s="544"/>
      <c r="Z63" s="544"/>
      <c r="AA63" s="643">
        <f>V63+Y63+Z63</f>
        <v>4380</v>
      </c>
      <c r="AB63" s="640"/>
      <c r="AC63" s="545" t="s">
        <v>221</v>
      </c>
      <c r="AD63" s="545" t="s">
        <v>178</v>
      </c>
      <c r="AE63" s="546" t="s">
        <v>187</v>
      </c>
      <c r="AF63" s="547">
        <v>2014</v>
      </c>
      <c r="AG63" s="639"/>
      <c r="AH63" s="639"/>
    </row>
    <row r="64" spans="1:34" s="94" customFormat="1" ht="50.1" hidden="1" customHeight="1">
      <c r="A64" s="641"/>
      <c r="B64" s="649"/>
      <c r="C64" s="635" t="s">
        <v>169</v>
      </c>
      <c r="D64" s="1073" t="s">
        <v>798</v>
      </c>
      <c r="E64" s="636" t="str">
        <f>+D64</f>
        <v>MEJORAMIENTO DE LA VIA LA NARANJA BATALLADEROS</v>
      </c>
      <c r="F64" s="536" t="s">
        <v>171</v>
      </c>
      <c r="G64" s="536" t="str">
        <f>VLOOKUP(H64,'[5]Pob. Ext, Parroquial'!$B$9:$C$117,2,0)</f>
        <v>ESPINDOLA</v>
      </c>
      <c r="H64" s="536" t="s">
        <v>587</v>
      </c>
      <c r="I64" s="536" t="s">
        <v>173</v>
      </c>
      <c r="J64" s="536" t="s">
        <v>174</v>
      </c>
      <c r="K64" s="537"/>
      <c r="L64" s="537">
        <v>8</v>
      </c>
      <c r="M64" s="538">
        <f>IF(K64&gt;0,VLOOKUP(H64,'[5]Pob. Ext, Parroquial'!$B$8:$F$117,4,FALSE),0)</f>
        <v>0</v>
      </c>
      <c r="N64" s="539" t="s">
        <v>175</v>
      </c>
      <c r="O64" s="540" t="s">
        <v>176</v>
      </c>
      <c r="P64" s="540">
        <v>1.62</v>
      </c>
      <c r="Q64" s="637">
        <v>1000</v>
      </c>
      <c r="R64" s="540"/>
      <c r="S64" s="541">
        <v>41883</v>
      </c>
      <c r="T64" s="541">
        <v>41912</v>
      </c>
      <c r="U64" s="542" t="str">
        <f t="shared" si="0"/>
        <v>EJECUTADO</v>
      </c>
      <c r="V64" s="543">
        <f t="shared" ref="V64:V75" si="6">ROUND(P64*Q64,2)</f>
        <v>1620</v>
      </c>
      <c r="W64" s="543">
        <v>4354.5600000000004</v>
      </c>
      <c r="X64" s="543">
        <f t="shared" si="2"/>
        <v>-4101.84</v>
      </c>
      <c r="Y64" s="544"/>
      <c r="Z64" s="544"/>
      <c r="AA64" s="1079">
        <f>SUM(V64:V66)</f>
        <v>9007.2000000000007</v>
      </c>
      <c r="AB64" s="640"/>
      <c r="AC64" s="545" t="s">
        <v>221</v>
      </c>
      <c r="AD64" s="545" t="s">
        <v>178</v>
      </c>
      <c r="AE64" s="546" t="s">
        <v>179</v>
      </c>
      <c r="AF64" s="547">
        <v>2014</v>
      </c>
      <c r="AG64" s="639"/>
      <c r="AH64" s="639"/>
    </row>
    <row r="65" spans="1:34" s="94" customFormat="1" ht="50.1" hidden="1" customHeight="1">
      <c r="A65" s="641"/>
      <c r="B65" s="649"/>
      <c r="C65" s="635" t="s">
        <v>169</v>
      </c>
      <c r="D65" s="1078"/>
      <c r="E65" s="636" t="str">
        <f>+E64</f>
        <v>MEJORAMIENTO DE LA VIA LA NARANJA BATALLADEROS</v>
      </c>
      <c r="F65" s="536" t="s">
        <v>171</v>
      </c>
      <c r="G65" s="536" t="str">
        <f>VLOOKUP(H65,'[5]Pob. Ext, Parroquial'!$B$9:$C$117,2,0)</f>
        <v>ESPINDOLA</v>
      </c>
      <c r="H65" s="536" t="s">
        <v>587</v>
      </c>
      <c r="I65" s="536" t="s">
        <v>173</v>
      </c>
      <c r="J65" s="536" t="s">
        <v>174</v>
      </c>
      <c r="K65" s="537"/>
      <c r="L65" s="537"/>
      <c r="M65" s="538">
        <f>IF(K65&gt;0,VLOOKUP(H65,'[5]Pob. Ext, Parroquial'!$B$8:$F$117,4,FALSE),0)</f>
        <v>0</v>
      </c>
      <c r="N65" s="539" t="s">
        <v>180</v>
      </c>
      <c r="O65" s="540" t="s">
        <v>181</v>
      </c>
      <c r="P65" s="540">
        <v>0.35</v>
      </c>
      <c r="Q65" s="637">
        <v>2880</v>
      </c>
      <c r="R65" s="540"/>
      <c r="S65" s="541">
        <v>41883</v>
      </c>
      <c r="T65" s="541">
        <v>41912</v>
      </c>
      <c r="U65" s="542" t="str">
        <f t="shared" si="0"/>
        <v>EJECUTADO</v>
      </c>
      <c r="V65" s="543">
        <f t="shared" si="6"/>
        <v>1008</v>
      </c>
      <c r="W65" s="543">
        <v>15724.8</v>
      </c>
      <c r="X65" s="543">
        <f t="shared" si="2"/>
        <v>-22075.199999999997</v>
      </c>
      <c r="Y65" s="544"/>
      <c r="Z65" s="544"/>
      <c r="AA65" s="1079"/>
      <c r="AB65" s="640"/>
      <c r="AC65" s="545" t="s">
        <v>221</v>
      </c>
      <c r="AD65" s="545" t="s">
        <v>178</v>
      </c>
      <c r="AE65" s="546" t="s">
        <v>179</v>
      </c>
      <c r="AF65" s="547">
        <v>2014</v>
      </c>
      <c r="AG65" s="639"/>
      <c r="AH65" s="639"/>
    </row>
    <row r="66" spans="1:34" s="94" customFormat="1" ht="50.1" hidden="1" customHeight="1">
      <c r="A66" s="641"/>
      <c r="B66" s="649"/>
      <c r="C66" s="635" t="s">
        <v>182</v>
      </c>
      <c r="D66" s="1074"/>
      <c r="E66" s="636" t="str">
        <f>+E65</f>
        <v>MEJORAMIENTO DE LA VIA LA NARANJA BATALLADEROS</v>
      </c>
      <c r="F66" s="536" t="s">
        <v>171</v>
      </c>
      <c r="G66" s="536" t="str">
        <f>VLOOKUP(H66,'[5]Pob. Ext, Parroquial'!$B$9:$C$117,2,0)</f>
        <v>ESPINDOLA</v>
      </c>
      <c r="H66" s="536" t="s">
        <v>587</v>
      </c>
      <c r="I66" s="536" t="s">
        <v>173</v>
      </c>
      <c r="J66" s="536" t="s">
        <v>174</v>
      </c>
      <c r="K66" s="537"/>
      <c r="L66" s="537"/>
      <c r="M66" s="538">
        <f>IF(K66&gt;0,VLOOKUP(H66,'[5]Pob. Ext, Parroquial'!$B$8:$F$117,4,FALSE),0)</f>
        <v>0</v>
      </c>
      <c r="N66" s="539" t="s">
        <v>229</v>
      </c>
      <c r="O66" s="540" t="s">
        <v>184</v>
      </c>
      <c r="P66" s="540">
        <v>4.43</v>
      </c>
      <c r="Q66" s="637">
        <v>1440</v>
      </c>
      <c r="R66" s="540"/>
      <c r="S66" s="541">
        <v>41883</v>
      </c>
      <c r="T66" s="541">
        <v>41912</v>
      </c>
      <c r="U66" s="542" t="str">
        <f t="shared" si="0"/>
        <v>EJECUTADO</v>
      </c>
      <c r="V66" s="543">
        <f t="shared" si="6"/>
        <v>6379.2</v>
      </c>
      <c r="W66" s="543">
        <v>6370</v>
      </c>
      <c r="X66" s="543">
        <f t="shared" si="2"/>
        <v>13.799999999999727</v>
      </c>
      <c r="Y66" s="544"/>
      <c r="Z66" s="544"/>
      <c r="AA66" s="1079"/>
      <c r="AB66" s="640"/>
      <c r="AC66" s="545" t="s">
        <v>221</v>
      </c>
      <c r="AD66" s="545" t="s">
        <v>178</v>
      </c>
      <c r="AE66" s="546" t="s">
        <v>179</v>
      </c>
      <c r="AF66" s="547">
        <v>2014</v>
      </c>
      <c r="AG66" s="639"/>
      <c r="AH66" s="639"/>
    </row>
    <row r="67" spans="1:34" s="94" customFormat="1" ht="50.1" hidden="1" customHeight="1">
      <c r="A67" s="641"/>
      <c r="B67" s="649"/>
      <c r="C67" s="635" t="s">
        <v>169</v>
      </c>
      <c r="D67" s="1073" t="s">
        <v>799</v>
      </c>
      <c r="E67" s="636" t="str">
        <f>+D67</f>
        <v>MEJORAMIENTO DE LA VIA LA NARANJA EL SAUCO</v>
      </c>
      <c r="F67" s="536" t="s">
        <v>171</v>
      </c>
      <c r="G67" s="536" t="str">
        <f>VLOOKUP(H67,'[5]Pob. Ext, Parroquial'!$B$9:$C$117,2,0)</f>
        <v>ESPINDOLA</v>
      </c>
      <c r="H67" s="536" t="s">
        <v>587</v>
      </c>
      <c r="I67" s="536" t="s">
        <v>173</v>
      </c>
      <c r="J67" s="536" t="s">
        <v>174</v>
      </c>
      <c r="K67" s="537"/>
      <c r="L67" s="537"/>
      <c r="M67" s="538">
        <f>IF(K67&gt;0,VLOOKUP(H67,'[5]Pob. Ext, Parroquial'!$B$8:$F$117,4,FALSE),0)</f>
        <v>0</v>
      </c>
      <c r="N67" s="539" t="s">
        <v>175</v>
      </c>
      <c r="O67" s="540" t="s">
        <v>176</v>
      </c>
      <c r="P67" s="540">
        <v>1.62</v>
      </c>
      <c r="Q67" s="637">
        <v>12000</v>
      </c>
      <c r="R67" s="540"/>
      <c r="S67" s="541">
        <v>41883</v>
      </c>
      <c r="T67" s="541">
        <v>41912</v>
      </c>
      <c r="U67" s="542" t="str">
        <f t="shared" si="0"/>
        <v>EJECUTADO</v>
      </c>
      <c r="V67" s="543">
        <f t="shared" si="6"/>
        <v>19440</v>
      </c>
      <c r="W67" s="543">
        <v>4354.5600000000004</v>
      </c>
      <c r="X67" s="543">
        <f t="shared" si="2"/>
        <v>22628.159999999996</v>
      </c>
      <c r="Y67" s="544"/>
      <c r="Z67" s="544"/>
      <c r="AA67" s="1079">
        <f>SUM(V67:V69)</f>
        <v>28044</v>
      </c>
      <c r="AB67" s="640"/>
      <c r="AC67" s="545" t="s">
        <v>221</v>
      </c>
      <c r="AD67" s="545" t="s">
        <v>178</v>
      </c>
      <c r="AE67" s="546" t="s">
        <v>179</v>
      </c>
      <c r="AF67" s="547">
        <v>2014</v>
      </c>
      <c r="AG67" s="639"/>
      <c r="AH67" s="639"/>
    </row>
    <row r="68" spans="1:34" s="94" customFormat="1" ht="50.1" hidden="1" customHeight="1">
      <c r="A68" s="641"/>
      <c r="B68" s="649"/>
      <c r="C68" s="635" t="s">
        <v>169</v>
      </c>
      <c r="D68" s="1078"/>
      <c r="E68" s="636" t="str">
        <f>+E67</f>
        <v>MEJORAMIENTO DE LA VIA LA NARANJA EL SAUCO</v>
      </c>
      <c r="F68" s="536" t="s">
        <v>171</v>
      </c>
      <c r="G68" s="536" t="str">
        <f>VLOOKUP(H68,'[5]Pob. Ext, Parroquial'!$B$9:$C$117,2,0)</f>
        <v>ESPINDOLA</v>
      </c>
      <c r="H68" s="536" t="s">
        <v>587</v>
      </c>
      <c r="I68" s="536" t="s">
        <v>173</v>
      </c>
      <c r="J68" s="536" t="s">
        <v>174</v>
      </c>
      <c r="K68" s="537"/>
      <c r="L68" s="537"/>
      <c r="M68" s="538">
        <f>IF(K68&gt;0,VLOOKUP(H68,'[5]Pob. Ext, Parroquial'!$B$8:$F$117,4,FALSE),0)</f>
        <v>0</v>
      </c>
      <c r="N68" s="539" t="s">
        <v>180</v>
      </c>
      <c r="O68" s="540" t="s">
        <v>181</v>
      </c>
      <c r="P68" s="540">
        <v>0.35</v>
      </c>
      <c r="Q68" s="637">
        <v>1800</v>
      </c>
      <c r="R68" s="540"/>
      <c r="S68" s="541">
        <v>41883</v>
      </c>
      <c r="T68" s="541">
        <v>41912</v>
      </c>
      <c r="U68" s="542" t="str">
        <f t="shared" si="0"/>
        <v>EJECUTADO</v>
      </c>
      <c r="V68" s="543">
        <f t="shared" si="6"/>
        <v>630</v>
      </c>
      <c r="W68" s="543">
        <v>15724.8</v>
      </c>
      <c r="X68" s="543">
        <v>280</v>
      </c>
      <c r="Y68" s="544"/>
      <c r="Z68" s="544"/>
      <c r="AA68" s="1079"/>
      <c r="AB68" s="640"/>
      <c r="AC68" s="545" t="s">
        <v>221</v>
      </c>
      <c r="AD68" s="545" t="s">
        <v>178</v>
      </c>
      <c r="AE68" s="546" t="s">
        <v>179</v>
      </c>
      <c r="AF68" s="547">
        <v>2014</v>
      </c>
      <c r="AG68" s="639"/>
      <c r="AH68" s="639"/>
    </row>
    <row r="69" spans="1:34" s="94" customFormat="1" ht="50.1" hidden="1" customHeight="1">
      <c r="A69" s="641"/>
      <c r="B69" s="649"/>
      <c r="C69" s="635" t="s">
        <v>182</v>
      </c>
      <c r="D69" s="1074"/>
      <c r="E69" s="636" t="str">
        <f>+E68</f>
        <v>MEJORAMIENTO DE LA VIA LA NARANJA EL SAUCO</v>
      </c>
      <c r="F69" s="536" t="s">
        <v>171</v>
      </c>
      <c r="G69" s="536" t="str">
        <f>VLOOKUP(H69,'[5]Pob. Ext, Parroquial'!$B$9:$C$117,2,0)</f>
        <v>ESPINDOLA</v>
      </c>
      <c r="H69" s="536" t="s">
        <v>587</v>
      </c>
      <c r="I69" s="536" t="s">
        <v>173</v>
      </c>
      <c r="J69" s="536" t="s">
        <v>174</v>
      </c>
      <c r="K69" s="537"/>
      <c r="L69" s="537"/>
      <c r="M69" s="538">
        <f>IF(K69&gt;0,VLOOKUP(H69,'[5]Pob. Ext, Parroquial'!$B$8:$F$117,4,FALSE),0)</f>
        <v>0</v>
      </c>
      <c r="N69" s="539" t="s">
        <v>229</v>
      </c>
      <c r="O69" s="540" t="s">
        <v>184</v>
      </c>
      <c r="P69" s="540">
        <v>4.43</v>
      </c>
      <c r="Q69" s="637">
        <v>1800</v>
      </c>
      <c r="R69" s="540"/>
      <c r="S69" s="541">
        <v>41883</v>
      </c>
      <c r="T69" s="541">
        <v>41912</v>
      </c>
      <c r="U69" s="542" t="str">
        <f t="shared" si="0"/>
        <v>EJECUTADO</v>
      </c>
      <c r="V69" s="543">
        <f t="shared" si="6"/>
        <v>7974</v>
      </c>
      <c r="W69" s="543">
        <v>6370</v>
      </c>
      <c r="X69" s="543">
        <f t="shared" si="2"/>
        <v>2406</v>
      </c>
      <c r="Y69" s="544"/>
      <c r="Z69" s="544"/>
      <c r="AA69" s="1079"/>
      <c r="AB69" s="640"/>
      <c r="AC69" s="545" t="s">
        <v>221</v>
      </c>
      <c r="AD69" s="545" t="s">
        <v>178</v>
      </c>
      <c r="AE69" s="546" t="s">
        <v>179</v>
      </c>
      <c r="AF69" s="547">
        <v>2014</v>
      </c>
      <c r="AG69" s="639"/>
      <c r="AH69" s="639"/>
    </row>
    <row r="70" spans="1:34" s="94" customFormat="1" ht="50.1" hidden="1" customHeight="1">
      <c r="A70" s="641"/>
      <c r="B70" s="649"/>
      <c r="C70" s="635" t="s">
        <v>169</v>
      </c>
      <c r="D70" s="1073" t="s">
        <v>800</v>
      </c>
      <c r="E70" s="636" t="str">
        <f>+D70</f>
        <v>MEJORAMIENTO DE LA VIA LA NARANJA LA VEGA</v>
      </c>
      <c r="F70" s="536" t="s">
        <v>171</v>
      </c>
      <c r="G70" s="536" t="str">
        <f>VLOOKUP(H70,'[5]Pob. Ext, Parroquial'!$B$9:$C$117,2,0)</f>
        <v>ESPINDOLA</v>
      </c>
      <c r="H70" s="536" t="s">
        <v>587</v>
      </c>
      <c r="I70" s="536" t="s">
        <v>173</v>
      </c>
      <c r="J70" s="536" t="s">
        <v>174</v>
      </c>
      <c r="K70" s="537"/>
      <c r="L70" s="537"/>
      <c r="M70" s="538">
        <f>IF(K70&gt;0,VLOOKUP(H70,'[5]Pob. Ext, Parroquial'!$B$8:$F$117,4,FALSE),0)</f>
        <v>0</v>
      </c>
      <c r="N70" s="539" t="s">
        <v>175</v>
      </c>
      <c r="O70" s="540" t="s">
        <v>176</v>
      </c>
      <c r="P70" s="540">
        <v>1.62</v>
      </c>
      <c r="Q70" s="637">
        <v>0</v>
      </c>
      <c r="R70" s="540"/>
      <c r="S70" s="541">
        <v>41883</v>
      </c>
      <c r="T70" s="541">
        <v>41912</v>
      </c>
      <c r="U70" s="542" t="str">
        <f t="shared" si="0"/>
        <v>EJECUTADO</v>
      </c>
      <c r="V70" s="543">
        <f t="shared" si="6"/>
        <v>0</v>
      </c>
      <c r="W70" s="543">
        <v>4354.5600000000004</v>
      </c>
      <c r="X70" s="543">
        <f t="shared" si="2"/>
        <v>-6531.8400000000011</v>
      </c>
      <c r="Y70" s="544"/>
      <c r="Z70" s="544"/>
      <c r="AA70" s="1079">
        <f>SUM(V70:V72)</f>
        <v>13378.5</v>
      </c>
      <c r="AB70" s="640"/>
      <c r="AC70" s="545" t="s">
        <v>221</v>
      </c>
      <c r="AD70" s="545" t="s">
        <v>178</v>
      </c>
      <c r="AE70" s="546" t="s">
        <v>179</v>
      </c>
      <c r="AF70" s="547">
        <v>2014</v>
      </c>
      <c r="AG70" s="639"/>
      <c r="AH70" s="639"/>
    </row>
    <row r="71" spans="1:34" s="94" customFormat="1" ht="50.1" hidden="1" customHeight="1">
      <c r="A71" s="641"/>
      <c r="B71" s="649"/>
      <c r="C71" s="635" t="s">
        <v>169</v>
      </c>
      <c r="D71" s="1078"/>
      <c r="E71" s="636" t="str">
        <f>+E70</f>
        <v>MEJORAMIENTO DE LA VIA LA NARANJA LA VEGA</v>
      </c>
      <c r="F71" s="536" t="s">
        <v>171</v>
      </c>
      <c r="G71" s="536" t="str">
        <f>VLOOKUP(H71,'[5]Pob. Ext, Parroquial'!$B$9:$C$117,2,0)</f>
        <v>ESPINDOLA</v>
      </c>
      <c r="H71" s="536" t="s">
        <v>587</v>
      </c>
      <c r="I71" s="536" t="s">
        <v>173</v>
      </c>
      <c r="J71" s="536" t="s">
        <v>174</v>
      </c>
      <c r="K71" s="537"/>
      <c r="L71" s="537"/>
      <c r="M71" s="538">
        <f>IF(K71&gt;0,VLOOKUP(H71,'[5]Pob. Ext, Parroquial'!$B$8:$F$117,4,FALSE),0)</f>
        <v>0</v>
      </c>
      <c r="N71" s="539" t="s">
        <v>180</v>
      </c>
      <c r="O71" s="540" t="s">
        <v>181</v>
      </c>
      <c r="P71" s="540">
        <v>0.35</v>
      </c>
      <c r="Q71" s="637">
        <v>4050</v>
      </c>
      <c r="R71" s="540"/>
      <c r="S71" s="541">
        <v>41883</v>
      </c>
      <c r="T71" s="541">
        <v>41912</v>
      </c>
      <c r="U71" s="542" t="str">
        <f t="shared" si="0"/>
        <v>EJECUTADO</v>
      </c>
      <c r="V71" s="543">
        <f t="shared" si="6"/>
        <v>1417.5</v>
      </c>
      <c r="W71" s="543">
        <v>15724.8</v>
      </c>
      <c r="X71" s="543">
        <v>280</v>
      </c>
      <c r="Y71" s="544"/>
      <c r="Z71" s="544"/>
      <c r="AA71" s="1079"/>
      <c r="AB71" s="640"/>
      <c r="AC71" s="545" t="s">
        <v>221</v>
      </c>
      <c r="AD71" s="545" t="s">
        <v>178</v>
      </c>
      <c r="AE71" s="546" t="s">
        <v>179</v>
      </c>
      <c r="AF71" s="547">
        <v>2014</v>
      </c>
      <c r="AG71" s="639"/>
      <c r="AH71" s="639"/>
    </row>
    <row r="72" spans="1:34" s="94" customFormat="1" ht="50.1" hidden="1" customHeight="1">
      <c r="A72" s="641"/>
      <c r="B72" s="649"/>
      <c r="C72" s="635" t="s">
        <v>182</v>
      </c>
      <c r="D72" s="1074"/>
      <c r="E72" s="636" t="str">
        <f>+E71</f>
        <v>MEJORAMIENTO DE LA VIA LA NARANJA LA VEGA</v>
      </c>
      <c r="F72" s="536" t="s">
        <v>171</v>
      </c>
      <c r="G72" s="536" t="str">
        <f>VLOOKUP(H72,'[5]Pob. Ext, Parroquial'!$B$9:$C$117,2,0)</f>
        <v>ESPINDOLA</v>
      </c>
      <c r="H72" s="536" t="s">
        <v>587</v>
      </c>
      <c r="I72" s="536" t="s">
        <v>173</v>
      </c>
      <c r="J72" s="536" t="s">
        <v>174</v>
      </c>
      <c r="K72" s="537"/>
      <c r="L72" s="537"/>
      <c r="M72" s="538">
        <f>IF(K72&gt;0,VLOOKUP(H72,'[5]Pob. Ext, Parroquial'!$B$8:$F$117,4,FALSE),0)</f>
        <v>0</v>
      </c>
      <c r="N72" s="539" t="s">
        <v>229</v>
      </c>
      <c r="O72" s="540" t="s">
        <v>184</v>
      </c>
      <c r="P72" s="540">
        <v>4.43</v>
      </c>
      <c r="Q72" s="637">
        <v>2700</v>
      </c>
      <c r="R72" s="540"/>
      <c r="S72" s="541">
        <v>41883</v>
      </c>
      <c r="T72" s="541">
        <v>41912</v>
      </c>
      <c r="U72" s="542" t="str">
        <f t="shared" si="0"/>
        <v>EJECUTADO</v>
      </c>
      <c r="V72" s="543">
        <f t="shared" si="6"/>
        <v>11961</v>
      </c>
      <c r="W72" s="543">
        <v>6370</v>
      </c>
      <c r="X72" s="543">
        <f t="shared" ref="X72:X73" si="7">+(V72-W72)/3*4.5</f>
        <v>8386.5</v>
      </c>
      <c r="Y72" s="544"/>
      <c r="Z72" s="544"/>
      <c r="AA72" s="1079"/>
      <c r="AB72" s="640"/>
      <c r="AC72" s="545" t="s">
        <v>221</v>
      </c>
      <c r="AD72" s="545" t="s">
        <v>178</v>
      </c>
      <c r="AE72" s="546" t="s">
        <v>179</v>
      </c>
      <c r="AF72" s="547">
        <v>2014</v>
      </c>
      <c r="AG72" s="639"/>
      <c r="AH72" s="639"/>
    </row>
    <row r="73" spans="1:34" s="94" customFormat="1" ht="50.1" hidden="1" customHeight="1">
      <c r="A73" s="641"/>
      <c r="B73" s="649"/>
      <c r="C73" s="635" t="s">
        <v>169</v>
      </c>
      <c r="D73" s="1073" t="s">
        <v>801</v>
      </c>
      <c r="E73" s="636" t="str">
        <f>+D73</f>
        <v>MEJORAMIENTO DE LA VIA LA NARANJA PINDO BAJO</v>
      </c>
      <c r="F73" s="536" t="s">
        <v>171</v>
      </c>
      <c r="G73" s="536" t="str">
        <f>VLOOKUP(H73,'[5]Pob. Ext, Parroquial'!$B$9:$C$117,2,0)</f>
        <v>ESPINDOLA</v>
      </c>
      <c r="H73" s="536" t="s">
        <v>587</v>
      </c>
      <c r="I73" s="536" t="s">
        <v>173</v>
      </c>
      <c r="J73" s="536" t="s">
        <v>174</v>
      </c>
      <c r="K73" s="537"/>
      <c r="L73" s="537"/>
      <c r="M73" s="538">
        <f>IF(K73&gt;0,VLOOKUP(H73,'[5]Pob. Ext, Parroquial'!$B$8:$F$117,4,FALSE),0)</f>
        <v>0</v>
      </c>
      <c r="N73" s="539" t="s">
        <v>175</v>
      </c>
      <c r="O73" s="540" t="s">
        <v>176</v>
      </c>
      <c r="P73" s="540">
        <v>1.62</v>
      </c>
      <c r="Q73" s="637">
        <v>3000</v>
      </c>
      <c r="R73" s="540"/>
      <c r="S73" s="541">
        <v>41883</v>
      </c>
      <c r="T73" s="541">
        <v>41912</v>
      </c>
      <c r="U73" s="542" t="str">
        <f t="shared" si="0"/>
        <v>EJECUTADO</v>
      </c>
      <c r="V73" s="543">
        <f t="shared" si="6"/>
        <v>4860</v>
      </c>
      <c r="W73" s="543">
        <v>4354.5600000000004</v>
      </c>
      <c r="X73" s="543">
        <f t="shared" si="7"/>
        <v>758.1599999999994</v>
      </c>
      <c r="Y73" s="544"/>
      <c r="Z73" s="544"/>
      <c r="AA73" s="1079">
        <f>SUM(V73:V75)</f>
        <v>16008.75</v>
      </c>
      <c r="AB73" s="640"/>
      <c r="AC73" s="545" t="s">
        <v>221</v>
      </c>
      <c r="AD73" s="545" t="s">
        <v>178</v>
      </c>
      <c r="AE73" s="546" t="s">
        <v>179</v>
      </c>
      <c r="AF73" s="547">
        <v>2014</v>
      </c>
      <c r="AG73" s="639"/>
      <c r="AH73" s="639"/>
    </row>
    <row r="74" spans="1:34" s="94" customFormat="1" ht="50.1" hidden="1" customHeight="1">
      <c r="A74" s="641"/>
      <c r="B74" s="649"/>
      <c r="C74" s="635" t="s">
        <v>169</v>
      </c>
      <c r="D74" s="1078"/>
      <c r="E74" s="636" t="str">
        <f>+E73</f>
        <v>MEJORAMIENTO DE LA VIA LA NARANJA PINDO BAJO</v>
      </c>
      <c r="F74" s="536" t="s">
        <v>171</v>
      </c>
      <c r="G74" s="536" t="str">
        <f>VLOOKUP(H74,'[5]Pob. Ext, Parroquial'!$B$9:$C$117,2,0)</f>
        <v>ESPINDOLA</v>
      </c>
      <c r="H74" s="536" t="s">
        <v>587</v>
      </c>
      <c r="I74" s="536" t="s">
        <v>173</v>
      </c>
      <c r="J74" s="536" t="s">
        <v>174</v>
      </c>
      <c r="K74" s="537"/>
      <c r="L74" s="537"/>
      <c r="M74" s="538">
        <f>IF(K74&gt;0,VLOOKUP(H74,'[5]Pob. Ext, Parroquial'!$B$8:$F$117,4,FALSE),0)</f>
        <v>0</v>
      </c>
      <c r="N74" s="539" t="s">
        <v>180</v>
      </c>
      <c r="O74" s="540" t="s">
        <v>181</v>
      </c>
      <c r="P74" s="540">
        <v>0.35</v>
      </c>
      <c r="Q74" s="637">
        <v>3375</v>
      </c>
      <c r="R74" s="540"/>
      <c r="S74" s="541">
        <v>41883</v>
      </c>
      <c r="T74" s="541">
        <v>41912</v>
      </c>
      <c r="U74" s="542" t="str">
        <f t="shared" si="0"/>
        <v>EJECUTADO</v>
      </c>
      <c r="V74" s="543">
        <f t="shared" si="6"/>
        <v>1181.25</v>
      </c>
      <c r="W74" s="543">
        <v>15724.8</v>
      </c>
      <c r="X74" s="543">
        <v>280</v>
      </c>
      <c r="Y74" s="544"/>
      <c r="Z74" s="544"/>
      <c r="AA74" s="1079"/>
      <c r="AB74" s="640"/>
      <c r="AC74" s="545" t="s">
        <v>221</v>
      </c>
      <c r="AD74" s="545" t="s">
        <v>178</v>
      </c>
      <c r="AE74" s="546" t="s">
        <v>179</v>
      </c>
      <c r="AF74" s="547">
        <v>2014</v>
      </c>
      <c r="AG74" s="639"/>
      <c r="AH74" s="639"/>
    </row>
    <row r="75" spans="1:34" s="94" customFormat="1" ht="50.1" hidden="1" customHeight="1">
      <c r="A75" s="641"/>
      <c r="B75" s="649"/>
      <c r="C75" s="635" t="s">
        <v>182</v>
      </c>
      <c r="D75" s="1074"/>
      <c r="E75" s="636" t="str">
        <f>+E74</f>
        <v>MEJORAMIENTO DE LA VIA LA NARANJA PINDO BAJO</v>
      </c>
      <c r="F75" s="536" t="s">
        <v>171</v>
      </c>
      <c r="G75" s="536" t="str">
        <f>VLOOKUP(H75,'[5]Pob. Ext, Parroquial'!$B$9:$C$117,2,0)</f>
        <v>ESPINDOLA</v>
      </c>
      <c r="H75" s="536" t="s">
        <v>587</v>
      </c>
      <c r="I75" s="536" t="s">
        <v>173</v>
      </c>
      <c r="J75" s="536" t="s">
        <v>174</v>
      </c>
      <c r="K75" s="537"/>
      <c r="L75" s="537"/>
      <c r="M75" s="538">
        <f>IF(K75&gt;0,VLOOKUP(H75,'[5]Pob. Ext, Parroquial'!$B$8:$F$117,4,FALSE),0)</f>
        <v>0</v>
      </c>
      <c r="N75" s="539" t="s">
        <v>229</v>
      </c>
      <c r="O75" s="540" t="s">
        <v>184</v>
      </c>
      <c r="P75" s="540">
        <v>4.43</v>
      </c>
      <c r="Q75" s="637">
        <v>2250</v>
      </c>
      <c r="R75" s="540"/>
      <c r="S75" s="541">
        <v>41883</v>
      </c>
      <c r="T75" s="541">
        <v>41912</v>
      </c>
      <c r="U75" s="542" t="str">
        <f t="shared" si="0"/>
        <v>EJECUTADO</v>
      </c>
      <c r="V75" s="543">
        <f t="shared" si="6"/>
        <v>9967.5</v>
      </c>
      <c r="W75" s="543">
        <v>6370</v>
      </c>
      <c r="X75" s="543">
        <f t="shared" ref="X75" si="8">+(V75-W75)/3*4.5</f>
        <v>5396.25</v>
      </c>
      <c r="Y75" s="544"/>
      <c r="Z75" s="544"/>
      <c r="AA75" s="1079"/>
      <c r="AB75" s="640"/>
      <c r="AC75" s="545" t="s">
        <v>221</v>
      </c>
      <c r="AD75" s="545" t="s">
        <v>178</v>
      </c>
      <c r="AE75" s="546" t="s">
        <v>179</v>
      </c>
      <c r="AF75" s="547">
        <v>2014</v>
      </c>
      <c r="AG75" s="639"/>
      <c r="AH75" s="639"/>
    </row>
    <row r="76" spans="1:34" s="94" customFormat="1" ht="50.1" hidden="1" customHeight="1">
      <c r="A76" s="1068"/>
      <c r="B76" s="645"/>
      <c r="C76" s="635" t="s">
        <v>169</v>
      </c>
      <c r="D76" s="1073" t="s">
        <v>240</v>
      </c>
      <c r="E76" s="636" t="s">
        <v>240</v>
      </c>
      <c r="F76" s="536" t="s">
        <v>171</v>
      </c>
      <c r="G76" s="536" t="str">
        <f>VLOOKUP(H76,'[5]Pob. Ext, Parroquial'!$B$9:$C$117,2,0)</f>
        <v>QUILANGA</v>
      </c>
      <c r="H76" s="536" t="s">
        <v>241</v>
      </c>
      <c r="I76" s="536" t="s">
        <v>173</v>
      </c>
      <c r="J76" s="536" t="s">
        <v>174</v>
      </c>
      <c r="K76" s="537">
        <v>5.4</v>
      </c>
      <c r="L76" s="537"/>
      <c r="M76" s="538">
        <f>IF(K76&gt;0,VLOOKUP(H76,'[5]Pob. Ext, Parroquial'!$B$8:$F$117,4,FALSE),0)</f>
        <v>709</v>
      </c>
      <c r="N76" s="539" t="s">
        <v>175</v>
      </c>
      <c r="O76" s="540" t="s">
        <v>176</v>
      </c>
      <c r="P76" s="540">
        <v>1.62</v>
      </c>
      <c r="Q76" s="637">
        <v>3456</v>
      </c>
      <c r="R76" s="540"/>
      <c r="S76" s="541">
        <v>41640</v>
      </c>
      <c r="T76" s="541">
        <v>41670</v>
      </c>
      <c r="U76" s="542" t="str">
        <f t="shared" si="0"/>
        <v>EJECUTADO</v>
      </c>
      <c r="V76" s="543">
        <f t="shared" si="1"/>
        <v>5598.72</v>
      </c>
      <c r="W76" s="543">
        <v>4354.5600000000004</v>
      </c>
      <c r="X76" s="543">
        <f t="shared" si="2"/>
        <v>1866.2399999999998</v>
      </c>
      <c r="Y76" s="544"/>
      <c r="Z76" s="544"/>
      <c r="AA76" s="1072">
        <f>SUM(V76:V78)</f>
        <v>27693.52</v>
      </c>
      <c r="AB76" s="640"/>
      <c r="AC76" s="545" t="s">
        <v>177</v>
      </c>
      <c r="AD76" s="545" t="s">
        <v>178</v>
      </c>
      <c r="AE76" s="546" t="s">
        <v>179</v>
      </c>
      <c r="AF76" s="547">
        <v>2014</v>
      </c>
      <c r="AG76" s="639"/>
      <c r="AH76" s="639"/>
    </row>
    <row r="77" spans="1:34" s="94" customFormat="1" ht="50.1" hidden="1" customHeight="1">
      <c r="A77" s="1068"/>
      <c r="B77" s="648"/>
      <c r="C77" s="635" t="s">
        <v>169</v>
      </c>
      <c r="D77" s="1078"/>
      <c r="E77" s="636" t="s">
        <v>240</v>
      </c>
      <c r="F77" s="536" t="s">
        <v>171</v>
      </c>
      <c r="G77" s="536" t="str">
        <f>VLOOKUP(H77,'[5]Pob. Ext, Parroquial'!$B$9:$C$117,2,0)</f>
        <v>QUILANGA</v>
      </c>
      <c r="H77" s="536" t="s">
        <v>241</v>
      </c>
      <c r="I77" s="536" t="s">
        <v>173</v>
      </c>
      <c r="J77" s="536" t="s">
        <v>174</v>
      </c>
      <c r="K77" s="537"/>
      <c r="L77" s="537"/>
      <c r="M77" s="538">
        <f>IF(K77&gt;0,VLOOKUP(H77,'[5]Pob. Ext, Parroquial'!$B$8:$F$117,4,FALSE),0)</f>
        <v>0</v>
      </c>
      <c r="N77" s="539" t="s">
        <v>180</v>
      </c>
      <c r="O77" s="540" t="s">
        <v>181</v>
      </c>
      <c r="P77" s="540">
        <v>0.35</v>
      </c>
      <c r="Q77" s="637">
        <v>44928</v>
      </c>
      <c r="R77" s="540"/>
      <c r="S77" s="541">
        <v>41640</v>
      </c>
      <c r="T77" s="541">
        <v>41670</v>
      </c>
      <c r="U77" s="542" t="str">
        <f t="shared" si="0"/>
        <v>EJECUTADO</v>
      </c>
      <c r="V77" s="543">
        <f t="shared" si="1"/>
        <v>15724.8</v>
      </c>
      <c r="W77" s="543">
        <v>15724.8</v>
      </c>
      <c r="X77" s="543">
        <f t="shared" si="2"/>
        <v>0</v>
      </c>
      <c r="Y77" s="544"/>
      <c r="Z77" s="544"/>
      <c r="AA77" s="1072"/>
      <c r="AB77" s="640"/>
      <c r="AC77" s="545" t="s">
        <v>177</v>
      </c>
      <c r="AD77" s="545" t="s">
        <v>178</v>
      </c>
      <c r="AE77" s="546" t="s">
        <v>179</v>
      </c>
      <c r="AF77" s="547">
        <v>2014</v>
      </c>
      <c r="AG77" s="639"/>
      <c r="AH77" s="639"/>
    </row>
    <row r="78" spans="1:34" s="94" customFormat="1" ht="50.1" hidden="1" customHeight="1">
      <c r="A78" s="1068"/>
      <c r="B78" s="646"/>
      <c r="C78" s="635" t="s">
        <v>182</v>
      </c>
      <c r="D78" s="1074"/>
      <c r="E78" s="636" t="s">
        <v>240</v>
      </c>
      <c r="F78" s="536" t="s">
        <v>171</v>
      </c>
      <c r="G78" s="536" t="str">
        <f>VLOOKUP(H78,'[5]Pob. Ext, Parroquial'!$B$9:$C$117,2,0)</f>
        <v>QUILANGA</v>
      </c>
      <c r="H78" s="536" t="s">
        <v>241</v>
      </c>
      <c r="I78" s="536" t="s">
        <v>173</v>
      </c>
      <c r="J78" s="536" t="s">
        <v>174</v>
      </c>
      <c r="K78" s="537"/>
      <c r="L78" s="537">
        <f>ROUNDUP(Q78/5.5/1000,2)</f>
        <v>3.3099999999999996</v>
      </c>
      <c r="M78" s="538">
        <f>IF(K78&gt;0,VLOOKUP(H78,'[5]Pob. Ext, Parroquial'!$B$8:$F$117,4,FALSE),0)</f>
        <v>0</v>
      </c>
      <c r="N78" s="539" t="s">
        <v>183</v>
      </c>
      <c r="O78" s="540" t="s">
        <v>184</v>
      </c>
      <c r="P78" s="540">
        <v>0.35</v>
      </c>
      <c r="Q78" s="637">
        <v>18200</v>
      </c>
      <c r="R78" s="540"/>
      <c r="S78" s="541">
        <v>41640</v>
      </c>
      <c r="T78" s="541">
        <v>41670</v>
      </c>
      <c r="U78" s="542" t="str">
        <f t="shared" si="0"/>
        <v>EJECUTADO</v>
      </c>
      <c r="V78" s="543">
        <f t="shared" si="1"/>
        <v>6370</v>
      </c>
      <c r="W78" s="543">
        <v>6370</v>
      </c>
      <c r="X78" s="543">
        <f t="shared" si="2"/>
        <v>0</v>
      </c>
      <c r="Y78" s="544"/>
      <c r="Z78" s="544"/>
      <c r="AA78" s="1072"/>
      <c r="AB78" s="640"/>
      <c r="AC78" s="545" t="s">
        <v>177</v>
      </c>
      <c r="AD78" s="545" t="s">
        <v>178</v>
      </c>
      <c r="AE78" s="546" t="s">
        <v>179</v>
      </c>
      <c r="AF78" s="547">
        <v>2014</v>
      </c>
      <c r="AG78" s="639"/>
      <c r="AH78" s="639"/>
    </row>
    <row r="79" spans="1:34" s="94" customFormat="1" ht="50.1" hidden="1" customHeight="1">
      <c r="A79" s="1068"/>
      <c r="B79" s="645"/>
      <c r="C79" s="635" t="s">
        <v>169</v>
      </c>
      <c r="D79" s="1073" t="s">
        <v>242</v>
      </c>
      <c r="E79" s="636" t="s">
        <v>242</v>
      </c>
      <c r="F79" s="536" t="s">
        <v>171</v>
      </c>
      <c r="G79" s="536" t="str">
        <f>VLOOKUP(H79,'[5]Pob. Ext, Parroquial'!$B$9:$C$117,2,0)</f>
        <v>CALVAS</v>
      </c>
      <c r="H79" s="536" t="s">
        <v>243</v>
      </c>
      <c r="I79" s="536" t="s">
        <v>173</v>
      </c>
      <c r="J79" s="536" t="s">
        <v>174</v>
      </c>
      <c r="K79" s="537">
        <v>2</v>
      </c>
      <c r="L79" s="537"/>
      <c r="M79" s="538">
        <f>IF(K79&gt;0,VLOOKUP(H79,'[5]Pob. Ext, Parroquial'!$B$8:$F$117,4,FALSE),0)</f>
        <v>1712</v>
      </c>
      <c r="N79" s="539" t="s">
        <v>175</v>
      </c>
      <c r="O79" s="540" t="s">
        <v>176</v>
      </c>
      <c r="P79" s="540">
        <v>1.62</v>
      </c>
      <c r="Q79" s="637">
        <v>4974</v>
      </c>
      <c r="R79" s="540"/>
      <c r="S79" s="541">
        <v>41640</v>
      </c>
      <c r="T79" s="541">
        <v>41670</v>
      </c>
      <c r="U79" s="542" t="str">
        <f t="shared" si="0"/>
        <v>EJECUTADO</v>
      </c>
      <c r="V79" s="543">
        <f t="shared" si="1"/>
        <v>8057.88</v>
      </c>
      <c r="W79" s="543">
        <v>6267.24</v>
      </c>
      <c r="X79" s="543">
        <f t="shared" si="2"/>
        <v>2685.9600000000005</v>
      </c>
      <c r="Y79" s="544"/>
      <c r="Z79" s="544"/>
      <c r="AA79" s="1072">
        <f>SUM(V79:V82)</f>
        <v>45489.42</v>
      </c>
      <c r="AB79" s="640"/>
      <c r="AC79" s="545" t="s">
        <v>177</v>
      </c>
      <c r="AD79" s="545" t="s">
        <v>178</v>
      </c>
      <c r="AE79" s="546" t="s">
        <v>187</v>
      </c>
      <c r="AF79" s="547">
        <v>2014</v>
      </c>
      <c r="AG79" s="639"/>
      <c r="AH79" s="639"/>
    </row>
    <row r="80" spans="1:34" s="94" customFormat="1" ht="50.1" hidden="1" customHeight="1">
      <c r="A80" s="1068"/>
      <c r="B80" s="648"/>
      <c r="C80" s="635" t="s">
        <v>169</v>
      </c>
      <c r="D80" s="1078"/>
      <c r="E80" s="636" t="s">
        <v>242</v>
      </c>
      <c r="F80" s="536" t="s">
        <v>171</v>
      </c>
      <c r="G80" s="536" t="str">
        <f>VLOOKUP(H80,'[5]Pob. Ext, Parroquial'!$B$9:$C$117,2,0)</f>
        <v>CALVAS</v>
      </c>
      <c r="H80" s="536" t="s">
        <v>243</v>
      </c>
      <c r="I80" s="536" t="s">
        <v>173</v>
      </c>
      <c r="J80" s="536" t="s">
        <v>174</v>
      </c>
      <c r="K80" s="537"/>
      <c r="L80" s="537"/>
      <c r="M80" s="538">
        <f>IF(K80&gt;0,VLOOKUP(H80,'[5]Pob. Ext, Parroquial'!$B$8:$F$117,4,FALSE),0)</f>
        <v>0</v>
      </c>
      <c r="N80" s="539" t="s">
        <v>180</v>
      </c>
      <c r="O80" s="540" t="s">
        <v>181</v>
      </c>
      <c r="P80" s="540">
        <v>0.35</v>
      </c>
      <c r="Q80" s="637">
        <v>24626</v>
      </c>
      <c r="R80" s="540"/>
      <c r="S80" s="541">
        <v>41640</v>
      </c>
      <c r="T80" s="541">
        <v>41729</v>
      </c>
      <c r="U80" s="542" t="str">
        <f t="shared" si="0"/>
        <v>EJECUTADO</v>
      </c>
      <c r="V80" s="543">
        <f t="shared" si="1"/>
        <v>8619.1</v>
      </c>
      <c r="W80" s="543">
        <v>8619.1</v>
      </c>
      <c r="X80" s="543">
        <f t="shared" si="2"/>
        <v>0</v>
      </c>
      <c r="Y80" s="544"/>
      <c r="Z80" s="544"/>
      <c r="AA80" s="1072"/>
      <c r="AB80" s="640"/>
      <c r="AC80" s="545" t="s">
        <v>177</v>
      </c>
      <c r="AD80" s="545" t="s">
        <v>178</v>
      </c>
      <c r="AE80" s="546" t="s">
        <v>187</v>
      </c>
      <c r="AF80" s="547">
        <v>2014</v>
      </c>
      <c r="AG80" s="639"/>
      <c r="AH80" s="639"/>
    </row>
    <row r="81" spans="1:34" s="94" customFormat="1" ht="50.1" hidden="1" customHeight="1">
      <c r="A81" s="1068"/>
      <c r="B81" s="648"/>
      <c r="C81" s="635" t="s">
        <v>182</v>
      </c>
      <c r="D81" s="1078"/>
      <c r="E81" s="636" t="s">
        <v>242</v>
      </c>
      <c r="F81" s="536" t="s">
        <v>171</v>
      </c>
      <c r="G81" s="536" t="str">
        <f>VLOOKUP(H81,'[5]Pob. Ext, Parroquial'!$B$9:$C$117,2,0)</f>
        <v>CALVAS</v>
      </c>
      <c r="H81" s="536" t="s">
        <v>243</v>
      </c>
      <c r="I81" s="536" t="s">
        <v>173</v>
      </c>
      <c r="J81" s="536" t="s">
        <v>174</v>
      </c>
      <c r="K81" s="537"/>
      <c r="L81" s="537">
        <f>ROUNDUP(Q81/5.5/1000,2)</f>
        <v>5.1899999999999995</v>
      </c>
      <c r="M81" s="538">
        <f>IF(K81&gt;0,VLOOKUP(H81,'[5]Pob. Ext, Parroquial'!$B$8:$F$117,4,FALSE),0)</f>
        <v>0</v>
      </c>
      <c r="N81" s="539" t="s">
        <v>183</v>
      </c>
      <c r="O81" s="540" t="s">
        <v>184</v>
      </c>
      <c r="P81" s="540">
        <v>0.35</v>
      </c>
      <c r="Q81" s="637">
        <v>28500</v>
      </c>
      <c r="R81" s="540"/>
      <c r="S81" s="541">
        <v>41640</v>
      </c>
      <c r="T81" s="541">
        <v>41729</v>
      </c>
      <c r="U81" s="542" t="str">
        <f t="shared" si="0"/>
        <v>EJECUTADO</v>
      </c>
      <c r="V81" s="543">
        <f t="shared" si="1"/>
        <v>9975</v>
      </c>
      <c r="W81" s="543">
        <f>+V81</f>
        <v>9975</v>
      </c>
      <c r="X81" s="543">
        <f t="shared" si="2"/>
        <v>0</v>
      </c>
      <c r="Y81" s="544"/>
      <c r="Z81" s="544"/>
      <c r="AA81" s="1072"/>
      <c r="AB81" s="640"/>
      <c r="AC81" s="545" t="s">
        <v>177</v>
      </c>
      <c r="AD81" s="545" t="s">
        <v>178</v>
      </c>
      <c r="AE81" s="546" t="s">
        <v>187</v>
      </c>
      <c r="AF81" s="547">
        <v>2014</v>
      </c>
      <c r="AG81" s="639"/>
      <c r="AH81" s="639"/>
    </row>
    <row r="82" spans="1:34" s="94" customFormat="1" ht="50.1" hidden="1" customHeight="1">
      <c r="A82" s="1068"/>
      <c r="B82" s="646"/>
      <c r="C82" s="635" t="s">
        <v>169</v>
      </c>
      <c r="D82" s="1074"/>
      <c r="E82" s="636" t="s">
        <v>242</v>
      </c>
      <c r="F82" s="536" t="s">
        <v>171</v>
      </c>
      <c r="G82" s="536" t="str">
        <f>VLOOKUP(H82,'[5]Pob. Ext, Parroquial'!$B$9:$C$117,2,0)</f>
        <v>CALVAS</v>
      </c>
      <c r="H82" s="536" t="s">
        <v>243</v>
      </c>
      <c r="I82" s="536" t="s">
        <v>173</v>
      </c>
      <c r="J82" s="536" t="s">
        <v>174</v>
      </c>
      <c r="K82" s="537"/>
      <c r="L82" s="537">
        <f>+ROUND(Q82/5500/0.2,2)</f>
        <v>2.89</v>
      </c>
      <c r="M82" s="538">
        <f>IF(K82&gt;0,VLOOKUP(H82,'[5]Pob. Ext, Parroquial'!$B$8:$F$117,4,FALSE),0)</f>
        <v>0</v>
      </c>
      <c r="N82" s="539" t="s">
        <v>229</v>
      </c>
      <c r="O82" s="540" t="s">
        <v>176</v>
      </c>
      <c r="P82" s="540">
        <v>5.92</v>
      </c>
      <c r="Q82" s="637">
        <v>3182</v>
      </c>
      <c r="R82" s="540"/>
      <c r="S82" s="541">
        <v>41640</v>
      </c>
      <c r="T82" s="541">
        <v>41729</v>
      </c>
      <c r="U82" s="542" t="str">
        <f t="shared" si="0"/>
        <v>EJECUTADO</v>
      </c>
      <c r="V82" s="543">
        <f t="shared" si="1"/>
        <v>18837.439999999999</v>
      </c>
      <c r="W82" s="543">
        <v>14096.26</v>
      </c>
      <c r="X82" s="543">
        <f t="shared" si="2"/>
        <v>7111.7699999999977</v>
      </c>
      <c r="Y82" s="544"/>
      <c r="Z82" s="544"/>
      <c r="AA82" s="1072"/>
      <c r="AB82" s="640"/>
      <c r="AC82" s="545" t="s">
        <v>177</v>
      </c>
      <c r="AD82" s="545" t="s">
        <v>178</v>
      </c>
      <c r="AE82" s="546" t="s">
        <v>187</v>
      </c>
      <c r="AF82" s="547">
        <v>2014</v>
      </c>
      <c r="AG82" s="639"/>
      <c r="AH82" s="639"/>
    </row>
    <row r="83" spans="1:34" s="94" customFormat="1" ht="50.1" hidden="1" customHeight="1">
      <c r="A83" s="1068"/>
      <c r="B83" s="645"/>
      <c r="C83" s="635" t="s">
        <v>169</v>
      </c>
      <c r="D83" s="1073" t="s">
        <v>244</v>
      </c>
      <c r="E83" s="636" t="s">
        <v>244</v>
      </c>
      <c r="F83" s="536" t="s">
        <v>171</v>
      </c>
      <c r="G83" s="536" t="str">
        <f>VLOOKUP(H83,'[5]Pob. Ext, Parroquial'!$B$9:$C$117,2,0)</f>
        <v>CALVAS</v>
      </c>
      <c r="H83" s="536" t="s">
        <v>245</v>
      </c>
      <c r="I83" s="536" t="s">
        <v>173</v>
      </c>
      <c r="J83" s="536" t="s">
        <v>174</v>
      </c>
      <c r="K83" s="537">
        <v>0.1</v>
      </c>
      <c r="L83" s="537"/>
      <c r="M83" s="538">
        <f>IF(K83&gt;0,VLOOKUP(H83,'[5]Pob. Ext, Parroquial'!$B$8:$F$117,4,FALSE),0)</f>
        <v>1506</v>
      </c>
      <c r="N83" s="539" t="s">
        <v>175</v>
      </c>
      <c r="O83" s="540" t="s">
        <v>176</v>
      </c>
      <c r="P83" s="540">
        <v>1.62</v>
      </c>
      <c r="Q83" s="637">
        <v>6712</v>
      </c>
      <c r="R83" s="540"/>
      <c r="S83" s="541">
        <v>41640</v>
      </c>
      <c r="T83" s="541">
        <v>41759</v>
      </c>
      <c r="U83" s="542" t="str">
        <f t="shared" si="0"/>
        <v>EJECUTADO</v>
      </c>
      <c r="V83" s="543">
        <f t="shared" si="1"/>
        <v>10873.44</v>
      </c>
      <c r="W83" s="543">
        <v>8457.1200000000008</v>
      </c>
      <c r="X83" s="543">
        <f t="shared" si="2"/>
        <v>3624.4799999999996</v>
      </c>
      <c r="Y83" s="544"/>
      <c r="Z83" s="544"/>
      <c r="AA83" s="1072">
        <f>SUM(V83:V84)</f>
        <v>12175.44</v>
      </c>
      <c r="AB83" s="640"/>
      <c r="AC83" s="545" t="s">
        <v>177</v>
      </c>
      <c r="AD83" s="545" t="s">
        <v>178</v>
      </c>
      <c r="AE83" s="546" t="s">
        <v>187</v>
      </c>
      <c r="AF83" s="547">
        <v>2014</v>
      </c>
      <c r="AG83" s="639"/>
      <c r="AH83" s="639"/>
    </row>
    <row r="84" spans="1:34" s="94" customFormat="1" ht="50.1" hidden="1" customHeight="1">
      <c r="A84" s="1068"/>
      <c r="B84" s="646"/>
      <c r="C84" s="635" t="s">
        <v>169</v>
      </c>
      <c r="D84" s="1074"/>
      <c r="E84" s="636" t="s">
        <v>244</v>
      </c>
      <c r="F84" s="536" t="s">
        <v>171</v>
      </c>
      <c r="G84" s="536" t="str">
        <f>VLOOKUP(H84,'[5]Pob. Ext, Parroquial'!$B$9:$C$117,2,0)</f>
        <v>CALVAS</v>
      </c>
      <c r="H84" s="536" t="s">
        <v>245</v>
      </c>
      <c r="I84" s="536" t="s">
        <v>173</v>
      </c>
      <c r="J84" s="536" t="s">
        <v>174</v>
      </c>
      <c r="K84" s="537"/>
      <c r="L84" s="537"/>
      <c r="M84" s="538">
        <f>IF(K84&gt;0,VLOOKUP(H84,'[5]Pob. Ext, Parroquial'!$B$8:$F$117,4,FALSE),0)</f>
        <v>0</v>
      </c>
      <c r="N84" s="539" t="s">
        <v>535</v>
      </c>
      <c r="O84" s="540" t="s">
        <v>181</v>
      </c>
      <c r="P84" s="540">
        <v>0.35</v>
      </c>
      <c r="Q84" s="637">
        <v>3720</v>
      </c>
      <c r="R84" s="540"/>
      <c r="S84" s="541">
        <v>41640</v>
      </c>
      <c r="T84" s="541">
        <v>41759</v>
      </c>
      <c r="U84" s="542" t="str">
        <f t="shared" si="0"/>
        <v>EJECUTADO</v>
      </c>
      <c r="V84" s="543">
        <f t="shared" si="1"/>
        <v>1302</v>
      </c>
      <c r="W84" s="543">
        <v>1302</v>
      </c>
      <c r="X84" s="543">
        <f t="shared" si="2"/>
        <v>0</v>
      </c>
      <c r="Y84" s="544"/>
      <c r="Z84" s="544"/>
      <c r="AA84" s="1072"/>
      <c r="AB84" s="640"/>
      <c r="AC84" s="545" t="s">
        <v>177</v>
      </c>
      <c r="AD84" s="545" t="s">
        <v>178</v>
      </c>
      <c r="AE84" s="546" t="s">
        <v>187</v>
      </c>
      <c r="AF84" s="547">
        <v>2014</v>
      </c>
      <c r="AG84" s="639"/>
      <c r="AH84" s="639"/>
    </row>
    <row r="85" spans="1:34" s="94" customFormat="1" ht="50.1" hidden="1" customHeight="1">
      <c r="A85" s="1068"/>
      <c r="B85" s="645"/>
      <c r="C85" s="635" t="s">
        <v>182</v>
      </c>
      <c r="D85" s="1073" t="s">
        <v>246</v>
      </c>
      <c r="E85" s="636" t="s">
        <v>246</v>
      </c>
      <c r="F85" s="536" t="s">
        <v>171</v>
      </c>
      <c r="G85" s="536" t="str">
        <f>VLOOKUP(H85,'[5]Pob. Ext, Parroquial'!$B$9:$C$117,2,0)</f>
        <v>SOZORANGA</v>
      </c>
      <c r="H85" s="536" t="s">
        <v>247</v>
      </c>
      <c r="I85" s="536" t="s">
        <v>173</v>
      </c>
      <c r="J85" s="536" t="s">
        <v>174</v>
      </c>
      <c r="K85" s="537"/>
      <c r="L85" s="537"/>
      <c r="M85" s="538">
        <f>IF(K85&gt;0,VLOOKUP(H85,'[5]Pob. Ext, Parroquial'!$B$8:$F$117,4,FALSE),0)</f>
        <v>0</v>
      </c>
      <c r="N85" s="539" t="s">
        <v>200</v>
      </c>
      <c r="O85" s="540" t="s">
        <v>176</v>
      </c>
      <c r="P85" s="540">
        <v>1.46</v>
      </c>
      <c r="Q85" s="637">
        <v>1344</v>
      </c>
      <c r="R85" s="540"/>
      <c r="S85" s="541">
        <v>41640</v>
      </c>
      <c r="T85" s="541">
        <v>41729</v>
      </c>
      <c r="U85" s="542" t="str">
        <f t="shared" si="0"/>
        <v>EJECUTADO</v>
      </c>
      <c r="V85" s="543">
        <f t="shared" si="1"/>
        <v>1962.24</v>
      </c>
      <c r="W85" s="543">
        <v>1921.92</v>
      </c>
      <c r="X85" s="543">
        <f t="shared" si="2"/>
        <v>60.479999999999905</v>
      </c>
      <c r="Y85" s="544"/>
      <c r="Z85" s="544"/>
      <c r="AA85" s="1072">
        <f>SUM(V85:V86)</f>
        <v>7553.33</v>
      </c>
      <c r="AB85" s="640"/>
      <c r="AC85" s="545" t="s">
        <v>177</v>
      </c>
      <c r="AD85" s="545" t="s">
        <v>178</v>
      </c>
      <c r="AE85" s="546" t="s">
        <v>187</v>
      </c>
      <c r="AF85" s="547">
        <v>2014</v>
      </c>
      <c r="AG85" s="639"/>
      <c r="AH85" s="639"/>
    </row>
    <row r="86" spans="1:34" s="94" customFormat="1" ht="50.1" hidden="1" customHeight="1">
      <c r="A86" s="1068"/>
      <c r="B86" s="646"/>
      <c r="C86" s="635" t="s">
        <v>182</v>
      </c>
      <c r="D86" s="1074"/>
      <c r="E86" s="636" t="s">
        <v>246</v>
      </c>
      <c r="F86" s="536" t="s">
        <v>171</v>
      </c>
      <c r="G86" s="536" t="str">
        <f>VLOOKUP(H86,'[5]Pob. Ext, Parroquial'!$B$9:$C$117,2,0)</f>
        <v>SOZORANGA</v>
      </c>
      <c r="H86" s="536" t="s">
        <v>247</v>
      </c>
      <c r="I86" s="536" t="s">
        <v>173</v>
      </c>
      <c r="J86" s="536" t="s">
        <v>174</v>
      </c>
      <c r="K86" s="537"/>
      <c r="L86" s="537"/>
      <c r="M86" s="538">
        <f>IF(K86&gt;0,VLOOKUP(H86,'[5]Pob. Ext, Parroquial'!$B$8:$F$117,4,FALSE),0)</f>
        <v>0</v>
      </c>
      <c r="N86" s="539" t="s">
        <v>248</v>
      </c>
      <c r="O86" s="540" t="s">
        <v>176</v>
      </c>
      <c r="P86" s="540">
        <v>16.128</v>
      </c>
      <c r="Q86" s="637">
        <v>346.67</v>
      </c>
      <c r="R86" s="540"/>
      <c r="S86" s="541">
        <v>41640</v>
      </c>
      <c r="T86" s="541">
        <v>41729</v>
      </c>
      <c r="U86" s="542" t="str">
        <f t="shared" si="0"/>
        <v>EJECUTADO</v>
      </c>
      <c r="V86" s="543">
        <f t="shared" si="1"/>
        <v>5591.09</v>
      </c>
      <c r="W86" s="543">
        <v>5591.09</v>
      </c>
      <c r="X86" s="543">
        <f t="shared" si="2"/>
        <v>0</v>
      </c>
      <c r="Y86" s="544"/>
      <c r="Z86" s="544"/>
      <c r="AA86" s="1072"/>
      <c r="AB86" s="640"/>
      <c r="AC86" s="545" t="s">
        <v>177</v>
      </c>
      <c r="AD86" s="545" t="s">
        <v>178</v>
      </c>
      <c r="AE86" s="546" t="s">
        <v>187</v>
      </c>
      <c r="AF86" s="547">
        <v>2014</v>
      </c>
      <c r="AG86" s="639"/>
      <c r="AH86" s="639"/>
    </row>
    <row r="87" spans="1:34" s="94" customFormat="1" ht="50.1" hidden="1" customHeight="1">
      <c r="A87" s="641"/>
      <c r="B87" s="635"/>
      <c r="C87" s="635" t="s">
        <v>169</v>
      </c>
      <c r="D87" s="647" t="s">
        <v>249</v>
      </c>
      <c r="E87" s="642" t="s">
        <v>249</v>
      </c>
      <c r="F87" s="536" t="s">
        <v>171</v>
      </c>
      <c r="G87" s="536" t="str">
        <f>VLOOKUP(H87,'[5]Pob. Ext, Parroquial'!$B$9:$C$117,2,0)</f>
        <v>GONZANAMA</v>
      </c>
      <c r="H87" s="536" t="s">
        <v>250</v>
      </c>
      <c r="I87" s="536" t="s">
        <v>173</v>
      </c>
      <c r="J87" s="536" t="s">
        <v>174</v>
      </c>
      <c r="K87" s="537"/>
      <c r="L87" s="537"/>
      <c r="M87" s="538">
        <f>IF(K87&gt;0,VLOOKUP(H87,'[5]Pob. Ext, Parroquial'!$B$8:$F$117,4,FALSE),0)</f>
        <v>0</v>
      </c>
      <c r="N87" s="539" t="s">
        <v>175</v>
      </c>
      <c r="O87" s="540" t="s">
        <v>176</v>
      </c>
      <c r="P87" s="540">
        <v>1.62</v>
      </c>
      <c r="Q87" s="637">
        <v>500</v>
      </c>
      <c r="R87" s="540"/>
      <c r="S87" s="541">
        <v>41640</v>
      </c>
      <c r="T87" s="541">
        <v>41729</v>
      </c>
      <c r="U87" s="542" t="str">
        <f t="shared" si="0"/>
        <v>EJECUTADO</v>
      </c>
      <c r="V87" s="543">
        <f t="shared" si="1"/>
        <v>810</v>
      </c>
      <c r="W87" s="543">
        <v>630</v>
      </c>
      <c r="X87" s="543">
        <f t="shared" si="2"/>
        <v>270</v>
      </c>
      <c r="Y87" s="544"/>
      <c r="Z87" s="544"/>
      <c r="AA87" s="643">
        <f>V87+Y87+Z87</f>
        <v>810</v>
      </c>
      <c r="AB87" s="640"/>
      <c r="AC87" s="545" t="s">
        <v>177</v>
      </c>
      <c r="AD87" s="545" t="s">
        <v>178</v>
      </c>
      <c r="AE87" s="546" t="s">
        <v>187</v>
      </c>
      <c r="AF87" s="547">
        <v>2014</v>
      </c>
      <c r="AG87" s="639"/>
      <c r="AH87" s="639"/>
    </row>
    <row r="88" spans="1:34" s="94" customFormat="1" ht="50.1" hidden="1" customHeight="1">
      <c r="A88" s="1068"/>
      <c r="B88" s="650"/>
      <c r="C88" s="635" t="s">
        <v>169</v>
      </c>
      <c r="D88" s="1073" t="s">
        <v>251</v>
      </c>
      <c r="E88" s="636" t="s">
        <v>251</v>
      </c>
      <c r="F88" s="536" t="s">
        <v>171</v>
      </c>
      <c r="G88" s="536" t="str">
        <f>VLOOKUP(H88,'[5]Pob. Ext, Parroquial'!$B$9:$C$117,2,0)</f>
        <v>CALVAS</v>
      </c>
      <c r="H88" s="536" t="s">
        <v>245</v>
      </c>
      <c r="I88" s="536" t="s">
        <v>173</v>
      </c>
      <c r="J88" s="536" t="s">
        <v>174</v>
      </c>
      <c r="K88" s="537"/>
      <c r="L88" s="537"/>
      <c r="M88" s="538">
        <f>IF(K88&gt;0,VLOOKUP(H88,'[5]Pob. Ext, Parroquial'!$B$8:$F$117,4,FALSE),0)</f>
        <v>0</v>
      </c>
      <c r="N88" s="539" t="s">
        <v>252</v>
      </c>
      <c r="O88" s="540" t="s">
        <v>176</v>
      </c>
      <c r="P88" s="540">
        <v>1.62</v>
      </c>
      <c r="Q88" s="637">
        <v>7744</v>
      </c>
      <c r="R88" s="540"/>
      <c r="S88" s="541">
        <v>41730</v>
      </c>
      <c r="T88" s="541">
        <v>41790</v>
      </c>
      <c r="U88" s="542" t="str">
        <f t="shared" si="0"/>
        <v>EJECUTADO</v>
      </c>
      <c r="V88" s="543">
        <f t="shared" si="1"/>
        <v>12545.28</v>
      </c>
      <c r="W88" s="543">
        <v>8794.7999999999993</v>
      </c>
      <c r="X88" s="543">
        <f t="shared" si="2"/>
        <v>5625.7200000000021</v>
      </c>
      <c r="Y88" s="544"/>
      <c r="Z88" s="544"/>
      <c r="AA88" s="1072">
        <f>SUM(V88:V94)</f>
        <v>137131.85</v>
      </c>
      <c r="AB88" s="640"/>
      <c r="AC88" s="545" t="s">
        <v>177</v>
      </c>
      <c r="AD88" s="545" t="s">
        <v>178</v>
      </c>
      <c r="AE88" s="546" t="s">
        <v>187</v>
      </c>
      <c r="AF88" s="547">
        <v>2014</v>
      </c>
      <c r="AG88" s="639"/>
      <c r="AH88" s="639"/>
    </row>
    <row r="89" spans="1:34" s="94" customFormat="1" ht="50.1" hidden="1" customHeight="1">
      <c r="A89" s="1068"/>
      <c r="B89" s="651"/>
      <c r="C89" s="635" t="s">
        <v>169</v>
      </c>
      <c r="D89" s="1078"/>
      <c r="E89" s="636" t="s">
        <v>251</v>
      </c>
      <c r="F89" s="536" t="s">
        <v>171</v>
      </c>
      <c r="G89" s="536" t="str">
        <f>VLOOKUP(H89,'[5]Pob. Ext, Parroquial'!$B$9:$C$117,2,0)</f>
        <v>CALVAS</v>
      </c>
      <c r="H89" s="536" t="s">
        <v>245</v>
      </c>
      <c r="I89" s="536" t="s">
        <v>173</v>
      </c>
      <c r="J89" s="536" t="s">
        <v>174</v>
      </c>
      <c r="K89" s="537"/>
      <c r="L89" s="537"/>
      <c r="M89" s="538">
        <f>IF(K89&gt;0,VLOOKUP(H89,'[5]Pob. Ext, Parroquial'!$B$8:$F$117,4,FALSE),0)</f>
        <v>0</v>
      </c>
      <c r="N89" s="539" t="s">
        <v>219</v>
      </c>
      <c r="O89" s="540" t="s">
        <v>181</v>
      </c>
      <c r="P89" s="540">
        <v>0.35</v>
      </c>
      <c r="Q89" s="637">
        <v>103483</v>
      </c>
      <c r="R89" s="540"/>
      <c r="S89" s="541">
        <v>41730</v>
      </c>
      <c r="T89" s="541">
        <v>41790</v>
      </c>
      <c r="U89" s="542" t="str">
        <f t="shared" si="0"/>
        <v>EJECUTADO</v>
      </c>
      <c r="V89" s="543">
        <f t="shared" si="1"/>
        <v>36219.050000000003</v>
      </c>
      <c r="W89" s="543">
        <v>12215</v>
      </c>
      <c r="X89" s="543">
        <f t="shared" si="2"/>
        <v>36006.075000000004</v>
      </c>
      <c r="Y89" s="544"/>
      <c r="Z89" s="544"/>
      <c r="AA89" s="1072"/>
      <c r="AB89" s="640"/>
      <c r="AC89" s="545" t="s">
        <v>177</v>
      </c>
      <c r="AD89" s="545" t="s">
        <v>178</v>
      </c>
      <c r="AE89" s="546" t="s">
        <v>187</v>
      </c>
      <c r="AF89" s="547">
        <v>2014</v>
      </c>
      <c r="AG89" s="639"/>
      <c r="AH89" s="639"/>
    </row>
    <row r="90" spans="1:34" s="94" customFormat="1" ht="50.1" hidden="1" customHeight="1">
      <c r="A90" s="1068"/>
      <c r="B90" s="651"/>
      <c r="C90" s="635" t="s">
        <v>182</v>
      </c>
      <c r="D90" s="1078"/>
      <c r="E90" s="636" t="s">
        <v>251</v>
      </c>
      <c r="F90" s="536" t="s">
        <v>171</v>
      </c>
      <c r="G90" s="536" t="str">
        <f>VLOOKUP(H90,'[5]Pob. Ext, Parroquial'!$B$9:$C$117,2,0)</f>
        <v>CALVAS</v>
      </c>
      <c r="H90" s="536" t="s">
        <v>245</v>
      </c>
      <c r="I90" s="536" t="s">
        <v>173</v>
      </c>
      <c r="J90" s="536" t="s">
        <v>174</v>
      </c>
      <c r="K90" s="537"/>
      <c r="L90" s="537">
        <f>ROUNDUP(Q90/5.5/1000,2)</f>
        <v>4.3</v>
      </c>
      <c r="M90" s="538">
        <f>IF(K90&gt;0,VLOOKUP(H90,'[5]Pob. Ext, Parroquial'!$B$8:$F$117,4,FALSE),0)</f>
        <v>0</v>
      </c>
      <c r="N90" s="539" t="s">
        <v>183</v>
      </c>
      <c r="O90" s="540" t="s">
        <v>184</v>
      </c>
      <c r="P90" s="540">
        <v>0.35</v>
      </c>
      <c r="Q90" s="637">
        <v>23600</v>
      </c>
      <c r="R90" s="540"/>
      <c r="S90" s="541">
        <v>41730</v>
      </c>
      <c r="T90" s="541">
        <v>41790</v>
      </c>
      <c r="U90" s="542" t="str">
        <f t="shared" si="0"/>
        <v>EJECUTADO</v>
      </c>
      <c r="V90" s="543">
        <f t="shared" si="1"/>
        <v>8260</v>
      </c>
      <c r="W90" s="543">
        <v>6202.98</v>
      </c>
      <c r="X90" s="543">
        <f t="shared" si="2"/>
        <v>3085.5300000000007</v>
      </c>
      <c r="Y90" s="544"/>
      <c r="Z90" s="544"/>
      <c r="AA90" s="1072"/>
      <c r="AB90" s="640"/>
      <c r="AC90" s="545" t="s">
        <v>177</v>
      </c>
      <c r="AD90" s="545" t="s">
        <v>178</v>
      </c>
      <c r="AE90" s="546" t="s">
        <v>187</v>
      </c>
      <c r="AF90" s="547">
        <v>2014</v>
      </c>
      <c r="AG90" s="639"/>
      <c r="AH90" s="639"/>
    </row>
    <row r="91" spans="1:34" s="94" customFormat="1" ht="50.1" hidden="1" customHeight="1">
      <c r="A91" s="1068"/>
      <c r="B91" s="651"/>
      <c r="C91" s="635" t="s">
        <v>169</v>
      </c>
      <c r="D91" s="1078"/>
      <c r="E91" s="636" t="s">
        <v>251</v>
      </c>
      <c r="F91" s="536" t="s">
        <v>171</v>
      </c>
      <c r="G91" s="536" t="str">
        <f>VLOOKUP(H91,'[5]Pob. Ext, Parroquial'!$B$9:$C$117,2,0)</f>
        <v>CALVAS</v>
      </c>
      <c r="H91" s="536" t="s">
        <v>245</v>
      </c>
      <c r="I91" s="536" t="s">
        <v>173</v>
      </c>
      <c r="J91" s="536" t="s">
        <v>174</v>
      </c>
      <c r="K91" s="537"/>
      <c r="L91" s="537">
        <f>+ROUND(Q91/5500/0.2,2)</f>
        <v>7.04</v>
      </c>
      <c r="M91" s="538">
        <f>IF(K91&gt;0,VLOOKUP(H91,'[5]Pob. Ext, Parroquial'!$B$8:$F$117,4,FALSE),0)</f>
        <v>0</v>
      </c>
      <c r="N91" s="539" t="s">
        <v>229</v>
      </c>
      <c r="O91" s="540" t="s">
        <v>176</v>
      </c>
      <c r="P91" s="540">
        <v>5.92</v>
      </c>
      <c r="Q91" s="637">
        <v>7744</v>
      </c>
      <c r="R91" s="540"/>
      <c r="S91" s="541">
        <v>41730</v>
      </c>
      <c r="T91" s="541">
        <v>41790</v>
      </c>
      <c r="U91" s="542" t="str">
        <f t="shared" si="0"/>
        <v>EJECUTADO</v>
      </c>
      <c r="V91" s="543">
        <f t="shared" si="1"/>
        <v>45844.480000000003</v>
      </c>
      <c r="W91" s="543">
        <v>30921.4</v>
      </c>
      <c r="X91" s="543">
        <f t="shared" si="2"/>
        <v>22384.620000000003</v>
      </c>
      <c r="Y91" s="544"/>
      <c r="Z91" s="544"/>
      <c r="AA91" s="1072"/>
      <c r="AB91" s="640"/>
      <c r="AC91" s="545" t="s">
        <v>177</v>
      </c>
      <c r="AD91" s="545" t="s">
        <v>178</v>
      </c>
      <c r="AE91" s="546" t="s">
        <v>187</v>
      </c>
      <c r="AF91" s="547">
        <v>2014</v>
      </c>
      <c r="AG91" s="639"/>
      <c r="AH91" s="639"/>
    </row>
    <row r="92" spans="1:34" s="94" customFormat="1" ht="50.1" hidden="1" customHeight="1">
      <c r="A92" s="1068"/>
      <c r="B92" s="651"/>
      <c r="C92" s="635" t="s">
        <v>182</v>
      </c>
      <c r="D92" s="1078"/>
      <c r="E92" s="636" t="s">
        <v>251</v>
      </c>
      <c r="F92" s="536" t="s">
        <v>171</v>
      </c>
      <c r="G92" s="536" t="str">
        <f>VLOOKUP(H92,'[5]Pob. Ext, Parroquial'!$B$9:$C$117,2,0)</f>
        <v>CALVAS</v>
      </c>
      <c r="H92" s="536" t="s">
        <v>245</v>
      </c>
      <c r="I92" s="536" t="s">
        <v>173</v>
      </c>
      <c r="J92" s="536" t="s">
        <v>174</v>
      </c>
      <c r="K92" s="537"/>
      <c r="L92" s="537"/>
      <c r="M92" s="538">
        <f>IF(K92&gt;0,VLOOKUP(H92,'[5]Pob. Ext, Parroquial'!$B$8:$F$117,4,FALSE),0)</f>
        <v>0</v>
      </c>
      <c r="N92" s="539" t="s">
        <v>200</v>
      </c>
      <c r="O92" s="540" t="s">
        <v>176</v>
      </c>
      <c r="P92" s="540">
        <v>1.46</v>
      </c>
      <c r="Q92" s="637">
        <v>600</v>
      </c>
      <c r="R92" s="540"/>
      <c r="S92" s="541">
        <v>41730</v>
      </c>
      <c r="T92" s="541">
        <v>41790</v>
      </c>
      <c r="U92" s="542" t="str">
        <f t="shared" si="0"/>
        <v>EJECUTADO</v>
      </c>
      <c r="V92" s="543">
        <f t="shared" si="1"/>
        <v>876</v>
      </c>
      <c r="W92" s="543">
        <v>858</v>
      </c>
      <c r="X92" s="543">
        <f t="shared" si="2"/>
        <v>27</v>
      </c>
      <c r="Y92" s="544"/>
      <c r="Z92" s="544"/>
      <c r="AA92" s="1072"/>
      <c r="AB92" s="640"/>
      <c r="AC92" s="545" t="s">
        <v>177</v>
      </c>
      <c r="AD92" s="545" t="s">
        <v>178</v>
      </c>
      <c r="AE92" s="546" t="s">
        <v>187</v>
      </c>
      <c r="AF92" s="547">
        <v>2014</v>
      </c>
      <c r="AG92" s="639"/>
      <c r="AH92" s="639"/>
    </row>
    <row r="93" spans="1:34" s="94" customFormat="1" ht="50.1" hidden="1" customHeight="1">
      <c r="A93" s="1068"/>
      <c r="B93" s="651"/>
      <c r="C93" s="635" t="s">
        <v>182</v>
      </c>
      <c r="D93" s="1078"/>
      <c r="E93" s="636" t="s">
        <v>251</v>
      </c>
      <c r="F93" s="536" t="s">
        <v>171</v>
      </c>
      <c r="G93" s="536" t="str">
        <f>VLOOKUP(H93,'[5]Pob. Ext, Parroquial'!$B$9:$C$117,2,0)</f>
        <v>CALVAS</v>
      </c>
      <c r="H93" s="652" t="s">
        <v>245</v>
      </c>
      <c r="I93" s="536" t="s">
        <v>173</v>
      </c>
      <c r="J93" s="536" t="s">
        <v>174</v>
      </c>
      <c r="K93" s="537"/>
      <c r="L93" s="537"/>
      <c r="M93" s="538">
        <f>IF(K93&gt;0,VLOOKUP(H93,'[5]Pob. Ext, Parroquial'!$B$8:$F$117,4,FALSE),0)</f>
        <v>0</v>
      </c>
      <c r="N93" s="539" t="s">
        <v>248</v>
      </c>
      <c r="O93" s="540" t="s">
        <v>176</v>
      </c>
      <c r="P93" s="540">
        <v>16.13</v>
      </c>
      <c r="Q93" s="637">
        <v>1240</v>
      </c>
      <c r="R93" s="540"/>
      <c r="S93" s="541">
        <v>41730</v>
      </c>
      <c r="T93" s="541">
        <v>41790</v>
      </c>
      <c r="U93" s="542" t="str">
        <f t="shared" si="0"/>
        <v>EJECUTADO</v>
      </c>
      <c r="V93" s="543">
        <f>ROUND(P93*Q93,2)</f>
        <v>20001.2</v>
      </c>
      <c r="W93" s="543">
        <v>645.20000000000005</v>
      </c>
      <c r="X93" s="543">
        <f t="shared" si="2"/>
        <v>29034</v>
      </c>
      <c r="Y93" s="544"/>
      <c r="Z93" s="544"/>
      <c r="AA93" s="1072"/>
      <c r="AB93" s="640"/>
      <c r="AC93" s="545" t="s">
        <v>177</v>
      </c>
      <c r="AD93" s="545" t="s">
        <v>178</v>
      </c>
      <c r="AE93" s="546" t="s">
        <v>187</v>
      </c>
      <c r="AF93" s="547">
        <v>2014</v>
      </c>
      <c r="AG93" s="639"/>
      <c r="AH93" s="639"/>
    </row>
    <row r="94" spans="1:34" s="94" customFormat="1" ht="50.1" hidden="1" customHeight="1">
      <c r="A94" s="1068"/>
      <c r="B94" s="653"/>
      <c r="C94" s="635" t="s">
        <v>182</v>
      </c>
      <c r="D94" s="1074"/>
      <c r="E94" s="636" t="s">
        <v>251</v>
      </c>
      <c r="F94" s="536" t="s">
        <v>171</v>
      </c>
      <c r="G94" s="536" t="str">
        <f>VLOOKUP(H94,'[5]Pob. Ext, Parroquial'!$B$9:$C$117,2,0)</f>
        <v>CALVAS</v>
      </c>
      <c r="H94" s="652" t="s">
        <v>245</v>
      </c>
      <c r="I94" s="536" t="s">
        <v>173</v>
      </c>
      <c r="J94" s="536" t="s">
        <v>174</v>
      </c>
      <c r="K94" s="537"/>
      <c r="L94" s="537"/>
      <c r="M94" s="538">
        <f>IF(K94&gt;0,VLOOKUP(H94,'[5]Pob. Ext, Parroquial'!$B$8:$F$117,4,FALSE),0)</f>
        <v>0</v>
      </c>
      <c r="N94" s="539" t="s">
        <v>185</v>
      </c>
      <c r="O94" s="540" t="s">
        <v>184</v>
      </c>
      <c r="P94" s="540">
        <v>0.08</v>
      </c>
      <c r="Q94" s="637">
        <v>167323</v>
      </c>
      <c r="R94" s="540"/>
      <c r="S94" s="541">
        <v>41644</v>
      </c>
      <c r="T94" s="541">
        <v>41790</v>
      </c>
      <c r="U94" s="542" t="str">
        <f t="shared" si="0"/>
        <v>EJECUTADO</v>
      </c>
      <c r="V94" s="543">
        <f t="shared" si="1"/>
        <v>13385.84</v>
      </c>
      <c r="W94" s="543"/>
      <c r="X94" s="543">
        <f t="shared" si="2"/>
        <v>20078.760000000002</v>
      </c>
      <c r="Y94" s="544"/>
      <c r="Z94" s="544"/>
      <c r="AA94" s="1072"/>
      <c r="AB94" s="640"/>
      <c r="AC94" s="545" t="s">
        <v>177</v>
      </c>
      <c r="AD94" s="545" t="s">
        <v>178</v>
      </c>
      <c r="AE94" s="546" t="s">
        <v>187</v>
      </c>
      <c r="AF94" s="547">
        <v>2014</v>
      </c>
      <c r="AG94" s="639"/>
      <c r="AH94" s="639"/>
    </row>
    <row r="95" spans="1:34" s="94" customFormat="1" ht="50.1" hidden="1" customHeight="1">
      <c r="A95" s="641" t="s">
        <v>253</v>
      </c>
      <c r="B95" s="635" t="str">
        <f>+U95</f>
        <v>EJECUTADO</v>
      </c>
      <c r="C95" s="635" t="s">
        <v>169</v>
      </c>
      <c r="D95" s="1073" t="s">
        <v>254</v>
      </c>
      <c r="E95" s="636" t="str">
        <f>+D95</f>
        <v>Mejoramiento de la Vía  SAN GUILLIN-QUIZANGA DE LA PARROQUIA SAN GUILLIN, CANTON CALVAS</v>
      </c>
      <c r="F95" s="536" t="s">
        <v>171</v>
      </c>
      <c r="G95" s="536" t="str">
        <f>VLOOKUP(H95,'[5]Pob. Ext, Parroquial'!$B$9:$C$117,2,0)</f>
        <v>CALVAS</v>
      </c>
      <c r="H95" s="536" t="s">
        <v>245</v>
      </c>
      <c r="I95" s="536" t="s">
        <v>173</v>
      </c>
      <c r="J95" s="536" t="s">
        <v>174</v>
      </c>
      <c r="K95" s="537">
        <v>4</v>
      </c>
      <c r="L95" s="537"/>
      <c r="M95" s="538">
        <f>IF(K95&gt;0,VLOOKUP(H95,'[5]Pob. Ext, Parroquial'!$B$8:$F$117,4,FALSE),0)</f>
        <v>1506</v>
      </c>
      <c r="N95" s="539" t="s">
        <v>175</v>
      </c>
      <c r="O95" s="540" t="s">
        <v>176</v>
      </c>
      <c r="P95" s="540">
        <v>1.62</v>
      </c>
      <c r="Q95" s="637">
        <v>1848</v>
      </c>
      <c r="R95" s="540"/>
      <c r="S95" s="541">
        <v>41821</v>
      </c>
      <c r="T95" s="541">
        <v>41851</v>
      </c>
      <c r="U95" s="542" t="str">
        <f t="shared" ref="U95:U186" si="9">IF(T95&lt;$G$4,"EJECUTADO","EN EJECUCION")</f>
        <v>EJECUTADO</v>
      </c>
      <c r="V95" s="543">
        <f t="shared" ref="V95:V171" si="10">ROUND(P95*Q95,2)</f>
        <v>2993.76</v>
      </c>
      <c r="W95" s="543"/>
      <c r="X95" s="543">
        <f t="shared" ref="X95:X172" si="11">+(V95-W95)/3*4.5</f>
        <v>4490.6400000000003</v>
      </c>
      <c r="Y95" s="544"/>
      <c r="Z95" s="544"/>
      <c r="AA95" s="1080">
        <f>SUBTOTAL(9,V95:V98)</f>
        <v>0</v>
      </c>
      <c r="AB95" s="640"/>
      <c r="AC95" s="545" t="s">
        <v>221</v>
      </c>
      <c r="AD95" s="545" t="s">
        <v>178</v>
      </c>
      <c r="AE95" s="546" t="s">
        <v>187</v>
      </c>
      <c r="AF95" s="547">
        <v>2014</v>
      </c>
      <c r="AG95" s="639"/>
      <c r="AH95" s="639"/>
    </row>
    <row r="96" spans="1:34" s="94" customFormat="1" ht="50.1" hidden="1" customHeight="1">
      <c r="A96" s="641"/>
      <c r="B96" s="654"/>
      <c r="C96" s="635" t="s">
        <v>169</v>
      </c>
      <c r="D96" s="1078"/>
      <c r="E96" s="655" t="str">
        <f t="shared" ref="E96:E98" si="12">+E95</f>
        <v>Mejoramiento de la Vía  SAN GUILLIN-QUIZANGA DE LA PARROQUIA SAN GUILLIN, CANTON CALVAS</v>
      </c>
      <c r="F96" s="536" t="s">
        <v>171</v>
      </c>
      <c r="G96" s="536" t="str">
        <f>VLOOKUP(H96,'[5]Pob. Ext, Parroquial'!$B$9:$C$117,2,0)</f>
        <v>CALVAS</v>
      </c>
      <c r="H96" s="536" t="s">
        <v>245</v>
      </c>
      <c r="I96" s="536" t="s">
        <v>173</v>
      </c>
      <c r="J96" s="536" t="s">
        <v>174</v>
      </c>
      <c r="K96" s="537"/>
      <c r="L96" s="537"/>
      <c r="M96" s="538">
        <f>IF(K96&gt;0,VLOOKUP(H96,'[5]Pob. Ext, Parroquial'!$B$8:$F$117,4,FALSE),0)</f>
        <v>0</v>
      </c>
      <c r="N96" s="539" t="s">
        <v>180</v>
      </c>
      <c r="O96" s="540" t="s">
        <v>181</v>
      </c>
      <c r="P96" s="540">
        <v>0.35</v>
      </c>
      <c r="Q96" s="637">
        <v>3696</v>
      </c>
      <c r="R96" s="540"/>
      <c r="S96" s="541">
        <v>41821</v>
      </c>
      <c r="T96" s="541">
        <v>41851</v>
      </c>
      <c r="U96" s="542" t="str">
        <f t="shared" si="9"/>
        <v>EJECUTADO</v>
      </c>
      <c r="V96" s="543">
        <f t="shared" si="10"/>
        <v>1293.5999999999999</v>
      </c>
      <c r="W96" s="543"/>
      <c r="X96" s="543">
        <f t="shared" si="11"/>
        <v>1940.3999999999999</v>
      </c>
      <c r="Y96" s="544"/>
      <c r="Z96" s="544"/>
      <c r="AA96" s="1081"/>
      <c r="AB96" s="640"/>
      <c r="AC96" s="545" t="s">
        <v>221</v>
      </c>
      <c r="AD96" s="545" t="s">
        <v>178</v>
      </c>
      <c r="AE96" s="546" t="s">
        <v>187</v>
      </c>
      <c r="AF96" s="547">
        <v>2014</v>
      </c>
      <c r="AG96" s="639"/>
      <c r="AH96" s="639"/>
    </row>
    <row r="97" spans="1:34" s="94" customFormat="1" ht="50.1" hidden="1" customHeight="1">
      <c r="A97" s="641"/>
      <c r="B97" s="654"/>
      <c r="C97" s="635" t="s">
        <v>182</v>
      </c>
      <c r="D97" s="1078"/>
      <c r="E97" s="655" t="str">
        <f t="shared" si="12"/>
        <v>Mejoramiento de la Vía  SAN GUILLIN-QUIZANGA DE LA PARROQUIA SAN GUILLIN, CANTON CALVAS</v>
      </c>
      <c r="F97" s="536" t="s">
        <v>171</v>
      </c>
      <c r="G97" s="536" t="str">
        <f>VLOOKUP(H97,'[5]Pob. Ext, Parroquial'!$B$9:$C$117,2,0)</f>
        <v>CALVAS</v>
      </c>
      <c r="H97" s="536" t="s">
        <v>245</v>
      </c>
      <c r="I97" s="536" t="s">
        <v>173</v>
      </c>
      <c r="J97" s="536" t="s">
        <v>174</v>
      </c>
      <c r="K97" s="537"/>
      <c r="L97" s="537">
        <f>ROUNDUP(Q97/5.5/1000,2)</f>
        <v>3.28</v>
      </c>
      <c r="M97" s="538">
        <f>IF(K97&gt;0,VLOOKUP(H97,'[5]Pob. Ext, Parroquial'!$B$8:$F$117,4,FALSE),0)</f>
        <v>0</v>
      </c>
      <c r="N97" s="539" t="s">
        <v>255</v>
      </c>
      <c r="O97" s="540" t="s">
        <v>184</v>
      </c>
      <c r="P97" s="540">
        <v>0.35</v>
      </c>
      <c r="Q97" s="637">
        <v>18000</v>
      </c>
      <c r="R97" s="540"/>
      <c r="S97" s="541">
        <v>41821</v>
      </c>
      <c r="T97" s="541">
        <v>41851</v>
      </c>
      <c r="U97" s="542" t="str">
        <f t="shared" si="9"/>
        <v>EJECUTADO</v>
      </c>
      <c r="V97" s="543">
        <f t="shared" si="10"/>
        <v>6300</v>
      </c>
      <c r="W97" s="543"/>
      <c r="X97" s="543">
        <f t="shared" si="11"/>
        <v>9450</v>
      </c>
      <c r="Y97" s="544"/>
      <c r="Z97" s="544"/>
      <c r="AA97" s="1081"/>
      <c r="AB97" s="640"/>
      <c r="AC97" s="545" t="s">
        <v>221</v>
      </c>
      <c r="AD97" s="545" t="s">
        <v>178</v>
      </c>
      <c r="AE97" s="546" t="s">
        <v>187</v>
      </c>
      <c r="AF97" s="547">
        <v>2014</v>
      </c>
      <c r="AG97" s="639"/>
      <c r="AH97" s="639"/>
    </row>
    <row r="98" spans="1:34" s="94" customFormat="1" ht="50.1" hidden="1" customHeight="1">
      <c r="A98" s="641"/>
      <c r="B98" s="654"/>
      <c r="C98" s="635" t="s">
        <v>169</v>
      </c>
      <c r="D98" s="1074"/>
      <c r="E98" s="655" t="str">
        <f t="shared" si="12"/>
        <v>Mejoramiento de la Vía  SAN GUILLIN-QUIZANGA DE LA PARROQUIA SAN GUILLIN, CANTON CALVAS</v>
      </c>
      <c r="F98" s="536" t="s">
        <v>171</v>
      </c>
      <c r="G98" s="536" t="str">
        <f>VLOOKUP(H98,'[5]Pob. Ext, Parroquial'!$B$9:$C$117,2,0)</f>
        <v>CALVAS</v>
      </c>
      <c r="H98" s="536" t="s">
        <v>245</v>
      </c>
      <c r="I98" s="536" t="s">
        <v>173</v>
      </c>
      <c r="J98" s="536" t="s">
        <v>174</v>
      </c>
      <c r="K98" s="537"/>
      <c r="L98" s="537">
        <f>+ROUND(Q98/5500/0.2,2)</f>
        <v>1.68</v>
      </c>
      <c r="M98" s="538">
        <f>IF(K98&gt;0,VLOOKUP(H98,'[5]Pob. Ext, Parroquial'!$B$8:$F$117,4,FALSE),0)</f>
        <v>0</v>
      </c>
      <c r="N98" s="539" t="s">
        <v>229</v>
      </c>
      <c r="O98" s="540" t="s">
        <v>176</v>
      </c>
      <c r="P98" s="540">
        <v>5.92</v>
      </c>
      <c r="Q98" s="637">
        <v>1848</v>
      </c>
      <c r="R98" s="540"/>
      <c r="S98" s="541">
        <v>41821</v>
      </c>
      <c r="T98" s="541">
        <v>41851</v>
      </c>
      <c r="U98" s="542" t="str">
        <f t="shared" si="9"/>
        <v>EJECUTADO</v>
      </c>
      <c r="V98" s="543">
        <f t="shared" si="10"/>
        <v>10940.16</v>
      </c>
      <c r="W98" s="543"/>
      <c r="X98" s="543">
        <f t="shared" si="11"/>
        <v>16410.239999999998</v>
      </c>
      <c r="Y98" s="544"/>
      <c r="Z98" s="544"/>
      <c r="AA98" s="1082"/>
      <c r="AB98" s="640"/>
      <c r="AC98" s="545" t="s">
        <v>221</v>
      </c>
      <c r="AD98" s="545" t="s">
        <v>178</v>
      </c>
      <c r="AE98" s="546" t="s">
        <v>187</v>
      </c>
      <c r="AF98" s="547">
        <v>2014</v>
      </c>
      <c r="AG98" s="639"/>
      <c r="AH98" s="639"/>
    </row>
    <row r="99" spans="1:34" s="94" customFormat="1" ht="50.1" hidden="1" customHeight="1">
      <c r="A99" s="641" t="s">
        <v>256</v>
      </c>
      <c r="B99" s="635" t="str">
        <f>+U99</f>
        <v>EJECUTADO</v>
      </c>
      <c r="C99" s="635" t="s">
        <v>182</v>
      </c>
      <c r="D99" s="635" t="s">
        <v>257</v>
      </c>
      <c r="E99" s="636" t="str">
        <f>+D99</f>
        <v>MANTENIMIENTO DE EMERGENCIA A VIAS DE LA PARROQUIA COLAISACA</v>
      </c>
      <c r="F99" s="536" t="s">
        <v>171</v>
      </c>
      <c r="G99" s="536" t="s">
        <v>232</v>
      </c>
      <c r="H99" s="536" t="s">
        <v>243</v>
      </c>
      <c r="I99" s="536" t="s">
        <v>173</v>
      </c>
      <c r="J99" s="536" t="s">
        <v>174</v>
      </c>
      <c r="K99" s="537"/>
      <c r="L99" s="537"/>
      <c r="M99" s="538">
        <f>IF(K99&gt;0,VLOOKUP(H99,'[5]Pob. Ext, Parroquial'!$B$8:$F$117,4,FALSE),0)</f>
        <v>0</v>
      </c>
      <c r="N99" s="539" t="s">
        <v>200</v>
      </c>
      <c r="O99" s="540" t="s">
        <v>176</v>
      </c>
      <c r="P99" s="540">
        <v>1.46</v>
      </c>
      <c r="Q99" s="637">
        <v>8516</v>
      </c>
      <c r="R99" s="540"/>
      <c r="S99" s="541">
        <v>41821</v>
      </c>
      <c r="T99" s="541">
        <v>41851</v>
      </c>
      <c r="U99" s="542" t="str">
        <f t="shared" si="9"/>
        <v>EJECUTADO</v>
      </c>
      <c r="V99" s="543">
        <f t="shared" si="10"/>
        <v>12433.36</v>
      </c>
      <c r="W99" s="543"/>
      <c r="X99" s="543">
        <f t="shared" si="11"/>
        <v>18650.04</v>
      </c>
      <c r="Y99" s="544"/>
      <c r="Z99" s="544"/>
      <c r="AA99" s="643">
        <f>V99+Y99+Z99</f>
        <v>12433.36</v>
      </c>
      <c r="AB99" s="640"/>
      <c r="AC99" s="545" t="s">
        <v>221</v>
      </c>
      <c r="AD99" s="545" t="s">
        <v>178</v>
      </c>
      <c r="AE99" s="546" t="s">
        <v>187</v>
      </c>
      <c r="AF99" s="547">
        <v>2014</v>
      </c>
      <c r="AG99" s="639"/>
      <c r="AH99" s="639"/>
    </row>
    <row r="100" spans="1:34" s="94" customFormat="1" ht="50.1" hidden="1" customHeight="1">
      <c r="A100" s="641" t="s">
        <v>258</v>
      </c>
      <c r="B100" s="635" t="str">
        <f>+U100</f>
        <v>EJECUTADO</v>
      </c>
      <c r="C100" s="635" t="s">
        <v>169</v>
      </c>
      <c r="D100" s="1069" t="s">
        <v>259</v>
      </c>
      <c r="E100" s="636" t="str">
        <f>+D100</f>
        <v>Mejoramiento de la Vía  SAN GUILLIN-USAIMA DE LA PARROQUIA SAN GUILLIN, CANTON CALVAS</v>
      </c>
      <c r="F100" s="536" t="s">
        <v>171</v>
      </c>
      <c r="G100" s="536" t="str">
        <f>VLOOKUP(H100,'[5]Pob. Ext, Parroquial'!$B$9:$C$117,2,0)</f>
        <v>CALVAS</v>
      </c>
      <c r="H100" s="536" t="s">
        <v>245</v>
      </c>
      <c r="I100" s="536" t="s">
        <v>173</v>
      </c>
      <c r="J100" s="536" t="s">
        <v>174</v>
      </c>
      <c r="K100" s="537">
        <v>2</v>
      </c>
      <c r="L100" s="537"/>
      <c r="M100" s="538">
        <f>IF(K100&gt;0,VLOOKUP(H100,'[5]Pob. Ext, Parroquial'!$B$8:$F$117,4,FALSE),0)</f>
        <v>1506</v>
      </c>
      <c r="N100" s="539" t="s">
        <v>175</v>
      </c>
      <c r="O100" s="540" t="s">
        <v>176</v>
      </c>
      <c r="P100" s="540">
        <v>1.62</v>
      </c>
      <c r="Q100" s="637">
        <v>672</v>
      </c>
      <c r="R100" s="540"/>
      <c r="S100" s="541">
        <v>41821</v>
      </c>
      <c r="T100" s="541">
        <v>41851</v>
      </c>
      <c r="U100" s="542" t="str">
        <f t="shared" si="9"/>
        <v>EJECUTADO</v>
      </c>
      <c r="V100" s="543">
        <f t="shared" si="10"/>
        <v>1088.6400000000001</v>
      </c>
      <c r="W100" s="543"/>
      <c r="X100" s="543">
        <f t="shared" si="11"/>
        <v>1632.9600000000003</v>
      </c>
      <c r="Y100" s="544"/>
      <c r="Z100" s="544"/>
      <c r="AA100" s="1080">
        <f>SUBTOTAL(9,V100:V103)</f>
        <v>0</v>
      </c>
      <c r="AB100" s="640"/>
      <c r="AC100" s="545" t="s">
        <v>221</v>
      </c>
      <c r="AD100" s="545" t="s">
        <v>178</v>
      </c>
      <c r="AE100" s="546" t="s">
        <v>187</v>
      </c>
      <c r="AF100" s="547">
        <v>2014</v>
      </c>
      <c r="AG100" s="639"/>
      <c r="AH100" s="639"/>
    </row>
    <row r="101" spans="1:34" s="94" customFormat="1" ht="50.1" hidden="1" customHeight="1">
      <c r="A101" s="641"/>
      <c r="B101" s="654"/>
      <c r="C101" s="635" t="s">
        <v>169</v>
      </c>
      <c r="D101" s="1070"/>
      <c r="E101" s="655" t="str">
        <f t="shared" ref="E101:E103" si="13">+E100</f>
        <v>Mejoramiento de la Vía  SAN GUILLIN-USAIMA DE LA PARROQUIA SAN GUILLIN, CANTON CALVAS</v>
      </c>
      <c r="F101" s="536" t="s">
        <v>171</v>
      </c>
      <c r="G101" s="536" t="str">
        <f>VLOOKUP(H101,'[5]Pob. Ext, Parroquial'!$B$9:$C$117,2,0)</f>
        <v>CALVAS</v>
      </c>
      <c r="H101" s="536" t="s">
        <v>245</v>
      </c>
      <c r="I101" s="536" t="s">
        <v>173</v>
      </c>
      <c r="J101" s="536" t="s">
        <v>174</v>
      </c>
      <c r="K101" s="537"/>
      <c r="L101" s="537"/>
      <c r="M101" s="538">
        <f>IF(K101&gt;0,VLOOKUP(H101,'[5]Pob. Ext, Parroquial'!$B$8:$F$117,4,FALSE),0)</f>
        <v>0</v>
      </c>
      <c r="N101" s="539" t="s">
        <v>180</v>
      </c>
      <c r="O101" s="540" t="s">
        <v>181</v>
      </c>
      <c r="P101" s="540">
        <v>0.35</v>
      </c>
      <c r="Q101" s="637">
        <v>5376</v>
      </c>
      <c r="R101" s="540"/>
      <c r="S101" s="541">
        <v>41821</v>
      </c>
      <c r="T101" s="541">
        <v>41851</v>
      </c>
      <c r="U101" s="542" t="str">
        <f t="shared" si="9"/>
        <v>EJECUTADO</v>
      </c>
      <c r="V101" s="543">
        <f t="shared" si="10"/>
        <v>1881.6</v>
      </c>
      <c r="W101" s="543"/>
      <c r="X101" s="543">
        <f t="shared" si="11"/>
        <v>2822.3999999999996</v>
      </c>
      <c r="Y101" s="544"/>
      <c r="Z101" s="544"/>
      <c r="AA101" s="1081"/>
      <c r="AB101" s="640"/>
      <c r="AC101" s="545" t="s">
        <v>221</v>
      </c>
      <c r="AD101" s="545" t="s">
        <v>178</v>
      </c>
      <c r="AE101" s="546" t="s">
        <v>187</v>
      </c>
      <c r="AF101" s="547">
        <v>2014</v>
      </c>
      <c r="AG101" s="639"/>
      <c r="AH101" s="639"/>
    </row>
    <row r="102" spans="1:34" s="94" customFormat="1" ht="50.1" hidden="1" customHeight="1">
      <c r="A102" s="641"/>
      <c r="B102" s="654"/>
      <c r="C102" s="635" t="s">
        <v>182</v>
      </c>
      <c r="D102" s="1070"/>
      <c r="E102" s="655" t="str">
        <f t="shared" si="13"/>
        <v>Mejoramiento de la Vía  SAN GUILLIN-USAIMA DE LA PARROQUIA SAN GUILLIN, CANTON CALVAS</v>
      </c>
      <c r="F102" s="536" t="s">
        <v>171</v>
      </c>
      <c r="G102" s="536" t="str">
        <f>VLOOKUP(H102,'[5]Pob. Ext, Parroquial'!$B$9:$C$117,2,0)</f>
        <v>CALVAS</v>
      </c>
      <c r="H102" s="536" t="s">
        <v>245</v>
      </c>
      <c r="I102" s="536" t="s">
        <v>173</v>
      </c>
      <c r="J102" s="536" t="s">
        <v>174</v>
      </c>
      <c r="K102" s="537"/>
      <c r="L102" s="537">
        <f>ROUNDUP(Q102/5.5/1000,2)</f>
        <v>1.49</v>
      </c>
      <c r="M102" s="538">
        <f>IF(K102&gt;0,VLOOKUP(H102,'[5]Pob. Ext, Parroquial'!$B$8:$F$117,4,FALSE),0)</f>
        <v>0</v>
      </c>
      <c r="N102" s="539" t="s">
        <v>260</v>
      </c>
      <c r="O102" s="540" t="s">
        <v>184</v>
      </c>
      <c r="P102" s="540">
        <v>0.08</v>
      </c>
      <c r="Q102" s="637">
        <v>8147</v>
      </c>
      <c r="R102" s="540"/>
      <c r="S102" s="541">
        <v>41821</v>
      </c>
      <c r="T102" s="541">
        <v>41851</v>
      </c>
      <c r="U102" s="542" t="str">
        <f t="shared" si="9"/>
        <v>EJECUTADO</v>
      </c>
      <c r="V102" s="543">
        <f t="shared" si="10"/>
        <v>651.76</v>
      </c>
      <c r="W102" s="543"/>
      <c r="X102" s="543">
        <f t="shared" si="11"/>
        <v>977.64</v>
      </c>
      <c r="Y102" s="544"/>
      <c r="Z102" s="544"/>
      <c r="AA102" s="1081"/>
      <c r="AB102" s="640"/>
      <c r="AC102" s="545" t="s">
        <v>221</v>
      </c>
      <c r="AD102" s="545" t="s">
        <v>178</v>
      </c>
      <c r="AE102" s="546" t="s">
        <v>187</v>
      </c>
      <c r="AF102" s="547">
        <v>2014</v>
      </c>
      <c r="AG102" s="639"/>
      <c r="AH102" s="639"/>
    </row>
    <row r="103" spans="1:34" s="94" customFormat="1" ht="50.1" hidden="1" customHeight="1">
      <c r="A103" s="641"/>
      <c r="B103" s="654"/>
      <c r="C103" s="635" t="s">
        <v>169</v>
      </c>
      <c r="D103" s="1071"/>
      <c r="E103" s="655" t="str">
        <f t="shared" si="13"/>
        <v>Mejoramiento de la Vía  SAN GUILLIN-USAIMA DE LA PARROQUIA SAN GUILLIN, CANTON CALVAS</v>
      </c>
      <c r="F103" s="536" t="s">
        <v>171</v>
      </c>
      <c r="G103" s="536" t="str">
        <f>VLOOKUP(H103,'[5]Pob. Ext, Parroquial'!$B$9:$C$117,2,0)</f>
        <v>CALVAS</v>
      </c>
      <c r="H103" s="536" t="s">
        <v>245</v>
      </c>
      <c r="I103" s="536" t="s">
        <v>173</v>
      </c>
      <c r="J103" s="536" t="s">
        <v>174</v>
      </c>
      <c r="K103" s="537"/>
      <c r="L103" s="537">
        <f>+ROUND(Q103/5500/0.2,2)</f>
        <v>0.51</v>
      </c>
      <c r="M103" s="538">
        <f>IF(K103&gt;0,VLOOKUP(H103,'[5]Pob. Ext, Parroquial'!$B$8:$F$117,4,FALSE),0)</f>
        <v>0</v>
      </c>
      <c r="N103" s="539" t="s">
        <v>229</v>
      </c>
      <c r="O103" s="540" t="s">
        <v>176</v>
      </c>
      <c r="P103" s="540">
        <v>5.92</v>
      </c>
      <c r="Q103" s="637">
        <v>560</v>
      </c>
      <c r="R103" s="540"/>
      <c r="S103" s="541">
        <v>41821</v>
      </c>
      <c r="T103" s="541">
        <v>41851</v>
      </c>
      <c r="U103" s="542" t="str">
        <f t="shared" si="9"/>
        <v>EJECUTADO</v>
      </c>
      <c r="V103" s="543">
        <f t="shared" si="10"/>
        <v>3315.2</v>
      </c>
      <c r="W103" s="543"/>
      <c r="X103" s="543">
        <f t="shared" si="11"/>
        <v>4972.7999999999993</v>
      </c>
      <c r="Y103" s="544"/>
      <c r="Z103" s="544"/>
      <c r="AA103" s="1082"/>
      <c r="AB103" s="640"/>
      <c r="AC103" s="545" t="s">
        <v>221</v>
      </c>
      <c r="AD103" s="545" t="s">
        <v>178</v>
      </c>
      <c r="AE103" s="546" t="s">
        <v>187</v>
      </c>
      <c r="AF103" s="547">
        <v>2014</v>
      </c>
      <c r="AG103" s="639"/>
      <c r="AH103" s="639"/>
    </row>
    <row r="104" spans="1:34" s="94" customFormat="1" ht="50.1" hidden="1" customHeight="1">
      <c r="A104" s="641" t="s">
        <v>261</v>
      </c>
      <c r="B104" s="635" t="str">
        <f>+U104</f>
        <v>EJECUTADO</v>
      </c>
      <c r="C104" s="635" t="s">
        <v>169</v>
      </c>
      <c r="D104" s="1069" t="s">
        <v>262</v>
      </c>
      <c r="E104" s="636" t="str">
        <f>+D104</f>
        <v>Mejoramiento VIAL P. San Guillin :Camayos, San Joaquin,Chullafaique,Pasallal, CANTON CALVAS</v>
      </c>
      <c r="F104" s="536" t="s">
        <v>171</v>
      </c>
      <c r="G104" s="536" t="str">
        <f>VLOOKUP(H104,'[5]Pob. Ext, Parroquial'!$B$9:$C$117,2,0)</f>
        <v>CALVAS</v>
      </c>
      <c r="H104" s="536" t="s">
        <v>245</v>
      </c>
      <c r="I104" s="536" t="s">
        <v>173</v>
      </c>
      <c r="J104" s="536" t="s">
        <v>174</v>
      </c>
      <c r="K104" s="537">
        <v>2</v>
      </c>
      <c r="L104" s="537"/>
      <c r="M104" s="538">
        <f>IF(K104&gt;0,VLOOKUP(H104,'[5]Pob. Ext, Parroquial'!$B$8:$F$117,4,FALSE),0)</f>
        <v>1506</v>
      </c>
      <c r="N104" s="539" t="s">
        <v>175</v>
      </c>
      <c r="O104" s="540" t="s">
        <v>176</v>
      </c>
      <c r="P104" s="540">
        <v>1.62</v>
      </c>
      <c r="Q104" s="637">
        <v>1534</v>
      </c>
      <c r="R104" s="540"/>
      <c r="S104" s="541">
        <v>41821</v>
      </c>
      <c r="T104" s="541">
        <v>41851</v>
      </c>
      <c r="U104" s="542" t="str">
        <f t="shared" si="9"/>
        <v>EJECUTADO</v>
      </c>
      <c r="V104" s="543">
        <f t="shared" si="10"/>
        <v>2485.08</v>
      </c>
      <c r="W104" s="543"/>
      <c r="X104" s="543">
        <f t="shared" si="11"/>
        <v>3727.62</v>
      </c>
      <c r="Y104" s="544"/>
      <c r="Z104" s="544"/>
      <c r="AA104" s="1080">
        <f>SUBTOTAL(9,V104:V107)</f>
        <v>0</v>
      </c>
      <c r="AB104" s="640"/>
      <c r="AC104" s="545" t="s">
        <v>221</v>
      </c>
      <c r="AD104" s="545" t="s">
        <v>178</v>
      </c>
      <c r="AE104" s="546" t="s">
        <v>187</v>
      </c>
      <c r="AF104" s="547">
        <v>2014</v>
      </c>
      <c r="AG104" s="639"/>
      <c r="AH104" s="639"/>
    </row>
    <row r="105" spans="1:34" s="94" customFormat="1" ht="50.1" hidden="1" customHeight="1">
      <c r="A105" s="641"/>
      <c r="B105" s="654"/>
      <c r="C105" s="635" t="s">
        <v>169</v>
      </c>
      <c r="D105" s="1070"/>
      <c r="E105" s="655" t="str">
        <f t="shared" ref="E105:E107" si="14">+E104</f>
        <v>Mejoramiento VIAL P. San Guillin :Camayos, San Joaquin,Chullafaique,Pasallal, CANTON CALVAS</v>
      </c>
      <c r="F105" s="536" t="s">
        <v>171</v>
      </c>
      <c r="G105" s="536" t="str">
        <f>VLOOKUP(H105,'[5]Pob. Ext, Parroquial'!$B$9:$C$117,2,0)</f>
        <v>CALVAS</v>
      </c>
      <c r="H105" s="536" t="s">
        <v>245</v>
      </c>
      <c r="I105" s="536" t="s">
        <v>173</v>
      </c>
      <c r="J105" s="536" t="s">
        <v>174</v>
      </c>
      <c r="K105" s="537"/>
      <c r="L105" s="537"/>
      <c r="M105" s="538">
        <f>IF(K105&gt;0,VLOOKUP(H105,'[5]Pob. Ext, Parroquial'!$B$8:$F$117,4,FALSE),0)</f>
        <v>0</v>
      </c>
      <c r="N105" s="539" t="s">
        <v>180</v>
      </c>
      <c r="O105" s="540" t="s">
        <v>181</v>
      </c>
      <c r="P105" s="540">
        <v>0.35</v>
      </c>
      <c r="Q105" s="637">
        <v>4602</v>
      </c>
      <c r="R105" s="540"/>
      <c r="S105" s="541">
        <v>41821</v>
      </c>
      <c r="T105" s="541">
        <v>41851</v>
      </c>
      <c r="U105" s="542" t="str">
        <f t="shared" si="9"/>
        <v>EJECUTADO</v>
      </c>
      <c r="V105" s="543">
        <f t="shared" si="10"/>
        <v>1610.7</v>
      </c>
      <c r="W105" s="543"/>
      <c r="X105" s="543">
        <f t="shared" si="11"/>
        <v>2416.0499999999997</v>
      </c>
      <c r="Y105" s="544"/>
      <c r="Z105" s="544"/>
      <c r="AA105" s="1081"/>
      <c r="AB105" s="640"/>
      <c r="AC105" s="545" t="s">
        <v>221</v>
      </c>
      <c r="AD105" s="545" t="s">
        <v>178</v>
      </c>
      <c r="AE105" s="546" t="s">
        <v>187</v>
      </c>
      <c r="AF105" s="547">
        <v>2014</v>
      </c>
      <c r="AG105" s="639"/>
      <c r="AH105" s="639"/>
    </row>
    <row r="106" spans="1:34" s="94" customFormat="1" ht="50.1" hidden="1" customHeight="1">
      <c r="A106" s="641"/>
      <c r="B106" s="654"/>
      <c r="C106" s="635" t="s">
        <v>182</v>
      </c>
      <c r="D106" s="1070"/>
      <c r="E106" s="655" t="str">
        <f t="shared" si="14"/>
        <v>Mejoramiento VIAL P. San Guillin :Camayos, San Joaquin,Chullafaique,Pasallal, CANTON CALVAS</v>
      </c>
      <c r="F106" s="536" t="s">
        <v>171</v>
      </c>
      <c r="G106" s="536" t="str">
        <f>VLOOKUP(H106,'[5]Pob. Ext, Parroquial'!$B$9:$C$117,2,0)</f>
        <v>CALVAS</v>
      </c>
      <c r="H106" s="536" t="s">
        <v>245</v>
      </c>
      <c r="I106" s="536" t="s">
        <v>173</v>
      </c>
      <c r="J106" s="536" t="s">
        <v>174</v>
      </c>
      <c r="K106" s="537"/>
      <c r="L106" s="537">
        <f>ROUNDUP(Q106/5.5/1000,2)</f>
        <v>39</v>
      </c>
      <c r="M106" s="538">
        <f>IF(K106&gt;0,VLOOKUP(H106,'[5]Pob. Ext, Parroquial'!$B$8:$F$117,4,FALSE),0)</f>
        <v>0</v>
      </c>
      <c r="N106" s="539" t="s">
        <v>260</v>
      </c>
      <c r="O106" s="540" t="s">
        <v>184</v>
      </c>
      <c r="P106" s="540">
        <v>0.08</v>
      </c>
      <c r="Q106" s="637">
        <v>214500</v>
      </c>
      <c r="R106" s="540"/>
      <c r="S106" s="541">
        <v>41821</v>
      </c>
      <c r="T106" s="541">
        <v>41851</v>
      </c>
      <c r="U106" s="542" t="str">
        <f t="shared" si="9"/>
        <v>EJECUTADO</v>
      </c>
      <c r="V106" s="543">
        <f t="shared" si="10"/>
        <v>17160</v>
      </c>
      <c r="W106" s="543"/>
      <c r="X106" s="543">
        <f t="shared" si="11"/>
        <v>25740</v>
      </c>
      <c r="Y106" s="544"/>
      <c r="Z106" s="544"/>
      <c r="AA106" s="1081"/>
      <c r="AB106" s="640"/>
      <c r="AC106" s="545" t="s">
        <v>221</v>
      </c>
      <c r="AD106" s="545" t="s">
        <v>178</v>
      </c>
      <c r="AE106" s="546" t="s">
        <v>187</v>
      </c>
      <c r="AF106" s="547">
        <v>2014</v>
      </c>
      <c r="AG106" s="639"/>
      <c r="AH106" s="639"/>
    </row>
    <row r="107" spans="1:34" s="94" customFormat="1" ht="50.1" hidden="1" customHeight="1">
      <c r="A107" s="641"/>
      <c r="B107" s="654"/>
      <c r="C107" s="635" t="s">
        <v>169</v>
      </c>
      <c r="D107" s="1071"/>
      <c r="E107" s="655" t="str">
        <f t="shared" si="14"/>
        <v>Mejoramiento VIAL P. San Guillin :Camayos, San Joaquin,Chullafaique,Pasallal, CANTON CALVAS</v>
      </c>
      <c r="F107" s="536" t="s">
        <v>171</v>
      </c>
      <c r="G107" s="536" t="str">
        <f>VLOOKUP(H107,'[5]Pob. Ext, Parroquial'!$B$9:$C$117,2,0)</f>
        <v>CALVAS</v>
      </c>
      <c r="H107" s="536" t="s">
        <v>245</v>
      </c>
      <c r="I107" s="536" t="s">
        <v>173</v>
      </c>
      <c r="J107" s="536" t="s">
        <v>174</v>
      </c>
      <c r="K107" s="537"/>
      <c r="L107" s="537">
        <f>+ROUND(Q107/5500/0.2,2)</f>
        <v>1.39</v>
      </c>
      <c r="M107" s="538">
        <f>IF(K107&gt;0,VLOOKUP(H107,'[5]Pob. Ext, Parroquial'!$B$8:$F$117,4,FALSE),0)</f>
        <v>0</v>
      </c>
      <c r="N107" s="539" t="s">
        <v>229</v>
      </c>
      <c r="O107" s="540" t="s">
        <v>176</v>
      </c>
      <c r="P107" s="540">
        <v>5.92</v>
      </c>
      <c r="Q107" s="637">
        <v>1534</v>
      </c>
      <c r="R107" s="540"/>
      <c r="S107" s="541">
        <v>41821</v>
      </c>
      <c r="T107" s="541">
        <v>41851</v>
      </c>
      <c r="U107" s="542" t="str">
        <f t="shared" si="9"/>
        <v>EJECUTADO</v>
      </c>
      <c r="V107" s="543">
        <f t="shared" si="10"/>
        <v>9081.2800000000007</v>
      </c>
      <c r="W107" s="543"/>
      <c r="X107" s="543">
        <f t="shared" si="11"/>
        <v>13621.920000000002</v>
      </c>
      <c r="Y107" s="544"/>
      <c r="Z107" s="544"/>
      <c r="AA107" s="1082"/>
      <c r="AB107" s="640"/>
      <c r="AC107" s="545" t="s">
        <v>221</v>
      </c>
      <c r="AD107" s="545" t="s">
        <v>178</v>
      </c>
      <c r="AE107" s="546" t="s">
        <v>187</v>
      </c>
      <c r="AF107" s="547">
        <v>2014</v>
      </c>
      <c r="AG107" s="639"/>
      <c r="AH107" s="639"/>
    </row>
    <row r="108" spans="1:34" s="94" customFormat="1" ht="50.1" hidden="1" customHeight="1">
      <c r="A108" s="641"/>
      <c r="B108" s="635"/>
      <c r="C108" s="635" t="s">
        <v>169</v>
      </c>
      <c r="D108" s="1069" t="s">
        <v>802</v>
      </c>
      <c r="E108" s="636" t="str">
        <f>+D108</f>
        <v>MANTENIMIENTO VIAL P. QUIZANGA - LUCERO</v>
      </c>
      <c r="F108" s="536" t="s">
        <v>171</v>
      </c>
      <c r="G108" s="536" t="str">
        <f>VLOOKUP(H108,'[5]Pob. Ext, Parroquial'!$B$9:$C$117,2,0)</f>
        <v>CALVAS</v>
      </c>
      <c r="H108" s="536" t="s">
        <v>245</v>
      </c>
      <c r="I108" s="536" t="s">
        <v>173</v>
      </c>
      <c r="J108" s="536" t="s">
        <v>174</v>
      </c>
      <c r="K108" s="537"/>
      <c r="L108" s="537"/>
      <c r="M108" s="538">
        <f>IF(K108&gt;0,VLOOKUP(H108,'[5]Pob. Ext, Parroquial'!$B$8:$F$117,4,FALSE),0)</f>
        <v>0</v>
      </c>
      <c r="N108" s="539" t="s">
        <v>252</v>
      </c>
      <c r="O108" s="540" t="s">
        <v>176</v>
      </c>
      <c r="P108" s="540">
        <v>1.62</v>
      </c>
      <c r="Q108" s="637"/>
      <c r="R108" s="540"/>
      <c r="S108" s="541">
        <v>41791</v>
      </c>
      <c r="T108" s="541">
        <v>41820</v>
      </c>
      <c r="U108" s="542" t="str">
        <f>IF(T108&lt;$G$4,"EJECUTADO","EN EJECUCION")</f>
        <v>EJECUTADO</v>
      </c>
      <c r="V108" s="543">
        <f>ROUND(P108*Q108,2)</f>
        <v>0</v>
      </c>
      <c r="W108" s="543"/>
      <c r="X108" s="543">
        <f>+(V108-W108)/3*4.5</f>
        <v>0</v>
      </c>
      <c r="Y108" s="544"/>
      <c r="Z108" s="544"/>
      <c r="AA108" s="1080">
        <f>SUBTOTAL(9,V108:V111)</f>
        <v>0</v>
      </c>
      <c r="AB108" s="640"/>
      <c r="AC108" s="545" t="s">
        <v>221</v>
      </c>
      <c r="AD108" s="545" t="s">
        <v>178</v>
      </c>
      <c r="AE108" s="546" t="s">
        <v>187</v>
      </c>
      <c r="AF108" s="547">
        <v>2014</v>
      </c>
      <c r="AG108" s="639"/>
      <c r="AH108" s="639"/>
    </row>
    <row r="109" spans="1:34" s="94" customFormat="1" ht="50.1" hidden="1" customHeight="1">
      <c r="A109" s="641"/>
      <c r="B109" s="654"/>
      <c r="C109" s="635" t="s">
        <v>169</v>
      </c>
      <c r="D109" s="1070"/>
      <c r="E109" s="655" t="str">
        <f>+E108</f>
        <v>MANTENIMIENTO VIAL P. QUIZANGA - LUCERO</v>
      </c>
      <c r="F109" s="536" t="s">
        <v>171</v>
      </c>
      <c r="G109" s="536" t="str">
        <f>VLOOKUP(H109,'[5]Pob. Ext, Parroquial'!$B$9:$C$117,2,0)</f>
        <v>CALVAS</v>
      </c>
      <c r="H109" s="536" t="s">
        <v>245</v>
      </c>
      <c r="I109" s="536" t="s">
        <v>173</v>
      </c>
      <c r="J109" s="536" t="s">
        <v>174</v>
      </c>
      <c r="K109" s="537"/>
      <c r="L109" s="537"/>
      <c r="M109" s="538">
        <f>IF(K109&gt;0,VLOOKUP(H109,'[5]Pob. Ext, Parroquial'!$B$8:$F$117,4,FALSE),0)</f>
        <v>0</v>
      </c>
      <c r="N109" s="539" t="s">
        <v>219</v>
      </c>
      <c r="O109" s="540" t="s">
        <v>181</v>
      </c>
      <c r="P109" s="540">
        <v>0.35</v>
      </c>
      <c r="Q109" s="637">
        <v>5670</v>
      </c>
      <c r="R109" s="540"/>
      <c r="S109" s="541">
        <v>41791</v>
      </c>
      <c r="T109" s="541">
        <v>41820</v>
      </c>
      <c r="U109" s="542" t="str">
        <f>IF(T109&lt;$G$4,"EJECUTADO","EN EJECUCION")</f>
        <v>EJECUTADO</v>
      </c>
      <c r="V109" s="543">
        <f>ROUND(P109*Q109,2)</f>
        <v>1984.5</v>
      </c>
      <c r="W109" s="543"/>
      <c r="X109" s="543">
        <f>+(V109-W109)/3*4.5</f>
        <v>2976.75</v>
      </c>
      <c r="Y109" s="544"/>
      <c r="Z109" s="544"/>
      <c r="AA109" s="1081"/>
      <c r="AB109" s="640"/>
      <c r="AC109" s="545" t="s">
        <v>221</v>
      </c>
      <c r="AD109" s="545" t="s">
        <v>178</v>
      </c>
      <c r="AE109" s="546" t="s">
        <v>187</v>
      </c>
      <c r="AF109" s="547">
        <v>2014</v>
      </c>
      <c r="AG109" s="639"/>
      <c r="AH109" s="639"/>
    </row>
    <row r="110" spans="1:34" s="94" customFormat="1" ht="50.1" hidden="1" customHeight="1">
      <c r="A110" s="641"/>
      <c r="B110" s="654"/>
      <c r="C110" s="635" t="s">
        <v>182</v>
      </c>
      <c r="D110" s="1070"/>
      <c r="E110" s="655" t="str">
        <f>+E109</f>
        <v>MANTENIMIENTO VIAL P. QUIZANGA - LUCERO</v>
      </c>
      <c r="F110" s="536" t="s">
        <v>171</v>
      </c>
      <c r="G110" s="536" t="str">
        <f>VLOOKUP(H110,'[5]Pob. Ext, Parroquial'!$B$9:$C$117,2,0)</f>
        <v>CALVAS</v>
      </c>
      <c r="H110" s="536" t="s">
        <v>245</v>
      </c>
      <c r="I110" s="536" t="s">
        <v>173</v>
      </c>
      <c r="J110" s="536" t="s">
        <v>174</v>
      </c>
      <c r="K110" s="537"/>
      <c r="L110" s="537">
        <f>ROUNDUP(Q110/5.5/1000,2)</f>
        <v>4.91</v>
      </c>
      <c r="M110" s="538">
        <f>IF(K110&gt;0,VLOOKUP(H110,'[5]Pob. Ext, Parroquial'!$B$8:$F$117,4,FALSE),0)</f>
        <v>0</v>
      </c>
      <c r="N110" s="539" t="s">
        <v>183</v>
      </c>
      <c r="O110" s="540" t="s">
        <v>184</v>
      </c>
      <c r="P110" s="540">
        <v>0.35</v>
      </c>
      <c r="Q110" s="637">
        <v>27000</v>
      </c>
      <c r="R110" s="540"/>
      <c r="S110" s="541">
        <v>41791</v>
      </c>
      <c r="T110" s="541">
        <v>41820</v>
      </c>
      <c r="U110" s="542" t="str">
        <f>IF(T110&lt;$G$4,"EJECUTADO","EN EJECUCION")</f>
        <v>EJECUTADO</v>
      </c>
      <c r="V110" s="543">
        <f>ROUND(P110*Q110,2)</f>
        <v>9450</v>
      </c>
      <c r="W110" s="543"/>
      <c r="X110" s="543">
        <f>+(V110-W110)/3*4.5</f>
        <v>14175</v>
      </c>
      <c r="Y110" s="544"/>
      <c r="Z110" s="544"/>
      <c r="AA110" s="1081"/>
      <c r="AB110" s="640"/>
      <c r="AC110" s="545" t="s">
        <v>221</v>
      </c>
      <c r="AD110" s="545" t="s">
        <v>178</v>
      </c>
      <c r="AE110" s="546" t="s">
        <v>187</v>
      </c>
      <c r="AF110" s="547">
        <v>2014</v>
      </c>
      <c r="AG110" s="639"/>
      <c r="AH110" s="639"/>
    </row>
    <row r="111" spans="1:34" s="94" customFormat="1" ht="50.1" hidden="1" customHeight="1">
      <c r="A111" s="641"/>
      <c r="B111" s="654"/>
      <c r="C111" s="635" t="s">
        <v>169</v>
      </c>
      <c r="D111" s="1071"/>
      <c r="E111" s="655" t="str">
        <f>+E110</f>
        <v>MANTENIMIENTO VIAL P. QUIZANGA - LUCERO</v>
      </c>
      <c r="F111" s="536" t="s">
        <v>171</v>
      </c>
      <c r="G111" s="536" t="str">
        <f>VLOOKUP(H111,'[5]Pob. Ext, Parroquial'!$B$9:$C$117,2,0)</f>
        <v>CALVAS</v>
      </c>
      <c r="H111" s="536" t="s">
        <v>245</v>
      </c>
      <c r="I111" s="536" t="s">
        <v>173</v>
      </c>
      <c r="J111" s="536" t="s">
        <v>174</v>
      </c>
      <c r="K111" s="537"/>
      <c r="L111" s="537">
        <f>+ROUND(Q111/5500/0.2,2)</f>
        <v>1.47</v>
      </c>
      <c r="M111" s="538">
        <f>IF(K111&gt;0,VLOOKUP(H111,'[5]Pob. Ext, Parroquial'!$B$8:$F$117,4,FALSE),0)</f>
        <v>0</v>
      </c>
      <c r="N111" s="539" t="s">
        <v>229</v>
      </c>
      <c r="O111" s="540" t="s">
        <v>176</v>
      </c>
      <c r="P111" s="540">
        <v>5.92</v>
      </c>
      <c r="Q111" s="637">
        <v>1620</v>
      </c>
      <c r="R111" s="540"/>
      <c r="S111" s="541">
        <v>41791</v>
      </c>
      <c r="T111" s="541">
        <v>41820</v>
      </c>
      <c r="U111" s="542" t="str">
        <f>IF(T111&lt;$G$4,"EJECUTADO","EN EJECUCION")</f>
        <v>EJECUTADO</v>
      </c>
      <c r="V111" s="543">
        <f>ROUND(P111*Q111,2)</f>
        <v>9590.4</v>
      </c>
      <c r="W111" s="543"/>
      <c r="X111" s="543">
        <f>+(V111-W111)/3*4.5</f>
        <v>14385.599999999999</v>
      </c>
      <c r="Y111" s="544"/>
      <c r="Z111" s="544"/>
      <c r="AA111" s="1082"/>
      <c r="AB111" s="640"/>
      <c r="AC111" s="545" t="s">
        <v>221</v>
      </c>
      <c r="AD111" s="545" t="s">
        <v>178</v>
      </c>
      <c r="AE111" s="546" t="s">
        <v>187</v>
      </c>
      <c r="AF111" s="547">
        <v>2014</v>
      </c>
      <c r="AG111" s="639"/>
      <c r="AH111" s="639"/>
    </row>
    <row r="112" spans="1:34" s="94" customFormat="1" ht="68.45" hidden="1" customHeight="1">
      <c r="A112" s="1068"/>
      <c r="B112" s="650"/>
      <c r="C112" s="635" t="s">
        <v>169</v>
      </c>
      <c r="D112" s="1073" t="s">
        <v>263</v>
      </c>
      <c r="E112" s="636" t="str">
        <f>+D112</f>
        <v>CONVENIO DE MANTENIMIENTO DE LA VIA SOZORANGA - NUEVA FATIMA, CANTON SOZORANGA.
Longtud 13,30KM</v>
      </c>
      <c r="F112" s="536" t="s">
        <v>171</v>
      </c>
      <c r="G112" s="536" t="str">
        <f>VLOOKUP(H112,'[5]Pob. Ext, Parroquial'!$B$9:$C$117,2,0)</f>
        <v>SOZORANGA</v>
      </c>
      <c r="H112" s="536" t="s">
        <v>264</v>
      </c>
      <c r="I112" s="536" t="s">
        <v>265</v>
      </c>
      <c r="J112" s="536" t="s">
        <v>174</v>
      </c>
      <c r="K112" s="537">
        <v>13.3</v>
      </c>
      <c r="L112" s="537"/>
      <c r="M112" s="538">
        <f>IF(K112&gt;0,VLOOKUP(H112,'[5]Pob. Ext, Parroquial'!$B$8:$F$117,4,FALSE),0)</f>
        <v>642</v>
      </c>
      <c r="N112" s="539" t="s">
        <v>252</v>
      </c>
      <c r="O112" s="540" t="s">
        <v>176</v>
      </c>
      <c r="P112" s="540">
        <v>1.62</v>
      </c>
      <c r="Q112" s="637">
        <v>13340</v>
      </c>
      <c r="R112" s="540"/>
      <c r="S112" s="541">
        <v>41640</v>
      </c>
      <c r="T112" s="541">
        <v>41729</v>
      </c>
      <c r="U112" s="542" t="str">
        <f t="shared" si="9"/>
        <v>EJECUTADO</v>
      </c>
      <c r="V112" s="543">
        <f t="shared" si="10"/>
        <v>21610.799999999999</v>
      </c>
      <c r="W112" s="543">
        <v>16808.400000000001</v>
      </c>
      <c r="X112" s="543">
        <f t="shared" si="11"/>
        <v>7203.5999999999967</v>
      </c>
      <c r="Y112" s="544"/>
      <c r="Z112" s="544"/>
      <c r="AA112" s="1072">
        <f>SUM(V112:V120)</f>
        <v>172988.94000000003</v>
      </c>
      <c r="AB112" s="640"/>
      <c r="AC112" s="545" t="s">
        <v>177</v>
      </c>
      <c r="AD112" s="545" t="s">
        <v>178</v>
      </c>
      <c r="AE112" s="546" t="s">
        <v>187</v>
      </c>
      <c r="AF112" s="547">
        <v>2014</v>
      </c>
      <c r="AG112" s="639"/>
      <c r="AH112" s="639"/>
    </row>
    <row r="113" spans="1:34" s="94" customFormat="1" ht="76.150000000000006" hidden="1" customHeight="1">
      <c r="A113" s="1068"/>
      <c r="B113" s="656"/>
      <c r="C113" s="635" t="s">
        <v>182</v>
      </c>
      <c r="D113" s="1078"/>
      <c r="E113" s="655" t="str">
        <f t="shared" ref="E113:E120" si="15">+E112</f>
        <v>CONVENIO DE MANTENIMIENTO DE LA VIA SOZORANGA - NUEVA FATIMA, CANTON SOZORANGA.
Longtud 13,30KM</v>
      </c>
      <c r="F113" s="536" t="s">
        <v>171</v>
      </c>
      <c r="G113" s="536" t="str">
        <f>VLOOKUP(H113,'[5]Pob. Ext, Parroquial'!$B$9:$C$117,2,0)</f>
        <v>SOZORANGA</v>
      </c>
      <c r="H113" s="536" t="s">
        <v>264</v>
      </c>
      <c r="I113" s="536" t="s">
        <v>265</v>
      </c>
      <c r="J113" s="536" t="s">
        <v>174</v>
      </c>
      <c r="K113" s="537"/>
      <c r="L113" s="537"/>
      <c r="M113" s="538">
        <f>IF(K113&gt;0,VLOOKUP(H113,'[5]Pob. Ext, Parroquial'!$B$8:$F$117,4,FALSE),0)</f>
        <v>0</v>
      </c>
      <c r="N113" s="539" t="s">
        <v>200</v>
      </c>
      <c r="O113" s="540" t="s">
        <v>176</v>
      </c>
      <c r="P113" s="540">
        <v>1.46</v>
      </c>
      <c r="Q113" s="637">
        <v>6176</v>
      </c>
      <c r="R113" s="540"/>
      <c r="S113" s="541">
        <v>41640</v>
      </c>
      <c r="T113" s="541">
        <v>41729</v>
      </c>
      <c r="U113" s="542" t="str">
        <f t="shared" si="9"/>
        <v>EJECUTADO</v>
      </c>
      <c r="V113" s="543">
        <f t="shared" si="10"/>
        <v>9016.9599999999991</v>
      </c>
      <c r="W113" s="543">
        <v>8831.68</v>
      </c>
      <c r="X113" s="543">
        <f t="shared" si="11"/>
        <v>277.91999999999825</v>
      </c>
      <c r="Y113" s="544"/>
      <c r="Z113" s="544"/>
      <c r="AA113" s="1072"/>
      <c r="AB113" s="640"/>
      <c r="AC113" s="545" t="s">
        <v>177</v>
      </c>
      <c r="AD113" s="545" t="s">
        <v>178</v>
      </c>
      <c r="AE113" s="546" t="s">
        <v>187</v>
      </c>
      <c r="AF113" s="547">
        <v>2014</v>
      </c>
      <c r="AG113" s="639"/>
      <c r="AH113" s="639"/>
    </row>
    <row r="114" spans="1:34" s="94" customFormat="1" ht="72.599999999999994" hidden="1" customHeight="1">
      <c r="A114" s="1068"/>
      <c r="B114" s="656"/>
      <c r="C114" s="635" t="s">
        <v>182</v>
      </c>
      <c r="D114" s="1078"/>
      <c r="E114" s="655" t="str">
        <f t="shared" si="15"/>
        <v>CONVENIO DE MANTENIMIENTO DE LA VIA SOZORANGA - NUEVA FATIMA, CANTON SOZORANGA.
Longtud 13,30KM</v>
      </c>
      <c r="F114" s="536" t="s">
        <v>171</v>
      </c>
      <c r="G114" s="536" t="str">
        <f>VLOOKUP(H114,'[5]Pob. Ext, Parroquial'!$B$9:$C$117,2,0)</f>
        <v>SOZORANGA</v>
      </c>
      <c r="H114" s="536" t="s">
        <v>264</v>
      </c>
      <c r="I114" s="536" t="s">
        <v>265</v>
      </c>
      <c r="J114" s="536" t="s">
        <v>174</v>
      </c>
      <c r="K114" s="537"/>
      <c r="L114" s="537"/>
      <c r="M114" s="538">
        <f>IF(K114&gt;0,VLOOKUP(H114,'[5]Pob. Ext, Parroquial'!$B$8:$F$117,4,FALSE),0)</f>
        <v>0</v>
      </c>
      <c r="N114" s="539" t="s">
        <v>266</v>
      </c>
      <c r="O114" s="540" t="s">
        <v>181</v>
      </c>
      <c r="P114" s="540">
        <v>0.24</v>
      </c>
      <c r="Q114" s="637">
        <v>4328</v>
      </c>
      <c r="R114" s="540"/>
      <c r="S114" s="541">
        <v>41640</v>
      </c>
      <c r="T114" s="541">
        <v>41729</v>
      </c>
      <c r="U114" s="542" t="str">
        <f t="shared" si="9"/>
        <v>EJECUTADO</v>
      </c>
      <c r="V114" s="543">
        <f t="shared" si="10"/>
        <v>1038.72</v>
      </c>
      <c r="W114" s="543">
        <v>1038.72</v>
      </c>
      <c r="X114" s="543">
        <f t="shared" si="11"/>
        <v>0</v>
      </c>
      <c r="Y114" s="544"/>
      <c r="Z114" s="544"/>
      <c r="AA114" s="1072"/>
      <c r="AB114" s="640"/>
      <c r="AC114" s="545" t="s">
        <v>177</v>
      </c>
      <c r="AD114" s="545" t="s">
        <v>178</v>
      </c>
      <c r="AE114" s="546" t="s">
        <v>187</v>
      </c>
      <c r="AF114" s="547">
        <v>2014</v>
      </c>
      <c r="AG114" s="639"/>
      <c r="AH114" s="639"/>
    </row>
    <row r="115" spans="1:34" s="94" customFormat="1" ht="72.599999999999994" hidden="1" customHeight="1">
      <c r="A115" s="1068"/>
      <c r="B115" s="656"/>
      <c r="C115" s="635" t="s">
        <v>169</v>
      </c>
      <c r="D115" s="1078"/>
      <c r="E115" s="655" t="str">
        <f t="shared" si="15"/>
        <v>CONVENIO DE MANTENIMIENTO DE LA VIA SOZORANGA - NUEVA FATIMA, CANTON SOZORANGA.
Longtud 13,30KM</v>
      </c>
      <c r="F115" s="536" t="s">
        <v>171</v>
      </c>
      <c r="G115" s="536" t="str">
        <f>VLOOKUP(H115,'[5]Pob. Ext, Parroquial'!$B$9:$C$117,2,0)</f>
        <v>SOZORANGA</v>
      </c>
      <c r="H115" s="536" t="s">
        <v>264</v>
      </c>
      <c r="I115" s="536" t="s">
        <v>265</v>
      </c>
      <c r="J115" s="536" t="s">
        <v>174</v>
      </c>
      <c r="K115" s="537"/>
      <c r="L115" s="537"/>
      <c r="M115" s="538">
        <f>IF(K115&gt;0,VLOOKUP(H115,'[5]Pob. Ext, Parroquial'!$B$8:$F$117,4,FALSE),0)</f>
        <v>0</v>
      </c>
      <c r="N115" s="539" t="s">
        <v>219</v>
      </c>
      <c r="O115" s="540" t="s">
        <v>181</v>
      </c>
      <c r="P115" s="540">
        <v>0.35</v>
      </c>
      <c r="Q115" s="637">
        <v>95305.2</v>
      </c>
      <c r="R115" s="540"/>
      <c r="S115" s="541">
        <v>41640</v>
      </c>
      <c r="T115" s="541">
        <v>41729</v>
      </c>
      <c r="U115" s="542" t="str">
        <f t="shared" si="9"/>
        <v>EJECUTADO</v>
      </c>
      <c r="V115" s="543">
        <f t="shared" si="10"/>
        <v>33356.82</v>
      </c>
      <c r="W115" s="543">
        <v>33356.82</v>
      </c>
      <c r="X115" s="543">
        <f t="shared" si="11"/>
        <v>0</v>
      </c>
      <c r="Y115" s="544"/>
      <c r="Z115" s="544"/>
      <c r="AA115" s="1072"/>
      <c r="AB115" s="640"/>
      <c r="AC115" s="545" t="s">
        <v>177</v>
      </c>
      <c r="AD115" s="545" t="s">
        <v>178</v>
      </c>
      <c r="AE115" s="546" t="s">
        <v>187</v>
      </c>
      <c r="AF115" s="547">
        <v>2014</v>
      </c>
      <c r="AG115" s="639"/>
      <c r="AH115" s="639"/>
    </row>
    <row r="116" spans="1:34" s="94" customFormat="1" ht="68.45" hidden="1" customHeight="1">
      <c r="A116" s="1068"/>
      <c r="B116" s="656"/>
      <c r="C116" s="635" t="s">
        <v>182</v>
      </c>
      <c r="D116" s="1078"/>
      <c r="E116" s="655" t="str">
        <f t="shared" si="15"/>
        <v>CONVENIO DE MANTENIMIENTO DE LA VIA SOZORANGA - NUEVA FATIMA, CANTON SOZORANGA.
Longtud 13,30KM</v>
      </c>
      <c r="F116" s="536" t="s">
        <v>171</v>
      </c>
      <c r="G116" s="536" t="str">
        <f>VLOOKUP(H116,'[5]Pob. Ext, Parroquial'!$B$9:$C$117,2,0)</f>
        <v>SOZORANGA</v>
      </c>
      <c r="H116" s="536" t="s">
        <v>264</v>
      </c>
      <c r="I116" s="536" t="s">
        <v>265</v>
      </c>
      <c r="J116" s="536" t="s">
        <v>174</v>
      </c>
      <c r="K116" s="537"/>
      <c r="L116" s="537">
        <f>ROUNDUP(Q116/5.5/1000,2)</f>
        <v>9.74</v>
      </c>
      <c r="M116" s="538">
        <f>IF(K116&gt;0,VLOOKUP(H116,'[5]Pob. Ext, Parroquial'!$B$8:$F$117,4,FALSE),0)</f>
        <v>0</v>
      </c>
      <c r="N116" s="539" t="s">
        <v>185</v>
      </c>
      <c r="O116" s="540" t="s">
        <v>184</v>
      </c>
      <c r="P116" s="540">
        <v>0.08</v>
      </c>
      <c r="Q116" s="637">
        <v>53520</v>
      </c>
      <c r="R116" s="540"/>
      <c r="S116" s="541">
        <v>41640</v>
      </c>
      <c r="T116" s="541">
        <v>41729</v>
      </c>
      <c r="U116" s="542" t="str">
        <f t="shared" si="9"/>
        <v>EJECUTADO</v>
      </c>
      <c r="V116" s="543">
        <f t="shared" si="10"/>
        <v>4281.6000000000004</v>
      </c>
      <c r="W116" s="543">
        <f>+V116</f>
        <v>4281.6000000000004</v>
      </c>
      <c r="X116" s="543">
        <f t="shared" si="11"/>
        <v>0</v>
      </c>
      <c r="Y116" s="544"/>
      <c r="Z116" s="544"/>
      <c r="AA116" s="1072"/>
      <c r="AB116" s="640"/>
      <c r="AC116" s="545" t="s">
        <v>177</v>
      </c>
      <c r="AD116" s="545" t="s">
        <v>178</v>
      </c>
      <c r="AE116" s="546" t="s">
        <v>187</v>
      </c>
      <c r="AF116" s="547">
        <v>2014</v>
      </c>
      <c r="AG116" s="639"/>
      <c r="AH116" s="639"/>
    </row>
    <row r="117" spans="1:34" s="94" customFormat="1" ht="60.6" hidden="1" customHeight="1">
      <c r="A117" s="1068"/>
      <c r="B117" s="656"/>
      <c r="C117" s="635" t="s">
        <v>182</v>
      </c>
      <c r="D117" s="1078"/>
      <c r="E117" s="655" t="str">
        <f t="shared" si="15"/>
        <v>CONVENIO DE MANTENIMIENTO DE LA VIA SOZORANGA - NUEVA FATIMA, CANTON SOZORANGA.
Longtud 13,30KM</v>
      </c>
      <c r="F117" s="536" t="s">
        <v>171</v>
      </c>
      <c r="G117" s="536" t="str">
        <f>VLOOKUP(H117,'[5]Pob. Ext, Parroquial'!$B$9:$C$117,2,0)</f>
        <v>SOZORANGA</v>
      </c>
      <c r="H117" s="536" t="s">
        <v>264</v>
      </c>
      <c r="I117" s="536" t="s">
        <v>265</v>
      </c>
      <c r="J117" s="536" t="s">
        <v>174</v>
      </c>
      <c r="K117" s="537"/>
      <c r="L117" s="537">
        <f>ROUNDUP(Q117/5.5/1000,2)</f>
        <v>4.87</v>
      </c>
      <c r="M117" s="538">
        <f>IF(K117&gt;0,VLOOKUP(H117,'[5]Pob. Ext, Parroquial'!$B$8:$F$117,4,FALSE),0)</f>
        <v>0</v>
      </c>
      <c r="N117" s="539" t="s">
        <v>183</v>
      </c>
      <c r="O117" s="540" t="s">
        <v>184</v>
      </c>
      <c r="P117" s="540">
        <v>0.35</v>
      </c>
      <c r="Q117" s="637">
        <v>26760</v>
      </c>
      <c r="R117" s="540"/>
      <c r="S117" s="541">
        <v>41640</v>
      </c>
      <c r="T117" s="541">
        <v>41729</v>
      </c>
      <c r="U117" s="542" t="str">
        <f t="shared" si="9"/>
        <v>EJECUTADO</v>
      </c>
      <c r="V117" s="543">
        <f t="shared" si="10"/>
        <v>9366</v>
      </c>
      <c r="W117" s="543">
        <f>+V117</f>
        <v>9366</v>
      </c>
      <c r="X117" s="543">
        <f t="shared" si="11"/>
        <v>0</v>
      </c>
      <c r="Y117" s="544"/>
      <c r="Z117" s="544"/>
      <c r="AA117" s="1072"/>
      <c r="AB117" s="640"/>
      <c r="AC117" s="545" t="s">
        <v>177</v>
      </c>
      <c r="AD117" s="545" t="s">
        <v>178</v>
      </c>
      <c r="AE117" s="546" t="s">
        <v>187</v>
      </c>
      <c r="AF117" s="547">
        <v>2014</v>
      </c>
      <c r="AG117" s="657">
        <f>SUM(AA11:AA446)</f>
        <v>4240898.95</v>
      </c>
      <c r="AH117" s="639"/>
    </row>
    <row r="118" spans="1:34" s="94" customFormat="1" ht="67.150000000000006" hidden="1" customHeight="1">
      <c r="A118" s="1068"/>
      <c r="B118" s="656"/>
      <c r="C118" s="635" t="s">
        <v>169</v>
      </c>
      <c r="D118" s="1078"/>
      <c r="E118" s="655" t="str">
        <f t="shared" si="15"/>
        <v>CONVENIO DE MANTENIMIENTO DE LA VIA SOZORANGA - NUEVA FATIMA, CANTON SOZORANGA.
Longtud 13,30KM</v>
      </c>
      <c r="F118" s="536" t="s">
        <v>171</v>
      </c>
      <c r="G118" s="536" t="str">
        <f>VLOOKUP(H118,'[5]Pob. Ext, Parroquial'!$B$9:$C$117,2,0)</f>
        <v>SOZORANGA</v>
      </c>
      <c r="H118" s="536" t="s">
        <v>264</v>
      </c>
      <c r="I118" s="536" t="s">
        <v>265</v>
      </c>
      <c r="J118" s="536" t="s">
        <v>174</v>
      </c>
      <c r="K118" s="537"/>
      <c r="L118" s="537">
        <f>+ROUND(Q118/5500/0.2,2)</f>
        <v>10.79</v>
      </c>
      <c r="M118" s="538">
        <f>IF(K118&gt;0,VLOOKUP(H118,'[5]Pob. Ext, Parroquial'!$B$8:$F$117,4,FALSE),0)</f>
        <v>0</v>
      </c>
      <c r="N118" s="539" t="s">
        <v>229</v>
      </c>
      <c r="O118" s="540" t="s">
        <v>176</v>
      </c>
      <c r="P118" s="540">
        <v>5.92</v>
      </c>
      <c r="Q118" s="637">
        <v>11868</v>
      </c>
      <c r="R118" s="540"/>
      <c r="S118" s="541">
        <v>41640</v>
      </c>
      <c r="T118" s="541">
        <v>41729</v>
      </c>
      <c r="U118" s="542" t="str">
        <f t="shared" si="9"/>
        <v>EJECUTADO</v>
      </c>
      <c r="V118" s="543">
        <f t="shared" si="10"/>
        <v>70258.559999999998</v>
      </c>
      <c r="W118" s="543">
        <v>52575.24</v>
      </c>
      <c r="X118" s="543">
        <f t="shared" si="11"/>
        <v>26524.98</v>
      </c>
      <c r="Y118" s="544"/>
      <c r="Z118" s="544"/>
      <c r="AA118" s="1072"/>
      <c r="AB118" s="640"/>
      <c r="AC118" s="545" t="s">
        <v>177</v>
      </c>
      <c r="AD118" s="545" t="s">
        <v>178</v>
      </c>
      <c r="AE118" s="546" t="s">
        <v>187</v>
      </c>
      <c r="AF118" s="547">
        <v>2014</v>
      </c>
      <c r="AG118" s="657"/>
      <c r="AH118" s="639"/>
    </row>
    <row r="119" spans="1:34" s="94" customFormat="1" ht="75" hidden="1" customHeight="1">
      <c r="A119" s="1068"/>
      <c r="B119" s="656"/>
      <c r="C119" s="635" t="s">
        <v>182</v>
      </c>
      <c r="D119" s="1078"/>
      <c r="E119" s="655" t="str">
        <f t="shared" si="15"/>
        <v>CONVENIO DE MANTENIMIENTO DE LA VIA SOZORANGA - NUEVA FATIMA, CANTON SOZORANGA.
Longtud 13,30KM</v>
      </c>
      <c r="F119" s="536" t="s">
        <v>171</v>
      </c>
      <c r="G119" s="536" t="str">
        <f>VLOOKUP(H119,'[5]Pob. Ext, Parroquial'!$B$9:$C$117,2,0)</f>
        <v>SOZORANGA</v>
      </c>
      <c r="H119" s="536" t="s">
        <v>264</v>
      </c>
      <c r="I119" s="536" t="s">
        <v>265</v>
      </c>
      <c r="J119" s="536" t="s">
        <v>174</v>
      </c>
      <c r="K119" s="537"/>
      <c r="L119" s="537"/>
      <c r="M119" s="538">
        <f>IF(K119&gt;0,VLOOKUP(H119,'[5]Pob. Ext, Parroquial'!$B$8:$F$117,4,FALSE),0)</f>
        <v>0</v>
      </c>
      <c r="N119" s="539" t="s">
        <v>248</v>
      </c>
      <c r="O119" s="540" t="s">
        <v>176</v>
      </c>
      <c r="P119" s="540">
        <v>16.128</v>
      </c>
      <c r="Q119" s="637">
        <v>410</v>
      </c>
      <c r="R119" s="540"/>
      <c r="S119" s="541">
        <v>41640</v>
      </c>
      <c r="T119" s="541">
        <v>41729</v>
      </c>
      <c r="U119" s="542" t="str">
        <f t="shared" si="9"/>
        <v>EJECUTADO</v>
      </c>
      <c r="V119" s="543">
        <f t="shared" si="10"/>
        <v>6612.48</v>
      </c>
      <c r="W119" s="543">
        <v>6612.48</v>
      </c>
      <c r="X119" s="543">
        <f t="shared" si="11"/>
        <v>0</v>
      </c>
      <c r="Y119" s="544"/>
      <c r="Z119" s="544"/>
      <c r="AA119" s="1072"/>
      <c r="AB119" s="640"/>
      <c r="AC119" s="545" t="s">
        <v>177</v>
      </c>
      <c r="AD119" s="545" t="s">
        <v>178</v>
      </c>
      <c r="AE119" s="546" t="s">
        <v>187</v>
      </c>
      <c r="AF119" s="547">
        <v>2014</v>
      </c>
      <c r="AG119" s="657"/>
      <c r="AH119" s="639"/>
    </row>
    <row r="120" spans="1:34" s="94" customFormat="1" ht="75" hidden="1" customHeight="1">
      <c r="A120" s="1068"/>
      <c r="B120" s="658"/>
      <c r="C120" s="635" t="s">
        <v>182</v>
      </c>
      <c r="D120" s="1074"/>
      <c r="E120" s="655" t="str">
        <f t="shared" si="15"/>
        <v>CONVENIO DE MANTENIMIENTO DE LA VIA SOZORANGA - NUEVA FATIMA, CANTON SOZORANGA.
Longtud 13,30KM</v>
      </c>
      <c r="F120" s="536" t="s">
        <v>171</v>
      </c>
      <c r="G120" s="536" t="str">
        <f>VLOOKUP(H120,'[5]Pob. Ext, Parroquial'!$B$9:$C$117,2,0)</f>
        <v>SOZORANGA</v>
      </c>
      <c r="H120" s="652" t="s">
        <v>264</v>
      </c>
      <c r="I120" s="536" t="s">
        <v>173</v>
      </c>
      <c r="J120" s="536" t="s">
        <v>174</v>
      </c>
      <c r="K120" s="537"/>
      <c r="L120" s="537"/>
      <c r="M120" s="538">
        <f>IF(K120&gt;0,VLOOKUP(H120,'[5]Pob. Ext, Parroquial'!$B$8:$F$117,4,FALSE),0)</f>
        <v>0</v>
      </c>
      <c r="N120" s="539" t="s">
        <v>200</v>
      </c>
      <c r="O120" s="540" t="s">
        <v>176</v>
      </c>
      <c r="P120" s="540">
        <v>1.46</v>
      </c>
      <c r="Q120" s="637">
        <v>11950</v>
      </c>
      <c r="R120" s="540"/>
      <c r="S120" s="541">
        <v>41640</v>
      </c>
      <c r="T120" s="541">
        <v>41790</v>
      </c>
      <c r="U120" s="542" t="str">
        <f t="shared" si="9"/>
        <v>EJECUTADO</v>
      </c>
      <c r="V120" s="543">
        <f t="shared" si="10"/>
        <v>17447</v>
      </c>
      <c r="W120" s="543">
        <v>5648.5</v>
      </c>
      <c r="X120" s="543">
        <f t="shared" si="11"/>
        <v>17697.75</v>
      </c>
      <c r="Y120" s="544"/>
      <c r="Z120" s="544"/>
      <c r="AA120" s="1072"/>
      <c r="AB120" s="640"/>
      <c r="AC120" s="545" t="s">
        <v>177</v>
      </c>
      <c r="AD120" s="545" t="s">
        <v>178</v>
      </c>
      <c r="AE120" s="546" t="s">
        <v>187</v>
      </c>
      <c r="AF120" s="547">
        <v>2014</v>
      </c>
      <c r="AG120" s="657"/>
      <c r="AH120" s="639"/>
    </row>
    <row r="121" spans="1:34" s="94" customFormat="1" ht="82.5" hidden="1" customHeight="1">
      <c r="A121" s="641"/>
      <c r="B121" s="635"/>
      <c r="C121" s="635" t="s">
        <v>182</v>
      </c>
      <c r="D121" s="647" t="s">
        <v>267</v>
      </c>
      <c r="E121" s="636" t="str">
        <f t="shared" ref="E121:E193" si="16">+D121</f>
        <v>MANTENIMIENTO RUTINARIO VIAL EN LOS CANTONES CALVAS, ESPINDOLA, GONZANAMÁ, QUILANGA Y SOZORANGA (CONTRATO SIE-NRO.821-VIALSUR E.P.-2013)</v>
      </c>
      <c r="F121" s="536" t="s">
        <v>171</v>
      </c>
      <c r="G121" s="536" t="s">
        <v>272</v>
      </c>
      <c r="H121" s="536" t="s">
        <v>1079</v>
      </c>
      <c r="I121" s="536" t="s">
        <v>270</v>
      </c>
      <c r="J121" s="536" t="s">
        <v>174</v>
      </c>
      <c r="K121" s="537">
        <f t="shared" ref="K121:K125" si="17">92.72/6</f>
        <v>15.453333333333333</v>
      </c>
      <c r="L121" s="537">
        <f t="shared" ref="L121:L125" si="18">ROUNDUP(Q121/5.5/1000,2)/6</f>
        <v>4.2350000000000003</v>
      </c>
      <c r="M121" s="538">
        <v>677.77777777777783</v>
      </c>
      <c r="N121" s="539" t="s">
        <v>185</v>
      </c>
      <c r="O121" s="540" t="s">
        <v>184</v>
      </c>
      <c r="P121" s="540">
        <v>0.08</v>
      </c>
      <c r="Q121" s="637">
        <f t="shared" ref="Q121:Q125" si="19">838425/6</f>
        <v>139737.5</v>
      </c>
      <c r="R121" s="540"/>
      <c r="S121" s="541">
        <v>41640</v>
      </c>
      <c r="T121" s="541">
        <v>41698</v>
      </c>
      <c r="U121" s="542" t="str">
        <f t="shared" si="9"/>
        <v>EJECUTADO</v>
      </c>
      <c r="V121" s="543">
        <f t="shared" si="10"/>
        <v>11179</v>
      </c>
      <c r="W121" s="543">
        <v>63049.56</v>
      </c>
      <c r="X121" s="543">
        <f t="shared" si="11"/>
        <v>-77805.84</v>
      </c>
      <c r="Y121" s="544"/>
      <c r="Z121" s="544"/>
      <c r="AA121" s="643">
        <f>V121+Y121+Z121</f>
        <v>11179</v>
      </c>
      <c r="AB121" s="640"/>
      <c r="AC121" s="545" t="s">
        <v>177</v>
      </c>
      <c r="AD121" s="545" t="s">
        <v>178</v>
      </c>
      <c r="AE121" s="546" t="s">
        <v>187</v>
      </c>
      <c r="AF121" s="547">
        <v>2014</v>
      </c>
      <c r="AG121" s="657"/>
      <c r="AH121" s="639"/>
    </row>
    <row r="122" spans="1:34" s="94" customFormat="1" ht="82.5" hidden="1" customHeight="1">
      <c r="A122" s="641"/>
      <c r="B122" s="635"/>
      <c r="C122" s="635" t="s">
        <v>182</v>
      </c>
      <c r="D122" s="647" t="s">
        <v>267</v>
      </c>
      <c r="E122" s="636" t="str">
        <f t="shared" si="16"/>
        <v>MANTENIMIENTO RUTINARIO VIAL EN LOS CANTONES CALVAS, ESPINDOLA, GONZANAMÁ, QUILANGA Y SOZORANGA (CONTRATO SIE-NRO.821-VIALSUR E.P.-2013)</v>
      </c>
      <c r="F122" s="536" t="s">
        <v>171</v>
      </c>
      <c r="G122" s="536" t="s">
        <v>590</v>
      </c>
      <c r="H122" s="536" t="s">
        <v>172</v>
      </c>
      <c r="I122" s="536" t="s">
        <v>270</v>
      </c>
      <c r="J122" s="536" t="s">
        <v>174</v>
      </c>
      <c r="K122" s="537">
        <f t="shared" si="17"/>
        <v>15.453333333333333</v>
      </c>
      <c r="L122" s="537">
        <f t="shared" si="18"/>
        <v>4.2350000000000003</v>
      </c>
      <c r="M122" s="538">
        <v>677.77777777777783</v>
      </c>
      <c r="N122" s="539" t="s">
        <v>185</v>
      </c>
      <c r="O122" s="540" t="s">
        <v>184</v>
      </c>
      <c r="P122" s="540">
        <v>0.08</v>
      </c>
      <c r="Q122" s="637">
        <f t="shared" si="19"/>
        <v>139737.5</v>
      </c>
      <c r="R122" s="540"/>
      <c r="S122" s="541">
        <v>41640</v>
      </c>
      <c r="T122" s="541">
        <v>41698</v>
      </c>
      <c r="U122" s="542" t="str">
        <f t="shared" si="9"/>
        <v>EJECUTADO</v>
      </c>
      <c r="V122" s="543">
        <f t="shared" si="10"/>
        <v>11179</v>
      </c>
      <c r="W122" s="543">
        <v>63049.56</v>
      </c>
      <c r="X122" s="543">
        <f t="shared" si="11"/>
        <v>-77805.84</v>
      </c>
      <c r="Y122" s="544"/>
      <c r="Z122" s="544"/>
      <c r="AA122" s="643">
        <f t="shared" ref="AA122:AA126" si="20">V122+Y122+Z122</f>
        <v>11179</v>
      </c>
      <c r="AB122" s="640"/>
      <c r="AC122" s="545" t="s">
        <v>177</v>
      </c>
      <c r="AD122" s="545" t="s">
        <v>178</v>
      </c>
      <c r="AE122" s="546" t="s">
        <v>187</v>
      </c>
      <c r="AF122" s="547">
        <v>2014</v>
      </c>
      <c r="AG122" s="657"/>
      <c r="AH122" s="639"/>
    </row>
    <row r="123" spans="1:34" s="94" customFormat="1" ht="82.5" hidden="1" customHeight="1">
      <c r="A123" s="641"/>
      <c r="B123" s="635"/>
      <c r="C123" s="635" t="s">
        <v>182</v>
      </c>
      <c r="D123" s="647" t="s">
        <v>267</v>
      </c>
      <c r="E123" s="636" t="str">
        <f t="shared" si="16"/>
        <v>MANTENIMIENTO RUTINARIO VIAL EN LOS CANTONES CALVAS, ESPINDOLA, GONZANAMÁ, QUILANGA Y SOZORANGA (CONTRATO SIE-NRO.821-VIALSUR E.P.-2013)</v>
      </c>
      <c r="F123" s="536" t="s">
        <v>171</v>
      </c>
      <c r="G123" s="536" t="s">
        <v>590</v>
      </c>
      <c r="H123" s="536" t="s">
        <v>205</v>
      </c>
      <c r="I123" s="536" t="s">
        <v>270</v>
      </c>
      <c r="J123" s="536" t="s">
        <v>174</v>
      </c>
      <c r="K123" s="537">
        <f t="shared" si="17"/>
        <v>15.453333333333333</v>
      </c>
      <c r="L123" s="537">
        <f t="shared" si="18"/>
        <v>4.2350000000000003</v>
      </c>
      <c r="M123" s="538">
        <v>677.77777777777783</v>
      </c>
      <c r="N123" s="539" t="s">
        <v>185</v>
      </c>
      <c r="O123" s="540" t="s">
        <v>184</v>
      </c>
      <c r="P123" s="540">
        <v>0.08</v>
      </c>
      <c r="Q123" s="637">
        <f t="shared" si="19"/>
        <v>139737.5</v>
      </c>
      <c r="R123" s="540"/>
      <c r="S123" s="541">
        <v>41640</v>
      </c>
      <c r="T123" s="541">
        <v>41698</v>
      </c>
      <c r="U123" s="542" t="str">
        <f t="shared" si="9"/>
        <v>EJECUTADO</v>
      </c>
      <c r="V123" s="543">
        <f t="shared" si="10"/>
        <v>11179</v>
      </c>
      <c r="W123" s="543">
        <v>63049.56</v>
      </c>
      <c r="X123" s="543">
        <f t="shared" si="11"/>
        <v>-77805.84</v>
      </c>
      <c r="Y123" s="544"/>
      <c r="Z123" s="544"/>
      <c r="AA123" s="643">
        <f t="shared" si="20"/>
        <v>11179</v>
      </c>
      <c r="AB123" s="640"/>
      <c r="AC123" s="545" t="s">
        <v>177</v>
      </c>
      <c r="AD123" s="545" t="s">
        <v>178</v>
      </c>
      <c r="AE123" s="546" t="s">
        <v>187</v>
      </c>
      <c r="AF123" s="547">
        <v>2014</v>
      </c>
      <c r="AG123" s="657"/>
      <c r="AH123" s="639"/>
    </row>
    <row r="124" spans="1:34" s="94" customFormat="1" ht="82.5" hidden="1" customHeight="1">
      <c r="A124" s="641"/>
      <c r="B124" s="635"/>
      <c r="C124" s="635" t="s">
        <v>182</v>
      </c>
      <c r="D124" s="647" t="s">
        <v>267</v>
      </c>
      <c r="E124" s="636" t="str">
        <f t="shared" si="16"/>
        <v>MANTENIMIENTO RUTINARIO VIAL EN LOS CANTONES CALVAS, ESPINDOLA, GONZANAMÁ, QUILANGA Y SOZORANGA (CONTRATO SIE-NRO.821-VIALSUR E.P.-2013)</v>
      </c>
      <c r="F124" s="536" t="s">
        <v>171</v>
      </c>
      <c r="G124" s="536" t="s">
        <v>199</v>
      </c>
      <c r="H124" s="536" t="s">
        <v>637</v>
      </c>
      <c r="I124" s="536" t="s">
        <v>270</v>
      </c>
      <c r="J124" s="536" t="s">
        <v>174</v>
      </c>
      <c r="K124" s="537">
        <f t="shared" si="17"/>
        <v>15.453333333333333</v>
      </c>
      <c r="L124" s="537">
        <f t="shared" si="18"/>
        <v>4.2350000000000003</v>
      </c>
      <c r="M124" s="538">
        <v>677.77777777777783</v>
      </c>
      <c r="N124" s="539" t="s">
        <v>185</v>
      </c>
      <c r="O124" s="540" t="s">
        <v>184</v>
      </c>
      <c r="P124" s="540">
        <v>0.08</v>
      </c>
      <c r="Q124" s="637">
        <f t="shared" si="19"/>
        <v>139737.5</v>
      </c>
      <c r="R124" s="540"/>
      <c r="S124" s="541">
        <v>41640</v>
      </c>
      <c r="T124" s="541">
        <v>41698</v>
      </c>
      <c r="U124" s="542" t="str">
        <f t="shared" si="9"/>
        <v>EJECUTADO</v>
      </c>
      <c r="V124" s="543">
        <f t="shared" si="10"/>
        <v>11179</v>
      </c>
      <c r="W124" s="543">
        <v>63049.56</v>
      </c>
      <c r="X124" s="543">
        <f t="shared" si="11"/>
        <v>-77805.84</v>
      </c>
      <c r="Y124" s="544"/>
      <c r="Z124" s="544"/>
      <c r="AA124" s="643">
        <f t="shared" si="20"/>
        <v>11179</v>
      </c>
      <c r="AB124" s="640"/>
      <c r="AC124" s="545" t="s">
        <v>177</v>
      </c>
      <c r="AD124" s="545" t="s">
        <v>178</v>
      </c>
      <c r="AE124" s="546" t="s">
        <v>187</v>
      </c>
      <c r="AF124" s="547">
        <v>2014</v>
      </c>
      <c r="AG124" s="657"/>
      <c r="AH124" s="639"/>
    </row>
    <row r="125" spans="1:34" s="94" customFormat="1" ht="82.5" hidden="1" customHeight="1">
      <c r="A125" s="641"/>
      <c r="B125" s="635"/>
      <c r="C125" s="635" t="s">
        <v>182</v>
      </c>
      <c r="D125" s="647" t="s">
        <v>267</v>
      </c>
      <c r="E125" s="636" t="str">
        <f t="shared" si="16"/>
        <v>MANTENIMIENTO RUTINARIO VIAL EN LOS CANTONES CALVAS, ESPINDOLA, GONZANAMÁ, QUILANGA Y SOZORANGA (CONTRATO SIE-NRO.821-VIALSUR E.P.-2013)</v>
      </c>
      <c r="F125" s="536" t="s">
        <v>171</v>
      </c>
      <c r="G125" s="536" t="s">
        <v>1080</v>
      </c>
      <c r="H125" s="536" t="s">
        <v>239</v>
      </c>
      <c r="I125" s="536" t="s">
        <v>270</v>
      </c>
      <c r="J125" s="536" t="s">
        <v>174</v>
      </c>
      <c r="K125" s="537">
        <f t="shared" si="17"/>
        <v>15.453333333333333</v>
      </c>
      <c r="L125" s="537">
        <f t="shared" si="18"/>
        <v>4.2350000000000003</v>
      </c>
      <c r="M125" s="538">
        <v>677.77777777777783</v>
      </c>
      <c r="N125" s="539" t="s">
        <v>185</v>
      </c>
      <c r="O125" s="540" t="s">
        <v>184</v>
      </c>
      <c r="P125" s="540">
        <v>0.08</v>
      </c>
      <c r="Q125" s="637">
        <f t="shared" si="19"/>
        <v>139737.5</v>
      </c>
      <c r="R125" s="540"/>
      <c r="S125" s="541">
        <v>41640</v>
      </c>
      <c r="T125" s="541">
        <v>41698</v>
      </c>
      <c r="U125" s="542" t="str">
        <f t="shared" si="9"/>
        <v>EJECUTADO</v>
      </c>
      <c r="V125" s="543">
        <f t="shared" si="10"/>
        <v>11179</v>
      </c>
      <c r="W125" s="543">
        <v>63049.56</v>
      </c>
      <c r="X125" s="543">
        <f t="shared" si="11"/>
        <v>-77805.84</v>
      </c>
      <c r="Y125" s="544"/>
      <c r="Z125" s="544"/>
      <c r="AA125" s="643">
        <f t="shared" si="20"/>
        <v>11179</v>
      </c>
      <c r="AB125" s="640"/>
      <c r="AC125" s="545" t="s">
        <v>177</v>
      </c>
      <c r="AD125" s="545" t="s">
        <v>178</v>
      </c>
      <c r="AE125" s="546" t="s">
        <v>187</v>
      </c>
      <c r="AF125" s="547">
        <v>2014</v>
      </c>
      <c r="AG125" s="657"/>
      <c r="AH125" s="639"/>
    </row>
    <row r="126" spans="1:34" s="94" customFormat="1" ht="82.5" hidden="1" customHeight="1">
      <c r="A126" s="641"/>
      <c r="B126" s="635"/>
      <c r="C126" s="635" t="s">
        <v>182</v>
      </c>
      <c r="D126" s="647" t="s">
        <v>267</v>
      </c>
      <c r="E126" s="636" t="str">
        <f t="shared" si="16"/>
        <v>MANTENIMIENTO RUTINARIO VIAL EN LOS CANTONES CALVAS, ESPINDOLA, GONZANAMÁ, QUILANGA Y SOZORANGA (CONTRATO SIE-NRO.821-VIALSUR E.P.-2013)</v>
      </c>
      <c r="F126" s="536" t="s">
        <v>171</v>
      </c>
      <c r="G126" s="536" t="s">
        <v>654</v>
      </c>
      <c r="H126" s="536" t="s">
        <v>654</v>
      </c>
      <c r="I126" s="536" t="s">
        <v>270</v>
      </c>
      <c r="J126" s="536" t="s">
        <v>174</v>
      </c>
      <c r="K126" s="537">
        <f>92.72/6</f>
        <v>15.453333333333333</v>
      </c>
      <c r="L126" s="537">
        <f>ROUNDUP(Q126/5.5/1000,2)/6</f>
        <v>4.2350000000000003</v>
      </c>
      <c r="M126" s="538">
        <v>677.77777777777783</v>
      </c>
      <c r="N126" s="539" t="s">
        <v>185</v>
      </c>
      <c r="O126" s="540" t="s">
        <v>184</v>
      </c>
      <c r="P126" s="540">
        <v>0.08</v>
      </c>
      <c r="Q126" s="637">
        <f>838425/6</f>
        <v>139737.5</v>
      </c>
      <c r="R126" s="540"/>
      <c r="S126" s="541">
        <v>41640</v>
      </c>
      <c r="T126" s="541">
        <v>41698</v>
      </c>
      <c r="U126" s="542" t="str">
        <f t="shared" si="9"/>
        <v>EJECUTADO</v>
      </c>
      <c r="V126" s="543">
        <f t="shared" si="10"/>
        <v>11179</v>
      </c>
      <c r="W126" s="543">
        <v>63049.56</v>
      </c>
      <c r="X126" s="543">
        <f t="shared" si="11"/>
        <v>-77805.84</v>
      </c>
      <c r="Y126" s="544"/>
      <c r="Z126" s="544"/>
      <c r="AA126" s="643">
        <f t="shared" si="20"/>
        <v>11179</v>
      </c>
      <c r="AB126" s="640"/>
      <c r="AC126" s="545" t="s">
        <v>177</v>
      </c>
      <c r="AD126" s="545" t="s">
        <v>178</v>
      </c>
      <c r="AE126" s="546" t="s">
        <v>187</v>
      </c>
      <c r="AF126" s="547">
        <v>2014</v>
      </c>
      <c r="AG126" s="657"/>
      <c r="AH126" s="639"/>
    </row>
    <row r="127" spans="1:34" s="94" customFormat="1" ht="76.5" hidden="1" customHeight="1">
      <c r="A127" s="641"/>
      <c r="B127" s="649"/>
      <c r="C127" s="635" t="s">
        <v>182</v>
      </c>
      <c r="D127" s="659" t="s">
        <v>773</v>
      </c>
      <c r="E127" s="636" t="str">
        <f t="shared" si="16"/>
        <v>VIA MERCADILLO CHITOQUE GAUTUNUMA</v>
      </c>
      <c r="F127" s="536" t="s">
        <v>275</v>
      </c>
      <c r="G127" s="536" t="str">
        <f>VLOOKUP(H127,'[5]Pob. Ext, Parroquial'!$B$9:$C$117,2,0)</f>
        <v>PUYANGO</v>
      </c>
      <c r="H127" s="536" t="s">
        <v>634</v>
      </c>
      <c r="I127" s="536" t="s">
        <v>173</v>
      </c>
      <c r="J127" s="536" t="s">
        <v>174</v>
      </c>
      <c r="K127" s="537">
        <v>9</v>
      </c>
      <c r="L127" s="537"/>
      <c r="M127" s="538">
        <f>IF(K127&gt;0,VLOOKUP(H127,'[5]Pob. Ext, Parroquial'!$B$8:$F$117,4,FALSE),0)</f>
        <v>489</v>
      </c>
      <c r="N127" s="539" t="s">
        <v>276</v>
      </c>
      <c r="O127" s="540" t="s">
        <v>277</v>
      </c>
      <c r="P127" s="540">
        <v>948.16</v>
      </c>
      <c r="Q127" s="540">
        <v>1</v>
      </c>
      <c r="R127" s="540"/>
      <c r="S127" s="541">
        <v>41883</v>
      </c>
      <c r="T127" s="541">
        <v>41942</v>
      </c>
      <c r="U127" s="542" t="str">
        <f t="shared" si="9"/>
        <v>EJECUTADO</v>
      </c>
      <c r="V127" s="543">
        <f t="shared" si="10"/>
        <v>948.16</v>
      </c>
      <c r="W127" s="543">
        <v>0</v>
      </c>
      <c r="X127" s="543">
        <f t="shared" si="11"/>
        <v>1422.24</v>
      </c>
      <c r="Y127" s="544"/>
      <c r="Z127" s="544"/>
      <c r="AA127" s="660">
        <f>SUM(V127:V135)</f>
        <v>29781.91</v>
      </c>
      <c r="AB127" s="640"/>
      <c r="AC127" s="545" t="s">
        <v>278</v>
      </c>
      <c r="AD127" s="545" t="s">
        <v>178</v>
      </c>
      <c r="AE127" s="546" t="s">
        <v>179</v>
      </c>
      <c r="AF127" s="547">
        <v>2014</v>
      </c>
      <c r="AG127" s="657"/>
      <c r="AH127" s="639"/>
    </row>
    <row r="128" spans="1:34" s="94" customFormat="1" ht="76.5" hidden="1" customHeight="1">
      <c r="A128" s="641"/>
      <c r="B128" s="649"/>
      <c r="C128" s="635" t="s">
        <v>169</v>
      </c>
      <c r="D128" s="661"/>
      <c r="E128" s="636" t="str">
        <f t="shared" ref="E128:E135" si="21">+E127</f>
        <v>VIA MERCADILLO CHITOQUE GAUTUNUMA</v>
      </c>
      <c r="F128" s="536" t="s">
        <v>275</v>
      </c>
      <c r="G128" s="536" t="str">
        <f>VLOOKUP(H128,'[5]Pob. Ext, Parroquial'!$B$9:$C$117,2,0)</f>
        <v>PUYANGO</v>
      </c>
      <c r="H128" s="536" t="s">
        <v>634</v>
      </c>
      <c r="I128" s="536" t="s">
        <v>173</v>
      </c>
      <c r="J128" s="536" t="s">
        <v>174</v>
      </c>
      <c r="K128" s="537"/>
      <c r="L128" s="537"/>
      <c r="M128" s="538">
        <f>IF(K128&gt;0,VLOOKUP(H128,'[5]Pob. Ext, Parroquial'!$B$8:$F$117,4,FALSE),0)</f>
        <v>0</v>
      </c>
      <c r="N128" s="539" t="s">
        <v>226</v>
      </c>
      <c r="O128" s="540" t="s">
        <v>176</v>
      </c>
      <c r="P128" s="540">
        <v>1.62</v>
      </c>
      <c r="Q128" s="540">
        <v>3000</v>
      </c>
      <c r="R128" s="540"/>
      <c r="S128" s="541">
        <v>41883</v>
      </c>
      <c r="T128" s="541">
        <v>41942</v>
      </c>
      <c r="U128" s="542" t="str">
        <f t="shared" si="9"/>
        <v>EJECUTADO</v>
      </c>
      <c r="V128" s="543">
        <f t="shared" si="10"/>
        <v>4860</v>
      </c>
      <c r="W128" s="543">
        <v>810</v>
      </c>
      <c r="X128" s="543">
        <f t="shared" si="11"/>
        <v>6075</v>
      </c>
      <c r="Y128" s="544"/>
      <c r="Z128" s="544"/>
      <c r="AA128" s="662"/>
      <c r="AB128" s="640"/>
      <c r="AC128" s="545" t="s">
        <v>278</v>
      </c>
      <c r="AD128" s="545" t="s">
        <v>178</v>
      </c>
      <c r="AE128" s="546" t="s">
        <v>179</v>
      </c>
      <c r="AF128" s="547">
        <v>2014</v>
      </c>
      <c r="AG128" s="657"/>
      <c r="AH128" s="639"/>
    </row>
    <row r="129" spans="1:34" s="94" customFormat="1" ht="76.5" hidden="1" customHeight="1">
      <c r="A129" s="641"/>
      <c r="B129" s="649"/>
      <c r="C129" s="635" t="s">
        <v>182</v>
      </c>
      <c r="D129" s="661"/>
      <c r="E129" s="636" t="str">
        <f t="shared" si="21"/>
        <v>VIA MERCADILLO CHITOQUE GAUTUNUMA</v>
      </c>
      <c r="F129" s="536" t="s">
        <v>275</v>
      </c>
      <c r="G129" s="536" t="str">
        <f>VLOOKUP(H129,'[5]Pob. Ext, Parroquial'!$B$9:$C$117,2,0)</f>
        <v>PUYANGO</v>
      </c>
      <c r="H129" s="536" t="s">
        <v>634</v>
      </c>
      <c r="I129" s="536" t="s">
        <v>173</v>
      </c>
      <c r="J129" s="536" t="s">
        <v>174</v>
      </c>
      <c r="K129" s="537"/>
      <c r="L129" s="537"/>
      <c r="M129" s="538">
        <f>IF(K129&gt;0,VLOOKUP(H129,'[5]Pob. Ext, Parroquial'!$B$8:$F$117,4,FALSE),0)</f>
        <v>0</v>
      </c>
      <c r="N129" s="539" t="s">
        <v>200</v>
      </c>
      <c r="O129" s="540" t="s">
        <v>176</v>
      </c>
      <c r="P129" s="540">
        <v>1.46</v>
      </c>
      <c r="Q129" s="540">
        <v>600</v>
      </c>
      <c r="R129" s="540"/>
      <c r="S129" s="541">
        <v>41883</v>
      </c>
      <c r="T129" s="541">
        <v>41942</v>
      </c>
      <c r="U129" s="542" t="str">
        <f t="shared" si="9"/>
        <v>EJECUTADO</v>
      </c>
      <c r="V129" s="543">
        <f t="shared" si="10"/>
        <v>876</v>
      </c>
      <c r="W129" s="543">
        <v>876</v>
      </c>
      <c r="X129" s="543">
        <f t="shared" si="11"/>
        <v>0</v>
      </c>
      <c r="Y129" s="544"/>
      <c r="Z129" s="544"/>
      <c r="AA129" s="662"/>
      <c r="AB129" s="640"/>
      <c r="AC129" s="545" t="s">
        <v>278</v>
      </c>
      <c r="AD129" s="545" t="s">
        <v>178</v>
      </c>
      <c r="AE129" s="546" t="s">
        <v>179</v>
      </c>
      <c r="AF129" s="547">
        <v>2014</v>
      </c>
      <c r="AG129" s="657"/>
      <c r="AH129" s="639"/>
    </row>
    <row r="130" spans="1:34" s="94" customFormat="1" ht="76.5" hidden="1" customHeight="1">
      <c r="A130" s="641"/>
      <c r="B130" s="649"/>
      <c r="C130" s="635" t="s">
        <v>182</v>
      </c>
      <c r="D130" s="661"/>
      <c r="E130" s="636" t="str">
        <f t="shared" si="21"/>
        <v>VIA MERCADILLO CHITOQUE GAUTUNUMA</v>
      </c>
      <c r="F130" s="536" t="s">
        <v>275</v>
      </c>
      <c r="G130" s="536" t="str">
        <f>VLOOKUP(H130,'[5]Pob. Ext, Parroquial'!$B$9:$C$117,2,0)</f>
        <v>PUYANGO</v>
      </c>
      <c r="H130" s="536" t="s">
        <v>634</v>
      </c>
      <c r="I130" s="536" t="s">
        <v>173</v>
      </c>
      <c r="J130" s="536" t="s">
        <v>174</v>
      </c>
      <c r="K130" s="537"/>
      <c r="L130" s="537"/>
      <c r="M130" s="538">
        <f>IF(K130&gt;0,VLOOKUP(H130,'[5]Pob. Ext, Parroquial'!$B$8:$F$117,4,FALSE),0)</f>
        <v>0</v>
      </c>
      <c r="N130" s="539" t="s">
        <v>279</v>
      </c>
      <c r="O130" s="540" t="s">
        <v>176</v>
      </c>
      <c r="P130" s="540">
        <v>1.46</v>
      </c>
      <c r="Q130" s="540">
        <v>150</v>
      </c>
      <c r="R130" s="540"/>
      <c r="S130" s="541">
        <v>41883</v>
      </c>
      <c r="T130" s="541">
        <v>41942</v>
      </c>
      <c r="U130" s="542" t="str">
        <f t="shared" si="9"/>
        <v>EJECUTADO</v>
      </c>
      <c r="V130" s="543">
        <f t="shared" si="10"/>
        <v>219</v>
      </c>
      <c r="W130" s="543">
        <v>0</v>
      </c>
      <c r="X130" s="543">
        <f t="shared" si="11"/>
        <v>328.5</v>
      </c>
      <c r="Y130" s="544"/>
      <c r="Z130" s="544"/>
      <c r="AA130" s="662"/>
      <c r="AB130" s="640"/>
      <c r="AC130" s="545" t="s">
        <v>278</v>
      </c>
      <c r="AD130" s="545" t="s">
        <v>178</v>
      </c>
      <c r="AE130" s="546" t="s">
        <v>179</v>
      </c>
      <c r="AF130" s="547">
        <v>2014</v>
      </c>
      <c r="AG130" s="657"/>
      <c r="AH130" s="639"/>
    </row>
    <row r="131" spans="1:34" s="94" customFormat="1" ht="76.5" hidden="1" customHeight="1">
      <c r="A131" s="641"/>
      <c r="B131" s="649"/>
      <c r="C131" s="635" t="s">
        <v>182</v>
      </c>
      <c r="D131" s="661"/>
      <c r="E131" s="636" t="str">
        <f t="shared" si="21"/>
        <v>VIA MERCADILLO CHITOQUE GAUTUNUMA</v>
      </c>
      <c r="F131" s="536" t="s">
        <v>275</v>
      </c>
      <c r="G131" s="536" t="str">
        <f>VLOOKUP(H131,'[5]Pob. Ext, Parroquial'!$B$9:$C$117,2,0)</f>
        <v>PUYANGO</v>
      </c>
      <c r="H131" s="536" t="s">
        <v>634</v>
      </c>
      <c r="I131" s="536" t="s">
        <v>173</v>
      </c>
      <c r="J131" s="536" t="s">
        <v>174</v>
      </c>
      <c r="K131" s="537"/>
      <c r="L131" s="537"/>
      <c r="M131" s="538">
        <f>IF(K131&gt;0,VLOOKUP(H131,'[5]Pob. Ext, Parroquial'!$B$8:$F$117,4,FALSE),0)</f>
        <v>0</v>
      </c>
      <c r="N131" s="539" t="s">
        <v>280</v>
      </c>
      <c r="O131" s="540" t="s">
        <v>181</v>
      </c>
      <c r="P131" s="540">
        <v>0.3</v>
      </c>
      <c r="Q131" s="540">
        <v>9000</v>
      </c>
      <c r="R131" s="540"/>
      <c r="S131" s="541">
        <v>41883</v>
      </c>
      <c r="T131" s="541">
        <v>41942</v>
      </c>
      <c r="U131" s="542" t="str">
        <f t="shared" si="9"/>
        <v>EJECUTADO</v>
      </c>
      <c r="V131" s="543">
        <f t="shared" si="10"/>
        <v>2700</v>
      </c>
      <c r="W131" s="543">
        <v>0</v>
      </c>
      <c r="X131" s="543">
        <f t="shared" si="11"/>
        <v>4050</v>
      </c>
      <c r="Y131" s="544"/>
      <c r="Z131" s="544"/>
      <c r="AA131" s="662"/>
      <c r="AB131" s="640"/>
      <c r="AC131" s="545" t="s">
        <v>278</v>
      </c>
      <c r="AD131" s="545" t="s">
        <v>178</v>
      </c>
      <c r="AE131" s="546" t="s">
        <v>179</v>
      </c>
      <c r="AF131" s="547">
        <v>2014</v>
      </c>
      <c r="AG131" s="657"/>
      <c r="AH131" s="639"/>
    </row>
    <row r="132" spans="1:34" s="94" customFormat="1" ht="76.5" hidden="1" customHeight="1">
      <c r="A132" s="641"/>
      <c r="B132" s="649"/>
      <c r="C132" s="635" t="s">
        <v>169</v>
      </c>
      <c r="D132" s="661"/>
      <c r="E132" s="636" t="str">
        <f t="shared" si="21"/>
        <v>VIA MERCADILLO CHITOQUE GAUTUNUMA</v>
      </c>
      <c r="F132" s="536" t="s">
        <v>275</v>
      </c>
      <c r="G132" s="536" t="str">
        <f>VLOOKUP(H132,'[5]Pob. Ext, Parroquial'!$B$9:$C$117,2,0)</f>
        <v>PUYANGO</v>
      </c>
      <c r="H132" s="536" t="s">
        <v>634</v>
      </c>
      <c r="I132" s="536" t="s">
        <v>173</v>
      </c>
      <c r="J132" s="536" t="s">
        <v>174</v>
      </c>
      <c r="K132" s="537"/>
      <c r="L132" s="537"/>
      <c r="M132" s="538">
        <f>IF(K132&gt;0,VLOOKUP(H132,'[5]Pob. Ext, Parroquial'!$B$8:$F$117,4,FALSE),0)</f>
        <v>0</v>
      </c>
      <c r="N132" s="539" t="s">
        <v>281</v>
      </c>
      <c r="O132" s="540" t="s">
        <v>181</v>
      </c>
      <c r="P132" s="540">
        <v>0.3</v>
      </c>
      <c r="Q132" s="540">
        <v>2812.5</v>
      </c>
      <c r="R132" s="540"/>
      <c r="S132" s="541">
        <v>41883</v>
      </c>
      <c r="T132" s="541">
        <v>41942</v>
      </c>
      <c r="U132" s="542" t="str">
        <f t="shared" si="9"/>
        <v>EJECUTADO</v>
      </c>
      <c r="V132" s="543">
        <f t="shared" si="10"/>
        <v>843.75</v>
      </c>
      <c r="W132" s="543">
        <v>2250</v>
      </c>
      <c r="X132" s="543">
        <f t="shared" si="11"/>
        <v>-2109.375</v>
      </c>
      <c r="Y132" s="544"/>
      <c r="Z132" s="544"/>
      <c r="AA132" s="662"/>
      <c r="AB132" s="640"/>
      <c r="AC132" s="545" t="s">
        <v>278</v>
      </c>
      <c r="AD132" s="545" t="s">
        <v>178</v>
      </c>
      <c r="AE132" s="546" t="s">
        <v>179</v>
      </c>
      <c r="AF132" s="547">
        <v>2014</v>
      </c>
      <c r="AG132" s="657"/>
      <c r="AH132" s="639"/>
    </row>
    <row r="133" spans="1:34" s="94" customFormat="1" ht="76.5" hidden="1" customHeight="1">
      <c r="A133" s="641"/>
      <c r="B133" s="649"/>
      <c r="C133" s="635" t="s">
        <v>182</v>
      </c>
      <c r="D133" s="661"/>
      <c r="E133" s="636" t="str">
        <f t="shared" si="21"/>
        <v>VIA MERCADILLO CHITOQUE GAUTUNUMA</v>
      </c>
      <c r="F133" s="536" t="s">
        <v>275</v>
      </c>
      <c r="G133" s="536" t="str">
        <f>VLOOKUP(H133,'[5]Pob. Ext, Parroquial'!$B$9:$C$117,2,0)</f>
        <v>PUYANGO</v>
      </c>
      <c r="H133" s="536" t="s">
        <v>634</v>
      </c>
      <c r="I133" s="536" t="s">
        <v>173</v>
      </c>
      <c r="J133" s="536" t="s">
        <v>174</v>
      </c>
      <c r="K133" s="537"/>
      <c r="L133" s="537">
        <f>ROUNDUP(Q133/5.5/1000,2)</f>
        <v>10.91</v>
      </c>
      <c r="M133" s="538">
        <f>IF(K133&gt;0,VLOOKUP(H133,'[5]Pob. Ext, Parroquial'!$B$8:$F$117,4,FALSE),0)</f>
        <v>0</v>
      </c>
      <c r="N133" s="539" t="s">
        <v>185</v>
      </c>
      <c r="O133" s="540" t="s">
        <v>184</v>
      </c>
      <c r="P133" s="540">
        <v>0.08</v>
      </c>
      <c r="Q133" s="540">
        <v>60000</v>
      </c>
      <c r="R133" s="540"/>
      <c r="S133" s="541">
        <v>41883</v>
      </c>
      <c r="T133" s="541">
        <v>41942</v>
      </c>
      <c r="U133" s="542" t="str">
        <f t="shared" si="9"/>
        <v>EJECUTADO</v>
      </c>
      <c r="V133" s="543">
        <f t="shared" si="10"/>
        <v>4800</v>
      </c>
      <c r="W133" s="543">
        <v>0</v>
      </c>
      <c r="X133" s="543">
        <f t="shared" si="11"/>
        <v>7200</v>
      </c>
      <c r="Y133" s="544"/>
      <c r="Z133" s="544"/>
      <c r="AA133" s="662"/>
      <c r="AB133" s="640"/>
      <c r="AC133" s="545" t="s">
        <v>278</v>
      </c>
      <c r="AD133" s="545" t="s">
        <v>178</v>
      </c>
      <c r="AE133" s="546" t="s">
        <v>179</v>
      </c>
      <c r="AF133" s="547">
        <v>2014</v>
      </c>
      <c r="AG133" s="657"/>
      <c r="AH133" s="639"/>
    </row>
    <row r="134" spans="1:34" s="94" customFormat="1" ht="76.5" hidden="1" customHeight="1">
      <c r="A134" s="641"/>
      <c r="B134" s="649"/>
      <c r="C134" s="635" t="s">
        <v>182</v>
      </c>
      <c r="D134" s="661"/>
      <c r="E134" s="636" t="str">
        <f t="shared" si="21"/>
        <v>VIA MERCADILLO CHITOQUE GAUTUNUMA</v>
      </c>
      <c r="F134" s="536" t="s">
        <v>275</v>
      </c>
      <c r="G134" s="536" t="str">
        <f>VLOOKUP(H134,'[5]Pob. Ext, Parroquial'!$B$9:$C$117,2,0)</f>
        <v>PUYANGO</v>
      </c>
      <c r="H134" s="536" t="s">
        <v>634</v>
      </c>
      <c r="I134" s="536" t="s">
        <v>173</v>
      </c>
      <c r="J134" s="536" t="s">
        <v>174</v>
      </c>
      <c r="K134" s="537"/>
      <c r="L134" s="537">
        <f>ROUNDUP(Q134/5.5/1000,2)</f>
        <v>4.0999999999999996</v>
      </c>
      <c r="M134" s="538">
        <f>IF(K134&gt;0,VLOOKUP(H134,'[5]Pob. Ext, Parroquial'!$B$8:$F$117,4,FALSE),0)</f>
        <v>0</v>
      </c>
      <c r="N134" s="539" t="s">
        <v>282</v>
      </c>
      <c r="O134" s="540" t="s">
        <v>184</v>
      </c>
      <c r="P134" s="540">
        <v>0.35</v>
      </c>
      <c r="Q134" s="540">
        <v>22500</v>
      </c>
      <c r="R134" s="540"/>
      <c r="S134" s="541">
        <v>41883</v>
      </c>
      <c r="T134" s="541">
        <v>41942</v>
      </c>
      <c r="U134" s="542" t="str">
        <f t="shared" si="9"/>
        <v>EJECUTADO</v>
      </c>
      <c r="V134" s="543">
        <f t="shared" si="10"/>
        <v>7875</v>
      </c>
      <c r="W134" s="543">
        <v>36750</v>
      </c>
      <c r="X134" s="543">
        <f t="shared" si="11"/>
        <v>-43312.5</v>
      </c>
      <c r="Y134" s="544"/>
      <c r="Z134" s="544"/>
      <c r="AA134" s="662"/>
      <c r="AB134" s="640"/>
      <c r="AC134" s="545" t="s">
        <v>278</v>
      </c>
      <c r="AD134" s="545" t="s">
        <v>178</v>
      </c>
      <c r="AE134" s="546" t="s">
        <v>179</v>
      </c>
      <c r="AF134" s="547">
        <v>2014</v>
      </c>
      <c r="AG134" s="657"/>
      <c r="AH134" s="639"/>
    </row>
    <row r="135" spans="1:34" s="94" customFormat="1" ht="76.5" hidden="1" customHeight="1">
      <c r="A135" s="641"/>
      <c r="B135" s="649"/>
      <c r="C135" s="635" t="s">
        <v>169</v>
      </c>
      <c r="D135" s="663"/>
      <c r="E135" s="636" t="str">
        <f t="shared" si="21"/>
        <v>VIA MERCADILLO CHITOQUE GAUTUNUMA</v>
      </c>
      <c r="F135" s="536" t="s">
        <v>275</v>
      </c>
      <c r="G135" s="536" t="str">
        <f>VLOOKUP(H135,'[5]Pob. Ext, Parroquial'!$B$9:$C$117,2,0)</f>
        <v>PUYANGO</v>
      </c>
      <c r="H135" s="536" t="s">
        <v>634</v>
      </c>
      <c r="I135" s="536" t="s">
        <v>173</v>
      </c>
      <c r="J135" s="536" t="s">
        <v>174</v>
      </c>
      <c r="K135" s="537"/>
      <c r="L135" s="537">
        <f>+ROUND(Q135/5500/0.2,2)</f>
        <v>1.02</v>
      </c>
      <c r="M135" s="538">
        <f>IF(K135&gt;0,VLOOKUP(H135,'[5]Pob. Ext, Parroquial'!$B$8:$F$117,4,FALSE),0)</f>
        <v>0</v>
      </c>
      <c r="N135" s="539" t="s">
        <v>229</v>
      </c>
      <c r="O135" s="540" t="s">
        <v>176</v>
      </c>
      <c r="P135" s="540">
        <v>5.92</v>
      </c>
      <c r="Q135" s="540">
        <v>1125</v>
      </c>
      <c r="R135" s="540"/>
      <c r="S135" s="541">
        <v>41883</v>
      </c>
      <c r="T135" s="541">
        <v>41942</v>
      </c>
      <c r="U135" s="542" t="str">
        <f t="shared" si="9"/>
        <v>EJECUTADO</v>
      </c>
      <c r="V135" s="543">
        <f t="shared" si="10"/>
        <v>6660</v>
      </c>
      <c r="W135" s="543">
        <v>2960</v>
      </c>
      <c r="X135" s="543">
        <f t="shared" si="11"/>
        <v>5550</v>
      </c>
      <c r="Y135" s="544"/>
      <c r="Z135" s="544"/>
      <c r="AA135" s="664"/>
      <c r="AB135" s="640"/>
      <c r="AC135" s="545" t="s">
        <v>278</v>
      </c>
      <c r="AD135" s="545" t="s">
        <v>178</v>
      </c>
      <c r="AE135" s="546" t="s">
        <v>179</v>
      </c>
      <c r="AF135" s="547">
        <v>2014</v>
      </c>
      <c r="AG135" s="657"/>
      <c r="AH135" s="639"/>
    </row>
    <row r="136" spans="1:34" s="94" customFormat="1" ht="70.900000000000006" hidden="1" customHeight="1">
      <c r="A136" s="1068"/>
      <c r="B136" s="645"/>
      <c r="C136" s="635" t="s">
        <v>182</v>
      </c>
      <c r="D136" s="1073" t="s">
        <v>274</v>
      </c>
      <c r="E136" s="636" t="str">
        <f t="shared" si="16"/>
        <v>VIA TACAMOROS - LA VICTORIA - LA BOCANA- EL LIMON; TRAMO - TACAMOROS - LA VICTORIA L= 14 KM.
(PARALIZADO POR INVIERNO)</v>
      </c>
      <c r="F136" s="536" t="s">
        <v>275</v>
      </c>
      <c r="G136" s="536" t="str">
        <f>VLOOKUP(H136,'[5]Pob. Ext, Parroquial'!$B$9:$C$117,2,0)</f>
        <v>SOZORANGA</v>
      </c>
      <c r="H136" s="536" t="s">
        <v>247</v>
      </c>
      <c r="I136" s="536" t="s">
        <v>173</v>
      </c>
      <c r="J136" s="536" t="s">
        <v>174</v>
      </c>
      <c r="K136" s="537">
        <v>14</v>
      </c>
      <c r="L136" s="537"/>
      <c r="M136" s="538">
        <f>IF(K136&gt;0,VLOOKUP(H136,'[5]Pob. Ext, Parroquial'!$B$8:$F$117,4,FALSE),0)</f>
        <v>1902</v>
      </c>
      <c r="N136" s="539" t="s">
        <v>276</v>
      </c>
      <c r="O136" s="540" t="s">
        <v>277</v>
      </c>
      <c r="P136" s="540">
        <v>948.16</v>
      </c>
      <c r="Q136" s="540">
        <v>0</v>
      </c>
      <c r="R136" s="540"/>
      <c r="S136" s="541">
        <v>41640</v>
      </c>
      <c r="T136" s="541">
        <v>41670</v>
      </c>
      <c r="U136" s="542" t="str">
        <f t="shared" si="9"/>
        <v>EJECUTADO</v>
      </c>
      <c r="V136" s="543">
        <f t="shared" si="10"/>
        <v>0</v>
      </c>
      <c r="W136" s="543">
        <v>0</v>
      </c>
      <c r="X136" s="543">
        <f t="shared" si="11"/>
        <v>0</v>
      </c>
      <c r="Y136" s="544"/>
      <c r="Z136" s="544"/>
      <c r="AA136" s="1072">
        <f>SUM(V136:V144)</f>
        <v>44877.760000000002</v>
      </c>
      <c r="AB136" s="640"/>
      <c r="AC136" s="545" t="s">
        <v>278</v>
      </c>
      <c r="AD136" s="545" t="s">
        <v>178</v>
      </c>
      <c r="AE136" s="546" t="s">
        <v>179</v>
      </c>
      <c r="AF136" s="547">
        <v>2014</v>
      </c>
      <c r="AG136" s="657"/>
      <c r="AH136" s="639"/>
    </row>
    <row r="137" spans="1:34" s="94" customFormat="1" ht="70.900000000000006" hidden="1" customHeight="1">
      <c r="A137" s="1068"/>
      <c r="B137" s="648"/>
      <c r="C137" s="635" t="s">
        <v>169</v>
      </c>
      <c r="D137" s="1078"/>
      <c r="E137" s="636" t="str">
        <f>+E136</f>
        <v>VIA TACAMOROS - LA VICTORIA - LA BOCANA- EL LIMON; TRAMO - TACAMOROS - LA VICTORIA L= 14 KM.
(PARALIZADO POR INVIERNO)</v>
      </c>
      <c r="F137" s="536" t="s">
        <v>275</v>
      </c>
      <c r="G137" s="536" t="str">
        <f>VLOOKUP(H137,'[5]Pob. Ext, Parroquial'!$B$9:$C$117,2,0)</f>
        <v>SOZORANGA</v>
      </c>
      <c r="H137" s="536" t="s">
        <v>247</v>
      </c>
      <c r="I137" s="536" t="s">
        <v>173</v>
      </c>
      <c r="J137" s="536" t="s">
        <v>174</v>
      </c>
      <c r="K137" s="537"/>
      <c r="L137" s="537"/>
      <c r="M137" s="538">
        <f>IF(K137&gt;0,VLOOKUP(H137,'[5]Pob. Ext, Parroquial'!$B$8:$F$117,4,FALSE),0)</f>
        <v>0</v>
      </c>
      <c r="N137" s="539" t="s">
        <v>226</v>
      </c>
      <c r="O137" s="540" t="s">
        <v>176</v>
      </c>
      <c r="P137" s="540">
        <v>1.62</v>
      </c>
      <c r="Q137" s="540">
        <v>4884</v>
      </c>
      <c r="R137" s="540"/>
      <c r="S137" s="541">
        <v>41640</v>
      </c>
      <c r="T137" s="541">
        <v>41698</v>
      </c>
      <c r="U137" s="542" t="str">
        <f t="shared" si="9"/>
        <v>EJECUTADO</v>
      </c>
      <c r="V137" s="543">
        <f t="shared" si="10"/>
        <v>7912.08</v>
      </c>
      <c r="W137" s="543">
        <v>7912.08</v>
      </c>
      <c r="X137" s="543">
        <f t="shared" si="11"/>
        <v>0</v>
      </c>
      <c r="Y137" s="544"/>
      <c r="Z137" s="544"/>
      <c r="AA137" s="1072"/>
      <c r="AB137" s="640"/>
      <c r="AC137" s="545" t="s">
        <v>278</v>
      </c>
      <c r="AD137" s="545" t="s">
        <v>178</v>
      </c>
      <c r="AE137" s="546" t="s">
        <v>187</v>
      </c>
      <c r="AF137" s="547">
        <v>2014</v>
      </c>
      <c r="AG137" s="657"/>
      <c r="AH137" s="639"/>
    </row>
    <row r="138" spans="1:34" s="94" customFormat="1" ht="73.900000000000006" hidden="1" customHeight="1">
      <c r="A138" s="1068"/>
      <c r="B138" s="648"/>
      <c r="C138" s="635" t="s">
        <v>182</v>
      </c>
      <c r="D138" s="1078"/>
      <c r="E138" s="636" t="str">
        <f t="shared" ref="E138:E144" si="22">+E137</f>
        <v>VIA TACAMOROS - LA VICTORIA - LA BOCANA- EL LIMON; TRAMO - TACAMOROS - LA VICTORIA L= 14 KM.
(PARALIZADO POR INVIERNO)</v>
      </c>
      <c r="F138" s="536" t="s">
        <v>275</v>
      </c>
      <c r="G138" s="536" t="str">
        <f>VLOOKUP(H138,'[5]Pob. Ext, Parroquial'!$B$9:$C$117,2,0)</f>
        <v>SOZORANGA</v>
      </c>
      <c r="H138" s="536" t="s">
        <v>247</v>
      </c>
      <c r="I138" s="536" t="s">
        <v>173</v>
      </c>
      <c r="J138" s="536" t="s">
        <v>174</v>
      </c>
      <c r="K138" s="537"/>
      <c r="L138" s="537"/>
      <c r="M138" s="538">
        <f>IF(K138&gt;0,VLOOKUP(H138,'[5]Pob. Ext, Parroquial'!$B$8:$F$117,4,FALSE),0)</f>
        <v>0</v>
      </c>
      <c r="N138" s="539" t="s">
        <v>200</v>
      </c>
      <c r="O138" s="540" t="s">
        <v>176</v>
      </c>
      <c r="P138" s="540">
        <v>1.46</v>
      </c>
      <c r="Q138" s="540">
        <v>3300</v>
      </c>
      <c r="R138" s="540"/>
      <c r="S138" s="541">
        <v>41640</v>
      </c>
      <c r="T138" s="541">
        <v>41698</v>
      </c>
      <c r="U138" s="542" t="str">
        <f t="shared" si="9"/>
        <v>EJECUTADO</v>
      </c>
      <c r="V138" s="543">
        <f t="shared" si="10"/>
        <v>4818</v>
      </c>
      <c r="W138" s="543">
        <v>4818</v>
      </c>
      <c r="X138" s="543">
        <f t="shared" si="11"/>
        <v>0</v>
      </c>
      <c r="Y138" s="544"/>
      <c r="Z138" s="544"/>
      <c r="AA138" s="1072"/>
      <c r="AB138" s="640"/>
      <c r="AC138" s="545" t="s">
        <v>278</v>
      </c>
      <c r="AD138" s="545" t="s">
        <v>178</v>
      </c>
      <c r="AE138" s="546" t="s">
        <v>187</v>
      </c>
      <c r="AF138" s="547">
        <v>2014</v>
      </c>
      <c r="AG138" s="657"/>
      <c r="AH138" s="639"/>
    </row>
    <row r="139" spans="1:34" s="94" customFormat="1" ht="81.599999999999994" hidden="1" customHeight="1">
      <c r="A139" s="1068"/>
      <c r="B139" s="648"/>
      <c r="C139" s="635" t="s">
        <v>182</v>
      </c>
      <c r="D139" s="1078"/>
      <c r="E139" s="636" t="str">
        <f t="shared" si="22"/>
        <v>VIA TACAMOROS - LA VICTORIA - LA BOCANA- EL LIMON; TRAMO - TACAMOROS - LA VICTORIA L= 14 KM.
(PARALIZADO POR INVIERNO)</v>
      </c>
      <c r="F139" s="536" t="s">
        <v>275</v>
      </c>
      <c r="G139" s="536" t="str">
        <f>VLOOKUP(H139,'[5]Pob. Ext, Parroquial'!$B$9:$C$117,2,0)</f>
        <v>SOZORANGA</v>
      </c>
      <c r="H139" s="536" t="s">
        <v>247</v>
      </c>
      <c r="I139" s="536" t="s">
        <v>173</v>
      </c>
      <c r="J139" s="536" t="s">
        <v>174</v>
      </c>
      <c r="K139" s="537"/>
      <c r="L139" s="537"/>
      <c r="M139" s="538">
        <f>IF(K139&gt;0,VLOOKUP(H139,'[5]Pob. Ext, Parroquial'!$B$8:$F$117,4,FALSE),0)</f>
        <v>0</v>
      </c>
      <c r="N139" s="539" t="s">
        <v>279</v>
      </c>
      <c r="O139" s="540" t="s">
        <v>176</v>
      </c>
      <c r="P139" s="540">
        <v>1.47</v>
      </c>
      <c r="Q139" s="540">
        <v>0</v>
      </c>
      <c r="R139" s="540"/>
      <c r="S139" s="541">
        <v>41640</v>
      </c>
      <c r="T139" s="541">
        <v>41670</v>
      </c>
      <c r="U139" s="542" t="str">
        <f t="shared" si="9"/>
        <v>EJECUTADO</v>
      </c>
      <c r="V139" s="543">
        <f t="shared" si="10"/>
        <v>0</v>
      </c>
      <c r="W139" s="543">
        <v>0</v>
      </c>
      <c r="X139" s="543">
        <f t="shared" si="11"/>
        <v>0</v>
      </c>
      <c r="Y139" s="544"/>
      <c r="Z139" s="544"/>
      <c r="AA139" s="1072"/>
      <c r="AB139" s="640"/>
      <c r="AC139" s="545" t="s">
        <v>278</v>
      </c>
      <c r="AD139" s="545" t="s">
        <v>178</v>
      </c>
      <c r="AE139" s="546" t="s">
        <v>179</v>
      </c>
      <c r="AF139" s="547">
        <v>2014</v>
      </c>
      <c r="AG139" s="657"/>
      <c r="AH139" s="639"/>
    </row>
    <row r="140" spans="1:34" s="94" customFormat="1" ht="81.599999999999994" hidden="1" customHeight="1">
      <c r="A140" s="1068"/>
      <c r="B140" s="648"/>
      <c r="C140" s="635" t="s">
        <v>182</v>
      </c>
      <c r="D140" s="1078"/>
      <c r="E140" s="636" t="str">
        <f t="shared" si="22"/>
        <v>VIA TACAMOROS - LA VICTORIA - LA BOCANA- EL LIMON; TRAMO - TACAMOROS - LA VICTORIA L= 14 KM.
(PARALIZADO POR INVIERNO)</v>
      </c>
      <c r="F140" s="536" t="s">
        <v>275</v>
      </c>
      <c r="G140" s="536" t="str">
        <f>VLOOKUP(H140,'[5]Pob. Ext, Parroquial'!$B$9:$C$117,2,0)</f>
        <v>SOZORANGA</v>
      </c>
      <c r="H140" s="536" t="s">
        <v>247</v>
      </c>
      <c r="I140" s="536" t="s">
        <v>173</v>
      </c>
      <c r="J140" s="536" t="s">
        <v>174</v>
      </c>
      <c r="K140" s="537"/>
      <c r="L140" s="537"/>
      <c r="M140" s="538">
        <f>IF(K140&gt;0,VLOOKUP(H140,'[5]Pob. Ext, Parroquial'!$B$8:$F$117,4,FALSE),0)</f>
        <v>0</v>
      </c>
      <c r="N140" s="539" t="s">
        <v>280</v>
      </c>
      <c r="O140" s="540" t="s">
        <v>181</v>
      </c>
      <c r="P140" s="540">
        <v>0.3</v>
      </c>
      <c r="Q140" s="540">
        <v>0</v>
      </c>
      <c r="R140" s="540"/>
      <c r="S140" s="541">
        <v>41640</v>
      </c>
      <c r="T140" s="541">
        <v>41670</v>
      </c>
      <c r="U140" s="542" t="str">
        <f t="shared" si="9"/>
        <v>EJECUTADO</v>
      </c>
      <c r="V140" s="543">
        <f t="shared" si="10"/>
        <v>0</v>
      </c>
      <c r="W140" s="543">
        <v>0</v>
      </c>
      <c r="X140" s="543">
        <f t="shared" si="11"/>
        <v>0</v>
      </c>
      <c r="Y140" s="544"/>
      <c r="Z140" s="544"/>
      <c r="AA140" s="1072"/>
      <c r="AB140" s="640"/>
      <c r="AC140" s="545" t="s">
        <v>278</v>
      </c>
      <c r="AD140" s="545" t="s">
        <v>178</v>
      </c>
      <c r="AE140" s="546" t="s">
        <v>179</v>
      </c>
      <c r="AF140" s="547">
        <v>2014</v>
      </c>
      <c r="AG140" s="657"/>
      <c r="AH140" s="639"/>
    </row>
    <row r="141" spans="1:34" s="94" customFormat="1" ht="70.900000000000006" hidden="1" customHeight="1">
      <c r="A141" s="1068"/>
      <c r="B141" s="648"/>
      <c r="C141" s="635" t="s">
        <v>169</v>
      </c>
      <c r="D141" s="1078"/>
      <c r="E141" s="636" t="str">
        <f t="shared" si="22"/>
        <v>VIA TACAMOROS - LA VICTORIA - LA BOCANA- EL LIMON; TRAMO - TACAMOROS - LA VICTORIA L= 14 KM.
(PARALIZADO POR INVIERNO)</v>
      </c>
      <c r="F141" s="536" t="s">
        <v>275</v>
      </c>
      <c r="G141" s="536" t="str">
        <f>VLOOKUP(H141,'[5]Pob. Ext, Parroquial'!$B$9:$C$117,2,0)</f>
        <v>SOZORANGA</v>
      </c>
      <c r="H141" s="536" t="s">
        <v>247</v>
      </c>
      <c r="I141" s="536" t="s">
        <v>173</v>
      </c>
      <c r="J141" s="536" t="s">
        <v>174</v>
      </c>
      <c r="K141" s="537"/>
      <c r="L141" s="537"/>
      <c r="M141" s="538">
        <f>IF(K141&gt;0,VLOOKUP(H141,'[5]Pob. Ext, Parroquial'!$B$8:$F$117,4,FALSE),0)</f>
        <v>0</v>
      </c>
      <c r="N141" s="539" t="s">
        <v>281</v>
      </c>
      <c r="O141" s="540" t="s">
        <v>181</v>
      </c>
      <c r="P141" s="540">
        <v>0.3</v>
      </c>
      <c r="Q141" s="540">
        <v>32520</v>
      </c>
      <c r="R141" s="540"/>
      <c r="S141" s="541">
        <v>41640</v>
      </c>
      <c r="T141" s="541">
        <v>41698</v>
      </c>
      <c r="U141" s="542" t="str">
        <f t="shared" si="9"/>
        <v>EJECUTADO</v>
      </c>
      <c r="V141" s="543">
        <f t="shared" si="10"/>
        <v>9756</v>
      </c>
      <c r="W141" s="543">
        <v>9756</v>
      </c>
      <c r="X141" s="543">
        <f t="shared" si="11"/>
        <v>0</v>
      </c>
      <c r="Y141" s="544"/>
      <c r="Z141" s="544"/>
      <c r="AA141" s="1072"/>
      <c r="AB141" s="640"/>
      <c r="AC141" s="545" t="s">
        <v>278</v>
      </c>
      <c r="AD141" s="545" t="s">
        <v>178</v>
      </c>
      <c r="AE141" s="546" t="s">
        <v>187</v>
      </c>
      <c r="AF141" s="547">
        <v>2014</v>
      </c>
      <c r="AG141" s="657"/>
      <c r="AH141" s="639"/>
    </row>
    <row r="142" spans="1:34" s="94" customFormat="1" ht="73.900000000000006" hidden="1" customHeight="1">
      <c r="A142" s="1068"/>
      <c r="B142" s="648"/>
      <c r="C142" s="635" t="s">
        <v>182</v>
      </c>
      <c r="D142" s="1078"/>
      <c r="E142" s="636" t="str">
        <f t="shared" si="22"/>
        <v>VIA TACAMOROS - LA VICTORIA - LA BOCANA- EL LIMON; TRAMO - TACAMOROS - LA VICTORIA L= 14 KM.
(PARALIZADO POR INVIERNO)</v>
      </c>
      <c r="F142" s="536" t="s">
        <v>275</v>
      </c>
      <c r="G142" s="536" t="str">
        <f>VLOOKUP(H142,'[5]Pob. Ext, Parroquial'!$B$9:$C$117,2,0)</f>
        <v>SOZORANGA</v>
      </c>
      <c r="H142" s="536" t="s">
        <v>247</v>
      </c>
      <c r="I142" s="536" t="s">
        <v>173</v>
      </c>
      <c r="J142" s="536" t="s">
        <v>174</v>
      </c>
      <c r="K142" s="537"/>
      <c r="L142" s="537">
        <f>ROUNDUP(Q142/5.5/1000,2)</f>
        <v>11.82</v>
      </c>
      <c r="M142" s="538">
        <f>IF(K142&gt;0,VLOOKUP(H142,'[5]Pob. Ext, Parroquial'!$B$8:$F$117,4,FALSE),0)</f>
        <v>0</v>
      </c>
      <c r="N142" s="539" t="s">
        <v>185</v>
      </c>
      <c r="O142" s="540" t="s">
        <v>184</v>
      </c>
      <c r="P142" s="540">
        <v>0.08</v>
      </c>
      <c r="Q142" s="540">
        <v>65000</v>
      </c>
      <c r="R142" s="540"/>
      <c r="S142" s="541">
        <v>41640</v>
      </c>
      <c r="T142" s="541">
        <v>41698</v>
      </c>
      <c r="U142" s="542" t="str">
        <f t="shared" si="9"/>
        <v>EJECUTADO</v>
      </c>
      <c r="V142" s="543">
        <f t="shared" si="10"/>
        <v>5200</v>
      </c>
      <c r="W142" s="543">
        <v>3900</v>
      </c>
      <c r="X142" s="543">
        <f t="shared" si="11"/>
        <v>1950</v>
      </c>
      <c r="Y142" s="544"/>
      <c r="Z142" s="544"/>
      <c r="AA142" s="1072"/>
      <c r="AB142" s="640"/>
      <c r="AC142" s="545" t="s">
        <v>278</v>
      </c>
      <c r="AD142" s="545" t="s">
        <v>178</v>
      </c>
      <c r="AE142" s="546" t="s">
        <v>187</v>
      </c>
      <c r="AF142" s="547">
        <v>2014</v>
      </c>
      <c r="AG142" s="657"/>
      <c r="AH142" s="639"/>
    </row>
    <row r="143" spans="1:34" s="94" customFormat="1" ht="76.900000000000006" hidden="1" customHeight="1">
      <c r="A143" s="1068"/>
      <c r="B143" s="648"/>
      <c r="C143" s="635" t="s">
        <v>182</v>
      </c>
      <c r="D143" s="1078"/>
      <c r="E143" s="636" t="str">
        <f t="shared" si="22"/>
        <v>VIA TACAMOROS - LA VICTORIA - LA BOCANA- EL LIMON; TRAMO - TACAMOROS - LA VICTORIA L= 14 KM.
(PARALIZADO POR INVIERNO)</v>
      </c>
      <c r="F143" s="536" t="s">
        <v>275</v>
      </c>
      <c r="G143" s="536" t="str">
        <f>VLOOKUP(H143,'[5]Pob. Ext, Parroquial'!$B$9:$C$117,2,0)</f>
        <v>SOZORANGA</v>
      </c>
      <c r="H143" s="536" t="s">
        <v>247</v>
      </c>
      <c r="I143" s="536" t="s">
        <v>173</v>
      </c>
      <c r="J143" s="536" t="s">
        <v>174</v>
      </c>
      <c r="K143" s="537"/>
      <c r="L143" s="537">
        <f>ROUNDUP(Q143/5.5/1000,2)</f>
        <v>0</v>
      </c>
      <c r="M143" s="538">
        <f>IF(K143&gt;0,VLOOKUP(H143,'[5]Pob. Ext, Parroquial'!$B$8:$F$117,4,FALSE),0)</f>
        <v>0</v>
      </c>
      <c r="N143" s="539" t="s">
        <v>282</v>
      </c>
      <c r="O143" s="540" t="s">
        <v>184</v>
      </c>
      <c r="P143" s="540">
        <v>0.35</v>
      </c>
      <c r="Q143" s="540">
        <v>0</v>
      </c>
      <c r="R143" s="540"/>
      <c r="S143" s="541">
        <v>41640</v>
      </c>
      <c r="T143" s="541">
        <v>41670</v>
      </c>
      <c r="U143" s="542" t="str">
        <f t="shared" si="9"/>
        <v>EJECUTADO</v>
      </c>
      <c r="V143" s="543">
        <f t="shared" si="10"/>
        <v>0</v>
      </c>
      <c r="W143" s="543">
        <v>0</v>
      </c>
      <c r="X143" s="543">
        <f t="shared" si="11"/>
        <v>0</v>
      </c>
      <c r="Y143" s="544"/>
      <c r="Z143" s="544"/>
      <c r="AA143" s="1072"/>
      <c r="AB143" s="640"/>
      <c r="AC143" s="545" t="s">
        <v>278</v>
      </c>
      <c r="AD143" s="545" t="s">
        <v>178</v>
      </c>
      <c r="AE143" s="546" t="s">
        <v>179</v>
      </c>
      <c r="AF143" s="547">
        <v>2014</v>
      </c>
      <c r="AG143" s="657"/>
      <c r="AH143" s="639"/>
    </row>
    <row r="144" spans="1:34" s="94" customFormat="1" ht="75" hidden="1" customHeight="1">
      <c r="A144" s="1068"/>
      <c r="B144" s="646"/>
      <c r="C144" s="635" t="s">
        <v>169</v>
      </c>
      <c r="D144" s="1074"/>
      <c r="E144" s="636" t="str">
        <f t="shared" si="22"/>
        <v>VIA TACAMOROS - LA VICTORIA - LA BOCANA- EL LIMON; TRAMO - TACAMOROS - LA VICTORIA L= 14 KM.
(PARALIZADO POR INVIERNO)</v>
      </c>
      <c r="F144" s="536" t="s">
        <v>275</v>
      </c>
      <c r="G144" s="536" t="str">
        <f>VLOOKUP(H144,'[5]Pob. Ext, Parroquial'!$B$9:$C$117,2,0)</f>
        <v>SOZORANGA</v>
      </c>
      <c r="H144" s="536" t="s">
        <v>247</v>
      </c>
      <c r="I144" s="536" t="s">
        <v>173</v>
      </c>
      <c r="J144" s="536" t="s">
        <v>174</v>
      </c>
      <c r="K144" s="537"/>
      <c r="L144" s="537">
        <f>+ROUND(Q144/5500/0.2,2)</f>
        <v>2.64</v>
      </c>
      <c r="M144" s="538">
        <f>IF(K144&gt;0,VLOOKUP(H144,'[5]Pob. Ext, Parroquial'!$B$8:$F$117,4,FALSE),0)</f>
        <v>0</v>
      </c>
      <c r="N144" s="539" t="s">
        <v>229</v>
      </c>
      <c r="O144" s="540" t="s">
        <v>176</v>
      </c>
      <c r="P144" s="540">
        <v>5.92</v>
      </c>
      <c r="Q144" s="540">
        <v>2904</v>
      </c>
      <c r="R144" s="540"/>
      <c r="S144" s="541">
        <v>41671</v>
      </c>
      <c r="T144" s="541">
        <v>41698</v>
      </c>
      <c r="U144" s="542" t="str">
        <f t="shared" si="9"/>
        <v>EJECUTADO</v>
      </c>
      <c r="V144" s="543">
        <f t="shared" si="10"/>
        <v>17191.68</v>
      </c>
      <c r="W144" s="543">
        <v>17191.68</v>
      </c>
      <c r="X144" s="543">
        <f t="shared" si="11"/>
        <v>0</v>
      </c>
      <c r="Y144" s="544"/>
      <c r="Z144" s="544"/>
      <c r="AA144" s="1072"/>
      <c r="AB144" s="640"/>
      <c r="AC144" s="545" t="s">
        <v>278</v>
      </c>
      <c r="AD144" s="545" t="s">
        <v>178</v>
      </c>
      <c r="AE144" s="546" t="s">
        <v>187</v>
      </c>
      <c r="AF144" s="547">
        <v>2014</v>
      </c>
      <c r="AG144" s="657"/>
      <c r="AH144" s="639"/>
    </row>
    <row r="145" spans="1:34" s="94" customFormat="1" ht="50.1" hidden="1" customHeight="1">
      <c r="A145" s="1068"/>
      <c r="B145" s="645"/>
      <c r="C145" s="635" t="s">
        <v>182</v>
      </c>
      <c r="D145" s="659" t="s">
        <v>283</v>
      </c>
      <c r="E145" s="636" t="str">
        <f t="shared" si="16"/>
        <v xml:space="preserve">VIA ALAMOR VICENTINO </v>
      </c>
      <c r="F145" s="536" t="s">
        <v>275</v>
      </c>
      <c r="G145" s="536" t="str">
        <f>VLOOKUP(H145,'[5]Pob. Ext, Parroquial'!$B$9:$C$117,2,0)</f>
        <v>PUYANGO</v>
      </c>
      <c r="H145" s="536" t="s">
        <v>284</v>
      </c>
      <c r="I145" s="536" t="s">
        <v>173</v>
      </c>
      <c r="J145" s="536" t="s">
        <v>174</v>
      </c>
      <c r="K145" s="537">
        <v>16</v>
      </c>
      <c r="L145" s="537"/>
      <c r="M145" s="538">
        <f>IF(K145&gt;0,VLOOKUP(H145,'[5]Pob. Ext, Parroquial'!$B$8:$F$117,4,FALSE),0)</f>
        <v>640</v>
      </c>
      <c r="N145" s="539" t="s">
        <v>276</v>
      </c>
      <c r="O145" s="540" t="s">
        <v>277</v>
      </c>
      <c r="P145" s="540">
        <v>948.16</v>
      </c>
      <c r="Q145" s="540">
        <v>0</v>
      </c>
      <c r="R145" s="540"/>
      <c r="S145" s="541">
        <v>41671</v>
      </c>
      <c r="T145" s="541">
        <v>41698</v>
      </c>
      <c r="U145" s="542" t="str">
        <f t="shared" si="9"/>
        <v>EJECUTADO</v>
      </c>
      <c r="V145" s="543">
        <f t="shared" si="10"/>
        <v>0</v>
      </c>
      <c r="W145" s="543">
        <v>0</v>
      </c>
      <c r="X145" s="543">
        <f t="shared" si="11"/>
        <v>0</v>
      </c>
      <c r="Y145" s="544"/>
      <c r="Z145" s="544"/>
      <c r="AA145" s="660">
        <f>SUM(V145:V153)</f>
        <v>54658</v>
      </c>
      <c r="AB145" s="640"/>
      <c r="AC145" s="545" t="s">
        <v>278</v>
      </c>
      <c r="AD145" s="545" t="s">
        <v>178</v>
      </c>
      <c r="AE145" s="546" t="s">
        <v>187</v>
      </c>
      <c r="AF145" s="547">
        <v>2014</v>
      </c>
      <c r="AG145" s="657"/>
      <c r="AH145" s="639"/>
    </row>
    <row r="146" spans="1:34" s="94" customFormat="1" ht="50.1" hidden="1" customHeight="1">
      <c r="A146" s="1068"/>
      <c r="B146" s="648"/>
      <c r="C146" s="635" t="s">
        <v>169</v>
      </c>
      <c r="D146" s="661"/>
      <c r="E146" s="636" t="str">
        <f>+E145</f>
        <v xml:space="preserve">VIA ALAMOR VICENTINO </v>
      </c>
      <c r="F146" s="536" t="s">
        <v>275</v>
      </c>
      <c r="G146" s="536" t="str">
        <f>VLOOKUP(H146,'[5]Pob. Ext, Parroquial'!$B$9:$C$117,2,0)</f>
        <v>PUYANGO</v>
      </c>
      <c r="H146" s="536" t="s">
        <v>284</v>
      </c>
      <c r="I146" s="536" t="s">
        <v>173</v>
      </c>
      <c r="J146" s="536" t="s">
        <v>174</v>
      </c>
      <c r="K146" s="537"/>
      <c r="L146" s="537"/>
      <c r="M146" s="538">
        <f>IF(K146&gt;0,VLOOKUP(H146,'[5]Pob. Ext, Parroquial'!$B$8:$F$117,4,FALSE),0)</f>
        <v>0</v>
      </c>
      <c r="N146" s="539" t="s">
        <v>226</v>
      </c>
      <c r="O146" s="540" t="s">
        <v>176</v>
      </c>
      <c r="P146" s="540">
        <v>1.62</v>
      </c>
      <c r="Q146" s="540">
        <v>700</v>
      </c>
      <c r="R146" s="540"/>
      <c r="S146" s="541">
        <v>41671</v>
      </c>
      <c r="T146" s="541">
        <v>41698</v>
      </c>
      <c r="U146" s="542" t="str">
        <f t="shared" si="9"/>
        <v>EJECUTADO</v>
      </c>
      <c r="V146" s="543">
        <f t="shared" si="10"/>
        <v>1134</v>
      </c>
      <c r="W146" s="543">
        <v>1134</v>
      </c>
      <c r="X146" s="543">
        <f t="shared" si="11"/>
        <v>0</v>
      </c>
      <c r="Y146" s="544"/>
      <c r="Z146" s="544"/>
      <c r="AA146" s="662"/>
      <c r="AB146" s="640"/>
      <c r="AC146" s="545" t="s">
        <v>278</v>
      </c>
      <c r="AD146" s="545" t="s">
        <v>178</v>
      </c>
      <c r="AE146" s="546" t="s">
        <v>187</v>
      </c>
      <c r="AF146" s="547">
        <v>2014</v>
      </c>
      <c r="AG146" s="657">
        <f>SUM(AA452:AA465)</f>
        <v>456264.82</v>
      </c>
      <c r="AH146" s="639"/>
    </row>
    <row r="147" spans="1:34" s="94" customFormat="1" ht="50.1" hidden="1" customHeight="1">
      <c r="A147" s="1068"/>
      <c r="B147" s="648"/>
      <c r="C147" s="635" t="s">
        <v>182</v>
      </c>
      <c r="D147" s="661"/>
      <c r="E147" s="636" t="str">
        <f t="shared" ref="E147:E186" si="23">+E146</f>
        <v xml:space="preserve">VIA ALAMOR VICENTINO </v>
      </c>
      <c r="F147" s="536" t="s">
        <v>275</v>
      </c>
      <c r="G147" s="536" t="str">
        <f>VLOOKUP(H147,'[5]Pob. Ext, Parroquial'!$B$9:$C$117,2,0)</f>
        <v>PUYANGO</v>
      </c>
      <c r="H147" s="536" t="s">
        <v>284</v>
      </c>
      <c r="I147" s="536" t="s">
        <v>173</v>
      </c>
      <c r="J147" s="536" t="s">
        <v>174</v>
      </c>
      <c r="K147" s="537"/>
      <c r="L147" s="537"/>
      <c r="M147" s="538">
        <f>IF(K147&gt;0,VLOOKUP(H147,'[5]Pob. Ext, Parroquial'!$B$8:$F$117,4,FALSE),0)</f>
        <v>0</v>
      </c>
      <c r="N147" s="539" t="s">
        <v>200</v>
      </c>
      <c r="O147" s="540" t="s">
        <v>176</v>
      </c>
      <c r="P147" s="540">
        <v>1.46</v>
      </c>
      <c r="Q147" s="540">
        <v>1000</v>
      </c>
      <c r="R147" s="540"/>
      <c r="S147" s="541">
        <v>41671</v>
      </c>
      <c r="T147" s="541">
        <v>41698</v>
      </c>
      <c r="U147" s="542" t="str">
        <f t="shared" si="9"/>
        <v>EJECUTADO</v>
      </c>
      <c r="V147" s="543">
        <f t="shared" si="10"/>
        <v>1460</v>
      </c>
      <c r="W147" s="543">
        <v>1460</v>
      </c>
      <c r="X147" s="543">
        <f t="shared" si="11"/>
        <v>0</v>
      </c>
      <c r="Y147" s="544"/>
      <c r="Z147" s="544"/>
      <c r="AA147" s="662"/>
      <c r="AB147" s="640"/>
      <c r="AC147" s="545" t="s">
        <v>278</v>
      </c>
      <c r="AD147" s="545" t="s">
        <v>178</v>
      </c>
      <c r="AE147" s="546" t="s">
        <v>187</v>
      </c>
      <c r="AF147" s="547">
        <v>2014</v>
      </c>
      <c r="AG147" s="657"/>
      <c r="AH147" s="639"/>
    </row>
    <row r="148" spans="1:34" s="94" customFormat="1" ht="50.1" hidden="1" customHeight="1">
      <c r="A148" s="1068"/>
      <c r="B148" s="648"/>
      <c r="C148" s="635" t="s">
        <v>182</v>
      </c>
      <c r="D148" s="661"/>
      <c r="E148" s="636" t="str">
        <f t="shared" si="23"/>
        <v xml:space="preserve">VIA ALAMOR VICENTINO </v>
      </c>
      <c r="F148" s="536" t="s">
        <v>275</v>
      </c>
      <c r="G148" s="536" t="str">
        <f>VLOOKUP(H148,'[5]Pob. Ext, Parroquial'!$B$9:$C$117,2,0)</f>
        <v>PUYANGO</v>
      </c>
      <c r="H148" s="536" t="s">
        <v>284</v>
      </c>
      <c r="I148" s="536" t="s">
        <v>173</v>
      </c>
      <c r="J148" s="536" t="s">
        <v>174</v>
      </c>
      <c r="K148" s="537"/>
      <c r="L148" s="537"/>
      <c r="M148" s="538">
        <f>IF(K148&gt;0,VLOOKUP(H148,'[5]Pob. Ext, Parroquial'!$B$8:$F$117,4,FALSE),0)</f>
        <v>0</v>
      </c>
      <c r="N148" s="539" t="s">
        <v>279</v>
      </c>
      <c r="O148" s="540" t="s">
        <v>176</v>
      </c>
      <c r="P148" s="540">
        <v>1.47</v>
      </c>
      <c r="Q148" s="540">
        <v>0</v>
      </c>
      <c r="R148" s="540"/>
      <c r="S148" s="541">
        <v>41671</v>
      </c>
      <c r="T148" s="541">
        <v>41698</v>
      </c>
      <c r="U148" s="542" t="str">
        <f t="shared" si="9"/>
        <v>EJECUTADO</v>
      </c>
      <c r="V148" s="543">
        <f t="shared" si="10"/>
        <v>0</v>
      </c>
      <c r="W148" s="543">
        <v>0</v>
      </c>
      <c r="X148" s="543">
        <f t="shared" si="11"/>
        <v>0</v>
      </c>
      <c r="Y148" s="544"/>
      <c r="Z148" s="544"/>
      <c r="AA148" s="662"/>
      <c r="AB148" s="640"/>
      <c r="AC148" s="545" t="s">
        <v>278</v>
      </c>
      <c r="AD148" s="545" t="s">
        <v>178</v>
      </c>
      <c r="AE148" s="546" t="s">
        <v>187</v>
      </c>
      <c r="AF148" s="547">
        <v>2014</v>
      </c>
      <c r="AG148" s="657"/>
      <c r="AH148" s="639"/>
    </row>
    <row r="149" spans="1:34" s="94" customFormat="1" ht="50.1" hidden="1" customHeight="1">
      <c r="A149" s="1068"/>
      <c r="B149" s="648"/>
      <c r="C149" s="635" t="s">
        <v>182</v>
      </c>
      <c r="D149" s="661"/>
      <c r="E149" s="636" t="str">
        <f>+E148</f>
        <v xml:space="preserve">VIA ALAMOR VICENTINO </v>
      </c>
      <c r="F149" s="536" t="s">
        <v>275</v>
      </c>
      <c r="G149" s="536" t="str">
        <f>VLOOKUP(H149,'[5]Pob. Ext, Parroquial'!$B$9:$C$117,2,0)</f>
        <v>PUYANGO</v>
      </c>
      <c r="H149" s="536" t="s">
        <v>284</v>
      </c>
      <c r="I149" s="536" t="s">
        <v>173</v>
      </c>
      <c r="J149" s="536" t="s">
        <v>174</v>
      </c>
      <c r="K149" s="537"/>
      <c r="L149" s="537"/>
      <c r="M149" s="538">
        <f>IF(K149&gt;0,VLOOKUP(H149,'[5]Pob. Ext, Parroquial'!$B$8:$F$117,4,FALSE),0)</f>
        <v>0</v>
      </c>
      <c r="N149" s="539" t="s">
        <v>280</v>
      </c>
      <c r="O149" s="540" t="s">
        <v>181</v>
      </c>
      <c r="P149" s="540">
        <v>0.3</v>
      </c>
      <c r="Q149" s="540">
        <v>0</v>
      </c>
      <c r="R149" s="540"/>
      <c r="S149" s="541">
        <v>41671</v>
      </c>
      <c r="T149" s="541">
        <v>41698</v>
      </c>
      <c r="U149" s="542" t="str">
        <f t="shared" si="9"/>
        <v>EJECUTADO</v>
      </c>
      <c r="V149" s="543">
        <f t="shared" si="10"/>
        <v>0</v>
      </c>
      <c r="W149" s="543">
        <v>0</v>
      </c>
      <c r="X149" s="543">
        <f t="shared" si="11"/>
        <v>0</v>
      </c>
      <c r="Y149" s="544"/>
      <c r="Z149" s="544"/>
      <c r="AA149" s="662"/>
      <c r="AB149" s="640"/>
      <c r="AC149" s="545" t="s">
        <v>278</v>
      </c>
      <c r="AD149" s="545" t="s">
        <v>178</v>
      </c>
      <c r="AE149" s="546" t="s">
        <v>187</v>
      </c>
      <c r="AF149" s="547">
        <v>2014</v>
      </c>
      <c r="AG149" s="657"/>
      <c r="AH149" s="639"/>
    </row>
    <row r="150" spans="1:34" s="94" customFormat="1" ht="50.1" hidden="1" customHeight="1">
      <c r="A150" s="1068"/>
      <c r="B150" s="648"/>
      <c r="C150" s="635" t="s">
        <v>169</v>
      </c>
      <c r="D150" s="661"/>
      <c r="E150" s="636" t="str">
        <f>+E149</f>
        <v xml:space="preserve">VIA ALAMOR VICENTINO </v>
      </c>
      <c r="F150" s="536" t="s">
        <v>275</v>
      </c>
      <c r="G150" s="536" t="str">
        <f>VLOOKUP(H150,'[5]Pob. Ext, Parroquial'!$B$9:$C$117,2,0)</f>
        <v>PUYANGO</v>
      </c>
      <c r="H150" s="536" t="s">
        <v>284</v>
      </c>
      <c r="I150" s="536" t="s">
        <v>173</v>
      </c>
      <c r="J150" s="536" t="s">
        <v>174</v>
      </c>
      <c r="K150" s="537"/>
      <c r="L150" s="537"/>
      <c r="M150" s="538">
        <f>IF(K150&gt;0,VLOOKUP(H150,'[5]Pob. Ext, Parroquial'!$B$8:$F$117,4,FALSE),0)</f>
        <v>0</v>
      </c>
      <c r="N150" s="539" t="s">
        <v>281</v>
      </c>
      <c r="O150" s="540" t="s">
        <v>181</v>
      </c>
      <c r="P150" s="540">
        <v>0.3</v>
      </c>
      <c r="Q150" s="540">
        <v>15900</v>
      </c>
      <c r="R150" s="540"/>
      <c r="S150" s="541">
        <v>41671</v>
      </c>
      <c r="T150" s="541">
        <v>41698</v>
      </c>
      <c r="U150" s="542" t="str">
        <f t="shared" si="9"/>
        <v>EJECUTADO</v>
      </c>
      <c r="V150" s="543">
        <f t="shared" si="10"/>
        <v>4770</v>
      </c>
      <c r="W150" s="543">
        <v>4770</v>
      </c>
      <c r="X150" s="543">
        <f t="shared" si="11"/>
        <v>0</v>
      </c>
      <c r="Y150" s="544"/>
      <c r="Z150" s="544"/>
      <c r="AA150" s="662"/>
      <c r="AB150" s="640"/>
      <c r="AC150" s="545" t="s">
        <v>278</v>
      </c>
      <c r="AD150" s="545" t="s">
        <v>178</v>
      </c>
      <c r="AE150" s="546" t="s">
        <v>187</v>
      </c>
      <c r="AF150" s="547">
        <v>2014</v>
      </c>
      <c r="AG150" s="657"/>
      <c r="AH150" s="639"/>
    </row>
    <row r="151" spans="1:34" s="94" customFormat="1" ht="50.1" hidden="1" customHeight="1">
      <c r="A151" s="1068"/>
      <c r="B151" s="648"/>
      <c r="C151" s="635" t="s">
        <v>182</v>
      </c>
      <c r="D151" s="661"/>
      <c r="E151" s="636" t="str">
        <f t="shared" si="23"/>
        <v xml:space="preserve">VIA ALAMOR VICENTINO </v>
      </c>
      <c r="F151" s="536" t="s">
        <v>275</v>
      </c>
      <c r="G151" s="536" t="str">
        <f>VLOOKUP(H151,'[5]Pob. Ext, Parroquial'!$B$9:$C$117,2,0)</f>
        <v>PUYANGO</v>
      </c>
      <c r="H151" s="536" t="s">
        <v>284</v>
      </c>
      <c r="I151" s="536" t="s">
        <v>173</v>
      </c>
      <c r="J151" s="536" t="s">
        <v>174</v>
      </c>
      <c r="K151" s="537"/>
      <c r="L151" s="537">
        <f>ROUNDUP(Q151/5.5/1000,2)</f>
        <v>14.549999999999999</v>
      </c>
      <c r="M151" s="538">
        <f>IF(K151&gt;0,VLOOKUP(H151,'[5]Pob. Ext, Parroquial'!$B$8:$F$117,4,FALSE),0)</f>
        <v>0</v>
      </c>
      <c r="N151" s="539" t="s">
        <v>185</v>
      </c>
      <c r="O151" s="540" t="s">
        <v>184</v>
      </c>
      <c r="P151" s="540">
        <v>0.08</v>
      </c>
      <c r="Q151" s="540">
        <v>80000</v>
      </c>
      <c r="R151" s="540"/>
      <c r="S151" s="541">
        <v>41671</v>
      </c>
      <c r="T151" s="541">
        <v>41698</v>
      </c>
      <c r="U151" s="542" t="str">
        <f t="shared" si="9"/>
        <v>EJECUTADO</v>
      </c>
      <c r="V151" s="543">
        <f t="shared" si="10"/>
        <v>6400</v>
      </c>
      <c r="W151" s="543">
        <v>4800</v>
      </c>
      <c r="X151" s="543">
        <f t="shared" si="11"/>
        <v>2400</v>
      </c>
      <c r="Y151" s="544"/>
      <c r="Z151" s="544"/>
      <c r="AA151" s="662"/>
      <c r="AB151" s="640"/>
      <c r="AC151" s="545" t="s">
        <v>278</v>
      </c>
      <c r="AD151" s="545" t="s">
        <v>178</v>
      </c>
      <c r="AE151" s="546" t="s">
        <v>187</v>
      </c>
      <c r="AF151" s="547">
        <v>2014</v>
      </c>
      <c r="AG151" s="657"/>
      <c r="AH151" s="639"/>
    </row>
    <row r="152" spans="1:34" s="94" customFormat="1" ht="50.1" hidden="1" customHeight="1">
      <c r="A152" s="1068"/>
      <c r="B152" s="648"/>
      <c r="C152" s="635" t="s">
        <v>182</v>
      </c>
      <c r="D152" s="661"/>
      <c r="E152" s="636" t="str">
        <f t="shared" si="23"/>
        <v xml:space="preserve">VIA ALAMOR VICENTINO </v>
      </c>
      <c r="F152" s="536" t="s">
        <v>275</v>
      </c>
      <c r="G152" s="536" t="str">
        <f>VLOOKUP(H152,'[5]Pob. Ext, Parroquial'!$B$9:$C$117,2,0)</f>
        <v>PUYANGO</v>
      </c>
      <c r="H152" s="536" t="s">
        <v>284</v>
      </c>
      <c r="I152" s="536" t="s">
        <v>173</v>
      </c>
      <c r="J152" s="536" t="s">
        <v>174</v>
      </c>
      <c r="K152" s="537"/>
      <c r="L152" s="537">
        <f>ROUNDUP(Q152/5.5/1000,2)</f>
        <v>19.100000000000001</v>
      </c>
      <c r="M152" s="538">
        <f>IF(K152&gt;0,VLOOKUP(H152,'[5]Pob. Ext, Parroquial'!$B$8:$F$117,4,FALSE),0)</f>
        <v>0</v>
      </c>
      <c r="N152" s="539" t="s">
        <v>282</v>
      </c>
      <c r="O152" s="540" t="s">
        <v>184</v>
      </c>
      <c r="P152" s="540">
        <v>0.35</v>
      </c>
      <c r="Q152" s="540">
        <v>105000</v>
      </c>
      <c r="R152" s="540"/>
      <c r="S152" s="541">
        <v>41671</v>
      </c>
      <c r="T152" s="541">
        <v>41670</v>
      </c>
      <c r="U152" s="542" t="str">
        <f t="shared" si="9"/>
        <v>EJECUTADO</v>
      </c>
      <c r="V152" s="543">
        <f t="shared" si="10"/>
        <v>36750</v>
      </c>
      <c r="W152" s="543">
        <v>36750</v>
      </c>
      <c r="X152" s="543">
        <f t="shared" si="11"/>
        <v>0</v>
      </c>
      <c r="Y152" s="544"/>
      <c r="Z152" s="544"/>
      <c r="AA152" s="662"/>
      <c r="AB152" s="640"/>
      <c r="AC152" s="545" t="s">
        <v>278</v>
      </c>
      <c r="AD152" s="545" t="s">
        <v>178</v>
      </c>
      <c r="AE152" s="546" t="s">
        <v>179</v>
      </c>
      <c r="AF152" s="547">
        <v>2014</v>
      </c>
      <c r="AG152" s="657"/>
      <c r="AH152" s="639"/>
    </row>
    <row r="153" spans="1:34" s="94" customFormat="1" ht="50.1" hidden="1" customHeight="1">
      <c r="A153" s="1068"/>
      <c r="B153" s="646"/>
      <c r="C153" s="635" t="s">
        <v>169</v>
      </c>
      <c r="D153" s="663"/>
      <c r="E153" s="636" t="str">
        <f t="shared" si="23"/>
        <v xml:space="preserve">VIA ALAMOR VICENTINO </v>
      </c>
      <c r="F153" s="536" t="s">
        <v>275</v>
      </c>
      <c r="G153" s="536" t="str">
        <f>VLOOKUP(H153,'[5]Pob. Ext, Parroquial'!$B$9:$C$117,2,0)</f>
        <v>PUYANGO</v>
      </c>
      <c r="H153" s="536" t="s">
        <v>284</v>
      </c>
      <c r="I153" s="536" t="s">
        <v>173</v>
      </c>
      <c r="J153" s="536" t="s">
        <v>174</v>
      </c>
      <c r="K153" s="537"/>
      <c r="L153" s="537">
        <f>+ROUND(Q153/5500/0.2,2)</f>
        <v>0.64</v>
      </c>
      <c r="M153" s="538">
        <f>IF(K153&gt;0,VLOOKUP(H153,'[5]Pob. Ext, Parroquial'!$B$8:$F$117,4,FALSE),0)</f>
        <v>0</v>
      </c>
      <c r="N153" s="539" t="s">
        <v>229</v>
      </c>
      <c r="O153" s="540" t="s">
        <v>176</v>
      </c>
      <c r="P153" s="540">
        <v>5.92</v>
      </c>
      <c r="Q153" s="540">
        <v>700</v>
      </c>
      <c r="R153" s="540"/>
      <c r="S153" s="541">
        <v>41671</v>
      </c>
      <c r="T153" s="541">
        <v>41698</v>
      </c>
      <c r="U153" s="542" t="str">
        <f t="shared" si="9"/>
        <v>EJECUTADO</v>
      </c>
      <c r="V153" s="543">
        <f t="shared" si="10"/>
        <v>4144</v>
      </c>
      <c r="W153" s="543">
        <v>4144</v>
      </c>
      <c r="X153" s="543">
        <f t="shared" si="11"/>
        <v>0</v>
      </c>
      <c r="Y153" s="544"/>
      <c r="Z153" s="544"/>
      <c r="AA153" s="664"/>
      <c r="AB153" s="640"/>
      <c r="AC153" s="545" t="s">
        <v>278</v>
      </c>
      <c r="AD153" s="545" t="s">
        <v>178</v>
      </c>
      <c r="AE153" s="546" t="s">
        <v>187</v>
      </c>
      <c r="AF153" s="547">
        <v>2014</v>
      </c>
      <c r="AG153" s="657"/>
      <c r="AH153" s="639"/>
    </row>
    <row r="154" spans="1:34" s="94" customFormat="1" ht="50.1" hidden="1" customHeight="1">
      <c r="A154" s="1068"/>
      <c r="B154" s="645"/>
      <c r="C154" s="635" t="s">
        <v>182</v>
      </c>
      <c r="D154" s="659" t="s">
        <v>285</v>
      </c>
      <c r="E154" s="636" t="str">
        <f t="shared" si="16"/>
        <v>VIA LA HOYADA EL LIMO (CANTON PUYANGO)</v>
      </c>
      <c r="F154" s="536" t="s">
        <v>275</v>
      </c>
      <c r="G154" s="536" t="str">
        <f>VLOOKUP(H154,'[5]Pob. Ext, Parroquial'!$B$9:$C$117,2,0)</f>
        <v>PUYANGO</v>
      </c>
      <c r="H154" s="536" t="s">
        <v>286</v>
      </c>
      <c r="I154" s="536" t="s">
        <v>173</v>
      </c>
      <c r="J154" s="536" t="s">
        <v>174</v>
      </c>
      <c r="K154" s="537">
        <v>16</v>
      </c>
      <c r="L154" s="537"/>
      <c r="M154" s="538">
        <f>IF(K154&gt;0,VLOOKUP(H154,'[5]Pob. Ext, Parroquial'!$B$8:$F$117,4,FALSE),0)</f>
        <v>1388</v>
      </c>
      <c r="N154" s="539" t="s">
        <v>276</v>
      </c>
      <c r="O154" s="540" t="s">
        <v>277</v>
      </c>
      <c r="P154" s="540">
        <v>948.16</v>
      </c>
      <c r="Q154" s="540">
        <v>0</v>
      </c>
      <c r="R154" s="540"/>
      <c r="S154" s="541">
        <v>41640</v>
      </c>
      <c r="T154" s="541">
        <v>41670</v>
      </c>
      <c r="U154" s="542" t="str">
        <f t="shared" si="9"/>
        <v>EJECUTADO</v>
      </c>
      <c r="V154" s="543">
        <f t="shared" si="10"/>
        <v>0</v>
      </c>
      <c r="W154" s="543">
        <v>0</v>
      </c>
      <c r="X154" s="543">
        <f t="shared" si="11"/>
        <v>0</v>
      </c>
      <c r="Y154" s="544"/>
      <c r="Z154" s="544"/>
      <c r="AA154" s="660">
        <f>SUM(V154:V162)</f>
        <v>43646</v>
      </c>
      <c r="AB154" s="640"/>
      <c r="AC154" s="545" t="s">
        <v>278</v>
      </c>
      <c r="AD154" s="545" t="s">
        <v>178</v>
      </c>
      <c r="AE154" s="546" t="s">
        <v>179</v>
      </c>
      <c r="AF154" s="547">
        <v>2014</v>
      </c>
      <c r="AG154" s="657"/>
      <c r="AH154" s="639"/>
    </row>
    <row r="155" spans="1:34" s="94" customFormat="1" ht="50.1" hidden="1" customHeight="1">
      <c r="A155" s="1068"/>
      <c r="B155" s="648"/>
      <c r="C155" s="635" t="s">
        <v>169</v>
      </c>
      <c r="D155" s="661"/>
      <c r="E155" s="636" t="str">
        <f t="shared" si="23"/>
        <v>VIA LA HOYADA EL LIMO (CANTON PUYANGO)</v>
      </c>
      <c r="F155" s="536" t="s">
        <v>275</v>
      </c>
      <c r="G155" s="536" t="str">
        <f>VLOOKUP(H155,'[5]Pob. Ext, Parroquial'!$B$9:$C$117,2,0)</f>
        <v>PUYANGO</v>
      </c>
      <c r="H155" s="536" t="s">
        <v>286</v>
      </c>
      <c r="I155" s="536" t="s">
        <v>173</v>
      </c>
      <c r="J155" s="536" t="s">
        <v>174</v>
      </c>
      <c r="K155" s="537"/>
      <c r="L155" s="537"/>
      <c r="M155" s="538">
        <f>IF(K155&gt;0,VLOOKUP(H155,'[5]Pob. Ext, Parroquial'!$B$8:$F$117,4,FALSE),0)</f>
        <v>0</v>
      </c>
      <c r="N155" s="539" t="s">
        <v>226</v>
      </c>
      <c r="O155" s="540" t="s">
        <v>176</v>
      </c>
      <c r="P155" s="540">
        <v>1.62</v>
      </c>
      <c r="Q155" s="540">
        <v>500</v>
      </c>
      <c r="R155" s="540"/>
      <c r="S155" s="541">
        <v>41640</v>
      </c>
      <c r="T155" s="541">
        <v>41670</v>
      </c>
      <c r="U155" s="542" t="str">
        <f t="shared" si="9"/>
        <v>EJECUTADO</v>
      </c>
      <c r="V155" s="543">
        <f t="shared" si="10"/>
        <v>810</v>
      </c>
      <c r="W155" s="543">
        <v>810</v>
      </c>
      <c r="X155" s="543">
        <f t="shared" si="11"/>
        <v>0</v>
      </c>
      <c r="Y155" s="544"/>
      <c r="Z155" s="544"/>
      <c r="AA155" s="662"/>
      <c r="AB155" s="640"/>
      <c r="AC155" s="545" t="s">
        <v>278</v>
      </c>
      <c r="AD155" s="545" t="s">
        <v>178</v>
      </c>
      <c r="AE155" s="546" t="s">
        <v>179</v>
      </c>
      <c r="AF155" s="547">
        <v>2014</v>
      </c>
      <c r="AG155" s="657"/>
      <c r="AH155" s="639"/>
    </row>
    <row r="156" spans="1:34" s="94" customFormat="1" ht="50.1" hidden="1" customHeight="1">
      <c r="A156" s="1068"/>
      <c r="B156" s="648"/>
      <c r="C156" s="635" t="s">
        <v>182</v>
      </c>
      <c r="D156" s="661"/>
      <c r="E156" s="636" t="str">
        <f t="shared" si="23"/>
        <v>VIA LA HOYADA EL LIMO (CANTON PUYANGO)</v>
      </c>
      <c r="F156" s="536" t="s">
        <v>275</v>
      </c>
      <c r="G156" s="536" t="str">
        <f>VLOOKUP(H156,'[5]Pob. Ext, Parroquial'!$B$9:$C$117,2,0)</f>
        <v>PUYANGO</v>
      </c>
      <c r="H156" s="536" t="s">
        <v>286</v>
      </c>
      <c r="I156" s="536" t="s">
        <v>173</v>
      </c>
      <c r="J156" s="536" t="s">
        <v>174</v>
      </c>
      <c r="K156" s="537"/>
      <c r="L156" s="537"/>
      <c r="M156" s="538">
        <f>IF(K156&gt;0,VLOOKUP(H156,'[5]Pob. Ext, Parroquial'!$B$8:$F$117,4,FALSE),0)</f>
        <v>0</v>
      </c>
      <c r="N156" s="539" t="s">
        <v>200</v>
      </c>
      <c r="O156" s="540" t="s">
        <v>176</v>
      </c>
      <c r="P156" s="540">
        <v>1.46</v>
      </c>
      <c r="Q156" s="540">
        <v>600</v>
      </c>
      <c r="R156" s="540"/>
      <c r="S156" s="541">
        <v>41640</v>
      </c>
      <c r="T156" s="541">
        <v>41670</v>
      </c>
      <c r="U156" s="542" t="str">
        <f t="shared" si="9"/>
        <v>EJECUTADO</v>
      </c>
      <c r="V156" s="543">
        <f t="shared" si="10"/>
        <v>876</v>
      </c>
      <c r="W156" s="543">
        <v>876</v>
      </c>
      <c r="X156" s="543">
        <f t="shared" si="11"/>
        <v>0</v>
      </c>
      <c r="Y156" s="544"/>
      <c r="Z156" s="544"/>
      <c r="AA156" s="662"/>
      <c r="AB156" s="640"/>
      <c r="AC156" s="545" t="s">
        <v>278</v>
      </c>
      <c r="AD156" s="545" t="s">
        <v>178</v>
      </c>
      <c r="AE156" s="546" t="s">
        <v>179</v>
      </c>
      <c r="AF156" s="547">
        <v>2014</v>
      </c>
      <c r="AG156" s="657"/>
      <c r="AH156" s="639"/>
    </row>
    <row r="157" spans="1:34" s="94" customFormat="1" ht="50.1" hidden="1" customHeight="1">
      <c r="A157" s="1068"/>
      <c r="B157" s="648"/>
      <c r="C157" s="635" t="s">
        <v>182</v>
      </c>
      <c r="D157" s="661"/>
      <c r="E157" s="636" t="str">
        <f t="shared" si="23"/>
        <v>VIA LA HOYADA EL LIMO (CANTON PUYANGO)</v>
      </c>
      <c r="F157" s="536" t="s">
        <v>275</v>
      </c>
      <c r="G157" s="536" t="str">
        <f>VLOOKUP(H157,'[5]Pob. Ext, Parroquial'!$B$9:$C$117,2,0)</f>
        <v>PUYANGO</v>
      </c>
      <c r="H157" s="536" t="s">
        <v>286</v>
      </c>
      <c r="I157" s="536" t="s">
        <v>173</v>
      </c>
      <c r="J157" s="536" t="s">
        <v>174</v>
      </c>
      <c r="K157" s="537"/>
      <c r="L157" s="537"/>
      <c r="M157" s="538">
        <f>IF(K157&gt;0,VLOOKUP(H157,'[5]Pob. Ext, Parroquial'!$B$8:$F$117,4,FALSE),0)</f>
        <v>0</v>
      </c>
      <c r="N157" s="539" t="s">
        <v>279</v>
      </c>
      <c r="O157" s="540" t="s">
        <v>176</v>
      </c>
      <c r="P157" s="540">
        <v>1.47</v>
      </c>
      <c r="Q157" s="540">
        <v>0</v>
      </c>
      <c r="R157" s="540"/>
      <c r="S157" s="541">
        <v>41640</v>
      </c>
      <c r="T157" s="541">
        <v>41670</v>
      </c>
      <c r="U157" s="542" t="str">
        <f t="shared" si="9"/>
        <v>EJECUTADO</v>
      </c>
      <c r="V157" s="543">
        <f t="shared" si="10"/>
        <v>0</v>
      </c>
      <c r="W157" s="543">
        <v>0</v>
      </c>
      <c r="X157" s="543">
        <f t="shared" si="11"/>
        <v>0</v>
      </c>
      <c r="Y157" s="544"/>
      <c r="Z157" s="544"/>
      <c r="AA157" s="662"/>
      <c r="AB157" s="640"/>
      <c r="AC157" s="545" t="s">
        <v>278</v>
      </c>
      <c r="AD157" s="545" t="s">
        <v>178</v>
      </c>
      <c r="AE157" s="546" t="s">
        <v>179</v>
      </c>
      <c r="AF157" s="547">
        <v>2014</v>
      </c>
      <c r="AG157" s="657">
        <f>SUM(AA452:AA478)</f>
        <v>456264.82</v>
      </c>
      <c r="AH157" s="639"/>
    </row>
    <row r="158" spans="1:34" s="94" customFormat="1" ht="50.1" hidden="1" customHeight="1">
      <c r="A158" s="1068"/>
      <c r="B158" s="648"/>
      <c r="C158" s="635" t="s">
        <v>182</v>
      </c>
      <c r="D158" s="661"/>
      <c r="E158" s="636" t="str">
        <f t="shared" si="23"/>
        <v>VIA LA HOYADA EL LIMO (CANTON PUYANGO)</v>
      </c>
      <c r="F158" s="536" t="s">
        <v>275</v>
      </c>
      <c r="G158" s="536" t="str">
        <f>VLOOKUP(H158,'[5]Pob. Ext, Parroquial'!$B$9:$C$117,2,0)</f>
        <v>PUYANGO</v>
      </c>
      <c r="H158" s="536" t="s">
        <v>286</v>
      </c>
      <c r="I158" s="536" t="s">
        <v>173</v>
      </c>
      <c r="J158" s="536" t="s">
        <v>174</v>
      </c>
      <c r="K158" s="537"/>
      <c r="L158" s="537"/>
      <c r="M158" s="538">
        <f>IF(K158&gt;0,VLOOKUP(H158,'[5]Pob. Ext, Parroquial'!$B$8:$F$117,4,FALSE),0)</f>
        <v>0</v>
      </c>
      <c r="N158" s="539" t="s">
        <v>280</v>
      </c>
      <c r="O158" s="540" t="s">
        <v>181</v>
      </c>
      <c r="P158" s="540">
        <v>0.3</v>
      </c>
      <c r="Q158" s="540">
        <v>0</v>
      </c>
      <c r="R158" s="540"/>
      <c r="S158" s="541">
        <v>41640</v>
      </c>
      <c r="T158" s="541">
        <v>41670</v>
      </c>
      <c r="U158" s="542" t="str">
        <f t="shared" si="9"/>
        <v>EJECUTADO</v>
      </c>
      <c r="V158" s="543">
        <f t="shared" si="10"/>
        <v>0</v>
      </c>
      <c r="W158" s="543">
        <v>0</v>
      </c>
      <c r="X158" s="543">
        <f t="shared" si="11"/>
        <v>0</v>
      </c>
      <c r="Y158" s="544"/>
      <c r="Z158" s="544"/>
      <c r="AA158" s="662"/>
      <c r="AB158" s="640"/>
      <c r="AC158" s="545" t="s">
        <v>278</v>
      </c>
      <c r="AD158" s="545" t="s">
        <v>178</v>
      </c>
      <c r="AE158" s="546" t="s">
        <v>179</v>
      </c>
      <c r="AF158" s="547">
        <v>2014</v>
      </c>
      <c r="AG158" s="657"/>
      <c r="AH158" s="639"/>
    </row>
    <row r="159" spans="1:34" s="94" customFormat="1" ht="50.1" hidden="1" customHeight="1">
      <c r="A159" s="1068"/>
      <c r="B159" s="648"/>
      <c r="C159" s="635" t="s">
        <v>169</v>
      </c>
      <c r="D159" s="661"/>
      <c r="E159" s="636" t="str">
        <f t="shared" si="23"/>
        <v>VIA LA HOYADA EL LIMO (CANTON PUYANGO)</v>
      </c>
      <c r="F159" s="536" t="s">
        <v>275</v>
      </c>
      <c r="G159" s="536" t="str">
        <f>VLOOKUP(H159,'[5]Pob. Ext, Parroquial'!$B$9:$C$117,2,0)</f>
        <v>PUYANGO</v>
      </c>
      <c r="H159" s="536" t="s">
        <v>286</v>
      </c>
      <c r="I159" s="536" t="s">
        <v>173</v>
      </c>
      <c r="J159" s="536" t="s">
        <v>174</v>
      </c>
      <c r="K159" s="537"/>
      <c r="L159" s="537"/>
      <c r="M159" s="538">
        <f>IF(K159&gt;0,VLOOKUP(H159,'[5]Pob. Ext, Parroquial'!$B$8:$F$117,4,FALSE),0)</f>
        <v>0</v>
      </c>
      <c r="N159" s="539" t="s">
        <v>281</v>
      </c>
      <c r="O159" s="540" t="s">
        <v>181</v>
      </c>
      <c r="P159" s="540">
        <v>0.3</v>
      </c>
      <c r="Q159" s="540">
        <v>7500</v>
      </c>
      <c r="R159" s="540"/>
      <c r="S159" s="541">
        <v>41640</v>
      </c>
      <c r="T159" s="541">
        <v>41670</v>
      </c>
      <c r="U159" s="542" t="str">
        <f t="shared" si="9"/>
        <v>EJECUTADO</v>
      </c>
      <c r="V159" s="543">
        <f t="shared" si="10"/>
        <v>2250</v>
      </c>
      <c r="W159" s="543">
        <v>2250</v>
      </c>
      <c r="X159" s="543">
        <f t="shared" si="11"/>
        <v>0</v>
      </c>
      <c r="Y159" s="544"/>
      <c r="Z159" s="544"/>
      <c r="AA159" s="662"/>
      <c r="AB159" s="640"/>
      <c r="AC159" s="545" t="s">
        <v>278</v>
      </c>
      <c r="AD159" s="545" t="s">
        <v>178</v>
      </c>
      <c r="AE159" s="546" t="s">
        <v>179</v>
      </c>
      <c r="AF159" s="547">
        <v>2014</v>
      </c>
      <c r="AG159" s="657"/>
      <c r="AH159" s="639"/>
    </row>
    <row r="160" spans="1:34" s="94" customFormat="1" ht="50.1" hidden="1" customHeight="1">
      <c r="A160" s="1068"/>
      <c r="B160" s="648"/>
      <c r="C160" s="635" t="s">
        <v>182</v>
      </c>
      <c r="D160" s="661"/>
      <c r="E160" s="636" t="str">
        <f t="shared" si="23"/>
        <v>VIA LA HOYADA EL LIMO (CANTON PUYANGO)</v>
      </c>
      <c r="F160" s="536" t="s">
        <v>275</v>
      </c>
      <c r="G160" s="536" t="str">
        <f>VLOOKUP(H160,'[5]Pob. Ext, Parroquial'!$B$9:$C$117,2,0)</f>
        <v>PUYANGO</v>
      </c>
      <c r="H160" s="536" t="s">
        <v>286</v>
      </c>
      <c r="I160" s="536" t="s">
        <v>173</v>
      </c>
      <c r="J160" s="536" t="s">
        <v>174</v>
      </c>
      <c r="K160" s="537"/>
      <c r="L160" s="537">
        <f>ROUNDUP(Q160/5.5/1000,2)</f>
        <v>0</v>
      </c>
      <c r="M160" s="538">
        <f>IF(K160&gt;0,VLOOKUP(H160,'[5]Pob. Ext, Parroquial'!$B$8:$F$117,4,FALSE),0)</f>
        <v>0</v>
      </c>
      <c r="N160" s="539" t="s">
        <v>185</v>
      </c>
      <c r="O160" s="540" t="s">
        <v>184</v>
      </c>
      <c r="P160" s="540">
        <v>0.08</v>
      </c>
      <c r="Q160" s="540"/>
      <c r="R160" s="540"/>
      <c r="S160" s="541">
        <v>41673</v>
      </c>
      <c r="T160" s="541">
        <v>41670</v>
      </c>
      <c r="U160" s="542" t="str">
        <f t="shared" si="9"/>
        <v>EJECUTADO</v>
      </c>
      <c r="V160" s="543">
        <f t="shared" si="10"/>
        <v>0</v>
      </c>
      <c r="W160" s="543">
        <v>0</v>
      </c>
      <c r="X160" s="543">
        <f t="shared" si="11"/>
        <v>0</v>
      </c>
      <c r="Y160" s="544"/>
      <c r="Z160" s="544"/>
      <c r="AA160" s="662"/>
      <c r="AB160" s="640"/>
      <c r="AC160" s="545" t="s">
        <v>278</v>
      </c>
      <c r="AD160" s="545" t="s">
        <v>178</v>
      </c>
      <c r="AE160" s="546" t="s">
        <v>179</v>
      </c>
      <c r="AF160" s="547">
        <v>2014</v>
      </c>
      <c r="AG160" s="657"/>
      <c r="AH160" s="639"/>
    </row>
    <row r="161" spans="1:34" s="94" customFormat="1" ht="50.1" hidden="1" customHeight="1">
      <c r="A161" s="1068"/>
      <c r="B161" s="648"/>
      <c r="C161" s="635" t="s">
        <v>182</v>
      </c>
      <c r="D161" s="661"/>
      <c r="E161" s="636" t="str">
        <f t="shared" si="23"/>
        <v>VIA LA HOYADA EL LIMO (CANTON PUYANGO)</v>
      </c>
      <c r="F161" s="536" t="s">
        <v>275</v>
      </c>
      <c r="G161" s="536" t="str">
        <f>VLOOKUP(H161,'[5]Pob. Ext, Parroquial'!$B$9:$C$117,2,0)</f>
        <v>PUYANGO</v>
      </c>
      <c r="H161" s="536" t="s">
        <v>286</v>
      </c>
      <c r="I161" s="536" t="s">
        <v>173</v>
      </c>
      <c r="J161" s="536" t="s">
        <v>174</v>
      </c>
      <c r="K161" s="537"/>
      <c r="L161" s="537">
        <f>ROUNDUP(Q161/5.5/1000,2)</f>
        <v>19.100000000000001</v>
      </c>
      <c r="M161" s="538">
        <f>IF(K161&gt;0,VLOOKUP(H161,'[5]Pob. Ext, Parroquial'!$B$8:$F$117,4,FALSE),0)</f>
        <v>0</v>
      </c>
      <c r="N161" s="539" t="s">
        <v>282</v>
      </c>
      <c r="O161" s="540" t="s">
        <v>184</v>
      </c>
      <c r="P161" s="540">
        <v>0.35</v>
      </c>
      <c r="Q161" s="540">
        <v>105000</v>
      </c>
      <c r="R161" s="540"/>
      <c r="S161" s="541">
        <v>41640</v>
      </c>
      <c r="T161" s="541">
        <v>41670</v>
      </c>
      <c r="U161" s="542" t="str">
        <f t="shared" si="9"/>
        <v>EJECUTADO</v>
      </c>
      <c r="V161" s="543">
        <f t="shared" si="10"/>
        <v>36750</v>
      </c>
      <c r="W161" s="543">
        <v>36750</v>
      </c>
      <c r="X161" s="543">
        <f t="shared" si="11"/>
        <v>0</v>
      </c>
      <c r="Y161" s="544"/>
      <c r="Z161" s="544"/>
      <c r="AA161" s="662"/>
      <c r="AB161" s="640"/>
      <c r="AC161" s="545" t="s">
        <v>278</v>
      </c>
      <c r="AD161" s="545" t="s">
        <v>178</v>
      </c>
      <c r="AE161" s="546" t="s">
        <v>179</v>
      </c>
      <c r="AF161" s="547">
        <v>2014</v>
      </c>
      <c r="AG161" s="657"/>
      <c r="AH161" s="639"/>
    </row>
    <row r="162" spans="1:34" s="94" customFormat="1" ht="50.1" hidden="1" customHeight="1">
      <c r="A162" s="1068"/>
      <c r="B162" s="646"/>
      <c r="C162" s="635" t="s">
        <v>169</v>
      </c>
      <c r="D162" s="663"/>
      <c r="E162" s="636" t="str">
        <f t="shared" si="23"/>
        <v>VIA LA HOYADA EL LIMO (CANTON PUYANGO)</v>
      </c>
      <c r="F162" s="536" t="s">
        <v>275</v>
      </c>
      <c r="G162" s="536" t="str">
        <f>VLOOKUP(H162,'[5]Pob. Ext, Parroquial'!$B$9:$C$117,2,0)</f>
        <v>PUYANGO</v>
      </c>
      <c r="H162" s="536" t="s">
        <v>286</v>
      </c>
      <c r="I162" s="536" t="s">
        <v>173</v>
      </c>
      <c r="J162" s="536" t="s">
        <v>174</v>
      </c>
      <c r="K162" s="537"/>
      <c r="L162" s="537">
        <f>+ROUND(Q162/5500/0.2,2)</f>
        <v>0.45</v>
      </c>
      <c r="M162" s="538">
        <f>IF(K162&gt;0,VLOOKUP(H162,'[5]Pob. Ext, Parroquial'!$B$8:$F$117,4,FALSE),0)</f>
        <v>0</v>
      </c>
      <c r="N162" s="539" t="s">
        <v>229</v>
      </c>
      <c r="O162" s="540" t="s">
        <v>176</v>
      </c>
      <c r="P162" s="540">
        <v>5.92</v>
      </c>
      <c r="Q162" s="540">
        <v>500</v>
      </c>
      <c r="R162" s="540"/>
      <c r="S162" s="541">
        <v>41640</v>
      </c>
      <c r="T162" s="541">
        <v>41670</v>
      </c>
      <c r="U162" s="542" t="str">
        <f t="shared" si="9"/>
        <v>EJECUTADO</v>
      </c>
      <c r="V162" s="543">
        <f t="shared" si="10"/>
        <v>2960</v>
      </c>
      <c r="W162" s="543">
        <v>2960</v>
      </c>
      <c r="X162" s="543">
        <f t="shared" si="11"/>
        <v>0</v>
      </c>
      <c r="Y162" s="544"/>
      <c r="Z162" s="544"/>
      <c r="AA162" s="664"/>
      <c r="AB162" s="640"/>
      <c r="AC162" s="545" t="s">
        <v>278</v>
      </c>
      <c r="AD162" s="545" t="s">
        <v>178</v>
      </c>
      <c r="AE162" s="546" t="s">
        <v>179</v>
      </c>
      <c r="AF162" s="547">
        <v>2014</v>
      </c>
      <c r="AG162" s="657"/>
      <c r="AH162" s="639"/>
    </row>
    <row r="163" spans="1:34" s="94" customFormat="1" ht="50.1" hidden="1" customHeight="1">
      <c r="A163" s="1068"/>
      <c r="B163" s="645"/>
      <c r="C163" s="635" t="s">
        <v>182</v>
      </c>
      <c r="D163" s="1073" t="s">
        <v>287</v>
      </c>
      <c r="E163" s="636" t="str">
        <f t="shared" si="16"/>
        <v>VIA GUAYACAN - PALTAPAMBA - (CANTON PUYANGO)
(PARALIZADO POR INVIERNO)</v>
      </c>
      <c r="F163" s="536" t="s">
        <v>275</v>
      </c>
      <c r="G163" s="536" t="str">
        <f>VLOOKUP(H163,'[5]Pob. Ext, Parroquial'!$B$9:$C$117,2,0)</f>
        <v>PUYANGO</v>
      </c>
      <c r="H163" s="536" t="s">
        <v>284</v>
      </c>
      <c r="I163" s="536" t="s">
        <v>173</v>
      </c>
      <c r="J163" s="536" t="s">
        <v>174</v>
      </c>
      <c r="K163" s="537">
        <v>6.5</v>
      </c>
      <c r="L163" s="537"/>
      <c r="M163" s="538">
        <f>IF(K163&gt;0,VLOOKUP(H163,'[5]Pob. Ext, Parroquial'!$B$8:$F$117,4,FALSE),0)</f>
        <v>640</v>
      </c>
      <c r="N163" s="539" t="s">
        <v>276</v>
      </c>
      <c r="O163" s="540" t="s">
        <v>277</v>
      </c>
      <c r="P163" s="540">
        <v>948.16</v>
      </c>
      <c r="Q163" s="540">
        <v>0</v>
      </c>
      <c r="R163" s="540"/>
      <c r="S163" s="541">
        <v>41640</v>
      </c>
      <c r="T163" s="541">
        <v>41698</v>
      </c>
      <c r="U163" s="542" t="str">
        <f t="shared" si="9"/>
        <v>EJECUTADO</v>
      </c>
      <c r="V163" s="543">
        <f t="shared" si="10"/>
        <v>0</v>
      </c>
      <c r="W163" s="543">
        <v>0</v>
      </c>
      <c r="X163" s="543">
        <f t="shared" si="11"/>
        <v>0</v>
      </c>
      <c r="Y163" s="544"/>
      <c r="Z163" s="544"/>
      <c r="AA163" s="1072">
        <f>SUM(V163:V171)</f>
        <v>46818.9</v>
      </c>
      <c r="AB163" s="640"/>
      <c r="AC163" s="545" t="s">
        <v>278</v>
      </c>
      <c r="AD163" s="545" t="s">
        <v>178</v>
      </c>
      <c r="AE163" s="546" t="s">
        <v>187</v>
      </c>
      <c r="AF163" s="547">
        <v>2014</v>
      </c>
      <c r="AG163" s="657"/>
      <c r="AH163" s="639"/>
    </row>
    <row r="164" spans="1:34" s="94" customFormat="1" ht="50.1" hidden="1" customHeight="1">
      <c r="A164" s="1068"/>
      <c r="B164" s="648"/>
      <c r="C164" s="635" t="s">
        <v>169</v>
      </c>
      <c r="D164" s="1078"/>
      <c r="E164" s="636" t="str">
        <f t="shared" si="23"/>
        <v>VIA GUAYACAN - PALTAPAMBA - (CANTON PUYANGO)
(PARALIZADO POR INVIERNO)</v>
      </c>
      <c r="F164" s="536" t="s">
        <v>275</v>
      </c>
      <c r="G164" s="536" t="str">
        <f>VLOOKUP(H164,'[5]Pob. Ext, Parroquial'!$B$9:$C$117,2,0)</f>
        <v>PUYANGO</v>
      </c>
      <c r="H164" s="536" t="s">
        <v>284</v>
      </c>
      <c r="I164" s="536" t="s">
        <v>173</v>
      </c>
      <c r="J164" s="536" t="s">
        <v>174</v>
      </c>
      <c r="K164" s="537"/>
      <c r="L164" s="537"/>
      <c r="M164" s="538">
        <f>IF(K164&gt;0,VLOOKUP(H164,'[5]Pob. Ext, Parroquial'!$B$8:$F$117,4,FALSE),0)</f>
        <v>0</v>
      </c>
      <c r="N164" s="539" t="s">
        <v>226</v>
      </c>
      <c r="O164" s="540" t="s">
        <v>176</v>
      </c>
      <c r="P164" s="540">
        <v>1.62</v>
      </c>
      <c r="Q164" s="540">
        <v>1800</v>
      </c>
      <c r="R164" s="540"/>
      <c r="S164" s="541">
        <v>41640</v>
      </c>
      <c r="T164" s="541">
        <v>41698</v>
      </c>
      <c r="U164" s="542" t="str">
        <f t="shared" si="9"/>
        <v>EJECUTADO</v>
      </c>
      <c r="V164" s="543">
        <f t="shared" si="10"/>
        <v>2916</v>
      </c>
      <c r="W164" s="543">
        <v>2916</v>
      </c>
      <c r="X164" s="543">
        <f t="shared" si="11"/>
        <v>0</v>
      </c>
      <c r="Y164" s="544"/>
      <c r="Z164" s="544"/>
      <c r="AA164" s="1072"/>
      <c r="AB164" s="640"/>
      <c r="AC164" s="545" t="s">
        <v>278</v>
      </c>
      <c r="AD164" s="545" t="s">
        <v>178</v>
      </c>
      <c r="AE164" s="546" t="s">
        <v>187</v>
      </c>
      <c r="AF164" s="547">
        <v>2014</v>
      </c>
      <c r="AG164" s="657"/>
      <c r="AH164" s="639"/>
    </row>
    <row r="165" spans="1:34" s="94" customFormat="1" ht="50.1" hidden="1" customHeight="1">
      <c r="A165" s="1068"/>
      <c r="B165" s="648"/>
      <c r="C165" s="635" t="s">
        <v>182</v>
      </c>
      <c r="D165" s="1078"/>
      <c r="E165" s="636" t="str">
        <f t="shared" si="23"/>
        <v>VIA GUAYACAN - PALTAPAMBA - (CANTON PUYANGO)
(PARALIZADO POR INVIERNO)</v>
      </c>
      <c r="F165" s="536" t="s">
        <v>275</v>
      </c>
      <c r="G165" s="536" t="str">
        <f>VLOOKUP(H165,'[5]Pob. Ext, Parroquial'!$B$9:$C$117,2,0)</f>
        <v>PUYANGO</v>
      </c>
      <c r="H165" s="536" t="s">
        <v>284</v>
      </c>
      <c r="I165" s="536" t="s">
        <v>173</v>
      </c>
      <c r="J165" s="536" t="s">
        <v>174</v>
      </c>
      <c r="K165" s="537"/>
      <c r="L165" s="537"/>
      <c r="M165" s="538">
        <f>IF(K165&gt;0,VLOOKUP(H165,'[5]Pob. Ext, Parroquial'!$B$8:$F$117,4,FALSE),0)</f>
        <v>0</v>
      </c>
      <c r="N165" s="539" t="s">
        <v>200</v>
      </c>
      <c r="O165" s="540" t="s">
        <v>176</v>
      </c>
      <c r="P165" s="540">
        <v>1.46</v>
      </c>
      <c r="Q165" s="540">
        <v>900</v>
      </c>
      <c r="R165" s="540"/>
      <c r="S165" s="541">
        <v>41640</v>
      </c>
      <c r="T165" s="541">
        <v>41698</v>
      </c>
      <c r="U165" s="542" t="str">
        <f t="shared" si="9"/>
        <v>EJECUTADO</v>
      </c>
      <c r="V165" s="543">
        <f t="shared" si="10"/>
        <v>1314</v>
      </c>
      <c r="W165" s="543">
        <v>1314</v>
      </c>
      <c r="X165" s="543">
        <f t="shared" si="11"/>
        <v>0</v>
      </c>
      <c r="Y165" s="544"/>
      <c r="Z165" s="544"/>
      <c r="AA165" s="1072"/>
      <c r="AB165" s="640"/>
      <c r="AC165" s="545" t="s">
        <v>278</v>
      </c>
      <c r="AD165" s="545" t="s">
        <v>178</v>
      </c>
      <c r="AE165" s="546" t="s">
        <v>187</v>
      </c>
      <c r="AF165" s="547">
        <v>2014</v>
      </c>
      <c r="AG165" s="657"/>
      <c r="AH165" s="639"/>
    </row>
    <row r="166" spans="1:34" s="94" customFormat="1" ht="50.1" hidden="1" customHeight="1">
      <c r="A166" s="1068"/>
      <c r="B166" s="648"/>
      <c r="C166" s="635" t="s">
        <v>182</v>
      </c>
      <c r="D166" s="1078"/>
      <c r="E166" s="636" t="str">
        <f t="shared" si="23"/>
        <v>VIA GUAYACAN - PALTAPAMBA - (CANTON PUYANGO)
(PARALIZADO POR INVIERNO)</v>
      </c>
      <c r="F166" s="536" t="s">
        <v>275</v>
      </c>
      <c r="G166" s="536" t="str">
        <f>VLOOKUP(H166,'[5]Pob. Ext, Parroquial'!$B$9:$C$117,2,0)</f>
        <v>PUYANGO</v>
      </c>
      <c r="H166" s="536" t="s">
        <v>284</v>
      </c>
      <c r="I166" s="536" t="s">
        <v>173</v>
      </c>
      <c r="J166" s="536" t="s">
        <v>174</v>
      </c>
      <c r="K166" s="537"/>
      <c r="L166" s="537"/>
      <c r="M166" s="538">
        <f>IF(K166&gt;0,VLOOKUP(H166,'[5]Pob. Ext, Parroquial'!$B$8:$F$117,4,FALSE),0)</f>
        <v>0</v>
      </c>
      <c r="N166" s="539" t="s">
        <v>279</v>
      </c>
      <c r="O166" s="540" t="s">
        <v>176</v>
      </c>
      <c r="P166" s="540">
        <v>1.47</v>
      </c>
      <c r="Q166" s="540">
        <v>70</v>
      </c>
      <c r="R166" s="540"/>
      <c r="S166" s="541">
        <v>41673</v>
      </c>
      <c r="T166" s="541">
        <v>41698</v>
      </c>
      <c r="U166" s="542" t="str">
        <f t="shared" si="9"/>
        <v>EJECUTADO</v>
      </c>
      <c r="V166" s="543">
        <f t="shared" si="10"/>
        <v>102.9</v>
      </c>
      <c r="W166" s="543">
        <v>102.2</v>
      </c>
      <c r="X166" s="543">
        <f t="shared" si="11"/>
        <v>1.0500000000000043</v>
      </c>
      <c r="Y166" s="544"/>
      <c r="Z166" s="544"/>
      <c r="AA166" s="1072"/>
      <c r="AB166" s="640"/>
      <c r="AC166" s="545" t="s">
        <v>278</v>
      </c>
      <c r="AD166" s="545" t="s">
        <v>178</v>
      </c>
      <c r="AE166" s="546" t="s">
        <v>187</v>
      </c>
      <c r="AF166" s="547">
        <v>2014</v>
      </c>
      <c r="AG166" s="657"/>
      <c r="AH166" s="639"/>
    </row>
    <row r="167" spans="1:34" s="94" customFormat="1" ht="50.1" hidden="1" customHeight="1">
      <c r="A167" s="1068"/>
      <c r="B167" s="648"/>
      <c r="C167" s="635" t="s">
        <v>182</v>
      </c>
      <c r="D167" s="1078"/>
      <c r="E167" s="636" t="str">
        <f t="shared" si="23"/>
        <v>VIA GUAYACAN - PALTAPAMBA - (CANTON PUYANGO)
(PARALIZADO POR INVIERNO)</v>
      </c>
      <c r="F167" s="536" t="s">
        <v>275</v>
      </c>
      <c r="G167" s="536" t="str">
        <f>VLOOKUP(H167,'[5]Pob. Ext, Parroquial'!$B$9:$C$117,2,0)</f>
        <v>PUYANGO</v>
      </c>
      <c r="H167" s="536" t="s">
        <v>284</v>
      </c>
      <c r="I167" s="536" t="s">
        <v>173</v>
      </c>
      <c r="J167" s="536" t="s">
        <v>174</v>
      </c>
      <c r="K167" s="537"/>
      <c r="L167" s="537"/>
      <c r="M167" s="538">
        <f>IF(K167&gt;0,VLOOKUP(H167,'[5]Pob. Ext, Parroquial'!$B$8:$F$117,4,FALSE),0)</f>
        <v>0</v>
      </c>
      <c r="N167" s="539" t="s">
        <v>280</v>
      </c>
      <c r="O167" s="540" t="s">
        <v>181</v>
      </c>
      <c r="P167" s="540">
        <v>0.3</v>
      </c>
      <c r="Q167" s="540">
        <v>0</v>
      </c>
      <c r="R167" s="540"/>
      <c r="S167" s="541">
        <v>41640</v>
      </c>
      <c r="T167" s="541">
        <v>41698</v>
      </c>
      <c r="U167" s="542" t="str">
        <f t="shared" si="9"/>
        <v>EJECUTADO</v>
      </c>
      <c r="V167" s="543">
        <f t="shared" si="10"/>
        <v>0</v>
      </c>
      <c r="W167" s="543">
        <v>0</v>
      </c>
      <c r="X167" s="543">
        <f t="shared" si="11"/>
        <v>0</v>
      </c>
      <c r="Y167" s="544"/>
      <c r="Z167" s="544"/>
      <c r="AA167" s="1072"/>
      <c r="AB167" s="640"/>
      <c r="AC167" s="545" t="s">
        <v>278</v>
      </c>
      <c r="AD167" s="545" t="s">
        <v>178</v>
      </c>
      <c r="AE167" s="546" t="s">
        <v>187</v>
      </c>
      <c r="AF167" s="547">
        <v>2014</v>
      </c>
      <c r="AG167" s="657"/>
      <c r="AH167" s="639"/>
    </row>
    <row r="168" spans="1:34" s="94" customFormat="1" ht="50.1" hidden="1" customHeight="1">
      <c r="A168" s="1068"/>
      <c r="B168" s="648"/>
      <c r="C168" s="635" t="s">
        <v>169</v>
      </c>
      <c r="D168" s="1078"/>
      <c r="E168" s="636" t="str">
        <f t="shared" si="23"/>
        <v>VIA GUAYACAN - PALTAPAMBA - (CANTON PUYANGO)
(PARALIZADO POR INVIERNO)</v>
      </c>
      <c r="F168" s="536" t="s">
        <v>275</v>
      </c>
      <c r="G168" s="536" t="str">
        <f>VLOOKUP(H168,'[5]Pob. Ext, Parroquial'!$B$9:$C$117,2,0)</f>
        <v>PUYANGO</v>
      </c>
      <c r="H168" s="536" t="s">
        <v>284</v>
      </c>
      <c r="I168" s="536" t="s">
        <v>173</v>
      </c>
      <c r="J168" s="536" t="s">
        <v>174</v>
      </c>
      <c r="K168" s="537"/>
      <c r="L168" s="537"/>
      <c r="M168" s="538">
        <f>IF(K168&gt;0,VLOOKUP(H168,'[5]Pob. Ext, Parroquial'!$B$8:$F$117,4,FALSE),0)</f>
        <v>0</v>
      </c>
      <c r="N168" s="539" t="s">
        <v>281</v>
      </c>
      <c r="O168" s="540" t="s">
        <v>181</v>
      </c>
      <c r="P168" s="540">
        <v>0.3</v>
      </c>
      <c r="Q168" s="540">
        <v>75600</v>
      </c>
      <c r="R168" s="540"/>
      <c r="S168" s="541">
        <v>41640</v>
      </c>
      <c r="T168" s="541">
        <v>41698</v>
      </c>
      <c r="U168" s="542" t="str">
        <f t="shared" si="9"/>
        <v>EJECUTADO</v>
      </c>
      <c r="V168" s="543">
        <f t="shared" si="10"/>
        <v>22680</v>
      </c>
      <c r="W168" s="543">
        <v>22680</v>
      </c>
      <c r="X168" s="543">
        <f t="shared" si="11"/>
        <v>0</v>
      </c>
      <c r="Y168" s="544"/>
      <c r="Z168" s="544"/>
      <c r="AA168" s="1072"/>
      <c r="AB168" s="640"/>
      <c r="AC168" s="545" t="s">
        <v>278</v>
      </c>
      <c r="AD168" s="545" t="s">
        <v>178</v>
      </c>
      <c r="AE168" s="546" t="s">
        <v>187</v>
      </c>
      <c r="AF168" s="547">
        <v>2014</v>
      </c>
      <c r="AG168" s="657"/>
      <c r="AH168" s="639"/>
    </row>
    <row r="169" spans="1:34" s="94" customFormat="1" ht="50.1" hidden="1" customHeight="1">
      <c r="A169" s="1068"/>
      <c r="B169" s="648"/>
      <c r="C169" s="635" t="s">
        <v>182</v>
      </c>
      <c r="D169" s="1078"/>
      <c r="E169" s="636" t="str">
        <f t="shared" si="23"/>
        <v>VIA GUAYACAN - PALTAPAMBA - (CANTON PUYANGO)
(PARALIZADO POR INVIERNO)</v>
      </c>
      <c r="F169" s="536" t="s">
        <v>275</v>
      </c>
      <c r="G169" s="536" t="str">
        <f>VLOOKUP(H169,'[5]Pob. Ext, Parroquial'!$B$9:$C$117,2,0)</f>
        <v>PUYANGO</v>
      </c>
      <c r="H169" s="536" t="s">
        <v>284</v>
      </c>
      <c r="I169" s="536" t="s">
        <v>173</v>
      </c>
      <c r="J169" s="536" t="s">
        <v>174</v>
      </c>
      <c r="K169" s="537"/>
      <c r="L169" s="537">
        <f>ROUNDUP(Q169/5.5/1000,2)</f>
        <v>0.91</v>
      </c>
      <c r="M169" s="538">
        <f>IF(K169&gt;0,VLOOKUP(H169,'[5]Pob. Ext, Parroquial'!$B$8:$F$117,4,FALSE),0)</f>
        <v>0</v>
      </c>
      <c r="N169" s="539" t="s">
        <v>185</v>
      </c>
      <c r="O169" s="540" t="s">
        <v>184</v>
      </c>
      <c r="P169" s="540">
        <v>0.08</v>
      </c>
      <c r="Q169" s="540">
        <v>5000</v>
      </c>
      <c r="R169" s="540"/>
      <c r="S169" s="541">
        <v>41640</v>
      </c>
      <c r="T169" s="541">
        <v>41670</v>
      </c>
      <c r="U169" s="542" t="str">
        <f t="shared" si="9"/>
        <v>EJECUTADO</v>
      </c>
      <c r="V169" s="543">
        <f t="shared" si="10"/>
        <v>400</v>
      </c>
      <c r="W169" s="543">
        <v>300</v>
      </c>
      <c r="X169" s="543">
        <f t="shared" si="11"/>
        <v>150</v>
      </c>
      <c r="Y169" s="544"/>
      <c r="Z169" s="544"/>
      <c r="AA169" s="1072"/>
      <c r="AB169" s="640"/>
      <c r="AC169" s="545" t="s">
        <v>278</v>
      </c>
      <c r="AD169" s="545" t="s">
        <v>178</v>
      </c>
      <c r="AE169" s="546" t="s">
        <v>179</v>
      </c>
      <c r="AF169" s="547">
        <v>2014</v>
      </c>
      <c r="AG169" s="657"/>
      <c r="AH169" s="639"/>
    </row>
    <row r="170" spans="1:34" s="94" customFormat="1" ht="50.1" hidden="1" customHeight="1">
      <c r="A170" s="1068"/>
      <c r="B170" s="648"/>
      <c r="C170" s="635" t="s">
        <v>182</v>
      </c>
      <c r="D170" s="1078"/>
      <c r="E170" s="636" t="str">
        <f t="shared" si="23"/>
        <v>VIA GUAYACAN - PALTAPAMBA - (CANTON PUYANGO)
(PARALIZADO POR INVIERNO)</v>
      </c>
      <c r="F170" s="536" t="s">
        <v>275</v>
      </c>
      <c r="G170" s="536" t="str">
        <f>VLOOKUP(H170,'[5]Pob. Ext, Parroquial'!$B$9:$C$117,2,0)</f>
        <v>PUYANGO</v>
      </c>
      <c r="H170" s="536" t="s">
        <v>284</v>
      </c>
      <c r="I170" s="536" t="s">
        <v>173</v>
      </c>
      <c r="J170" s="536" t="s">
        <v>174</v>
      </c>
      <c r="K170" s="537"/>
      <c r="L170" s="537">
        <f>ROUNDUP(Q170/5.5/1000,2)</f>
        <v>4.55</v>
      </c>
      <c r="M170" s="538">
        <f>IF(K170&gt;0,VLOOKUP(H170,'[5]Pob. Ext, Parroquial'!$B$8:$F$117,4,FALSE),0)</f>
        <v>0</v>
      </c>
      <c r="N170" s="539" t="s">
        <v>282</v>
      </c>
      <c r="O170" s="540" t="s">
        <v>184</v>
      </c>
      <c r="P170" s="540">
        <v>0.35</v>
      </c>
      <c r="Q170" s="540">
        <v>25000</v>
      </c>
      <c r="R170" s="540"/>
      <c r="S170" s="541">
        <v>41640</v>
      </c>
      <c r="T170" s="541">
        <v>41698</v>
      </c>
      <c r="U170" s="542" t="str">
        <f t="shared" si="9"/>
        <v>EJECUTADO</v>
      </c>
      <c r="V170" s="543">
        <f t="shared" si="10"/>
        <v>8750</v>
      </c>
      <c r="W170" s="543">
        <v>8750</v>
      </c>
      <c r="X170" s="543">
        <f t="shared" si="11"/>
        <v>0</v>
      </c>
      <c r="Y170" s="544"/>
      <c r="Z170" s="544"/>
      <c r="AA170" s="1072"/>
      <c r="AB170" s="640"/>
      <c r="AC170" s="545" t="s">
        <v>278</v>
      </c>
      <c r="AD170" s="545" t="s">
        <v>178</v>
      </c>
      <c r="AE170" s="546" t="s">
        <v>187</v>
      </c>
      <c r="AF170" s="547">
        <v>2014</v>
      </c>
      <c r="AG170" s="657"/>
      <c r="AH170" s="639"/>
    </row>
    <row r="171" spans="1:34" s="94" customFormat="1" ht="50.1" hidden="1" customHeight="1">
      <c r="A171" s="1068"/>
      <c r="B171" s="646"/>
      <c r="C171" s="635" t="s">
        <v>169</v>
      </c>
      <c r="D171" s="1074"/>
      <c r="E171" s="636" t="str">
        <f t="shared" si="23"/>
        <v>VIA GUAYACAN - PALTAPAMBA - (CANTON PUYANGO)
(PARALIZADO POR INVIERNO)</v>
      </c>
      <c r="F171" s="536" t="s">
        <v>275</v>
      </c>
      <c r="G171" s="536" t="str">
        <f>VLOOKUP(H171,'[5]Pob. Ext, Parroquial'!$B$9:$C$117,2,0)</f>
        <v>PUYANGO</v>
      </c>
      <c r="H171" s="536" t="s">
        <v>284</v>
      </c>
      <c r="I171" s="536" t="s">
        <v>173</v>
      </c>
      <c r="J171" s="536" t="s">
        <v>174</v>
      </c>
      <c r="K171" s="537"/>
      <c r="L171" s="537">
        <f>+ROUND(Q171/5500/0.2,2)</f>
        <v>1.64</v>
      </c>
      <c r="M171" s="538">
        <f>IF(K171&gt;0,VLOOKUP(H171,'[5]Pob. Ext, Parroquial'!$B$8:$F$117,4,FALSE),0)</f>
        <v>0</v>
      </c>
      <c r="N171" s="539" t="s">
        <v>229</v>
      </c>
      <c r="O171" s="540" t="s">
        <v>176</v>
      </c>
      <c r="P171" s="540">
        <v>5.92</v>
      </c>
      <c r="Q171" s="540">
        <v>1800</v>
      </c>
      <c r="R171" s="540"/>
      <c r="S171" s="541">
        <v>41640</v>
      </c>
      <c r="T171" s="541">
        <v>41698</v>
      </c>
      <c r="U171" s="542" t="str">
        <f t="shared" si="9"/>
        <v>EJECUTADO</v>
      </c>
      <c r="V171" s="543">
        <f t="shared" si="10"/>
        <v>10656</v>
      </c>
      <c r="W171" s="543">
        <v>10656</v>
      </c>
      <c r="X171" s="543">
        <f t="shared" si="11"/>
        <v>0</v>
      </c>
      <c r="Y171" s="544"/>
      <c r="Z171" s="544"/>
      <c r="AA171" s="1072"/>
      <c r="AB171" s="640"/>
      <c r="AC171" s="545" t="s">
        <v>278</v>
      </c>
      <c r="AD171" s="545" t="s">
        <v>178</v>
      </c>
      <c r="AE171" s="546" t="s">
        <v>187</v>
      </c>
      <c r="AF171" s="547">
        <v>2014</v>
      </c>
      <c r="AG171" s="657"/>
      <c r="AH171" s="639"/>
    </row>
    <row r="172" spans="1:34" s="94" customFormat="1" ht="50.1" hidden="1" customHeight="1">
      <c r="A172" s="1068" t="s">
        <v>288</v>
      </c>
      <c r="B172" s="1076" t="str">
        <f>+U173</f>
        <v>EJECUTADO</v>
      </c>
      <c r="C172" s="635" t="s">
        <v>182</v>
      </c>
      <c r="D172" s="1073" t="s">
        <v>289</v>
      </c>
      <c r="E172" s="636" t="str">
        <f t="shared" si="16"/>
        <v>MANTENIEMIENTO DE VIAS DEL CANTON PUYANGO (PARROQUIAS ARENAL, CIANO, EL LIMO Y MERCADILLO)</v>
      </c>
      <c r="F172" s="536" t="s">
        <v>275</v>
      </c>
      <c r="G172" s="536" t="str">
        <f>VLOOKUP(H172,'[5]Pob. Ext, Parroquial'!$B$9:$C$117,2,0)</f>
        <v>PUYANGO</v>
      </c>
      <c r="H172" s="536" t="s">
        <v>290</v>
      </c>
      <c r="I172" s="536" t="s">
        <v>173</v>
      </c>
      <c r="J172" s="536" t="s">
        <v>174</v>
      </c>
      <c r="K172" s="537">
        <v>15</v>
      </c>
      <c r="L172" s="537"/>
      <c r="M172" s="538">
        <f>IF(K172&gt;0,VLOOKUP(H172,'[5]Pob. Ext, Parroquial'!$B$8:$F$117,4,FALSE),0)</f>
        <v>567</v>
      </c>
      <c r="N172" s="539" t="s">
        <v>276</v>
      </c>
      <c r="O172" s="540" t="s">
        <v>277</v>
      </c>
      <c r="P172" s="540">
        <v>948.16</v>
      </c>
      <c r="Q172" s="540">
        <v>0</v>
      </c>
      <c r="R172" s="540"/>
      <c r="S172" s="541">
        <v>41699</v>
      </c>
      <c r="T172" s="541">
        <v>41729</v>
      </c>
      <c r="U172" s="542" t="str">
        <f t="shared" si="9"/>
        <v>EJECUTADO</v>
      </c>
      <c r="V172" s="543">
        <f t="shared" ref="V172:V190" si="24">ROUND(P172*Q172,2)</f>
        <v>0</v>
      </c>
      <c r="W172" s="543">
        <v>0</v>
      </c>
      <c r="X172" s="543">
        <f t="shared" si="11"/>
        <v>0</v>
      </c>
      <c r="Y172" s="544"/>
      <c r="Z172" s="544"/>
      <c r="AA172" s="1072">
        <f>SUM(V172:V180)</f>
        <v>115577.28</v>
      </c>
      <c r="AB172" s="640"/>
      <c r="AC172" s="545" t="s">
        <v>278</v>
      </c>
      <c r="AD172" s="545" t="s">
        <v>178</v>
      </c>
      <c r="AE172" s="546" t="s">
        <v>187</v>
      </c>
      <c r="AF172" s="547">
        <v>2014</v>
      </c>
      <c r="AG172" s="639"/>
    </row>
    <row r="173" spans="1:34" s="94" customFormat="1" ht="50.1" hidden="1" customHeight="1">
      <c r="A173" s="1068"/>
      <c r="B173" s="1076"/>
      <c r="C173" s="635" t="s">
        <v>169</v>
      </c>
      <c r="D173" s="1078"/>
      <c r="E173" s="636" t="str">
        <f t="shared" si="23"/>
        <v>MANTENIEMIENTO DE VIAS DEL CANTON PUYANGO (PARROQUIAS ARENAL, CIANO, EL LIMO Y MERCADILLO)</v>
      </c>
      <c r="F173" s="536" t="s">
        <v>275</v>
      </c>
      <c r="G173" s="536" t="str">
        <f>VLOOKUP(H173,'[5]Pob. Ext, Parroquial'!$B$9:$C$117,2,0)</f>
        <v>PUYANGO</v>
      </c>
      <c r="H173" s="536" t="s">
        <v>290</v>
      </c>
      <c r="I173" s="536" t="s">
        <v>173</v>
      </c>
      <c r="J173" s="536" t="s">
        <v>174</v>
      </c>
      <c r="K173" s="537"/>
      <c r="L173" s="537"/>
      <c r="M173" s="538"/>
      <c r="N173" s="539" t="s">
        <v>175</v>
      </c>
      <c r="O173" s="540" t="s">
        <v>176</v>
      </c>
      <c r="P173" s="540">
        <v>1.62</v>
      </c>
      <c r="Q173" s="540">
        <v>5060</v>
      </c>
      <c r="R173" s="540"/>
      <c r="S173" s="541">
        <v>41699</v>
      </c>
      <c r="T173" s="541">
        <v>41851</v>
      </c>
      <c r="U173" s="542" t="str">
        <f t="shared" si="9"/>
        <v>EJECUTADO</v>
      </c>
      <c r="V173" s="543">
        <f t="shared" si="24"/>
        <v>8197.2000000000007</v>
      </c>
      <c r="W173" s="543">
        <v>2025</v>
      </c>
      <c r="X173" s="543">
        <f t="shared" ref="X173:X236" si="25">+(V173-W173)/3*4.5</f>
        <v>9258.3000000000011</v>
      </c>
      <c r="Y173" s="544"/>
      <c r="Z173" s="544"/>
      <c r="AA173" s="1072"/>
      <c r="AB173" s="640"/>
      <c r="AC173" s="545" t="s">
        <v>278</v>
      </c>
      <c r="AD173" s="545" t="s">
        <v>178</v>
      </c>
      <c r="AE173" s="546" t="s">
        <v>187</v>
      </c>
      <c r="AF173" s="547">
        <v>2014</v>
      </c>
      <c r="AG173" s="639"/>
    </row>
    <row r="174" spans="1:34" s="94" customFormat="1" ht="50.1" hidden="1" customHeight="1">
      <c r="A174" s="1068"/>
      <c r="B174" s="1076"/>
      <c r="C174" s="635" t="s">
        <v>182</v>
      </c>
      <c r="D174" s="1078"/>
      <c r="E174" s="636" t="str">
        <f t="shared" si="23"/>
        <v>MANTENIEMIENTO DE VIAS DEL CANTON PUYANGO (PARROQUIAS ARENAL, CIANO, EL LIMO Y MERCADILLO)</v>
      </c>
      <c r="F174" s="536" t="s">
        <v>275</v>
      </c>
      <c r="G174" s="536" t="str">
        <f>VLOOKUP(H174,'[5]Pob. Ext, Parroquial'!$B$9:$C$117,2,0)</f>
        <v>PUYANGO</v>
      </c>
      <c r="H174" s="536" t="s">
        <v>290</v>
      </c>
      <c r="I174" s="536" t="s">
        <v>173</v>
      </c>
      <c r="J174" s="536" t="s">
        <v>174</v>
      </c>
      <c r="K174" s="537"/>
      <c r="L174" s="537"/>
      <c r="M174" s="538"/>
      <c r="N174" s="539" t="s">
        <v>200</v>
      </c>
      <c r="O174" s="540" t="s">
        <v>176</v>
      </c>
      <c r="P174" s="540">
        <v>1.46</v>
      </c>
      <c r="Q174" s="540">
        <v>12898</v>
      </c>
      <c r="R174" s="540"/>
      <c r="S174" s="541">
        <v>41699</v>
      </c>
      <c r="T174" s="541">
        <v>41851</v>
      </c>
      <c r="U174" s="542" t="str">
        <f t="shared" si="9"/>
        <v>EJECUTADO</v>
      </c>
      <c r="V174" s="543">
        <f t="shared" si="24"/>
        <v>18831.080000000002</v>
      </c>
      <c r="W174" s="543">
        <v>8380.4</v>
      </c>
      <c r="X174" s="543">
        <f t="shared" si="25"/>
        <v>15676.020000000004</v>
      </c>
      <c r="Y174" s="544"/>
      <c r="Z174" s="544"/>
      <c r="AA174" s="1072"/>
      <c r="AB174" s="640"/>
      <c r="AC174" s="545" t="s">
        <v>278</v>
      </c>
      <c r="AD174" s="545" t="s">
        <v>178</v>
      </c>
      <c r="AE174" s="546" t="s">
        <v>187</v>
      </c>
      <c r="AF174" s="547">
        <v>2014</v>
      </c>
      <c r="AG174" s="639"/>
    </row>
    <row r="175" spans="1:34" s="94" customFormat="1" ht="50.1" hidden="1" customHeight="1">
      <c r="A175" s="1068"/>
      <c r="B175" s="1076"/>
      <c r="C175" s="635" t="s">
        <v>182</v>
      </c>
      <c r="D175" s="1078"/>
      <c r="E175" s="636" t="str">
        <f t="shared" si="23"/>
        <v>MANTENIEMIENTO DE VIAS DEL CANTON PUYANGO (PARROQUIAS ARENAL, CIANO, EL LIMO Y MERCADILLO)</v>
      </c>
      <c r="F175" s="536" t="s">
        <v>275</v>
      </c>
      <c r="G175" s="536" t="str">
        <f>VLOOKUP(H175,'[5]Pob. Ext, Parroquial'!$B$9:$C$117,2,0)</f>
        <v>PUYANGO</v>
      </c>
      <c r="H175" s="536" t="s">
        <v>290</v>
      </c>
      <c r="I175" s="536" t="s">
        <v>173</v>
      </c>
      <c r="J175" s="536" t="s">
        <v>174</v>
      </c>
      <c r="K175" s="537"/>
      <c r="L175" s="537"/>
      <c r="M175" s="538"/>
      <c r="N175" s="539" t="s">
        <v>291</v>
      </c>
      <c r="O175" s="540" t="s">
        <v>176</v>
      </c>
      <c r="P175" s="540">
        <v>1.47</v>
      </c>
      <c r="Q175" s="540">
        <v>1140</v>
      </c>
      <c r="R175" s="540"/>
      <c r="S175" s="541">
        <v>41699</v>
      </c>
      <c r="T175" s="541">
        <v>41790</v>
      </c>
      <c r="U175" s="542" t="str">
        <f t="shared" si="9"/>
        <v>EJECUTADO</v>
      </c>
      <c r="V175" s="543">
        <f t="shared" si="24"/>
        <v>1675.8</v>
      </c>
      <c r="W175" s="543">
        <v>1401.6</v>
      </c>
      <c r="X175" s="543">
        <f t="shared" si="25"/>
        <v>411.30000000000007</v>
      </c>
      <c r="Y175" s="544"/>
      <c r="Z175" s="544"/>
      <c r="AA175" s="1072"/>
      <c r="AB175" s="640"/>
      <c r="AC175" s="545" t="s">
        <v>278</v>
      </c>
      <c r="AD175" s="545" t="s">
        <v>178</v>
      </c>
      <c r="AE175" s="546" t="s">
        <v>187</v>
      </c>
      <c r="AF175" s="547">
        <v>2014</v>
      </c>
      <c r="AG175" s="639"/>
    </row>
    <row r="176" spans="1:34" s="94" customFormat="1" ht="50.1" hidden="1" customHeight="1">
      <c r="A176" s="1068"/>
      <c r="B176" s="1076"/>
      <c r="C176" s="635" t="s">
        <v>182</v>
      </c>
      <c r="D176" s="1078"/>
      <c r="E176" s="636" t="str">
        <f t="shared" si="23"/>
        <v>MANTENIEMIENTO DE VIAS DEL CANTON PUYANGO (PARROQUIAS ARENAL, CIANO, EL LIMO Y MERCADILLO)</v>
      </c>
      <c r="F176" s="536" t="s">
        <v>275</v>
      </c>
      <c r="G176" s="536" t="str">
        <f>VLOOKUP(H176,'[5]Pob. Ext, Parroquial'!$B$9:$C$117,2,0)</f>
        <v>PUYANGO</v>
      </c>
      <c r="H176" s="536" t="s">
        <v>290</v>
      </c>
      <c r="I176" s="536" t="s">
        <v>173</v>
      </c>
      <c r="J176" s="536" t="s">
        <v>174</v>
      </c>
      <c r="K176" s="537"/>
      <c r="L176" s="537"/>
      <c r="M176" s="538"/>
      <c r="N176" s="539" t="s">
        <v>292</v>
      </c>
      <c r="O176" s="540" t="s">
        <v>181</v>
      </c>
      <c r="P176" s="540">
        <v>0.3</v>
      </c>
      <c r="Q176" s="540">
        <v>19252</v>
      </c>
      <c r="R176" s="540"/>
      <c r="S176" s="541">
        <v>41699</v>
      </c>
      <c r="T176" s="541">
        <v>41851</v>
      </c>
      <c r="U176" s="542" t="str">
        <f t="shared" si="9"/>
        <v>EJECUTADO</v>
      </c>
      <c r="V176" s="543">
        <f t="shared" si="24"/>
        <v>5775.6</v>
      </c>
      <c r="W176" s="543">
        <v>3267.6</v>
      </c>
      <c r="X176" s="543">
        <f t="shared" si="25"/>
        <v>3762.0000000000005</v>
      </c>
      <c r="Y176" s="544"/>
      <c r="Z176" s="544"/>
      <c r="AA176" s="1072"/>
      <c r="AB176" s="640"/>
      <c r="AC176" s="545" t="s">
        <v>278</v>
      </c>
      <c r="AD176" s="545" t="s">
        <v>178</v>
      </c>
      <c r="AE176" s="546" t="s">
        <v>187</v>
      </c>
      <c r="AF176" s="547">
        <v>2014</v>
      </c>
      <c r="AG176" s="639"/>
    </row>
    <row r="177" spans="1:34" s="94" customFormat="1" ht="50.1" hidden="1" customHeight="1">
      <c r="A177" s="1068"/>
      <c r="B177" s="1076"/>
      <c r="C177" s="635" t="s">
        <v>169</v>
      </c>
      <c r="D177" s="1078"/>
      <c r="E177" s="636" t="str">
        <f t="shared" si="23"/>
        <v>MANTENIEMIENTO DE VIAS DEL CANTON PUYANGO (PARROQUIAS ARENAL, CIANO, EL LIMO Y MERCADILLO)</v>
      </c>
      <c r="F177" s="536" t="s">
        <v>275</v>
      </c>
      <c r="G177" s="536" t="str">
        <f>VLOOKUP(H177,'[5]Pob. Ext, Parroquial'!$B$9:$C$117,2,0)</f>
        <v>PUYANGO</v>
      </c>
      <c r="H177" s="536" t="s">
        <v>290</v>
      </c>
      <c r="I177" s="536" t="s">
        <v>173</v>
      </c>
      <c r="J177" s="536" t="s">
        <v>174</v>
      </c>
      <c r="K177" s="537"/>
      <c r="L177" s="537"/>
      <c r="M177" s="538"/>
      <c r="N177" s="539" t="s">
        <v>180</v>
      </c>
      <c r="O177" s="540" t="s">
        <v>181</v>
      </c>
      <c r="P177" s="540">
        <v>0.3</v>
      </c>
      <c r="Q177" s="540">
        <v>34928</v>
      </c>
      <c r="R177" s="540"/>
      <c r="S177" s="541">
        <v>41699</v>
      </c>
      <c r="T177" s="541">
        <v>41851</v>
      </c>
      <c r="U177" s="542" t="str">
        <f t="shared" si="9"/>
        <v>EJECUTADO</v>
      </c>
      <c r="V177" s="543">
        <f t="shared" si="24"/>
        <v>10478.4</v>
      </c>
      <c r="W177" s="543">
        <v>2054.4</v>
      </c>
      <c r="X177" s="543">
        <f t="shared" si="25"/>
        <v>12636</v>
      </c>
      <c r="Y177" s="544"/>
      <c r="Z177" s="544"/>
      <c r="AA177" s="1072"/>
      <c r="AB177" s="640"/>
      <c r="AC177" s="545" t="s">
        <v>278</v>
      </c>
      <c r="AD177" s="545" t="s">
        <v>178</v>
      </c>
      <c r="AE177" s="546" t="s">
        <v>187</v>
      </c>
      <c r="AF177" s="547">
        <v>2014</v>
      </c>
      <c r="AG177" s="639"/>
    </row>
    <row r="178" spans="1:34" s="94" customFormat="1" ht="50.1" hidden="1" customHeight="1">
      <c r="A178" s="1068"/>
      <c r="B178" s="1076"/>
      <c r="C178" s="635" t="s">
        <v>182</v>
      </c>
      <c r="D178" s="1078"/>
      <c r="E178" s="636" t="str">
        <f t="shared" si="23"/>
        <v>MANTENIEMIENTO DE VIAS DEL CANTON PUYANGO (PARROQUIAS ARENAL, CIANO, EL LIMO Y MERCADILLO)</v>
      </c>
      <c r="F178" s="536" t="s">
        <v>275</v>
      </c>
      <c r="G178" s="536" t="str">
        <f>VLOOKUP(H178,'[5]Pob. Ext, Parroquial'!$B$9:$C$117,2,0)</f>
        <v>PUYANGO</v>
      </c>
      <c r="H178" s="536" t="s">
        <v>290</v>
      </c>
      <c r="I178" s="536" t="s">
        <v>173</v>
      </c>
      <c r="J178" s="536" t="s">
        <v>174</v>
      </c>
      <c r="K178" s="537"/>
      <c r="L178" s="537">
        <f>ROUNDUP(Q178/5.5/1000,2)</f>
        <v>96.460000000000008</v>
      </c>
      <c r="M178" s="538"/>
      <c r="N178" s="539" t="s">
        <v>185</v>
      </c>
      <c r="O178" s="540" t="s">
        <v>184</v>
      </c>
      <c r="P178" s="540">
        <v>0.08</v>
      </c>
      <c r="Q178" s="540">
        <v>530500</v>
      </c>
      <c r="R178" s="540"/>
      <c r="S178" s="541">
        <v>41699</v>
      </c>
      <c r="T178" s="541">
        <v>41851</v>
      </c>
      <c r="U178" s="542" t="str">
        <f t="shared" si="9"/>
        <v>EJECUTADO</v>
      </c>
      <c r="V178" s="543">
        <f t="shared" si="24"/>
        <v>42440</v>
      </c>
      <c r="W178" s="543">
        <v>6480</v>
      </c>
      <c r="X178" s="543">
        <f t="shared" si="25"/>
        <v>53940</v>
      </c>
      <c r="Y178" s="544"/>
      <c r="Z178" s="544"/>
      <c r="AA178" s="1072"/>
      <c r="AB178" s="640"/>
      <c r="AC178" s="545" t="s">
        <v>278</v>
      </c>
      <c r="AD178" s="545" t="s">
        <v>178</v>
      </c>
      <c r="AE178" s="546" t="s">
        <v>187</v>
      </c>
      <c r="AF178" s="547">
        <v>2014</v>
      </c>
      <c r="AG178" s="639"/>
    </row>
    <row r="179" spans="1:34" s="94" customFormat="1" ht="50.1" hidden="1" customHeight="1">
      <c r="A179" s="1068"/>
      <c r="B179" s="1076"/>
      <c r="C179" s="635" t="s">
        <v>182</v>
      </c>
      <c r="D179" s="1078"/>
      <c r="E179" s="636" t="str">
        <f t="shared" si="23"/>
        <v>MANTENIEMIENTO DE VIAS DEL CANTON PUYANGO (PARROQUIAS ARENAL, CIANO, EL LIMO Y MERCADILLO)</v>
      </c>
      <c r="F179" s="536" t="s">
        <v>275</v>
      </c>
      <c r="G179" s="536" t="str">
        <f>VLOOKUP(H179,'[5]Pob. Ext, Parroquial'!$B$9:$C$117,2,0)</f>
        <v>PUYANGO</v>
      </c>
      <c r="H179" s="536" t="s">
        <v>290</v>
      </c>
      <c r="I179" s="536" t="s">
        <v>173</v>
      </c>
      <c r="J179" s="536" t="s">
        <v>174</v>
      </c>
      <c r="K179" s="537"/>
      <c r="L179" s="537">
        <f>ROUNDUP(Q179/5.5/1000,2)</f>
        <v>0</v>
      </c>
      <c r="M179" s="538"/>
      <c r="N179" s="539" t="s">
        <v>282</v>
      </c>
      <c r="O179" s="540" t="s">
        <v>184</v>
      </c>
      <c r="P179" s="540">
        <v>0.35</v>
      </c>
      <c r="Q179" s="540">
        <v>0</v>
      </c>
      <c r="R179" s="540"/>
      <c r="S179" s="541">
        <v>41699</v>
      </c>
      <c r="T179" s="541">
        <v>41759</v>
      </c>
      <c r="U179" s="542" t="str">
        <f t="shared" si="9"/>
        <v>EJECUTADO</v>
      </c>
      <c r="V179" s="543">
        <f t="shared" si="24"/>
        <v>0</v>
      </c>
      <c r="W179" s="543">
        <v>0</v>
      </c>
      <c r="X179" s="543">
        <f t="shared" si="25"/>
        <v>0</v>
      </c>
      <c r="Y179" s="544"/>
      <c r="Z179" s="544"/>
      <c r="AA179" s="1072"/>
      <c r="AB179" s="640"/>
      <c r="AC179" s="545" t="s">
        <v>278</v>
      </c>
      <c r="AD179" s="545" t="s">
        <v>178</v>
      </c>
      <c r="AE179" s="546" t="s">
        <v>187</v>
      </c>
      <c r="AF179" s="547">
        <v>2014</v>
      </c>
      <c r="AG179" s="639"/>
    </row>
    <row r="180" spans="1:34" s="94" customFormat="1" ht="50.1" hidden="1" customHeight="1">
      <c r="A180" s="1068"/>
      <c r="B180" s="1076"/>
      <c r="C180" s="635" t="s">
        <v>169</v>
      </c>
      <c r="D180" s="1074"/>
      <c r="E180" s="636" t="str">
        <f t="shared" si="23"/>
        <v>MANTENIEMIENTO DE VIAS DEL CANTON PUYANGO (PARROQUIAS ARENAL, CIANO, EL LIMO Y MERCADILLO)</v>
      </c>
      <c r="F180" s="536" t="s">
        <v>275</v>
      </c>
      <c r="G180" s="536" t="str">
        <f>VLOOKUP(H180,'[5]Pob. Ext, Parroquial'!$B$9:$C$117,2,0)</f>
        <v>PUYANGO</v>
      </c>
      <c r="H180" s="536" t="s">
        <v>290</v>
      </c>
      <c r="I180" s="536" t="s">
        <v>173</v>
      </c>
      <c r="J180" s="536" t="s">
        <v>174</v>
      </c>
      <c r="K180" s="537"/>
      <c r="L180" s="537">
        <f>+ROUND(Q180/5500/0.2,2)</f>
        <v>4.33</v>
      </c>
      <c r="M180" s="538"/>
      <c r="N180" s="539" t="s">
        <v>229</v>
      </c>
      <c r="O180" s="540" t="s">
        <v>176</v>
      </c>
      <c r="P180" s="540">
        <v>5.92</v>
      </c>
      <c r="Q180" s="540">
        <v>4760</v>
      </c>
      <c r="R180" s="540"/>
      <c r="S180" s="541">
        <v>41699</v>
      </c>
      <c r="T180" s="541">
        <v>41851</v>
      </c>
      <c r="U180" s="542" t="str">
        <f t="shared" si="9"/>
        <v>EJECUTADO</v>
      </c>
      <c r="V180" s="543">
        <f t="shared" si="24"/>
        <v>28179.200000000001</v>
      </c>
      <c r="W180" s="543">
        <v>7400</v>
      </c>
      <c r="X180" s="543">
        <f t="shared" si="25"/>
        <v>31168.800000000003</v>
      </c>
      <c r="Y180" s="544"/>
      <c r="Z180" s="544"/>
      <c r="AA180" s="1072"/>
      <c r="AB180" s="640"/>
      <c r="AC180" s="545" t="s">
        <v>278</v>
      </c>
      <c r="AD180" s="545" t="s">
        <v>178</v>
      </c>
      <c r="AE180" s="546" t="s">
        <v>187</v>
      </c>
      <c r="AF180" s="547">
        <v>2014</v>
      </c>
      <c r="AG180" s="639"/>
    </row>
    <row r="181" spans="1:34" s="94" customFormat="1" ht="50.1" hidden="1" customHeight="1">
      <c r="A181" s="1068" t="s">
        <v>293</v>
      </c>
      <c r="B181" s="1076" t="s">
        <v>187</v>
      </c>
      <c r="C181" s="635" t="s">
        <v>169</v>
      </c>
      <c r="D181" s="1073" t="s">
        <v>294</v>
      </c>
      <c r="E181" s="636" t="str">
        <f t="shared" si="16"/>
        <v>REHABILITACION DE LA VIA Y CELICA - POZUL - PINDAL
(CONVENIO GPL - VIALSUR.EP RECURSOS)</v>
      </c>
      <c r="F181" s="536" t="s">
        <v>275</v>
      </c>
      <c r="G181" s="536" t="str">
        <f>VLOOKUP(H181,'[5]Pob. Ext, Parroquial'!$B$9:$C$117,2,0)</f>
        <v>CELICA</v>
      </c>
      <c r="H181" s="536" t="s">
        <v>295</v>
      </c>
      <c r="I181" s="536" t="s">
        <v>265</v>
      </c>
      <c r="J181" s="536" t="s">
        <v>174</v>
      </c>
      <c r="K181" s="537">
        <v>26</v>
      </c>
      <c r="L181" s="537">
        <f>+ROUND(Q181/0.15/7200,2)</f>
        <v>1.02</v>
      </c>
      <c r="M181" s="538">
        <f>IF(K181&gt;0,VLOOKUP(H181,'[5]Pob. Ext, Parroquial'!$B$8:$F$117,4,FALSE),0)</f>
        <v>1969</v>
      </c>
      <c r="N181" s="539" t="s">
        <v>296</v>
      </c>
      <c r="O181" s="540" t="s">
        <v>176</v>
      </c>
      <c r="P181" s="540">
        <v>19.149999999999999</v>
      </c>
      <c r="Q181" s="540">
        <v>1100</v>
      </c>
      <c r="R181" s="540"/>
      <c r="S181" s="541">
        <v>41673</v>
      </c>
      <c r="T181" s="541">
        <v>41851</v>
      </c>
      <c r="U181" s="542" t="str">
        <f t="shared" si="9"/>
        <v>EJECUTADO</v>
      </c>
      <c r="V181" s="543">
        <f t="shared" si="24"/>
        <v>21065</v>
      </c>
      <c r="W181" s="543">
        <v>18958.5</v>
      </c>
      <c r="X181" s="543">
        <f t="shared" si="25"/>
        <v>3159.75</v>
      </c>
      <c r="Y181" s="544"/>
      <c r="Z181" s="544"/>
      <c r="AA181" s="1072">
        <f>SUM(V181:V186)</f>
        <v>883751.8</v>
      </c>
      <c r="AB181" s="640"/>
      <c r="AC181" s="545" t="s">
        <v>278</v>
      </c>
      <c r="AD181" s="545" t="s">
        <v>178</v>
      </c>
      <c r="AE181" s="546" t="s">
        <v>187</v>
      </c>
      <c r="AF181" s="547">
        <v>2014</v>
      </c>
      <c r="AG181" s="639"/>
    </row>
    <row r="182" spans="1:34" s="94" customFormat="1" ht="50.1" hidden="1" customHeight="1">
      <c r="A182" s="1068"/>
      <c r="B182" s="1076"/>
      <c r="C182" s="635" t="s">
        <v>297</v>
      </c>
      <c r="D182" s="1078"/>
      <c r="E182" s="636" t="str">
        <f t="shared" si="23"/>
        <v>REHABILITACION DE LA VIA Y CELICA - POZUL - PINDAL
(CONVENIO GPL - VIALSUR.EP RECURSOS)</v>
      </c>
      <c r="F182" s="536" t="s">
        <v>275</v>
      </c>
      <c r="G182" s="536" t="str">
        <f>VLOOKUP(H182,'[5]Pob. Ext, Parroquial'!$B$9:$C$117,2,0)</f>
        <v>CELICA</v>
      </c>
      <c r="H182" s="536" t="s">
        <v>295</v>
      </c>
      <c r="I182" s="536" t="s">
        <v>265</v>
      </c>
      <c r="J182" s="536" t="s">
        <v>174</v>
      </c>
      <c r="K182" s="537"/>
      <c r="L182" s="537">
        <f>+ROUND(Q182/1.2/7200,2)</f>
        <v>6.89</v>
      </c>
      <c r="M182" s="538">
        <f>IF(K182&gt;0,VLOOKUP(H182,'[5]Pob. Ext, Parroquial'!$B$8:$F$117,4,FALSE),0)</f>
        <v>0</v>
      </c>
      <c r="N182" s="539" t="s">
        <v>298</v>
      </c>
      <c r="O182" s="540" t="s">
        <v>299</v>
      </c>
      <c r="P182" s="540">
        <v>0.98</v>
      </c>
      <c r="Q182" s="540">
        <v>59500</v>
      </c>
      <c r="R182" s="540"/>
      <c r="S182" s="541">
        <v>41673</v>
      </c>
      <c r="T182" s="541">
        <v>41729</v>
      </c>
      <c r="U182" s="542" t="str">
        <f t="shared" si="9"/>
        <v>EJECUTADO</v>
      </c>
      <c r="V182" s="543">
        <f t="shared" si="24"/>
        <v>58310</v>
      </c>
      <c r="W182" s="543">
        <v>18914</v>
      </c>
      <c r="X182" s="543">
        <f t="shared" si="25"/>
        <v>59094</v>
      </c>
      <c r="Y182" s="544"/>
      <c r="Z182" s="544"/>
      <c r="AA182" s="1072"/>
      <c r="AB182" s="640"/>
      <c r="AC182" s="545" t="s">
        <v>278</v>
      </c>
      <c r="AD182" s="545" t="s">
        <v>178</v>
      </c>
      <c r="AE182" s="546" t="s">
        <v>187</v>
      </c>
      <c r="AF182" s="547">
        <v>2014</v>
      </c>
      <c r="AG182" s="639"/>
    </row>
    <row r="183" spans="1:34" s="94" customFormat="1" ht="50.1" hidden="1" customHeight="1">
      <c r="A183" s="1068"/>
      <c r="B183" s="1076"/>
      <c r="C183" s="635" t="s">
        <v>297</v>
      </c>
      <c r="D183" s="1078"/>
      <c r="E183" s="636" t="str">
        <f t="shared" si="23"/>
        <v>REHABILITACION DE LA VIA Y CELICA - POZUL - PINDAL
(CONVENIO GPL - VIALSUR.EP RECURSOS)</v>
      </c>
      <c r="F183" s="536" t="s">
        <v>275</v>
      </c>
      <c r="G183" s="536" t="str">
        <f>VLOOKUP(H183,'[5]Pob. Ext, Parroquial'!$B$9:$C$117,2,0)</f>
        <v>CELICA</v>
      </c>
      <c r="H183" s="536" t="s">
        <v>295</v>
      </c>
      <c r="I183" s="536" t="s">
        <v>265</v>
      </c>
      <c r="J183" s="536" t="s">
        <v>174</v>
      </c>
      <c r="K183" s="537"/>
      <c r="L183" s="537">
        <f>+ROUND(Q183/0.2/7200,2)</f>
        <v>17.97</v>
      </c>
      <c r="M183" s="538">
        <f>IF(K183&gt;0,VLOOKUP(H183,'[5]Pob. Ext, Parroquial'!$B$8:$F$117,4,FALSE),0)</f>
        <v>0</v>
      </c>
      <c r="N183" s="539" t="s">
        <v>300</v>
      </c>
      <c r="O183" s="540" t="s">
        <v>184</v>
      </c>
      <c r="P183" s="540">
        <v>3.17</v>
      </c>
      <c r="Q183" s="540">
        <v>25880</v>
      </c>
      <c r="R183" s="540"/>
      <c r="S183" s="541">
        <v>41673</v>
      </c>
      <c r="T183" s="541">
        <v>41851</v>
      </c>
      <c r="U183" s="542" t="str">
        <f t="shared" si="9"/>
        <v>EJECUTADO</v>
      </c>
      <c r="V183" s="543">
        <f t="shared" si="24"/>
        <v>82039.600000000006</v>
      </c>
      <c r="W183" s="543">
        <v>56901.5</v>
      </c>
      <c r="X183" s="543">
        <f t="shared" si="25"/>
        <v>37707.150000000009</v>
      </c>
      <c r="Y183" s="544"/>
      <c r="Z183" s="544"/>
      <c r="AA183" s="1072"/>
      <c r="AB183" s="640"/>
      <c r="AC183" s="545" t="s">
        <v>278</v>
      </c>
      <c r="AD183" s="545" t="s">
        <v>178</v>
      </c>
      <c r="AE183" s="546" t="s">
        <v>187</v>
      </c>
      <c r="AF183" s="547">
        <v>2014</v>
      </c>
      <c r="AG183" s="639"/>
    </row>
    <row r="184" spans="1:34" s="94" customFormat="1" ht="50.1" hidden="1" customHeight="1">
      <c r="A184" s="1068"/>
      <c r="B184" s="1076"/>
      <c r="C184" s="635" t="s">
        <v>297</v>
      </c>
      <c r="D184" s="1078"/>
      <c r="E184" s="636" t="str">
        <f t="shared" si="23"/>
        <v>REHABILITACION DE LA VIA Y CELICA - POZUL - PINDAL
(CONVENIO GPL - VIALSUR.EP RECURSOS)</v>
      </c>
      <c r="F184" s="536" t="s">
        <v>275</v>
      </c>
      <c r="G184" s="536" t="str">
        <f>VLOOKUP(H184,'[5]Pob. Ext, Parroquial'!$B$9:$C$117,2,0)</f>
        <v>CELICA</v>
      </c>
      <c r="H184" s="536" t="s">
        <v>295</v>
      </c>
      <c r="I184" s="536" t="s">
        <v>265</v>
      </c>
      <c r="J184" s="536" t="s">
        <v>174</v>
      </c>
      <c r="K184" s="537"/>
      <c r="L184" s="537">
        <f>+ROUND(Q184/7200,2)</f>
        <v>24.15</v>
      </c>
      <c r="M184" s="538">
        <f>IF(K184&gt;0,VLOOKUP(H184,'[5]Pob. Ext, Parroquial'!$B$8:$F$117,4,FALSE),0)</f>
        <v>0</v>
      </c>
      <c r="N184" s="539" t="s">
        <v>301</v>
      </c>
      <c r="O184" s="540" t="s">
        <v>184</v>
      </c>
      <c r="P184" s="540">
        <v>2.8</v>
      </c>
      <c r="Q184" s="540">
        <v>173874</v>
      </c>
      <c r="R184" s="540"/>
      <c r="S184" s="541">
        <v>41699</v>
      </c>
      <c r="T184" s="541">
        <v>41851</v>
      </c>
      <c r="U184" s="542" t="str">
        <f t="shared" si="9"/>
        <v>EJECUTADO</v>
      </c>
      <c r="V184" s="543">
        <f t="shared" si="24"/>
        <v>486847.2</v>
      </c>
      <c r="W184" s="543">
        <v>184884</v>
      </c>
      <c r="X184" s="543">
        <f t="shared" si="25"/>
        <v>452944.80000000005</v>
      </c>
      <c r="Y184" s="544"/>
      <c r="Z184" s="544"/>
      <c r="AA184" s="1072"/>
      <c r="AB184" s="640"/>
      <c r="AC184" s="545" t="s">
        <v>278</v>
      </c>
      <c r="AD184" s="545" t="s">
        <v>178</v>
      </c>
      <c r="AE184" s="546" t="s">
        <v>187</v>
      </c>
      <c r="AF184" s="547">
        <v>2014</v>
      </c>
      <c r="AG184" s="639"/>
    </row>
    <row r="185" spans="1:34" s="94" customFormat="1" ht="50.1" hidden="1" customHeight="1">
      <c r="A185" s="1068"/>
      <c r="B185" s="1076"/>
      <c r="C185" s="635" t="s">
        <v>169</v>
      </c>
      <c r="D185" s="1078"/>
      <c r="E185" s="636" t="str">
        <f t="shared" si="23"/>
        <v>REHABILITACION DE LA VIA Y CELICA - POZUL - PINDAL
(CONVENIO GPL - VIALSUR.EP RECURSOS)</v>
      </c>
      <c r="F185" s="536" t="s">
        <v>275</v>
      </c>
      <c r="G185" s="536" t="str">
        <f>VLOOKUP(H185,'[5]Pob. Ext, Parroquial'!$B$9:$C$117,2,0)</f>
        <v>CELICA</v>
      </c>
      <c r="H185" s="536" t="s">
        <v>295</v>
      </c>
      <c r="I185" s="536" t="s">
        <v>265</v>
      </c>
      <c r="J185" s="536" t="s">
        <v>174</v>
      </c>
      <c r="K185" s="537"/>
      <c r="L185" s="537">
        <f>ROUNDUP(Q185/5.5/1000,2)</f>
        <v>8.59</v>
      </c>
      <c r="M185" s="538">
        <f>IF(K185&gt;0,VLOOKUP(H185,'[5]Pob. Ext, Parroquial'!$B$8:$F$117,4,FALSE),0)</f>
        <v>0</v>
      </c>
      <c r="N185" s="539" t="s">
        <v>302</v>
      </c>
      <c r="O185" s="540" t="s">
        <v>184</v>
      </c>
      <c r="P185" s="540">
        <v>0.35</v>
      </c>
      <c r="Q185" s="540">
        <v>47200</v>
      </c>
      <c r="R185" s="540"/>
      <c r="S185" s="541">
        <v>41644</v>
      </c>
      <c r="T185" s="541">
        <v>41851</v>
      </c>
      <c r="U185" s="542" t="str">
        <f t="shared" si="9"/>
        <v>EJECUTADO</v>
      </c>
      <c r="V185" s="543">
        <f>ROUND(P185*Q185,2)</f>
        <v>16520</v>
      </c>
      <c r="W185" s="543"/>
      <c r="X185" s="543">
        <f t="shared" si="25"/>
        <v>24780</v>
      </c>
      <c r="Y185" s="544"/>
      <c r="Z185" s="544"/>
      <c r="AA185" s="1072"/>
      <c r="AB185" s="640"/>
      <c r="AC185" s="545" t="s">
        <v>278</v>
      </c>
      <c r="AD185" s="545" t="s">
        <v>178</v>
      </c>
      <c r="AE185" s="546" t="s">
        <v>187</v>
      </c>
      <c r="AF185" s="547">
        <v>2014</v>
      </c>
      <c r="AG185" s="639"/>
    </row>
    <row r="186" spans="1:34" s="94" customFormat="1" ht="50.1" hidden="1" customHeight="1">
      <c r="A186" s="1068"/>
      <c r="B186" s="1076"/>
      <c r="C186" s="635" t="s">
        <v>169</v>
      </c>
      <c r="D186" s="1074"/>
      <c r="E186" s="636" t="str">
        <f t="shared" si="23"/>
        <v>REHABILITACION DE LA VIA Y CELICA - POZUL - PINDAL
(CONVENIO GPL - VIALSUR.EP RECURSOS)</v>
      </c>
      <c r="F186" s="536" t="s">
        <v>275</v>
      </c>
      <c r="G186" s="536" t="str">
        <f>VLOOKUP(H186,'[5]Pob. Ext, Parroquial'!$B$9:$C$117,2,0)</f>
        <v>CELICA</v>
      </c>
      <c r="H186" s="536" t="s">
        <v>295</v>
      </c>
      <c r="I186" s="536" t="s">
        <v>265</v>
      </c>
      <c r="J186" s="536" t="s">
        <v>174</v>
      </c>
      <c r="K186" s="537"/>
      <c r="L186" s="537"/>
      <c r="M186" s="538">
        <f>IF(K186&gt;0,VLOOKUP(H186,'[5]Pob. Ext, Parroquial'!$B$8:$F$117,4,FALSE),0)</f>
        <v>0</v>
      </c>
      <c r="N186" s="539" t="s">
        <v>303</v>
      </c>
      <c r="O186" s="540" t="s">
        <v>181</v>
      </c>
      <c r="P186" s="540">
        <v>0.3</v>
      </c>
      <c r="Q186" s="540">
        <v>729900</v>
      </c>
      <c r="R186" s="540"/>
      <c r="S186" s="541">
        <v>41673</v>
      </c>
      <c r="T186" s="541">
        <v>41851</v>
      </c>
      <c r="U186" s="542" t="str">
        <f t="shared" si="9"/>
        <v>EJECUTADO</v>
      </c>
      <c r="V186" s="543">
        <f t="shared" si="24"/>
        <v>218970</v>
      </c>
      <c r="W186" s="543">
        <v>157800</v>
      </c>
      <c r="X186" s="543">
        <f t="shared" si="25"/>
        <v>91755</v>
      </c>
      <c r="Y186" s="544"/>
      <c r="Z186" s="544"/>
      <c r="AA186" s="1072"/>
      <c r="AB186" s="640"/>
      <c r="AC186" s="545" t="s">
        <v>278</v>
      </c>
      <c r="AD186" s="545" t="s">
        <v>178</v>
      </c>
      <c r="AE186" s="546" t="s">
        <v>187</v>
      </c>
      <c r="AF186" s="547">
        <v>2014</v>
      </c>
      <c r="AG186" s="657"/>
      <c r="AH186" s="639"/>
    </row>
    <row r="187" spans="1:34" s="94" customFormat="1" ht="50.1" hidden="1" customHeight="1">
      <c r="A187" s="1068" t="s">
        <v>304</v>
      </c>
      <c r="B187" s="1076" t="str">
        <f>+U187</f>
        <v>EJECUTADO</v>
      </c>
      <c r="C187" s="635" t="s">
        <v>169</v>
      </c>
      <c r="D187" s="1073" t="s">
        <v>305</v>
      </c>
      <c r="E187" s="636" t="str">
        <f t="shared" si="16"/>
        <v>REHABILITACION DE LA VÍA MACARÁ - SAUCILLO
(CONVENIO GPL - VIALSUR.EP RECURSOS)</v>
      </c>
      <c r="F187" s="536" t="s">
        <v>275</v>
      </c>
      <c r="G187" s="536" t="str">
        <f>VLOOKUP(H187,'[5]Pob. Ext, Parroquial'!$B$9:$C$117,2,0)</f>
        <v>MACARA</v>
      </c>
      <c r="H187" s="536" t="s">
        <v>306</v>
      </c>
      <c r="I187" s="536" t="s">
        <v>265</v>
      </c>
      <c r="J187" s="536" t="s">
        <v>174</v>
      </c>
      <c r="K187" s="537">
        <v>42</v>
      </c>
      <c r="L187" s="537">
        <f>+ROUND(Q187/0.2/7200,2)</f>
        <v>0.51</v>
      </c>
      <c r="M187" s="538">
        <f>IF(K187&gt;0,VLOOKUP(H187,'[5]Pob. Ext, Parroquial'!$B$8:$F$117,4,FALSE),0)</f>
        <v>6573</v>
      </c>
      <c r="N187" s="539" t="s">
        <v>296</v>
      </c>
      <c r="O187" s="540" t="s">
        <v>176</v>
      </c>
      <c r="P187" s="540">
        <v>19.149999999999999</v>
      </c>
      <c r="Q187" s="540">
        <v>732.5</v>
      </c>
      <c r="R187" s="540"/>
      <c r="S187" s="541">
        <v>41699</v>
      </c>
      <c r="T187" s="541">
        <v>41851</v>
      </c>
      <c r="U187" s="542" t="str">
        <f t="shared" ref="U187:U250" si="26">IF(T187&lt;$G$4,"EJECUTADO","EN EJECUCION")</f>
        <v>EJECUTADO</v>
      </c>
      <c r="V187" s="543">
        <f t="shared" si="24"/>
        <v>14027.38</v>
      </c>
      <c r="W187" s="543">
        <v>1388.38</v>
      </c>
      <c r="X187" s="543">
        <f t="shared" si="25"/>
        <v>18958.5</v>
      </c>
      <c r="Y187" s="544"/>
      <c r="Z187" s="544"/>
      <c r="AA187" s="1072">
        <f>SUM(V187:V192)</f>
        <v>590470.46</v>
      </c>
      <c r="AB187" s="640"/>
      <c r="AC187" s="545" t="s">
        <v>278</v>
      </c>
      <c r="AD187" s="545" t="s">
        <v>178</v>
      </c>
      <c r="AE187" s="546" t="s">
        <v>187</v>
      </c>
      <c r="AF187" s="547">
        <v>2014</v>
      </c>
      <c r="AG187" s="657"/>
      <c r="AH187" s="639"/>
    </row>
    <row r="188" spans="1:34" s="94" customFormat="1" ht="50.1" hidden="1" customHeight="1">
      <c r="A188" s="1068"/>
      <c r="B188" s="1076"/>
      <c r="C188" s="635" t="s">
        <v>297</v>
      </c>
      <c r="D188" s="1078"/>
      <c r="E188" s="655" t="str">
        <f t="shared" ref="E188:E200" si="27">+E187</f>
        <v>REHABILITACION DE LA VÍA MACARÁ - SAUCILLO
(CONVENIO GPL - VIALSUR.EP RECURSOS)</v>
      </c>
      <c r="F188" s="536" t="s">
        <v>275</v>
      </c>
      <c r="G188" s="536" t="str">
        <f>VLOOKUP(H188,'[5]Pob. Ext, Parroquial'!$B$9:$C$117,2,0)</f>
        <v>MACARA</v>
      </c>
      <c r="H188" s="536" t="s">
        <v>306</v>
      </c>
      <c r="I188" s="536" t="s">
        <v>265</v>
      </c>
      <c r="J188" s="536" t="s">
        <v>174</v>
      </c>
      <c r="K188" s="537"/>
      <c r="L188" s="537">
        <f>+ROUND(Q188/1.2/7200,2)</f>
        <v>8.75</v>
      </c>
      <c r="M188" s="538">
        <f>IF(K188&gt;0,VLOOKUP(H188,'[5]Pob. Ext, Parroquial'!$B$8:$F$117,4,FALSE),0)</f>
        <v>0</v>
      </c>
      <c r="N188" s="539" t="s">
        <v>307</v>
      </c>
      <c r="O188" s="540" t="s">
        <v>308</v>
      </c>
      <c r="P188" s="540">
        <v>0.98</v>
      </c>
      <c r="Q188" s="540">
        <v>75582</v>
      </c>
      <c r="R188" s="540"/>
      <c r="S188" s="541">
        <v>41699</v>
      </c>
      <c r="T188" s="541">
        <v>41851</v>
      </c>
      <c r="U188" s="542" t="str">
        <f t="shared" si="26"/>
        <v>EJECUTADO</v>
      </c>
      <c r="V188" s="543">
        <f t="shared" si="24"/>
        <v>74070.36</v>
      </c>
      <c r="W188" s="543">
        <v>1666</v>
      </c>
      <c r="X188" s="543">
        <f t="shared" si="25"/>
        <v>108606.54000000001</v>
      </c>
      <c r="Y188" s="544"/>
      <c r="Z188" s="544"/>
      <c r="AA188" s="1072"/>
      <c r="AB188" s="640"/>
      <c r="AC188" s="545" t="s">
        <v>278</v>
      </c>
      <c r="AD188" s="545" t="s">
        <v>178</v>
      </c>
      <c r="AE188" s="546" t="s">
        <v>187</v>
      </c>
      <c r="AF188" s="547">
        <v>2014</v>
      </c>
      <c r="AG188" s="657"/>
      <c r="AH188" s="639"/>
    </row>
    <row r="189" spans="1:34" s="94" customFormat="1" ht="50.1" hidden="1" customHeight="1">
      <c r="A189" s="1068"/>
      <c r="B189" s="1076"/>
      <c r="C189" s="635" t="s">
        <v>297</v>
      </c>
      <c r="D189" s="1078"/>
      <c r="E189" s="655" t="str">
        <f t="shared" si="27"/>
        <v>REHABILITACION DE LA VÍA MACARÁ - SAUCILLO
(CONVENIO GPL - VIALSUR.EP RECURSOS)</v>
      </c>
      <c r="F189" s="536" t="s">
        <v>275</v>
      </c>
      <c r="G189" s="536" t="str">
        <f>VLOOKUP(H189,'[5]Pob. Ext, Parroquial'!$B$9:$C$117,2,0)</f>
        <v>MACARA</v>
      </c>
      <c r="H189" s="536" t="s">
        <v>306</v>
      </c>
      <c r="I189" s="536" t="s">
        <v>265</v>
      </c>
      <c r="J189" s="536" t="s">
        <v>174</v>
      </c>
      <c r="K189" s="537"/>
      <c r="L189" s="537">
        <f>+ROUND(Q189/7200,2)</f>
        <v>1.1499999999999999</v>
      </c>
      <c r="M189" s="538">
        <f>IF(K189&gt;0,VLOOKUP(H189,'[5]Pob. Ext, Parroquial'!$B$8:$F$117,4,FALSE),0)</f>
        <v>0</v>
      </c>
      <c r="N189" s="539" t="s">
        <v>309</v>
      </c>
      <c r="O189" s="540" t="s">
        <v>184</v>
      </c>
      <c r="P189" s="540">
        <v>3.48</v>
      </c>
      <c r="Q189" s="540">
        <v>8314</v>
      </c>
      <c r="R189" s="540"/>
      <c r="S189" s="541">
        <v>41699</v>
      </c>
      <c r="T189" s="541">
        <v>41851</v>
      </c>
      <c r="U189" s="542" t="str">
        <f t="shared" si="26"/>
        <v>EJECUTADO</v>
      </c>
      <c r="V189" s="543">
        <f t="shared" si="24"/>
        <v>28932.720000000001</v>
      </c>
      <c r="W189" s="543">
        <v>5230.5</v>
      </c>
      <c r="X189" s="543">
        <f t="shared" si="25"/>
        <v>35553.33</v>
      </c>
      <c r="Y189" s="544"/>
      <c r="Z189" s="544"/>
      <c r="AA189" s="1072"/>
      <c r="AB189" s="640"/>
      <c r="AC189" s="545" t="s">
        <v>278</v>
      </c>
      <c r="AD189" s="545" t="s">
        <v>178</v>
      </c>
      <c r="AE189" s="546" t="s">
        <v>187</v>
      </c>
      <c r="AF189" s="547">
        <v>2014</v>
      </c>
      <c r="AG189" s="657"/>
      <c r="AH189" s="639"/>
    </row>
    <row r="190" spans="1:34" s="94" customFormat="1" ht="50.1" hidden="1" customHeight="1">
      <c r="A190" s="1068"/>
      <c r="B190" s="1076"/>
      <c r="C190" s="635" t="s">
        <v>169</v>
      </c>
      <c r="D190" s="1078"/>
      <c r="E190" s="655" t="str">
        <f t="shared" si="27"/>
        <v>REHABILITACION DE LA VÍA MACARÁ - SAUCILLO
(CONVENIO GPL - VIALSUR.EP RECURSOS)</v>
      </c>
      <c r="F190" s="536" t="s">
        <v>275</v>
      </c>
      <c r="G190" s="536" t="str">
        <f>VLOOKUP(H190,'[5]Pob. Ext, Parroquial'!$B$9:$C$117,2,0)</f>
        <v>MACARA</v>
      </c>
      <c r="H190" s="536" t="s">
        <v>306</v>
      </c>
      <c r="I190" s="536" t="s">
        <v>265</v>
      </c>
      <c r="J190" s="536" t="s">
        <v>174</v>
      </c>
      <c r="K190" s="537"/>
      <c r="L190" s="537"/>
      <c r="M190" s="538">
        <f>IF(K190&gt;0,VLOOKUP(H190,'[5]Pob. Ext, Parroquial'!$B$8:$F$117,4,FALSE),0)</f>
        <v>0</v>
      </c>
      <c r="N190" s="539" t="s">
        <v>310</v>
      </c>
      <c r="O190" s="540" t="s">
        <v>181</v>
      </c>
      <c r="P190" s="540">
        <v>0.3</v>
      </c>
      <c r="Q190" s="540">
        <v>295300</v>
      </c>
      <c r="R190" s="540"/>
      <c r="S190" s="541">
        <v>41699</v>
      </c>
      <c r="T190" s="541">
        <v>41851</v>
      </c>
      <c r="U190" s="542" t="str">
        <f t="shared" si="26"/>
        <v>EJECUTADO</v>
      </c>
      <c r="V190" s="543">
        <f t="shared" si="24"/>
        <v>88590</v>
      </c>
      <c r="W190" s="543">
        <v>34278</v>
      </c>
      <c r="X190" s="543">
        <f t="shared" si="25"/>
        <v>81468</v>
      </c>
      <c r="Y190" s="544"/>
      <c r="Z190" s="544"/>
      <c r="AA190" s="1072"/>
      <c r="AB190" s="640"/>
      <c r="AC190" s="545" t="s">
        <v>278</v>
      </c>
      <c r="AD190" s="545" t="s">
        <v>178</v>
      </c>
      <c r="AE190" s="546" t="s">
        <v>187</v>
      </c>
      <c r="AF190" s="547">
        <v>2014</v>
      </c>
      <c r="AG190" s="657"/>
      <c r="AH190" s="639"/>
    </row>
    <row r="191" spans="1:34" s="94" customFormat="1" ht="50.1" hidden="1" customHeight="1">
      <c r="A191" s="1068"/>
      <c r="B191" s="1076"/>
      <c r="C191" s="635" t="s">
        <v>169</v>
      </c>
      <c r="D191" s="1078"/>
      <c r="E191" s="655" t="str">
        <f t="shared" si="27"/>
        <v>REHABILITACION DE LA VÍA MACARÁ - SAUCILLO
(CONVENIO GPL - VIALSUR.EP RECURSOS)</v>
      </c>
      <c r="F191" s="536" t="s">
        <v>275</v>
      </c>
      <c r="G191" s="536" t="str">
        <f>VLOOKUP(H191,'[5]Pob. Ext, Parroquial'!$B$9:$C$117,2,0)</f>
        <v>MACARA</v>
      </c>
      <c r="H191" s="536" t="s">
        <v>306</v>
      </c>
      <c r="I191" s="536" t="s">
        <v>265</v>
      </c>
      <c r="J191" s="536" t="s">
        <v>174</v>
      </c>
      <c r="K191" s="537"/>
      <c r="L191" s="537">
        <f>ROUNDUP(Q191/5.5/1000,2)</f>
        <v>12.91</v>
      </c>
      <c r="M191" s="538">
        <f>IF(K191&gt;0,VLOOKUP(H191,'[5]Pob. Ext, Parroquial'!$B$8:$F$117,4,FALSE),0)</f>
        <v>0</v>
      </c>
      <c r="N191" s="539" t="s">
        <v>302</v>
      </c>
      <c r="O191" s="540" t="s">
        <v>184</v>
      </c>
      <c r="P191" s="540">
        <v>0.35</v>
      </c>
      <c r="Q191" s="540">
        <v>71000</v>
      </c>
      <c r="R191" s="540"/>
      <c r="S191" s="541">
        <v>41644</v>
      </c>
      <c r="T191" s="541">
        <v>41851</v>
      </c>
      <c r="U191" s="542" t="str">
        <f t="shared" si="26"/>
        <v>EJECUTADO</v>
      </c>
      <c r="V191" s="543">
        <f>ROUND(P191*Q191,2)</f>
        <v>24850</v>
      </c>
      <c r="W191" s="543"/>
      <c r="X191" s="543">
        <f t="shared" si="25"/>
        <v>37275</v>
      </c>
      <c r="Y191" s="544"/>
      <c r="Z191" s="544"/>
      <c r="AA191" s="1072"/>
      <c r="AB191" s="640"/>
      <c r="AC191" s="545" t="s">
        <v>278</v>
      </c>
      <c r="AD191" s="545" t="s">
        <v>178</v>
      </c>
      <c r="AE191" s="546" t="s">
        <v>187</v>
      </c>
      <c r="AF191" s="547">
        <v>2014</v>
      </c>
      <c r="AG191" s="657"/>
      <c r="AH191" s="639"/>
    </row>
    <row r="192" spans="1:34" s="94" customFormat="1" ht="50.1" hidden="1" customHeight="1">
      <c r="A192" s="1068"/>
      <c r="B192" s="1076"/>
      <c r="C192" s="635" t="s">
        <v>297</v>
      </c>
      <c r="D192" s="1074"/>
      <c r="E192" s="655" t="str">
        <f t="shared" si="27"/>
        <v>REHABILITACION DE LA VÍA MACARÁ - SAUCILLO
(CONVENIO GPL - VIALSUR.EP RECURSOS)</v>
      </c>
      <c r="F192" s="536" t="s">
        <v>275</v>
      </c>
      <c r="G192" s="536" t="str">
        <f>VLOOKUP(H192,'[5]Pob. Ext, Parroquial'!$B$9:$C$117,2,0)</f>
        <v>MACARA</v>
      </c>
      <c r="H192" s="536" t="s">
        <v>306</v>
      </c>
      <c r="I192" s="536" t="s">
        <v>265</v>
      </c>
      <c r="J192" s="536" t="s">
        <v>174</v>
      </c>
      <c r="K192" s="537"/>
      <c r="L192" s="537">
        <f>+ROUND(Q192/7200,2)</f>
        <v>11.11</v>
      </c>
      <c r="M192" s="538">
        <f>IF(K192&gt;0,VLOOKUP(H192,'[5]Pob. Ext, Parroquial'!$B$8:$F$117,4,FALSE),0)</f>
        <v>0</v>
      </c>
      <c r="N192" s="539" t="s">
        <v>311</v>
      </c>
      <c r="O192" s="540" t="s">
        <v>184</v>
      </c>
      <c r="P192" s="540">
        <v>4.5</v>
      </c>
      <c r="Q192" s="540">
        <v>80000</v>
      </c>
      <c r="R192" s="540"/>
      <c r="S192" s="541">
        <v>41644</v>
      </c>
      <c r="T192" s="541">
        <v>41790</v>
      </c>
      <c r="U192" s="542" t="str">
        <f t="shared" si="26"/>
        <v>EJECUTADO</v>
      </c>
      <c r="V192" s="543">
        <f>ROUND(P192*Q192,2)</f>
        <v>360000</v>
      </c>
      <c r="W192" s="543"/>
      <c r="X192" s="543">
        <f t="shared" si="25"/>
        <v>540000</v>
      </c>
      <c r="Y192" s="544"/>
      <c r="Z192" s="544"/>
      <c r="AA192" s="1072"/>
      <c r="AB192" s="640"/>
      <c r="AC192" s="545" t="s">
        <v>278</v>
      </c>
      <c r="AD192" s="545" t="s">
        <v>178</v>
      </c>
      <c r="AE192" s="546" t="s">
        <v>187</v>
      </c>
      <c r="AF192" s="547">
        <v>2014</v>
      </c>
      <c r="AG192" s="657"/>
      <c r="AH192" s="639"/>
    </row>
    <row r="193" spans="1:34" s="94" customFormat="1" ht="90" hidden="1" customHeight="1">
      <c r="A193" s="1068"/>
      <c r="B193" s="1076"/>
      <c r="C193" s="635" t="s">
        <v>182</v>
      </c>
      <c r="D193" s="1073" t="s">
        <v>312</v>
      </c>
      <c r="E193" s="636" t="str">
        <f t="shared" si="16"/>
        <v>CONTRATO SIE-NRO-828-VIALSUR.EP-2013 CONTRATACION DE MAQUINARIA PARA EL MANTENIMIENTO RUTINARIO DE VIAS EN LOS CANTONES (PINDAL CELICA PUYANGO MACARA Y ZAPOTILLO)</v>
      </c>
      <c r="F193" s="536" t="s">
        <v>275</v>
      </c>
      <c r="G193" s="536" t="str">
        <f>VLOOKUP(H193,'[5]Pob. Ext, Parroquial'!$B$9:$C$117,2,0)</f>
        <v>PINDAL</v>
      </c>
      <c r="H193" s="536" t="s">
        <v>313</v>
      </c>
      <c r="I193" s="536" t="s">
        <v>270</v>
      </c>
      <c r="J193" s="536" t="s">
        <v>174</v>
      </c>
      <c r="K193" s="537">
        <v>3.1</v>
      </c>
      <c r="L193" s="537">
        <f t="shared" ref="L193:L198" si="28">ROUNDUP(Q193/5.5/1000,2)</f>
        <v>15.709999999999999</v>
      </c>
      <c r="M193" s="538">
        <f>IF(K193&gt;0,VLOOKUP(H193,'[5]Pob. Ext, Parroquial'!$B$8:$F$117,4,FALSE),0)</f>
        <v>2919</v>
      </c>
      <c r="N193" s="539" t="s">
        <v>185</v>
      </c>
      <c r="O193" s="540" t="s">
        <v>314</v>
      </c>
      <c r="P193" s="540">
        <v>0.08</v>
      </c>
      <c r="Q193" s="540">
        <v>86355</v>
      </c>
      <c r="R193" s="540"/>
      <c r="S193" s="541">
        <v>41687</v>
      </c>
      <c r="T193" s="541">
        <v>41698</v>
      </c>
      <c r="U193" s="542" t="str">
        <f t="shared" si="26"/>
        <v>EJECUTADO</v>
      </c>
      <c r="V193" s="543">
        <f t="shared" ref="V193:V201" si="29">ROUND(P193*Q193,2)</f>
        <v>6908.4</v>
      </c>
      <c r="W193" s="543">
        <v>5837.6</v>
      </c>
      <c r="X193" s="543">
        <f t="shared" si="25"/>
        <v>1606.1999999999989</v>
      </c>
      <c r="Y193" s="544"/>
      <c r="Z193" s="544"/>
      <c r="AA193" s="643">
        <f t="shared" ref="AA193:AA202" si="30">V193+Y193+Z193</f>
        <v>6908.4</v>
      </c>
      <c r="AB193" s="640"/>
      <c r="AC193" s="545" t="s">
        <v>278</v>
      </c>
      <c r="AD193" s="545" t="s">
        <v>178</v>
      </c>
      <c r="AE193" s="546" t="s">
        <v>187</v>
      </c>
      <c r="AF193" s="547">
        <v>2014</v>
      </c>
      <c r="AG193" s="657"/>
      <c r="AH193" s="639"/>
    </row>
    <row r="194" spans="1:34" s="94" customFormat="1" ht="83.45" hidden="1" customHeight="1">
      <c r="A194" s="1068"/>
      <c r="B194" s="1076"/>
      <c r="C194" s="635" t="s">
        <v>182</v>
      </c>
      <c r="D194" s="1078"/>
      <c r="E194" s="655" t="str">
        <f t="shared" si="27"/>
        <v>CONTRATO SIE-NRO-828-VIALSUR.EP-2013 CONTRATACION DE MAQUINARIA PARA EL MANTENIMIENTO RUTINARIO DE VIAS EN LOS CANTONES (PINDAL CELICA PUYANGO MACARA Y ZAPOTILLO)</v>
      </c>
      <c r="F194" s="536" t="s">
        <v>275</v>
      </c>
      <c r="G194" s="536" t="str">
        <f>VLOOKUP(H194,'[5]Pob. Ext, Parroquial'!$B$9:$C$117,2,0)</f>
        <v>ZAPOTILLO</v>
      </c>
      <c r="H194" s="536" t="s">
        <v>315</v>
      </c>
      <c r="I194" s="536" t="s">
        <v>270</v>
      </c>
      <c r="J194" s="536" t="s">
        <v>174</v>
      </c>
      <c r="K194" s="537">
        <v>3.1</v>
      </c>
      <c r="L194" s="537">
        <f t="shared" si="28"/>
        <v>12.89</v>
      </c>
      <c r="M194" s="538">
        <f>IF(K194&gt;0,VLOOKUP(H194,'[5]Pob. Ext, Parroquial'!$B$8:$F$117,4,FALSE),0)</f>
        <v>889</v>
      </c>
      <c r="N194" s="539" t="s">
        <v>185</v>
      </c>
      <c r="O194" s="540" t="s">
        <v>314</v>
      </c>
      <c r="P194" s="540">
        <v>0.08</v>
      </c>
      <c r="Q194" s="540">
        <v>70865</v>
      </c>
      <c r="R194" s="540"/>
      <c r="S194" s="541">
        <v>41687</v>
      </c>
      <c r="T194" s="541">
        <v>41698</v>
      </c>
      <c r="U194" s="542" t="str">
        <f t="shared" si="26"/>
        <v>EJECUTADO</v>
      </c>
      <c r="V194" s="543">
        <f t="shared" si="29"/>
        <v>5669.2</v>
      </c>
      <c r="W194" s="543">
        <v>4790.47</v>
      </c>
      <c r="X194" s="543">
        <f t="shared" si="25"/>
        <v>1318.0949999999993</v>
      </c>
      <c r="Y194" s="544"/>
      <c r="Z194" s="544"/>
      <c r="AA194" s="643">
        <f t="shared" si="30"/>
        <v>5669.2</v>
      </c>
      <c r="AB194" s="640"/>
      <c r="AC194" s="545" t="s">
        <v>278</v>
      </c>
      <c r="AD194" s="545" t="s">
        <v>178</v>
      </c>
      <c r="AE194" s="546" t="s">
        <v>187</v>
      </c>
      <c r="AF194" s="547">
        <v>2014</v>
      </c>
      <c r="AG194" s="657"/>
      <c r="AH194" s="639"/>
    </row>
    <row r="195" spans="1:34" s="94" customFormat="1" ht="80.45" hidden="1" customHeight="1">
      <c r="A195" s="1068"/>
      <c r="B195" s="1076"/>
      <c r="C195" s="635" t="s">
        <v>182</v>
      </c>
      <c r="D195" s="1078"/>
      <c r="E195" s="655" t="str">
        <f t="shared" si="27"/>
        <v>CONTRATO SIE-NRO-828-VIALSUR.EP-2013 CONTRATACION DE MAQUINARIA PARA EL MANTENIMIENTO RUTINARIO DE VIAS EN LOS CANTONES (PINDAL CELICA PUYANGO MACARA Y ZAPOTILLO)</v>
      </c>
      <c r="F195" s="536" t="s">
        <v>275</v>
      </c>
      <c r="G195" s="536" t="str">
        <f>VLOOKUP(H195,'[5]Pob. Ext, Parroquial'!$B$9:$C$117,2,0)</f>
        <v>ZAPOTILLO</v>
      </c>
      <c r="H195" s="536" t="s">
        <v>316</v>
      </c>
      <c r="I195" s="536" t="s">
        <v>270</v>
      </c>
      <c r="J195" s="536" t="s">
        <v>174</v>
      </c>
      <c r="K195" s="537">
        <v>3.1</v>
      </c>
      <c r="L195" s="537">
        <f t="shared" si="28"/>
        <v>19.610000000000003</v>
      </c>
      <c r="M195" s="538">
        <f>IF(K195&gt;0,VLOOKUP(H195,'[5]Pob. Ext, Parroquial'!$B$8:$F$117,4,FALSE),0)</f>
        <v>1426</v>
      </c>
      <c r="N195" s="539" t="s">
        <v>185</v>
      </c>
      <c r="O195" s="540" t="s">
        <v>314</v>
      </c>
      <c r="P195" s="540">
        <v>0.08</v>
      </c>
      <c r="Q195" s="540">
        <v>107820</v>
      </c>
      <c r="R195" s="540"/>
      <c r="S195" s="541">
        <v>41699</v>
      </c>
      <c r="T195" s="541">
        <v>41729</v>
      </c>
      <c r="U195" s="542" t="str">
        <f t="shared" si="26"/>
        <v>EJECUTADO</v>
      </c>
      <c r="V195" s="543">
        <f t="shared" si="29"/>
        <v>8625.6</v>
      </c>
      <c r="W195" s="543">
        <v>7288.63</v>
      </c>
      <c r="X195" s="543">
        <f t="shared" si="25"/>
        <v>2005.4550000000004</v>
      </c>
      <c r="Y195" s="544"/>
      <c r="Z195" s="544"/>
      <c r="AA195" s="643">
        <f t="shared" si="30"/>
        <v>8625.6</v>
      </c>
      <c r="AB195" s="640"/>
      <c r="AC195" s="545" t="s">
        <v>278</v>
      </c>
      <c r="AD195" s="545" t="s">
        <v>178</v>
      </c>
      <c r="AE195" s="546" t="s">
        <v>187</v>
      </c>
      <c r="AF195" s="547">
        <v>2014</v>
      </c>
      <c r="AG195" s="657"/>
      <c r="AH195" s="639"/>
    </row>
    <row r="196" spans="1:34" s="94" customFormat="1" ht="79.150000000000006" hidden="1" customHeight="1">
      <c r="A196" s="1068"/>
      <c r="B196" s="1076"/>
      <c r="C196" s="635" t="s">
        <v>182</v>
      </c>
      <c r="D196" s="1078"/>
      <c r="E196" s="655" t="str">
        <f t="shared" si="27"/>
        <v>CONTRATO SIE-NRO-828-VIALSUR.EP-2013 CONTRATACION DE MAQUINARIA PARA EL MANTENIMIENTO RUTINARIO DE VIAS EN LOS CANTONES (PINDAL CELICA PUYANGO MACARA Y ZAPOTILLO)</v>
      </c>
      <c r="F196" s="536" t="s">
        <v>275</v>
      </c>
      <c r="G196" s="536" t="str">
        <f>VLOOKUP(H196,'[5]Pob. Ext, Parroquial'!$B$9:$C$117,2,0)</f>
        <v>ZAPOTILLO</v>
      </c>
      <c r="H196" s="536" t="s">
        <v>317</v>
      </c>
      <c r="I196" s="536" t="s">
        <v>270</v>
      </c>
      <c r="J196" s="536" t="s">
        <v>174</v>
      </c>
      <c r="K196" s="537">
        <v>3.1</v>
      </c>
      <c r="L196" s="537">
        <f t="shared" si="28"/>
        <v>48.01</v>
      </c>
      <c r="M196" s="538">
        <f>IF(K196&gt;0,VLOOKUP(H196,'[5]Pob. Ext, Parroquial'!$B$8:$F$117,4,FALSE),0)</f>
        <v>879</v>
      </c>
      <c r="N196" s="539" t="s">
        <v>185</v>
      </c>
      <c r="O196" s="540" t="s">
        <v>314</v>
      </c>
      <c r="P196" s="540">
        <v>0.08</v>
      </c>
      <c r="Q196" s="540">
        <v>264017.5</v>
      </c>
      <c r="R196" s="540"/>
      <c r="S196" s="541">
        <v>41699</v>
      </c>
      <c r="T196" s="541">
        <v>41729</v>
      </c>
      <c r="U196" s="542" t="str">
        <f t="shared" si="26"/>
        <v>EJECUTADO</v>
      </c>
      <c r="V196" s="543">
        <f t="shared" si="29"/>
        <v>21121.4</v>
      </c>
      <c r="W196" s="543">
        <v>17847.580000000002</v>
      </c>
      <c r="X196" s="543">
        <f t="shared" si="25"/>
        <v>4910.7299999999996</v>
      </c>
      <c r="Y196" s="544"/>
      <c r="Z196" s="544"/>
      <c r="AA196" s="643">
        <f t="shared" si="30"/>
        <v>21121.4</v>
      </c>
      <c r="AB196" s="640"/>
      <c r="AC196" s="545" t="s">
        <v>278</v>
      </c>
      <c r="AD196" s="545" t="s">
        <v>178</v>
      </c>
      <c r="AE196" s="546" t="s">
        <v>187</v>
      </c>
      <c r="AF196" s="547">
        <v>2014</v>
      </c>
      <c r="AG196" s="657"/>
      <c r="AH196" s="639"/>
    </row>
    <row r="197" spans="1:34" s="94" customFormat="1" ht="85.9" hidden="1" customHeight="1">
      <c r="A197" s="1068"/>
      <c r="B197" s="1076"/>
      <c r="C197" s="635" t="s">
        <v>182</v>
      </c>
      <c r="D197" s="1078"/>
      <c r="E197" s="655" t="str">
        <f t="shared" si="27"/>
        <v>CONTRATO SIE-NRO-828-VIALSUR.EP-2013 CONTRATACION DE MAQUINARIA PARA EL MANTENIMIENTO RUTINARIO DE VIAS EN LOS CANTONES (PINDAL CELICA PUYANGO MACARA Y ZAPOTILLO)</v>
      </c>
      <c r="F197" s="536" t="s">
        <v>275</v>
      </c>
      <c r="G197" s="536" t="str">
        <f>VLOOKUP(H197,'[5]Pob. Ext, Parroquial'!$B$9:$C$117,2,0)</f>
        <v>PUYANGO</v>
      </c>
      <c r="H197" s="536" t="s">
        <v>286</v>
      </c>
      <c r="I197" s="536" t="s">
        <v>270</v>
      </c>
      <c r="J197" s="536" t="s">
        <v>174</v>
      </c>
      <c r="K197" s="537">
        <v>3.1</v>
      </c>
      <c r="L197" s="537">
        <f t="shared" si="28"/>
        <v>24.25</v>
      </c>
      <c r="M197" s="538">
        <f>IF(K197&gt;0,VLOOKUP(H197,'[5]Pob. Ext, Parroquial'!$B$8:$F$117,4,FALSE),0)</f>
        <v>1388</v>
      </c>
      <c r="N197" s="539" t="s">
        <v>185</v>
      </c>
      <c r="O197" s="540" t="s">
        <v>314</v>
      </c>
      <c r="P197" s="540">
        <v>0.08</v>
      </c>
      <c r="Q197" s="540">
        <v>133350</v>
      </c>
      <c r="R197" s="540"/>
      <c r="S197" s="541">
        <v>41699</v>
      </c>
      <c r="T197" s="541">
        <v>41729</v>
      </c>
      <c r="U197" s="542" t="str">
        <f t="shared" si="26"/>
        <v>EJECUTADO</v>
      </c>
      <c r="V197" s="543">
        <f t="shared" si="29"/>
        <v>10668</v>
      </c>
      <c r="W197" s="543">
        <v>9014.4599999999991</v>
      </c>
      <c r="X197" s="543">
        <f t="shared" si="25"/>
        <v>2480.3100000000013</v>
      </c>
      <c r="Y197" s="544"/>
      <c r="Z197" s="544"/>
      <c r="AA197" s="643">
        <f t="shared" si="30"/>
        <v>10668</v>
      </c>
      <c r="AB197" s="640"/>
      <c r="AC197" s="545" t="s">
        <v>278</v>
      </c>
      <c r="AD197" s="545" t="s">
        <v>178</v>
      </c>
      <c r="AE197" s="546" t="s">
        <v>187</v>
      </c>
      <c r="AF197" s="547">
        <v>2014</v>
      </c>
      <c r="AG197" s="657"/>
      <c r="AH197" s="639"/>
    </row>
    <row r="198" spans="1:34" s="94" customFormat="1" ht="96.6" hidden="1" customHeight="1">
      <c r="A198" s="1068"/>
      <c r="B198" s="1076"/>
      <c r="C198" s="635" t="s">
        <v>182</v>
      </c>
      <c r="D198" s="1074"/>
      <c r="E198" s="655" t="str">
        <f t="shared" si="27"/>
        <v>CONTRATO SIE-NRO-828-VIALSUR.EP-2013 CONTRATACION DE MAQUINARIA PARA EL MANTENIMIENTO RUTINARIO DE VIAS EN LOS CANTONES (PINDAL CELICA PUYANGO MACARA Y ZAPOTILLO)</v>
      </c>
      <c r="F198" s="536" t="s">
        <v>275</v>
      </c>
      <c r="G198" s="536" t="str">
        <f>VLOOKUP(H198,'[5]Pob. Ext, Parroquial'!$B$9:$C$117,2,0)</f>
        <v>CELICA</v>
      </c>
      <c r="H198" s="536" t="s">
        <v>318</v>
      </c>
      <c r="I198" s="536" t="s">
        <v>270</v>
      </c>
      <c r="J198" s="536" t="s">
        <v>174</v>
      </c>
      <c r="K198" s="537">
        <v>3.1</v>
      </c>
      <c r="L198" s="537">
        <f t="shared" si="28"/>
        <v>19.610000000000003</v>
      </c>
      <c r="M198" s="538">
        <f>IF(K198&gt;0,VLOOKUP(H198,'[5]Pob. Ext, Parroquial'!$B$8:$F$117,4,FALSE),0)</f>
        <v>661</v>
      </c>
      <c r="N198" s="539" t="s">
        <v>185</v>
      </c>
      <c r="O198" s="540" t="s">
        <v>314</v>
      </c>
      <c r="P198" s="540">
        <v>0.08</v>
      </c>
      <c r="Q198" s="540">
        <v>107820</v>
      </c>
      <c r="R198" s="540"/>
      <c r="S198" s="541">
        <v>41699</v>
      </c>
      <c r="T198" s="541">
        <v>41729</v>
      </c>
      <c r="U198" s="542" t="str">
        <f t="shared" si="26"/>
        <v>EJECUTADO</v>
      </c>
      <c r="V198" s="543">
        <f t="shared" si="29"/>
        <v>8625.6</v>
      </c>
      <c r="W198" s="543">
        <v>7288.63</v>
      </c>
      <c r="X198" s="543">
        <f t="shared" si="25"/>
        <v>2005.4550000000004</v>
      </c>
      <c r="Y198" s="544"/>
      <c r="Z198" s="544"/>
      <c r="AA198" s="643">
        <f t="shared" si="30"/>
        <v>8625.6</v>
      </c>
      <c r="AB198" s="640"/>
      <c r="AC198" s="545" t="s">
        <v>278</v>
      </c>
      <c r="AD198" s="545" t="s">
        <v>178</v>
      </c>
      <c r="AE198" s="546" t="s">
        <v>187</v>
      </c>
      <c r="AF198" s="547">
        <v>2014</v>
      </c>
      <c r="AG198" s="657"/>
      <c r="AH198" s="639"/>
    </row>
    <row r="199" spans="1:34" s="94" customFormat="1" ht="50.1" hidden="1" customHeight="1">
      <c r="A199" s="641" t="s">
        <v>319</v>
      </c>
      <c r="B199" s="635" t="str">
        <f>+U199</f>
        <v>EJECUTADO</v>
      </c>
      <c r="C199" s="635" t="s">
        <v>182</v>
      </c>
      <c r="D199" s="1069" t="s">
        <v>320</v>
      </c>
      <c r="E199" s="636" t="str">
        <f t="shared" ref="E199:E260" si="31">+D199</f>
        <v>MANTENIMIENTO DE LA VIA MANGAHURQUILLO CAZADEROS PROGRESO GRAMADALES LA LEONERA</v>
      </c>
      <c r="F199" s="536" t="s">
        <v>275</v>
      </c>
      <c r="G199" s="536" t="s">
        <v>321</v>
      </c>
      <c r="H199" s="536" t="s">
        <v>317</v>
      </c>
      <c r="I199" s="536" t="s">
        <v>173</v>
      </c>
      <c r="J199" s="536" t="s">
        <v>174</v>
      </c>
      <c r="K199" s="537"/>
      <c r="L199" s="537"/>
      <c r="M199" s="538">
        <f>IF(K199&gt;0,VLOOKUP(H199,'[5]Pob. Ext, Parroquial'!$B$8:$F$117,4,FALSE),0)</f>
        <v>0</v>
      </c>
      <c r="N199" s="539" t="s">
        <v>200</v>
      </c>
      <c r="O199" s="540" t="s">
        <v>176</v>
      </c>
      <c r="P199" s="540">
        <v>1.46</v>
      </c>
      <c r="Q199" s="540">
        <v>32000</v>
      </c>
      <c r="R199" s="540"/>
      <c r="S199" s="541">
        <v>41791</v>
      </c>
      <c r="T199" s="541">
        <v>41851</v>
      </c>
      <c r="U199" s="542" t="str">
        <f t="shared" si="26"/>
        <v>EJECUTADO</v>
      </c>
      <c r="V199" s="543">
        <f t="shared" si="29"/>
        <v>46720</v>
      </c>
      <c r="W199" s="543"/>
      <c r="X199" s="543">
        <f t="shared" si="25"/>
        <v>70080</v>
      </c>
      <c r="Y199" s="544"/>
      <c r="Z199" s="544"/>
      <c r="AA199" s="1080">
        <f>SUBTOTAL(9,V199:V200)</f>
        <v>0</v>
      </c>
      <c r="AB199" s="640"/>
      <c r="AC199" s="545" t="s">
        <v>278</v>
      </c>
      <c r="AD199" s="545" t="s">
        <v>178</v>
      </c>
      <c r="AE199" s="546" t="s">
        <v>187</v>
      </c>
      <c r="AF199" s="547">
        <v>2014</v>
      </c>
      <c r="AG199" s="657"/>
      <c r="AH199" s="639"/>
    </row>
    <row r="200" spans="1:34" s="94" customFormat="1" ht="50.1" hidden="1" customHeight="1">
      <c r="A200" s="641"/>
      <c r="B200" s="635"/>
      <c r="C200" s="635" t="s">
        <v>182</v>
      </c>
      <c r="D200" s="1071"/>
      <c r="E200" s="655" t="str">
        <f t="shared" si="27"/>
        <v>MANTENIMIENTO DE LA VIA MANGAHURQUILLO CAZADEROS PROGRESO GRAMADALES LA LEONERA</v>
      </c>
      <c r="F200" s="536" t="s">
        <v>275</v>
      </c>
      <c r="G200" s="536" t="s">
        <v>321</v>
      </c>
      <c r="H200" s="536" t="s">
        <v>317</v>
      </c>
      <c r="I200" s="536" t="s">
        <v>173</v>
      </c>
      <c r="J200" s="536" t="s">
        <v>174</v>
      </c>
      <c r="K200" s="537"/>
      <c r="L200" s="537">
        <f>ROUNDUP(Q200/5.5/1000,2)</f>
        <v>63.64</v>
      </c>
      <c r="M200" s="538">
        <f>IF(K200&gt;0,VLOOKUP(H200,'[5]Pob. Ext, Parroquial'!$B$8:$F$117,4,FALSE),0)</f>
        <v>0</v>
      </c>
      <c r="N200" s="539" t="s">
        <v>322</v>
      </c>
      <c r="O200" s="540" t="s">
        <v>176</v>
      </c>
      <c r="P200" s="540">
        <v>0.12</v>
      </c>
      <c r="Q200" s="540">
        <v>350000</v>
      </c>
      <c r="R200" s="540"/>
      <c r="S200" s="541">
        <v>41791</v>
      </c>
      <c r="T200" s="541">
        <v>41851</v>
      </c>
      <c r="U200" s="542" t="str">
        <f t="shared" si="26"/>
        <v>EJECUTADO</v>
      </c>
      <c r="V200" s="543">
        <f>ROUND(P200*Q200,2)</f>
        <v>42000</v>
      </c>
      <c r="W200" s="543"/>
      <c r="X200" s="543">
        <f t="shared" si="25"/>
        <v>63000</v>
      </c>
      <c r="Y200" s="544"/>
      <c r="Z200" s="544"/>
      <c r="AA200" s="1082"/>
      <c r="AB200" s="640"/>
      <c r="AC200" s="545" t="s">
        <v>278</v>
      </c>
      <c r="AD200" s="545" t="s">
        <v>178</v>
      </c>
      <c r="AE200" s="546" t="s">
        <v>187</v>
      </c>
      <c r="AF200" s="547">
        <v>2014</v>
      </c>
      <c r="AG200" s="657"/>
      <c r="AH200" s="639"/>
    </row>
    <row r="201" spans="1:34" s="94" customFormat="1" ht="140.25" hidden="1" customHeight="1">
      <c r="A201" s="641"/>
      <c r="B201" s="635"/>
      <c r="C201" s="635" t="s">
        <v>323</v>
      </c>
      <c r="D201" s="647" t="s">
        <v>324</v>
      </c>
      <c r="E201" s="636" t="str">
        <f t="shared" si="31"/>
        <v>CONSTRUCCION DE ESTRIBOS PARA PUENTE BAYLEY SECTOR EL ARENAL CONVENIO NRO 007-2013 GADM PUYANGO - VIALSUR.EP(MUNICIPIO AUN NO INICIA LOS TRABAJOS) APORTES GAD $ 10000,00 Y VIALSUR $ 10 500,00, las estructuras se encuentran en bodega del GAP. PUYANGO, en espera de firma de convenio para realizar entrega</v>
      </c>
      <c r="F201" s="536" t="s">
        <v>275</v>
      </c>
      <c r="G201" s="536" t="str">
        <f>VLOOKUP(H201,'[5]Pob. Ext, Parroquial'!$B$9:$C$117,2,0)</f>
        <v>PUYANGO</v>
      </c>
      <c r="H201" s="536" t="s">
        <v>325</v>
      </c>
      <c r="I201" s="536" t="s">
        <v>265</v>
      </c>
      <c r="J201" s="536" t="s">
        <v>174</v>
      </c>
      <c r="K201" s="537">
        <v>3.1</v>
      </c>
      <c r="L201" s="537">
        <f>ROUNDUP(Q201/6/1000,2)</f>
        <v>0</v>
      </c>
      <c r="M201" s="538">
        <f>IF(K201&gt;0,VLOOKUP(H201,'[5]Pob. Ext, Parroquial'!$B$8:$F$117,4,FALSE),0)</f>
        <v>467</v>
      </c>
      <c r="N201" s="539"/>
      <c r="O201" s="540" t="s">
        <v>176</v>
      </c>
      <c r="P201" s="540"/>
      <c r="Q201" s="540">
        <v>0</v>
      </c>
      <c r="R201" s="540"/>
      <c r="S201" s="541"/>
      <c r="T201" s="541"/>
      <c r="U201" s="542" t="str">
        <f t="shared" si="26"/>
        <v>EJECUTADO</v>
      </c>
      <c r="V201" s="543">
        <f t="shared" si="29"/>
        <v>0</v>
      </c>
      <c r="W201" s="543">
        <v>0</v>
      </c>
      <c r="X201" s="543">
        <f t="shared" si="25"/>
        <v>0</v>
      </c>
      <c r="Y201" s="544"/>
      <c r="Z201" s="544"/>
      <c r="AA201" s="643">
        <f t="shared" si="30"/>
        <v>0</v>
      </c>
      <c r="AB201" s="640"/>
      <c r="AC201" s="545" t="s">
        <v>278</v>
      </c>
      <c r="AD201" s="545" t="s">
        <v>178</v>
      </c>
      <c r="AE201" s="546" t="s">
        <v>187</v>
      </c>
      <c r="AF201" s="547">
        <v>2014</v>
      </c>
      <c r="AG201" s="657"/>
      <c r="AH201" s="639"/>
    </row>
    <row r="202" spans="1:34" s="94" customFormat="1" ht="143.25" hidden="1" customHeight="1">
      <c r="A202" s="641"/>
      <c r="B202" s="635"/>
      <c r="C202" s="635" t="s">
        <v>323</v>
      </c>
      <c r="D202" s="647" t="s">
        <v>326</v>
      </c>
      <c r="E202" s="636" t="str">
        <f t="shared" si="31"/>
        <v>CONSTRUCCION DE ESTRIBOS PARA PUENTE BAYLEY SECTOR CIANO CONVENIO  NRO. 006-2013 GADP CIANO - VIALSUR.EP(ESTRIBOS EJECUTADOS) GADP $ 15 000, 00 Y VIALSUR. EP $ 10 000,00. Las estructuras se encuentran en bodega del GAP. PUYANGO, en espera de firma de convenio para realizar entrega</v>
      </c>
      <c r="F202" s="536" t="s">
        <v>275</v>
      </c>
      <c r="G202" s="536" t="str">
        <f>VLOOKUP(H202,'[5]Pob. Ext, Parroquial'!$B$9:$C$117,2,0)</f>
        <v>PUYANGO</v>
      </c>
      <c r="H202" s="536" t="s">
        <v>290</v>
      </c>
      <c r="I202" s="536" t="s">
        <v>265</v>
      </c>
      <c r="J202" s="536" t="s">
        <v>174</v>
      </c>
      <c r="K202" s="537">
        <v>3.1</v>
      </c>
      <c r="L202" s="537">
        <f>ROUNDUP(Q202/6/1000,2)</f>
        <v>0</v>
      </c>
      <c r="M202" s="538">
        <f>IF(K202&gt;0,VLOOKUP(H202,'[5]Pob. Ext, Parroquial'!$B$8:$F$117,4,FALSE),0)</f>
        <v>567</v>
      </c>
      <c r="N202" s="539" t="s">
        <v>327</v>
      </c>
      <c r="O202" s="540" t="s">
        <v>176</v>
      </c>
      <c r="P202" s="540"/>
      <c r="Q202" s="540">
        <v>0</v>
      </c>
      <c r="R202" s="540"/>
      <c r="S202" s="541">
        <v>41640</v>
      </c>
      <c r="T202" s="541">
        <v>41670</v>
      </c>
      <c r="U202" s="542" t="str">
        <f t="shared" si="26"/>
        <v>EJECUTADO</v>
      </c>
      <c r="V202" s="543">
        <v>10000</v>
      </c>
      <c r="W202" s="543">
        <v>10000</v>
      </c>
      <c r="X202" s="543">
        <f t="shared" si="25"/>
        <v>0</v>
      </c>
      <c r="Y202" s="544"/>
      <c r="Z202" s="544"/>
      <c r="AA202" s="643">
        <f t="shared" si="30"/>
        <v>10000</v>
      </c>
      <c r="AB202" s="640"/>
      <c r="AC202" s="545" t="s">
        <v>278</v>
      </c>
      <c r="AD202" s="545" t="s">
        <v>178</v>
      </c>
      <c r="AE202" s="546" t="s">
        <v>187</v>
      </c>
      <c r="AF202" s="547">
        <v>2014</v>
      </c>
      <c r="AG202" s="657"/>
      <c r="AH202" s="639"/>
    </row>
    <row r="203" spans="1:34" s="94" customFormat="1" ht="50.1" hidden="1" customHeight="1">
      <c r="A203" s="1068" t="s">
        <v>328</v>
      </c>
      <c r="B203" s="1083" t="str">
        <f>+U207</f>
        <v>EJECUTADO</v>
      </c>
      <c r="C203" s="635" t="s">
        <v>169</v>
      </c>
      <c r="D203" s="1073" t="s">
        <v>329</v>
      </c>
      <c r="E203" s="636" t="str">
        <f t="shared" si="31"/>
        <v>VIA, CHINCHAS-ZAMBI-RIO PINDO, L=55,88 km. (Catamayo)</v>
      </c>
      <c r="F203" s="536" t="s">
        <v>330</v>
      </c>
      <c r="G203" s="536" t="str">
        <f>VLOOKUP(H203,'[5]Pob. Ext, Parroquial'!$B$9:$C$117,2,0)</f>
        <v>CATAMAYO</v>
      </c>
      <c r="H203" s="536" t="s">
        <v>331</v>
      </c>
      <c r="I203" s="536" t="s">
        <v>173</v>
      </c>
      <c r="J203" s="536" t="s">
        <v>174</v>
      </c>
      <c r="K203" s="537">
        <v>15</v>
      </c>
      <c r="L203" s="537"/>
      <c r="M203" s="538">
        <f>IF(K203&gt;0,VLOOKUP(H203,'[5]Pob. Ext, Parroquial'!$B$8:$F$117,4,FALSE),0)</f>
        <v>267</v>
      </c>
      <c r="N203" s="539" t="s">
        <v>332</v>
      </c>
      <c r="O203" s="540" t="s">
        <v>333</v>
      </c>
      <c r="P203" s="540">
        <v>1.62</v>
      </c>
      <c r="Q203" s="665">
        <v>700</v>
      </c>
      <c r="R203" s="540"/>
      <c r="S203" s="541">
        <v>41791</v>
      </c>
      <c r="T203" s="541">
        <v>41820</v>
      </c>
      <c r="U203" s="542" t="str">
        <f t="shared" si="26"/>
        <v>EJECUTADO</v>
      </c>
      <c r="V203" s="543">
        <f t="shared" ref="V203:V266" si="32">ROUND(P203*Q203,2)</f>
        <v>1134</v>
      </c>
      <c r="W203" s="543"/>
      <c r="X203" s="543">
        <f t="shared" si="25"/>
        <v>1701</v>
      </c>
      <c r="Y203" s="544"/>
      <c r="Z203" s="544"/>
      <c r="AA203" s="1072">
        <f>SUM(V203:V211)</f>
        <v>141961.84</v>
      </c>
      <c r="AB203" s="640"/>
      <c r="AC203" s="545" t="s">
        <v>334</v>
      </c>
      <c r="AD203" s="545" t="s">
        <v>178</v>
      </c>
      <c r="AE203" s="546" t="s">
        <v>187</v>
      </c>
      <c r="AF203" s="547">
        <v>2014</v>
      </c>
      <c r="AG203" s="657"/>
      <c r="AH203" s="639"/>
    </row>
    <row r="204" spans="1:34" s="94" customFormat="1" ht="50.1" hidden="1" customHeight="1">
      <c r="A204" s="1068"/>
      <c r="B204" s="1084"/>
      <c r="C204" s="635" t="s">
        <v>169</v>
      </c>
      <c r="D204" s="1078"/>
      <c r="E204" s="655" t="str">
        <f t="shared" ref="E204:E211" si="33">+E203</f>
        <v>VIA, CHINCHAS-ZAMBI-RIO PINDO, L=55,88 km. (Catamayo)</v>
      </c>
      <c r="F204" s="536" t="s">
        <v>330</v>
      </c>
      <c r="G204" s="536" t="str">
        <f>VLOOKUP(H204,'[5]Pob. Ext, Parroquial'!$B$9:$C$117,2,0)</f>
        <v>CATAMAYO</v>
      </c>
      <c r="H204" s="536" t="s">
        <v>331</v>
      </c>
      <c r="I204" s="536" t="s">
        <v>173</v>
      </c>
      <c r="J204" s="536" t="s">
        <v>174</v>
      </c>
      <c r="K204" s="537"/>
      <c r="L204" s="537"/>
      <c r="M204" s="538">
        <f>IF(K204&gt;0,VLOOKUP(H204,'[5]Pob. Ext, Parroquial'!$B$8:$F$117,4,FALSE),0)</f>
        <v>0</v>
      </c>
      <c r="N204" s="539" t="s">
        <v>335</v>
      </c>
      <c r="O204" s="540" t="s">
        <v>333</v>
      </c>
      <c r="P204" s="540">
        <v>2.54</v>
      </c>
      <c r="Q204" s="665">
        <v>800</v>
      </c>
      <c r="R204" s="540"/>
      <c r="S204" s="541">
        <v>41644</v>
      </c>
      <c r="T204" s="541">
        <v>41790</v>
      </c>
      <c r="U204" s="542" t="str">
        <f t="shared" si="26"/>
        <v>EJECUTADO</v>
      </c>
      <c r="V204" s="543">
        <f t="shared" si="32"/>
        <v>2032</v>
      </c>
      <c r="W204" s="543"/>
      <c r="X204" s="543">
        <f t="shared" si="25"/>
        <v>3048</v>
      </c>
      <c r="Y204" s="544"/>
      <c r="Z204" s="544"/>
      <c r="AA204" s="1072"/>
      <c r="AB204" s="640"/>
      <c r="AC204" s="545" t="s">
        <v>334</v>
      </c>
      <c r="AD204" s="545" t="s">
        <v>178</v>
      </c>
      <c r="AE204" s="546" t="s">
        <v>187</v>
      </c>
      <c r="AF204" s="547">
        <v>2014</v>
      </c>
      <c r="AG204" s="657"/>
      <c r="AH204" s="639"/>
    </row>
    <row r="205" spans="1:34" s="94" customFormat="1" ht="50.1" hidden="1" customHeight="1">
      <c r="A205" s="1068"/>
      <c r="B205" s="1084"/>
      <c r="C205" s="635" t="s">
        <v>169</v>
      </c>
      <c r="D205" s="1078"/>
      <c r="E205" s="655" t="str">
        <f t="shared" si="33"/>
        <v>VIA, CHINCHAS-ZAMBI-RIO PINDO, L=55,88 km. (Catamayo)</v>
      </c>
      <c r="F205" s="536" t="s">
        <v>330</v>
      </c>
      <c r="G205" s="536" t="str">
        <f>VLOOKUP(H205,'[5]Pob. Ext, Parroquial'!$B$9:$C$117,2,0)</f>
        <v>CATAMAYO</v>
      </c>
      <c r="H205" s="536" t="s">
        <v>331</v>
      </c>
      <c r="I205" s="536" t="s">
        <v>173</v>
      </c>
      <c r="J205" s="536" t="s">
        <v>174</v>
      </c>
      <c r="K205" s="537"/>
      <c r="L205" s="537"/>
      <c r="M205" s="538">
        <f>IF(K205&gt;0,VLOOKUP(H205,'[5]Pob. Ext, Parroquial'!$B$8:$F$117,4,FALSE),0)</f>
        <v>0</v>
      </c>
      <c r="N205" s="539" t="s">
        <v>336</v>
      </c>
      <c r="O205" s="540" t="s">
        <v>333</v>
      </c>
      <c r="P205" s="540">
        <v>1.47</v>
      </c>
      <c r="Q205" s="665">
        <v>300</v>
      </c>
      <c r="R205" s="540"/>
      <c r="S205" s="541">
        <v>41802</v>
      </c>
      <c r="T205" s="541">
        <v>41820</v>
      </c>
      <c r="U205" s="542" t="str">
        <f t="shared" si="26"/>
        <v>EJECUTADO</v>
      </c>
      <c r="V205" s="543">
        <f t="shared" si="32"/>
        <v>441</v>
      </c>
      <c r="W205" s="543"/>
      <c r="X205" s="543">
        <f t="shared" si="25"/>
        <v>661.5</v>
      </c>
      <c r="Y205" s="544"/>
      <c r="Z205" s="544"/>
      <c r="AA205" s="1072"/>
      <c r="AB205" s="640"/>
      <c r="AC205" s="545" t="s">
        <v>334</v>
      </c>
      <c r="AD205" s="545" t="s">
        <v>178</v>
      </c>
      <c r="AE205" s="546" t="s">
        <v>187</v>
      </c>
      <c r="AF205" s="547">
        <v>2014</v>
      </c>
      <c r="AG205" s="657"/>
      <c r="AH205" s="639"/>
    </row>
    <row r="206" spans="1:34" s="94" customFormat="1" ht="50.1" hidden="1" customHeight="1">
      <c r="A206" s="1068"/>
      <c r="B206" s="1084"/>
      <c r="C206" s="635" t="s">
        <v>182</v>
      </c>
      <c r="D206" s="1078"/>
      <c r="E206" s="655" t="str">
        <f t="shared" si="33"/>
        <v>VIA, CHINCHAS-ZAMBI-RIO PINDO, L=55,88 km. (Catamayo)</v>
      </c>
      <c r="F206" s="536" t="s">
        <v>330</v>
      </c>
      <c r="G206" s="536" t="str">
        <f>VLOOKUP(H206,'[5]Pob. Ext, Parroquial'!$B$9:$C$117,2,0)</f>
        <v>CATAMAYO</v>
      </c>
      <c r="H206" s="536" t="s">
        <v>331</v>
      </c>
      <c r="I206" s="536" t="s">
        <v>173</v>
      </c>
      <c r="J206" s="536" t="s">
        <v>174</v>
      </c>
      <c r="K206" s="537"/>
      <c r="L206" s="537"/>
      <c r="M206" s="538">
        <f>IF(K206&gt;0,VLOOKUP(H206,'[5]Pob. Ext, Parroquial'!$B$8:$F$117,4,FALSE),0)</f>
        <v>0</v>
      </c>
      <c r="N206" s="539" t="s">
        <v>337</v>
      </c>
      <c r="O206" s="540" t="s">
        <v>333</v>
      </c>
      <c r="P206" s="540">
        <v>1.46</v>
      </c>
      <c r="Q206" s="665">
        <v>10858</v>
      </c>
      <c r="R206" s="540"/>
      <c r="S206" s="541">
        <v>41640</v>
      </c>
      <c r="T206" s="541">
        <v>41820</v>
      </c>
      <c r="U206" s="542" t="str">
        <f t="shared" si="26"/>
        <v>EJECUTADO</v>
      </c>
      <c r="V206" s="543">
        <f t="shared" si="32"/>
        <v>15852.68</v>
      </c>
      <c r="W206" s="543">
        <v>8959.65</v>
      </c>
      <c r="X206" s="543">
        <f t="shared" si="25"/>
        <v>10339.545</v>
      </c>
      <c r="Y206" s="544"/>
      <c r="Z206" s="544"/>
      <c r="AA206" s="1072"/>
      <c r="AB206" s="640"/>
      <c r="AC206" s="545" t="s">
        <v>334</v>
      </c>
      <c r="AD206" s="545" t="s">
        <v>178</v>
      </c>
      <c r="AE206" s="546" t="s">
        <v>187</v>
      </c>
      <c r="AF206" s="547">
        <v>2014</v>
      </c>
      <c r="AG206" s="657"/>
      <c r="AH206" s="639"/>
    </row>
    <row r="207" spans="1:34" s="94" customFormat="1" ht="50.1" hidden="1" customHeight="1">
      <c r="A207" s="1068"/>
      <c r="B207" s="1084"/>
      <c r="C207" s="635" t="s">
        <v>182</v>
      </c>
      <c r="D207" s="1078"/>
      <c r="E207" s="655" t="str">
        <f t="shared" si="33"/>
        <v>VIA, CHINCHAS-ZAMBI-RIO PINDO, L=55,88 km. (Catamayo)</v>
      </c>
      <c r="F207" s="536" t="s">
        <v>330</v>
      </c>
      <c r="G207" s="536" t="str">
        <f>VLOOKUP(H207,'[5]Pob. Ext, Parroquial'!$B$9:$C$117,2,0)</f>
        <v>CATAMAYO</v>
      </c>
      <c r="H207" s="536" t="s">
        <v>331</v>
      </c>
      <c r="I207" s="536" t="s">
        <v>173</v>
      </c>
      <c r="J207" s="536" t="s">
        <v>174</v>
      </c>
      <c r="K207" s="537"/>
      <c r="L207" s="537"/>
      <c r="M207" s="538">
        <f>IF(K207&gt;0,VLOOKUP(H207,'[5]Pob. Ext, Parroquial'!$B$8:$F$117,4,FALSE),0)</f>
        <v>0</v>
      </c>
      <c r="N207" s="539" t="s">
        <v>279</v>
      </c>
      <c r="O207" s="540" t="s">
        <v>333</v>
      </c>
      <c r="P207" s="540">
        <v>1.47</v>
      </c>
      <c r="Q207" s="665">
        <v>2380</v>
      </c>
      <c r="R207" s="540"/>
      <c r="S207" s="541">
        <v>41644</v>
      </c>
      <c r="T207" s="541">
        <v>41851</v>
      </c>
      <c r="U207" s="542" t="str">
        <f t="shared" si="26"/>
        <v>EJECUTADO</v>
      </c>
      <c r="V207" s="543">
        <f t="shared" si="32"/>
        <v>3498.6</v>
      </c>
      <c r="W207" s="543"/>
      <c r="X207" s="543">
        <f t="shared" si="25"/>
        <v>5247.9000000000005</v>
      </c>
      <c r="Y207" s="544"/>
      <c r="Z207" s="544"/>
      <c r="AA207" s="1072"/>
      <c r="AB207" s="640"/>
      <c r="AC207" s="545" t="s">
        <v>334</v>
      </c>
      <c r="AD207" s="545" t="s">
        <v>178</v>
      </c>
      <c r="AE207" s="546" t="s">
        <v>187</v>
      </c>
      <c r="AF207" s="547">
        <v>2014</v>
      </c>
      <c r="AG207" s="657"/>
      <c r="AH207" s="639"/>
    </row>
    <row r="208" spans="1:34" s="94" customFormat="1" ht="50.1" hidden="1" customHeight="1">
      <c r="A208" s="1068"/>
      <c r="B208" s="1084"/>
      <c r="C208" s="635" t="s">
        <v>182</v>
      </c>
      <c r="D208" s="1078"/>
      <c r="E208" s="655" t="str">
        <f t="shared" si="33"/>
        <v>VIA, CHINCHAS-ZAMBI-RIO PINDO, L=55,88 km. (Catamayo)</v>
      </c>
      <c r="F208" s="536" t="s">
        <v>330</v>
      </c>
      <c r="G208" s="536" t="str">
        <f>VLOOKUP(H208,'[5]Pob. Ext, Parroquial'!$B$9:$C$117,2,0)</f>
        <v>CATAMAYO</v>
      </c>
      <c r="H208" s="536" t="s">
        <v>338</v>
      </c>
      <c r="I208" s="536" t="s">
        <v>173</v>
      </c>
      <c r="J208" s="536" t="s">
        <v>174</v>
      </c>
      <c r="K208" s="537">
        <v>17</v>
      </c>
      <c r="L208" s="537">
        <f>ROUNDUP(Q208/5.5/1000,2)</f>
        <v>8.5</v>
      </c>
      <c r="M208" s="538">
        <f>IF(K208&gt;0,VLOOKUP(H208,'[5]Pob. Ext, Parroquial'!$B$8:$F$117,4,FALSE),0)</f>
        <v>144</v>
      </c>
      <c r="N208" s="539" t="s">
        <v>185</v>
      </c>
      <c r="O208" s="540" t="s">
        <v>314</v>
      </c>
      <c r="P208" s="540">
        <v>0.08</v>
      </c>
      <c r="Q208" s="665">
        <v>46732</v>
      </c>
      <c r="R208" s="540"/>
      <c r="S208" s="541">
        <v>41640</v>
      </c>
      <c r="T208" s="541">
        <v>41759</v>
      </c>
      <c r="U208" s="542" t="str">
        <f t="shared" si="26"/>
        <v>EJECUTADO</v>
      </c>
      <c r="V208" s="543">
        <f t="shared" si="32"/>
        <v>3738.56</v>
      </c>
      <c r="W208" s="543">
        <f>+V208</f>
        <v>3738.56</v>
      </c>
      <c r="X208" s="543">
        <f t="shared" si="25"/>
        <v>0</v>
      </c>
      <c r="Y208" s="544"/>
      <c r="Z208" s="544"/>
      <c r="AA208" s="1072"/>
      <c r="AB208" s="640"/>
      <c r="AC208" s="545" t="s">
        <v>334</v>
      </c>
      <c r="AD208" s="545" t="s">
        <v>178</v>
      </c>
      <c r="AE208" s="546" t="s">
        <v>187</v>
      </c>
      <c r="AF208" s="547">
        <v>2014</v>
      </c>
      <c r="AG208" s="657"/>
      <c r="AH208" s="639"/>
    </row>
    <row r="209" spans="1:34" s="94" customFormat="1" ht="50.1" hidden="1" customHeight="1">
      <c r="A209" s="1068"/>
      <c r="B209" s="1084"/>
      <c r="C209" s="635" t="s">
        <v>182</v>
      </c>
      <c r="D209" s="1078"/>
      <c r="E209" s="655" t="str">
        <f t="shared" si="33"/>
        <v>VIA, CHINCHAS-ZAMBI-RIO PINDO, L=55,88 km. (Catamayo)</v>
      </c>
      <c r="F209" s="536" t="s">
        <v>330</v>
      </c>
      <c r="G209" s="536" t="str">
        <f>VLOOKUP(H209,'[5]Pob. Ext, Parroquial'!$B$9:$C$117,2,0)</f>
        <v>CATAMAYO</v>
      </c>
      <c r="H209" s="536" t="s">
        <v>338</v>
      </c>
      <c r="I209" s="536" t="s">
        <v>173</v>
      </c>
      <c r="J209" s="536" t="s">
        <v>174</v>
      </c>
      <c r="K209" s="537"/>
      <c r="L209" s="537">
        <f>ROUNDUP(Q209/5.5/1000,2)</f>
        <v>58.94</v>
      </c>
      <c r="M209" s="538">
        <f>IF(K209&gt;0,VLOOKUP(H209,'[5]Pob. Ext, Parroquial'!$B$8:$F$117,4,FALSE),0)</f>
        <v>0</v>
      </c>
      <c r="N209" s="539" t="s">
        <v>339</v>
      </c>
      <c r="O209" s="540" t="s">
        <v>314</v>
      </c>
      <c r="P209" s="540">
        <v>0.35</v>
      </c>
      <c r="Q209" s="665">
        <v>324141</v>
      </c>
      <c r="R209" s="540"/>
      <c r="S209" s="541">
        <v>41640</v>
      </c>
      <c r="T209" s="541">
        <v>41820</v>
      </c>
      <c r="U209" s="542" t="str">
        <f t="shared" si="26"/>
        <v>EJECUTADO</v>
      </c>
      <c r="V209" s="543">
        <f t="shared" si="32"/>
        <v>113449.35</v>
      </c>
      <c r="W209" s="543">
        <v>71080.100000000006</v>
      </c>
      <c r="X209" s="543">
        <f t="shared" si="25"/>
        <v>63553.875</v>
      </c>
      <c r="Y209" s="544"/>
      <c r="Z209" s="544"/>
      <c r="AA209" s="1072"/>
      <c r="AB209" s="640"/>
      <c r="AC209" s="545" t="s">
        <v>334</v>
      </c>
      <c r="AD209" s="545" t="s">
        <v>178</v>
      </c>
      <c r="AE209" s="546" t="s">
        <v>187</v>
      </c>
      <c r="AF209" s="547">
        <v>2014</v>
      </c>
      <c r="AG209" s="657"/>
      <c r="AH209" s="639"/>
    </row>
    <row r="210" spans="1:34" s="94" customFormat="1" ht="50.1" hidden="1" customHeight="1">
      <c r="A210" s="1068"/>
      <c r="B210" s="1084"/>
      <c r="C210" s="635" t="s">
        <v>169</v>
      </c>
      <c r="D210" s="1078"/>
      <c r="E210" s="655" t="str">
        <f t="shared" si="33"/>
        <v>VIA, CHINCHAS-ZAMBI-RIO PINDO, L=55,88 km. (Catamayo)</v>
      </c>
      <c r="F210" s="536" t="s">
        <v>330</v>
      </c>
      <c r="G210" s="536" t="str">
        <f>VLOOKUP(H210,'[5]Pob. Ext, Parroquial'!$B$9:$C$117,2,0)</f>
        <v>CATAMAYO</v>
      </c>
      <c r="H210" s="536" t="s">
        <v>338</v>
      </c>
      <c r="I210" s="536" t="s">
        <v>173</v>
      </c>
      <c r="J210" s="536" t="s">
        <v>174</v>
      </c>
      <c r="K210" s="537"/>
      <c r="L210" s="537"/>
      <c r="M210" s="538">
        <f>IF(K210&gt;0,VLOOKUP(H210,'[5]Pob. Ext, Parroquial'!$B$8:$F$117,4,FALSE),0)</f>
        <v>0</v>
      </c>
      <c r="N210" s="539" t="s">
        <v>340</v>
      </c>
      <c r="O210" s="540" t="s">
        <v>341</v>
      </c>
      <c r="P210" s="540">
        <v>0.3</v>
      </c>
      <c r="Q210" s="665">
        <v>5118.84</v>
      </c>
      <c r="R210" s="540"/>
      <c r="S210" s="541">
        <v>41644</v>
      </c>
      <c r="T210" s="541">
        <v>41820</v>
      </c>
      <c r="U210" s="542" t="str">
        <f t="shared" si="26"/>
        <v>EJECUTADO</v>
      </c>
      <c r="V210" s="543">
        <f t="shared" si="32"/>
        <v>1535.65</v>
      </c>
      <c r="W210" s="543"/>
      <c r="X210" s="543">
        <f t="shared" si="25"/>
        <v>2303.4750000000004</v>
      </c>
      <c r="Y210" s="544"/>
      <c r="Z210" s="544"/>
      <c r="AA210" s="1072"/>
      <c r="AB210" s="640"/>
      <c r="AC210" s="545" t="s">
        <v>334</v>
      </c>
      <c r="AD210" s="545" t="s">
        <v>178</v>
      </c>
      <c r="AE210" s="546" t="s">
        <v>187</v>
      </c>
      <c r="AF210" s="547">
        <v>2014</v>
      </c>
      <c r="AG210" s="657"/>
      <c r="AH210" s="639"/>
    </row>
    <row r="211" spans="1:34" s="94" customFormat="1" ht="50.1" hidden="1" customHeight="1">
      <c r="A211" s="1068"/>
      <c r="B211" s="1085"/>
      <c r="C211" s="635" t="s">
        <v>182</v>
      </c>
      <c r="D211" s="1074"/>
      <c r="E211" s="655" t="str">
        <f t="shared" si="33"/>
        <v>VIA, CHINCHAS-ZAMBI-RIO PINDO, L=55,88 km. (Catamayo)</v>
      </c>
      <c r="F211" s="536" t="s">
        <v>330</v>
      </c>
      <c r="G211" s="536" t="str">
        <f>VLOOKUP(H211,'[5]Pob. Ext, Parroquial'!$B$9:$C$117,2,0)</f>
        <v>CHAGUARPAMBA</v>
      </c>
      <c r="H211" s="536" t="s">
        <v>342</v>
      </c>
      <c r="I211" s="536" t="s">
        <v>173</v>
      </c>
      <c r="J211" s="536" t="s">
        <v>174</v>
      </c>
      <c r="K211" s="537">
        <v>24</v>
      </c>
      <c r="L211" s="537">
        <f>ROUNDUP(Q211/5.5/1000,2)</f>
        <v>0.15000000000000002</v>
      </c>
      <c r="M211" s="538">
        <f>IF(K211&gt;0,VLOOKUP(H211,'[5]Pob. Ext, Parroquial'!$B$8:$F$117,4,FALSE),0)</f>
        <v>200</v>
      </c>
      <c r="N211" s="539" t="s">
        <v>282</v>
      </c>
      <c r="O211" s="540" t="s">
        <v>176</v>
      </c>
      <c r="P211" s="540">
        <v>0.35</v>
      </c>
      <c r="Q211" s="665">
        <v>800</v>
      </c>
      <c r="R211" s="540"/>
      <c r="S211" s="541">
        <v>41760</v>
      </c>
      <c r="T211" s="541">
        <v>41790</v>
      </c>
      <c r="U211" s="542" t="str">
        <f t="shared" si="26"/>
        <v>EJECUTADO</v>
      </c>
      <c r="V211" s="543">
        <f t="shared" si="32"/>
        <v>280</v>
      </c>
      <c r="W211" s="543"/>
      <c r="X211" s="543">
        <f t="shared" si="25"/>
        <v>420</v>
      </c>
      <c r="Y211" s="544"/>
      <c r="Z211" s="544"/>
      <c r="AA211" s="1072"/>
      <c r="AB211" s="640"/>
      <c r="AC211" s="545" t="s">
        <v>334</v>
      </c>
      <c r="AD211" s="545" t="s">
        <v>178</v>
      </c>
      <c r="AE211" s="546" t="s">
        <v>187</v>
      </c>
      <c r="AF211" s="547">
        <v>2014</v>
      </c>
      <c r="AG211" s="657"/>
      <c r="AH211" s="639"/>
    </row>
    <row r="212" spans="1:34" s="94" customFormat="1" ht="50.1" hidden="1" customHeight="1">
      <c r="A212" s="641"/>
      <c r="B212" s="635"/>
      <c r="C212" s="635" t="s">
        <v>182</v>
      </c>
      <c r="D212" s="1073" t="s">
        <v>343</v>
      </c>
      <c r="E212" s="636" t="str">
        <f t="shared" si="31"/>
        <v>VIA, ACCESO A RUMIPOTRERO, L=4,5 km. (Catamayo)</v>
      </c>
      <c r="F212" s="536" t="s">
        <v>330</v>
      </c>
      <c r="G212" s="536" t="str">
        <f>VLOOKUP(H212,'[5]Pob. Ext, Parroquial'!$B$9:$C$117,2,0)</f>
        <v>CATAMAYO</v>
      </c>
      <c r="H212" s="536" t="s">
        <v>338</v>
      </c>
      <c r="I212" s="536" t="s">
        <v>173</v>
      </c>
      <c r="J212" s="536" t="s">
        <v>174</v>
      </c>
      <c r="K212" s="537">
        <v>4.5</v>
      </c>
      <c r="L212" s="537"/>
      <c r="M212" s="538">
        <f>IF(K212&gt;0,VLOOKUP(H212,'[5]Pob. Ext, Parroquial'!$B$8:$F$117,4,FALSE),0)</f>
        <v>144</v>
      </c>
      <c r="N212" s="539" t="s">
        <v>200</v>
      </c>
      <c r="O212" s="540" t="s">
        <v>333</v>
      </c>
      <c r="P212" s="540">
        <v>1.46</v>
      </c>
      <c r="Q212" s="665">
        <v>440</v>
      </c>
      <c r="R212" s="540"/>
      <c r="S212" s="541">
        <v>41740</v>
      </c>
      <c r="T212" s="541">
        <v>41820</v>
      </c>
      <c r="U212" s="542" t="str">
        <f t="shared" si="26"/>
        <v>EJECUTADO</v>
      </c>
      <c r="V212" s="543">
        <f t="shared" si="32"/>
        <v>642.4</v>
      </c>
      <c r="W212" s="543">
        <v>294</v>
      </c>
      <c r="X212" s="543">
        <f t="shared" si="25"/>
        <v>522.59999999999991</v>
      </c>
      <c r="Y212" s="544"/>
      <c r="Z212" s="544"/>
      <c r="AA212" s="1080">
        <f>SUBTOTAL(9,V212:V213)</f>
        <v>0</v>
      </c>
      <c r="AB212" s="640"/>
      <c r="AC212" s="545" t="s">
        <v>334</v>
      </c>
      <c r="AD212" s="545" t="s">
        <v>178</v>
      </c>
      <c r="AE212" s="546" t="s">
        <v>187</v>
      </c>
      <c r="AF212" s="547">
        <v>2014</v>
      </c>
      <c r="AG212" s="657"/>
      <c r="AH212" s="639"/>
    </row>
    <row r="213" spans="1:34" s="94" customFormat="1" ht="50.1" hidden="1" customHeight="1">
      <c r="A213" s="641"/>
      <c r="B213" s="635"/>
      <c r="C213" s="635" t="s">
        <v>182</v>
      </c>
      <c r="D213" s="1074"/>
      <c r="E213" s="655" t="str">
        <f t="shared" ref="E213" si="34">+E212</f>
        <v>VIA, ACCESO A RUMIPOTRERO, L=4,5 km. (Catamayo)</v>
      </c>
      <c r="F213" s="536" t="s">
        <v>330</v>
      </c>
      <c r="G213" s="536" t="str">
        <f>VLOOKUP(H213,'[5]Pob. Ext, Parroquial'!$B$9:$C$117,2,0)</f>
        <v>CATAMAYO</v>
      </c>
      <c r="H213" s="536" t="s">
        <v>338</v>
      </c>
      <c r="I213" s="536" t="s">
        <v>173</v>
      </c>
      <c r="J213" s="536" t="s">
        <v>174</v>
      </c>
      <c r="K213" s="537"/>
      <c r="L213" s="537">
        <f>ROUNDUP(Q213/5.5/1000,2)</f>
        <v>2.21</v>
      </c>
      <c r="M213" s="538"/>
      <c r="N213" s="539" t="s">
        <v>185</v>
      </c>
      <c r="O213" s="540" t="s">
        <v>314</v>
      </c>
      <c r="P213" s="540">
        <v>0.08</v>
      </c>
      <c r="Q213" s="665">
        <v>12150</v>
      </c>
      <c r="R213" s="540"/>
      <c r="S213" s="541">
        <v>41791</v>
      </c>
      <c r="T213" s="541">
        <v>41820</v>
      </c>
      <c r="U213" s="542" t="str">
        <f t="shared" si="26"/>
        <v>EJECUTADO</v>
      </c>
      <c r="V213" s="543">
        <f t="shared" si="32"/>
        <v>972</v>
      </c>
      <c r="W213" s="543"/>
      <c r="X213" s="543">
        <f t="shared" si="25"/>
        <v>1458</v>
      </c>
      <c r="Y213" s="544"/>
      <c r="Z213" s="544"/>
      <c r="AA213" s="1082"/>
      <c r="AB213" s="640"/>
      <c r="AC213" s="545" t="s">
        <v>334</v>
      </c>
      <c r="AD213" s="545" t="s">
        <v>178</v>
      </c>
      <c r="AE213" s="546" t="s">
        <v>187</v>
      </c>
      <c r="AF213" s="547">
        <v>2014</v>
      </c>
      <c r="AG213" s="657"/>
      <c r="AH213" s="639"/>
    </row>
    <row r="214" spans="1:34" s="94" customFormat="1" ht="50.1" hidden="1" customHeight="1">
      <c r="A214" s="641"/>
      <c r="B214" s="635"/>
      <c r="C214" s="635" t="s">
        <v>182</v>
      </c>
      <c r="D214" s="647" t="s">
        <v>344</v>
      </c>
      <c r="E214" s="636" t="str">
        <f t="shared" si="31"/>
        <v>VIA, CHIGUANGO-CHIGUANGO ALTO, L=3,1 km. (Catamayo)</v>
      </c>
      <c r="F214" s="536" t="s">
        <v>330</v>
      </c>
      <c r="G214" s="536" t="str">
        <f>VLOOKUP(H214,'[5]Pob. Ext, Parroquial'!$B$9:$C$117,2,0)</f>
        <v>CATAMAYO</v>
      </c>
      <c r="H214" s="536" t="s">
        <v>338</v>
      </c>
      <c r="I214" s="536" t="s">
        <v>173</v>
      </c>
      <c r="J214" s="536" t="s">
        <v>174</v>
      </c>
      <c r="K214" s="537">
        <v>3.1</v>
      </c>
      <c r="L214" s="537">
        <f>ROUNDUP(Q214/5.5/1000,2)</f>
        <v>2.2699999999999996</v>
      </c>
      <c r="M214" s="538">
        <f>IF(K214&gt;0,VLOOKUP(H214,'[5]Pob. Ext, Parroquial'!$B$8:$F$117,4,FALSE),0)</f>
        <v>144</v>
      </c>
      <c r="N214" s="539" t="s">
        <v>185</v>
      </c>
      <c r="O214" s="540" t="s">
        <v>314</v>
      </c>
      <c r="P214" s="540">
        <v>0.08</v>
      </c>
      <c r="Q214" s="665">
        <v>12460</v>
      </c>
      <c r="R214" s="540"/>
      <c r="S214" s="541">
        <v>41677</v>
      </c>
      <c r="T214" s="541">
        <v>41678</v>
      </c>
      <c r="U214" s="542" t="str">
        <f t="shared" si="26"/>
        <v>EJECUTADO</v>
      </c>
      <c r="V214" s="543">
        <f t="shared" si="32"/>
        <v>996.8</v>
      </c>
      <c r="W214" s="543">
        <v>996.8</v>
      </c>
      <c r="X214" s="543">
        <f t="shared" si="25"/>
        <v>0</v>
      </c>
      <c r="Y214" s="544"/>
      <c r="Z214" s="544"/>
      <c r="AA214" s="643">
        <f>V214+Y214+Z214</f>
        <v>996.8</v>
      </c>
      <c r="AB214" s="640"/>
      <c r="AC214" s="545" t="s">
        <v>334</v>
      </c>
      <c r="AD214" s="545" t="s">
        <v>178</v>
      </c>
      <c r="AE214" s="546" t="s">
        <v>187</v>
      </c>
      <c r="AF214" s="547">
        <v>2014</v>
      </c>
      <c r="AG214" s="657"/>
      <c r="AH214" s="639"/>
    </row>
    <row r="215" spans="1:34" s="94" customFormat="1" ht="50.1" hidden="1" customHeight="1">
      <c r="A215" s="641"/>
      <c r="B215" s="635"/>
      <c r="C215" s="635" t="s">
        <v>182</v>
      </c>
      <c r="D215" s="1069" t="s">
        <v>345</v>
      </c>
      <c r="E215" s="636" t="str">
        <f t="shared" si="31"/>
        <v>VIA CHINCHAS LA ARADA, L=6.7 KM. (incluye 0.4 km accesos al sitio la Cruz ( ( Zambi - Catamayo)</v>
      </c>
      <c r="F215" s="536" t="s">
        <v>330</v>
      </c>
      <c r="G215" s="536" t="str">
        <f>VLOOKUP(H215,'[5]Pob. Ext, Parroquial'!$B$9:$C$117,2,0)</f>
        <v>CATAMAYO</v>
      </c>
      <c r="H215" s="536" t="s">
        <v>331</v>
      </c>
      <c r="I215" s="536" t="s">
        <v>173</v>
      </c>
      <c r="J215" s="536" t="s">
        <v>174</v>
      </c>
      <c r="K215" s="537">
        <v>6.7</v>
      </c>
      <c r="L215" s="537"/>
      <c r="M215" s="538">
        <f>IF(K215&gt;0,VLOOKUP(H215,'[5]Pob. Ext, Parroquial'!$B$8:$F$117,4,FALSE),0)</f>
        <v>267</v>
      </c>
      <c r="N215" s="539" t="s">
        <v>200</v>
      </c>
      <c r="O215" s="540" t="s">
        <v>333</v>
      </c>
      <c r="P215" s="540">
        <v>1.46</v>
      </c>
      <c r="Q215" s="665">
        <v>300</v>
      </c>
      <c r="R215" s="540"/>
      <c r="S215" s="541">
        <v>41791</v>
      </c>
      <c r="T215" s="541">
        <v>41820</v>
      </c>
      <c r="U215" s="542" t="str">
        <f t="shared" si="26"/>
        <v>EJECUTADO</v>
      </c>
      <c r="V215" s="543">
        <f t="shared" si="32"/>
        <v>438</v>
      </c>
      <c r="W215" s="543"/>
      <c r="X215" s="543">
        <f t="shared" si="25"/>
        <v>657</v>
      </c>
      <c r="Y215" s="544"/>
      <c r="Z215" s="544"/>
      <c r="AA215" s="1080">
        <f>SUBTOTAL(9,V215:V216)</f>
        <v>0</v>
      </c>
      <c r="AB215" s="640"/>
      <c r="AC215" s="545" t="s">
        <v>334</v>
      </c>
      <c r="AD215" s="545" t="s">
        <v>178</v>
      </c>
      <c r="AE215" s="546" t="s">
        <v>187</v>
      </c>
      <c r="AF215" s="547">
        <v>2014</v>
      </c>
      <c r="AG215" s="657"/>
      <c r="AH215" s="639"/>
    </row>
    <row r="216" spans="1:34" s="94" customFormat="1" ht="50.1" hidden="1" customHeight="1">
      <c r="A216" s="641"/>
      <c r="B216" s="635"/>
      <c r="C216" s="635" t="s">
        <v>182</v>
      </c>
      <c r="D216" s="1071"/>
      <c r="E216" s="655" t="str">
        <f t="shared" ref="E216" si="35">+E215</f>
        <v>VIA CHINCHAS LA ARADA, L=6.7 KM. (incluye 0.4 km accesos al sitio la Cruz ( ( Zambi - Catamayo)</v>
      </c>
      <c r="F216" s="536" t="s">
        <v>330</v>
      </c>
      <c r="G216" s="536" t="str">
        <f>VLOOKUP(H216,'[5]Pob. Ext, Parroquial'!$B$9:$C$117,2,0)</f>
        <v>CATAMAYO</v>
      </c>
      <c r="H216" s="536" t="s">
        <v>331</v>
      </c>
      <c r="I216" s="536" t="s">
        <v>173</v>
      </c>
      <c r="J216" s="536" t="s">
        <v>174</v>
      </c>
      <c r="K216" s="537"/>
      <c r="L216" s="537">
        <f>ROUNDUP(Q216/5.5/1000,2)</f>
        <v>4.8899999999999997</v>
      </c>
      <c r="M216" s="538"/>
      <c r="N216" s="539" t="s">
        <v>339</v>
      </c>
      <c r="O216" s="540" t="s">
        <v>314</v>
      </c>
      <c r="P216" s="540">
        <v>0.35</v>
      </c>
      <c r="Q216" s="665">
        <v>26880</v>
      </c>
      <c r="R216" s="540"/>
      <c r="S216" s="541">
        <v>41791</v>
      </c>
      <c r="T216" s="541">
        <v>41820</v>
      </c>
      <c r="U216" s="542" t="str">
        <f t="shared" si="26"/>
        <v>EJECUTADO</v>
      </c>
      <c r="V216" s="543">
        <f t="shared" si="32"/>
        <v>9408</v>
      </c>
      <c r="W216" s="543"/>
      <c r="X216" s="543">
        <f t="shared" si="25"/>
        <v>14112</v>
      </c>
      <c r="Y216" s="544"/>
      <c r="Z216" s="544"/>
      <c r="AA216" s="1082"/>
      <c r="AB216" s="640"/>
      <c r="AC216" s="545" t="s">
        <v>334</v>
      </c>
      <c r="AD216" s="545" t="s">
        <v>178</v>
      </c>
      <c r="AE216" s="546" t="s">
        <v>187</v>
      </c>
      <c r="AF216" s="547">
        <v>2014</v>
      </c>
      <c r="AG216" s="657"/>
      <c r="AH216" s="639"/>
    </row>
    <row r="217" spans="1:34" s="94" customFormat="1" ht="50.1" hidden="1" customHeight="1">
      <c r="A217" s="1068"/>
      <c r="B217" s="635"/>
      <c r="C217" s="635" t="s">
        <v>182</v>
      </c>
      <c r="D217" s="1073" t="s">
        <v>346</v>
      </c>
      <c r="E217" s="636" t="str">
        <f t="shared" si="31"/>
        <v>VIA, ACCESO A BARRIOS: LA CHORA-LA LIBERTAD, L=6,7 km, AL PORVENIR, L=1,1 km.  (Catamayo)</v>
      </c>
      <c r="F217" s="536" t="s">
        <v>330</v>
      </c>
      <c r="G217" s="536" t="str">
        <f>VLOOKUP(H217,'[5]Pob. Ext, Parroquial'!$B$9:$C$117,2,0)</f>
        <v>CATAMAYO</v>
      </c>
      <c r="H217" s="536" t="s">
        <v>331</v>
      </c>
      <c r="I217" s="536" t="s">
        <v>173</v>
      </c>
      <c r="J217" s="536" t="s">
        <v>174</v>
      </c>
      <c r="K217" s="537"/>
      <c r="L217" s="537"/>
      <c r="M217" s="538">
        <f>IF(K217&gt;0,VLOOKUP(H217,'[5]Pob. Ext, Parroquial'!$B$8:$F$117,4,FALSE),0)</f>
        <v>0</v>
      </c>
      <c r="N217" s="666" t="s">
        <v>200</v>
      </c>
      <c r="O217" s="540" t="s">
        <v>333</v>
      </c>
      <c r="P217" s="540">
        <v>1.46</v>
      </c>
      <c r="Q217" s="665">
        <v>850</v>
      </c>
      <c r="R217" s="540"/>
      <c r="S217" s="541">
        <v>41738</v>
      </c>
      <c r="T217" s="541">
        <v>41820</v>
      </c>
      <c r="U217" s="542" t="str">
        <f t="shared" si="26"/>
        <v>EJECUTADO</v>
      </c>
      <c r="V217" s="543">
        <f t="shared" si="32"/>
        <v>1241</v>
      </c>
      <c r="W217" s="543">
        <v>808.5</v>
      </c>
      <c r="X217" s="543">
        <f t="shared" si="25"/>
        <v>648.75</v>
      </c>
      <c r="Y217" s="544"/>
      <c r="Z217" s="544"/>
      <c r="AA217" s="1072">
        <f>+V217+V218+V219</f>
        <v>16156.5</v>
      </c>
      <c r="AB217" s="640"/>
      <c r="AC217" s="545" t="s">
        <v>334</v>
      </c>
      <c r="AD217" s="545" t="s">
        <v>178</v>
      </c>
      <c r="AE217" s="546" t="s">
        <v>187</v>
      </c>
      <c r="AF217" s="547">
        <v>2014</v>
      </c>
      <c r="AG217" s="657"/>
      <c r="AH217" s="639"/>
    </row>
    <row r="218" spans="1:34" s="94" customFormat="1" ht="50.1" hidden="1" customHeight="1">
      <c r="A218" s="1068"/>
      <c r="B218" s="635"/>
      <c r="C218" s="635" t="s">
        <v>182</v>
      </c>
      <c r="D218" s="1078"/>
      <c r="E218" s="655" t="str">
        <f t="shared" ref="E218:E219" si="36">+E217</f>
        <v>VIA, ACCESO A BARRIOS: LA CHORA-LA LIBERTAD, L=6,7 km, AL PORVENIR, L=1,1 km.  (Catamayo)</v>
      </c>
      <c r="F218" s="536" t="s">
        <v>330</v>
      </c>
      <c r="G218" s="536" t="str">
        <f>VLOOKUP(H218,'[5]Pob. Ext, Parroquial'!$B$9:$C$117,2,0)</f>
        <v>CATAMAYO</v>
      </c>
      <c r="H218" s="536" t="s">
        <v>331</v>
      </c>
      <c r="I218" s="536" t="s">
        <v>173</v>
      </c>
      <c r="J218" s="536" t="s">
        <v>174</v>
      </c>
      <c r="K218" s="537"/>
      <c r="L218" s="537">
        <f>ROUNDUP(Q218/5.5/1000,2)</f>
        <v>1.85</v>
      </c>
      <c r="M218" s="538">
        <f>IF(K218&gt;0,VLOOKUP(H218,'[5]Pob. Ext, Parroquial'!$B$8:$F$117,4,FALSE),0)</f>
        <v>0</v>
      </c>
      <c r="N218" s="666" t="s">
        <v>185</v>
      </c>
      <c r="O218" s="540" t="s">
        <v>314</v>
      </c>
      <c r="P218" s="540">
        <v>0.08</v>
      </c>
      <c r="Q218" s="665">
        <v>10175</v>
      </c>
      <c r="R218" s="540"/>
      <c r="S218" s="541">
        <v>41738</v>
      </c>
      <c r="T218" s="541">
        <v>41744</v>
      </c>
      <c r="U218" s="542" t="str">
        <f t="shared" si="26"/>
        <v>EJECUTADO</v>
      </c>
      <c r="V218" s="543">
        <f t="shared" si="32"/>
        <v>814</v>
      </c>
      <c r="W218" s="543">
        <f>+V218</f>
        <v>814</v>
      </c>
      <c r="X218" s="543">
        <f t="shared" si="25"/>
        <v>0</v>
      </c>
      <c r="Y218" s="544"/>
      <c r="Z218" s="544"/>
      <c r="AA218" s="1072"/>
      <c r="AB218" s="640"/>
      <c r="AC218" s="545" t="s">
        <v>334</v>
      </c>
      <c r="AD218" s="545" t="s">
        <v>178</v>
      </c>
      <c r="AE218" s="546" t="s">
        <v>187</v>
      </c>
      <c r="AF218" s="547">
        <v>2014</v>
      </c>
      <c r="AG218" s="657"/>
      <c r="AH218" s="639"/>
    </row>
    <row r="219" spans="1:34" s="94" customFormat="1" ht="50.1" hidden="1" customHeight="1">
      <c r="A219" s="1068"/>
      <c r="B219" s="667"/>
      <c r="C219" s="635" t="s">
        <v>182</v>
      </c>
      <c r="D219" s="1074"/>
      <c r="E219" s="655" t="str">
        <f t="shared" si="36"/>
        <v>VIA, ACCESO A BARRIOS: LA CHORA-LA LIBERTAD, L=6,7 km, AL PORVENIR, L=1,1 km.  (Catamayo)</v>
      </c>
      <c r="F219" s="536" t="s">
        <v>330</v>
      </c>
      <c r="G219" s="536" t="str">
        <f>VLOOKUP(H219,'[5]Pob. Ext, Parroquial'!$B$9:$C$117,2,0)</f>
        <v>CATAMAYO</v>
      </c>
      <c r="H219" s="536" t="s">
        <v>331</v>
      </c>
      <c r="I219" s="536" t="s">
        <v>173</v>
      </c>
      <c r="J219" s="536" t="s">
        <v>174</v>
      </c>
      <c r="K219" s="537">
        <v>7.8</v>
      </c>
      <c r="L219" s="537">
        <f>ROUNDUP(Q219/5.5/1000,2)</f>
        <v>7.33</v>
      </c>
      <c r="M219" s="538">
        <f>IF(K219&gt;0,VLOOKUP(H219,'[5]Pob. Ext, Parroquial'!$B$8:$F$117,4,FALSE),0)</f>
        <v>267</v>
      </c>
      <c r="N219" s="539" t="s">
        <v>183</v>
      </c>
      <c r="O219" s="540" t="s">
        <v>314</v>
      </c>
      <c r="P219" s="540">
        <v>0.35</v>
      </c>
      <c r="Q219" s="665">
        <v>40290</v>
      </c>
      <c r="R219" s="540"/>
      <c r="S219" s="541">
        <v>41738</v>
      </c>
      <c r="T219" s="541">
        <v>41820</v>
      </c>
      <c r="U219" s="542" t="str">
        <f t="shared" si="26"/>
        <v>EJECUTADO</v>
      </c>
      <c r="V219" s="543">
        <f t="shared" si="32"/>
        <v>14101.5</v>
      </c>
      <c r="W219" s="543">
        <v>5365.5</v>
      </c>
      <c r="X219" s="543">
        <f t="shared" si="25"/>
        <v>13104</v>
      </c>
      <c r="Y219" s="544"/>
      <c r="Z219" s="544"/>
      <c r="AA219" s="1072"/>
      <c r="AB219" s="640"/>
      <c r="AC219" s="545" t="s">
        <v>334</v>
      </c>
      <c r="AD219" s="545" t="s">
        <v>178</v>
      </c>
      <c r="AE219" s="546" t="s">
        <v>187</v>
      </c>
      <c r="AF219" s="547">
        <v>2014</v>
      </c>
      <c r="AG219" s="657"/>
      <c r="AH219" s="639"/>
    </row>
    <row r="220" spans="1:34" s="94" customFormat="1" ht="50.1" hidden="1" customHeight="1">
      <c r="A220" s="1068"/>
      <c r="B220" s="1076"/>
      <c r="C220" s="635" t="s">
        <v>169</v>
      </c>
      <c r="D220" s="1073" t="s">
        <v>347</v>
      </c>
      <c r="E220" s="636" t="str">
        <f t="shared" si="31"/>
        <v>VIA, ACCESO AL BARRIO, TOGUEROS, L=1,65 km (Catamayo)</v>
      </c>
      <c r="F220" s="536" t="s">
        <v>330</v>
      </c>
      <c r="G220" s="536" t="str">
        <f>VLOOKUP(H220,'[5]Pob. Ext, Parroquial'!$B$9:$C$117,2,0)</f>
        <v>CATAMAYO</v>
      </c>
      <c r="H220" s="536" t="s">
        <v>348</v>
      </c>
      <c r="I220" s="536" t="s">
        <v>173</v>
      </c>
      <c r="J220" s="536" t="s">
        <v>174</v>
      </c>
      <c r="K220" s="537">
        <v>1.65</v>
      </c>
      <c r="L220" s="537"/>
      <c r="M220" s="538">
        <f>IF(K220&gt;0,VLOOKUP(H220,'[5]Pob. Ext, Parroquial'!$B$8:$F$117,4,FALSE),0)</f>
        <v>245</v>
      </c>
      <c r="N220" s="668" t="s">
        <v>349</v>
      </c>
      <c r="O220" s="540" t="s">
        <v>333</v>
      </c>
      <c r="P220" s="540">
        <v>1.62</v>
      </c>
      <c r="Q220" s="665">
        <v>1920</v>
      </c>
      <c r="R220" s="540"/>
      <c r="S220" s="541">
        <v>41760</v>
      </c>
      <c r="T220" s="541">
        <v>41790</v>
      </c>
      <c r="U220" s="542" t="str">
        <f t="shared" si="26"/>
        <v>EJECUTADO</v>
      </c>
      <c r="V220" s="543">
        <f t="shared" si="32"/>
        <v>3110.4</v>
      </c>
      <c r="W220" s="543"/>
      <c r="X220" s="543">
        <f t="shared" si="25"/>
        <v>4665.5999999999995</v>
      </c>
      <c r="Y220" s="544"/>
      <c r="Z220" s="544"/>
      <c r="AA220" s="1072">
        <f>SUM(V220:V227)</f>
        <v>20934.349999999999</v>
      </c>
      <c r="AB220" s="640"/>
      <c r="AC220" s="545" t="s">
        <v>334</v>
      </c>
      <c r="AD220" s="545" t="s">
        <v>178</v>
      </c>
      <c r="AE220" s="546" t="s">
        <v>187</v>
      </c>
      <c r="AF220" s="547">
        <v>2014</v>
      </c>
      <c r="AG220" s="657"/>
      <c r="AH220" s="639"/>
    </row>
    <row r="221" spans="1:34" s="94" customFormat="1" ht="50.1" hidden="1" customHeight="1">
      <c r="A221" s="1068"/>
      <c r="B221" s="1076"/>
      <c r="C221" s="635" t="s">
        <v>169</v>
      </c>
      <c r="D221" s="1078"/>
      <c r="E221" s="655" t="str">
        <f t="shared" ref="E221:E227" si="37">+E220</f>
        <v>VIA, ACCESO AL BARRIO, TOGUEROS, L=1,65 km (Catamayo)</v>
      </c>
      <c r="F221" s="536" t="s">
        <v>330</v>
      </c>
      <c r="G221" s="536" t="str">
        <f>VLOOKUP(H221,'[5]Pob. Ext, Parroquial'!$B$9:$C$117,2,0)</f>
        <v>CATAMAYO</v>
      </c>
      <c r="H221" s="536" t="s">
        <v>348</v>
      </c>
      <c r="I221" s="536" t="s">
        <v>173</v>
      </c>
      <c r="J221" s="536" t="s">
        <v>174</v>
      </c>
      <c r="K221" s="537"/>
      <c r="L221" s="537"/>
      <c r="M221" s="538">
        <f>IF(K221&gt;0,VLOOKUP(H221,'[5]Pob. Ext, Parroquial'!$B$8:$F$117,4,FALSE),0)</f>
        <v>0</v>
      </c>
      <c r="N221" s="668" t="s">
        <v>350</v>
      </c>
      <c r="O221" s="540" t="s">
        <v>333</v>
      </c>
      <c r="P221" s="540">
        <v>1.62</v>
      </c>
      <c r="Q221" s="665">
        <v>700</v>
      </c>
      <c r="R221" s="540"/>
      <c r="S221" s="541">
        <v>41745</v>
      </c>
      <c r="T221" s="541">
        <v>41759</v>
      </c>
      <c r="U221" s="542" t="str">
        <f t="shared" si="26"/>
        <v>EJECUTADO</v>
      </c>
      <c r="V221" s="543">
        <f>ROUND(P221*Q221,2)</f>
        <v>1134</v>
      </c>
      <c r="W221" s="543">
        <v>1134</v>
      </c>
      <c r="X221" s="543">
        <f t="shared" si="25"/>
        <v>0</v>
      </c>
      <c r="Y221" s="544"/>
      <c r="Z221" s="544"/>
      <c r="AA221" s="1072"/>
      <c r="AB221" s="640"/>
      <c r="AC221" s="545" t="s">
        <v>334</v>
      </c>
      <c r="AD221" s="545" t="s">
        <v>178</v>
      </c>
      <c r="AE221" s="546" t="s">
        <v>187</v>
      </c>
      <c r="AF221" s="547">
        <v>2014</v>
      </c>
      <c r="AG221" s="657"/>
      <c r="AH221" s="639"/>
    </row>
    <row r="222" spans="1:34" s="94" customFormat="1" ht="50.1" hidden="1" customHeight="1">
      <c r="A222" s="1068"/>
      <c r="B222" s="1076"/>
      <c r="C222" s="635" t="s">
        <v>169</v>
      </c>
      <c r="D222" s="1078"/>
      <c r="E222" s="655" t="str">
        <f t="shared" si="37"/>
        <v>VIA, ACCESO AL BARRIO, TOGUEROS, L=1,65 km (Catamayo)</v>
      </c>
      <c r="F222" s="536" t="s">
        <v>330</v>
      </c>
      <c r="G222" s="536" t="str">
        <f>VLOOKUP(H222,'[5]Pob. Ext, Parroquial'!$B$9:$C$117,2,0)</f>
        <v>CATAMAYO</v>
      </c>
      <c r="H222" s="536" t="s">
        <v>348</v>
      </c>
      <c r="I222" s="536" t="s">
        <v>173</v>
      </c>
      <c r="J222" s="536" t="s">
        <v>174</v>
      </c>
      <c r="K222" s="537"/>
      <c r="L222" s="537"/>
      <c r="M222" s="538">
        <f>IF(K222&gt;0,VLOOKUP(H222,'[5]Pob. Ext, Parroquial'!$B$8:$F$117,4,FALSE),0)</f>
        <v>0</v>
      </c>
      <c r="N222" s="669" t="s">
        <v>336</v>
      </c>
      <c r="O222" s="540" t="s">
        <v>333</v>
      </c>
      <c r="P222" s="540">
        <v>1.47</v>
      </c>
      <c r="Q222" s="665">
        <v>1500</v>
      </c>
      <c r="R222" s="540"/>
      <c r="S222" s="541">
        <v>41644</v>
      </c>
      <c r="T222" s="541">
        <v>41790</v>
      </c>
      <c r="U222" s="542" t="str">
        <f t="shared" si="26"/>
        <v>EJECUTADO</v>
      </c>
      <c r="V222" s="543">
        <f>ROUND(P222*Q222,2)</f>
        <v>2205</v>
      </c>
      <c r="W222" s="543"/>
      <c r="X222" s="543">
        <f t="shared" si="25"/>
        <v>3307.5</v>
      </c>
      <c r="Y222" s="544"/>
      <c r="Z222" s="544"/>
      <c r="AA222" s="1072"/>
      <c r="AB222" s="640"/>
      <c r="AC222" s="545" t="s">
        <v>334</v>
      </c>
      <c r="AD222" s="545" t="s">
        <v>178</v>
      </c>
      <c r="AE222" s="546" t="s">
        <v>187</v>
      </c>
      <c r="AF222" s="547">
        <v>2014</v>
      </c>
      <c r="AG222" s="657"/>
      <c r="AH222" s="639"/>
    </row>
    <row r="223" spans="1:34" s="94" customFormat="1" ht="50.1" hidden="1" customHeight="1">
      <c r="A223" s="1068"/>
      <c r="B223" s="1076"/>
      <c r="C223" s="635" t="s">
        <v>182</v>
      </c>
      <c r="D223" s="1078"/>
      <c r="E223" s="655" t="str">
        <f t="shared" si="37"/>
        <v>VIA, ACCESO AL BARRIO, TOGUEROS, L=1,65 km (Catamayo)</v>
      </c>
      <c r="F223" s="536" t="s">
        <v>330</v>
      </c>
      <c r="G223" s="536" t="str">
        <f>VLOOKUP(H223,'[5]Pob. Ext, Parroquial'!$B$9:$C$117,2,0)</f>
        <v>CATAMAYO</v>
      </c>
      <c r="H223" s="536" t="s">
        <v>348</v>
      </c>
      <c r="I223" s="536" t="s">
        <v>173</v>
      </c>
      <c r="J223" s="536" t="s">
        <v>174</v>
      </c>
      <c r="K223" s="537"/>
      <c r="L223" s="537"/>
      <c r="M223" s="538">
        <f>IF(K223&gt;0,VLOOKUP(H223,'[5]Pob. Ext, Parroquial'!$B$8:$F$117,4,FALSE),0)</f>
        <v>0</v>
      </c>
      <c r="N223" s="666" t="s">
        <v>200</v>
      </c>
      <c r="O223" s="540" t="s">
        <v>333</v>
      </c>
      <c r="P223" s="540">
        <v>1.46</v>
      </c>
      <c r="Q223" s="665">
        <v>875</v>
      </c>
      <c r="R223" s="540"/>
      <c r="S223" s="541">
        <v>41745</v>
      </c>
      <c r="T223" s="541">
        <v>41759</v>
      </c>
      <c r="U223" s="542" t="str">
        <f t="shared" si="26"/>
        <v>EJECUTADO</v>
      </c>
      <c r="V223" s="543">
        <f t="shared" si="32"/>
        <v>1277.5</v>
      </c>
      <c r="W223" s="543">
        <f>+V223</f>
        <v>1277.5</v>
      </c>
      <c r="X223" s="543">
        <f t="shared" si="25"/>
        <v>0</v>
      </c>
      <c r="Y223" s="544"/>
      <c r="Z223" s="544"/>
      <c r="AA223" s="1072"/>
      <c r="AB223" s="640"/>
      <c r="AC223" s="545" t="s">
        <v>334</v>
      </c>
      <c r="AD223" s="545" t="s">
        <v>178</v>
      </c>
      <c r="AE223" s="546" t="s">
        <v>187</v>
      </c>
      <c r="AF223" s="547">
        <v>2014</v>
      </c>
      <c r="AG223" s="657"/>
      <c r="AH223" s="639"/>
    </row>
    <row r="224" spans="1:34" s="94" customFormat="1" ht="50.1" hidden="1" customHeight="1">
      <c r="A224" s="1068"/>
      <c r="B224" s="1076"/>
      <c r="C224" s="635" t="s">
        <v>182</v>
      </c>
      <c r="D224" s="1078"/>
      <c r="E224" s="655" t="str">
        <f t="shared" si="37"/>
        <v>VIA, ACCESO AL BARRIO, TOGUEROS, L=1,65 km (Catamayo)</v>
      </c>
      <c r="F224" s="536" t="s">
        <v>330</v>
      </c>
      <c r="G224" s="536" t="str">
        <f>VLOOKUP(H224,'[5]Pob. Ext, Parroquial'!$B$9:$C$117,2,0)</f>
        <v>CATAMAYO</v>
      </c>
      <c r="H224" s="536" t="s">
        <v>348</v>
      </c>
      <c r="I224" s="536" t="s">
        <v>173</v>
      </c>
      <c r="J224" s="536" t="s">
        <v>174</v>
      </c>
      <c r="K224" s="537"/>
      <c r="L224" s="537">
        <f>ROUNDUP(Q224/5.5/1000,2)</f>
        <v>1.53</v>
      </c>
      <c r="M224" s="538">
        <f>IF(K224&gt;0,VLOOKUP(H224,'[5]Pob. Ext, Parroquial'!$B$8:$F$117,4,FALSE),0)</f>
        <v>0</v>
      </c>
      <c r="N224" s="666" t="s">
        <v>185</v>
      </c>
      <c r="O224" s="540" t="s">
        <v>314</v>
      </c>
      <c r="P224" s="540">
        <v>0.08</v>
      </c>
      <c r="Q224" s="665">
        <v>8370</v>
      </c>
      <c r="R224" s="540"/>
      <c r="S224" s="541">
        <v>41745</v>
      </c>
      <c r="T224" s="541">
        <v>41759</v>
      </c>
      <c r="U224" s="542" t="str">
        <f t="shared" si="26"/>
        <v>EJECUTADO</v>
      </c>
      <c r="V224" s="543">
        <f t="shared" si="32"/>
        <v>669.6</v>
      </c>
      <c r="W224" s="543">
        <f>++V224</f>
        <v>669.6</v>
      </c>
      <c r="X224" s="543">
        <f t="shared" si="25"/>
        <v>0</v>
      </c>
      <c r="Y224" s="544"/>
      <c r="Z224" s="544"/>
      <c r="AA224" s="1072"/>
      <c r="AB224" s="640"/>
      <c r="AC224" s="545" t="s">
        <v>334</v>
      </c>
      <c r="AD224" s="545" t="s">
        <v>178</v>
      </c>
      <c r="AE224" s="546" t="s">
        <v>187</v>
      </c>
      <c r="AF224" s="547">
        <v>2014</v>
      </c>
      <c r="AG224" s="657"/>
      <c r="AH224" s="639"/>
    </row>
    <row r="225" spans="1:34" s="94" customFormat="1" ht="50.1" hidden="1" customHeight="1">
      <c r="A225" s="1068"/>
      <c r="B225" s="1076"/>
      <c r="C225" s="635" t="s">
        <v>182</v>
      </c>
      <c r="D225" s="1078"/>
      <c r="E225" s="655" t="str">
        <f t="shared" si="37"/>
        <v>VIA, ACCESO AL BARRIO, TOGUEROS, L=1,65 km (Catamayo)</v>
      </c>
      <c r="F225" s="536" t="s">
        <v>330</v>
      </c>
      <c r="G225" s="536" t="str">
        <f>VLOOKUP(H225,'[5]Pob. Ext, Parroquial'!$B$9:$C$117,2,0)</f>
        <v>CATAMAYO</v>
      </c>
      <c r="H225" s="536" t="s">
        <v>348</v>
      </c>
      <c r="I225" s="536" t="s">
        <v>173</v>
      </c>
      <c r="J225" s="536" t="s">
        <v>174</v>
      </c>
      <c r="K225" s="537"/>
      <c r="L225" s="537"/>
      <c r="M225" s="538">
        <f>IF(K225&gt;0,VLOOKUP(H225,'[5]Pob. Ext, Parroquial'!$B$8:$F$117,4,FALSE),0)</f>
        <v>0</v>
      </c>
      <c r="N225" s="666" t="s">
        <v>351</v>
      </c>
      <c r="O225" s="540" t="s">
        <v>352</v>
      </c>
      <c r="P225" s="540">
        <v>0.38</v>
      </c>
      <c r="Q225" s="665">
        <v>780</v>
      </c>
      <c r="R225" s="540"/>
      <c r="S225" s="541">
        <v>41745</v>
      </c>
      <c r="T225" s="541">
        <v>41759</v>
      </c>
      <c r="U225" s="542" t="str">
        <f t="shared" si="26"/>
        <v>EJECUTADO</v>
      </c>
      <c r="V225" s="543">
        <f t="shared" si="32"/>
        <v>296.39999999999998</v>
      </c>
      <c r="W225" s="543">
        <v>296.39999999999998</v>
      </c>
      <c r="X225" s="543">
        <f t="shared" si="25"/>
        <v>0</v>
      </c>
      <c r="Y225" s="544"/>
      <c r="Z225" s="544"/>
      <c r="AA225" s="1072"/>
      <c r="AB225" s="640"/>
      <c r="AC225" s="545" t="s">
        <v>334</v>
      </c>
      <c r="AD225" s="545" t="s">
        <v>178</v>
      </c>
      <c r="AE225" s="546" t="s">
        <v>187</v>
      </c>
      <c r="AF225" s="547">
        <v>2014</v>
      </c>
      <c r="AG225" s="657"/>
      <c r="AH225" s="639"/>
    </row>
    <row r="226" spans="1:34" s="94" customFormat="1" ht="50.1" hidden="1" customHeight="1">
      <c r="A226" s="1068"/>
      <c r="B226" s="1076"/>
      <c r="C226" s="635" t="s">
        <v>169</v>
      </c>
      <c r="D226" s="1078"/>
      <c r="E226" s="655" t="str">
        <f t="shared" si="37"/>
        <v>VIA, ACCESO AL BARRIO, TOGUEROS, L=1,65 km (Catamayo)</v>
      </c>
      <c r="F226" s="536" t="s">
        <v>330</v>
      </c>
      <c r="G226" s="536" t="str">
        <f>VLOOKUP(H226,'[5]Pob. Ext, Parroquial'!$B$9:$C$117,2,0)</f>
        <v>CATAMAYO</v>
      </c>
      <c r="H226" s="536" t="s">
        <v>348</v>
      </c>
      <c r="I226" s="536" t="s">
        <v>173</v>
      </c>
      <c r="J226" s="536" t="s">
        <v>174</v>
      </c>
      <c r="K226" s="537"/>
      <c r="L226" s="537"/>
      <c r="M226" s="538">
        <f>IF(K226&gt;0,VLOOKUP(H226,'[5]Pob. Ext, Parroquial'!$B$8:$F$117,4,FALSE),0)</f>
        <v>0</v>
      </c>
      <c r="N226" s="666" t="s">
        <v>180</v>
      </c>
      <c r="O226" s="540" t="s">
        <v>352</v>
      </c>
      <c r="P226" s="540">
        <v>0.3</v>
      </c>
      <c r="Q226" s="665">
        <v>6429.36</v>
      </c>
      <c r="R226" s="540"/>
      <c r="S226" s="541">
        <v>41745</v>
      </c>
      <c r="T226" s="541">
        <v>41790</v>
      </c>
      <c r="U226" s="542" t="str">
        <f t="shared" si="26"/>
        <v>EJECUTADO</v>
      </c>
      <c r="V226" s="543">
        <f t="shared" si="32"/>
        <v>1928.81</v>
      </c>
      <c r="W226" s="543">
        <v>78.12</v>
      </c>
      <c r="X226" s="543">
        <f t="shared" si="25"/>
        <v>2776.0349999999999</v>
      </c>
      <c r="Y226" s="544"/>
      <c r="Z226" s="544"/>
      <c r="AA226" s="1072"/>
      <c r="AB226" s="640"/>
      <c r="AC226" s="545" t="s">
        <v>334</v>
      </c>
      <c r="AD226" s="545" t="s">
        <v>178</v>
      </c>
      <c r="AE226" s="546" t="s">
        <v>187</v>
      </c>
      <c r="AF226" s="547">
        <v>2014</v>
      </c>
      <c r="AG226" s="657"/>
      <c r="AH226" s="639"/>
    </row>
    <row r="227" spans="1:34" s="94" customFormat="1" ht="50.1" hidden="1" customHeight="1">
      <c r="A227" s="1068"/>
      <c r="B227" s="1076"/>
      <c r="C227" s="635" t="s">
        <v>169</v>
      </c>
      <c r="D227" s="1074"/>
      <c r="E227" s="655" t="str">
        <f t="shared" si="37"/>
        <v>VIA, ACCESO AL BARRIO, TOGUEROS, L=1,65 km (Catamayo)</v>
      </c>
      <c r="F227" s="536" t="s">
        <v>330</v>
      </c>
      <c r="G227" s="536" t="str">
        <f>VLOOKUP(H227,'[5]Pob. Ext, Parroquial'!$B$9:$C$117,2,0)</f>
        <v>CATAMAYO</v>
      </c>
      <c r="H227" s="536" t="s">
        <v>348</v>
      </c>
      <c r="I227" s="536" t="s">
        <v>173</v>
      </c>
      <c r="J227" s="536" t="s">
        <v>174</v>
      </c>
      <c r="K227" s="537"/>
      <c r="L227" s="537">
        <f>+ROUND(Q227/5500/0.2,2)</f>
        <v>1.58</v>
      </c>
      <c r="M227" s="538">
        <f>IF(K227&gt;0,VLOOKUP(H227,'[5]Pob. Ext, Parroquial'!$B$8:$F$117,4,FALSE),0)</f>
        <v>0</v>
      </c>
      <c r="N227" s="666" t="s">
        <v>229</v>
      </c>
      <c r="O227" s="540" t="s">
        <v>333</v>
      </c>
      <c r="P227" s="540">
        <v>5.92</v>
      </c>
      <c r="Q227" s="665">
        <v>1742</v>
      </c>
      <c r="R227" s="540"/>
      <c r="S227" s="541">
        <v>41745</v>
      </c>
      <c r="T227" s="541">
        <v>41790</v>
      </c>
      <c r="U227" s="542" t="str">
        <f t="shared" si="26"/>
        <v>EJECUTADO</v>
      </c>
      <c r="V227" s="543">
        <f t="shared" si="32"/>
        <v>10312.64</v>
      </c>
      <c r="W227" s="543">
        <v>693.6</v>
      </c>
      <c r="X227" s="543">
        <f t="shared" si="25"/>
        <v>14428.559999999998</v>
      </c>
      <c r="Y227" s="544"/>
      <c r="Z227" s="544"/>
      <c r="AA227" s="1072"/>
      <c r="AB227" s="640"/>
      <c r="AC227" s="545" t="s">
        <v>334</v>
      </c>
      <c r="AD227" s="545" t="s">
        <v>178</v>
      </c>
      <c r="AE227" s="546" t="s">
        <v>187</v>
      </c>
      <c r="AF227" s="547">
        <v>2014</v>
      </c>
      <c r="AG227" s="657"/>
      <c r="AH227" s="639"/>
    </row>
    <row r="228" spans="1:34" s="94" customFormat="1" ht="50.1" hidden="1" customHeight="1">
      <c r="A228" s="1068"/>
      <c r="B228" s="1086"/>
      <c r="C228" s="635" t="s">
        <v>353</v>
      </c>
      <c r="D228" s="1073" t="s">
        <v>354</v>
      </c>
      <c r="E228" s="636" t="str">
        <f t="shared" si="31"/>
        <v>VIA, INDIUCHO-EL TAMBO, L=12,7 km. (Catamayo)  FALLA GEOLOGICA, ABS. 8+500  Inicio: 7 de marzo, continúa.</v>
      </c>
      <c r="F228" s="536" t="s">
        <v>330</v>
      </c>
      <c r="G228" s="536" t="str">
        <f>VLOOKUP(H228,'[5]Pob. Ext, Parroquial'!$B$9:$C$117,2,0)</f>
        <v>CATAMAYO</v>
      </c>
      <c r="H228" s="536" t="s">
        <v>355</v>
      </c>
      <c r="I228" s="536" t="s">
        <v>173</v>
      </c>
      <c r="J228" s="536" t="s">
        <v>174</v>
      </c>
      <c r="K228" s="537">
        <v>12.7</v>
      </c>
      <c r="L228" s="537"/>
      <c r="M228" s="538">
        <f>IF(K228&gt;0,VLOOKUP(H228,'[5]Pob. Ext, Parroquial'!$B$8:$F$117,4,FALSE),0)</f>
        <v>2886</v>
      </c>
      <c r="N228" s="539" t="s">
        <v>356</v>
      </c>
      <c r="O228" s="540" t="s">
        <v>357</v>
      </c>
      <c r="P228" s="540">
        <v>208.57</v>
      </c>
      <c r="Q228" s="665">
        <v>14</v>
      </c>
      <c r="R228" s="540"/>
      <c r="S228" s="541">
        <v>41644</v>
      </c>
      <c r="T228" s="541">
        <v>41790</v>
      </c>
      <c r="U228" s="542" t="str">
        <f t="shared" si="26"/>
        <v>EJECUTADO</v>
      </c>
      <c r="V228" s="543">
        <f t="shared" si="32"/>
        <v>2919.98</v>
      </c>
      <c r="W228" s="543"/>
      <c r="X228" s="543">
        <f t="shared" si="25"/>
        <v>4379.97</v>
      </c>
      <c r="Y228" s="544"/>
      <c r="Z228" s="544"/>
      <c r="AA228" s="1072">
        <f>SUM(V228:V238)</f>
        <v>42722.719999999994</v>
      </c>
      <c r="AB228" s="640"/>
      <c r="AC228" s="545" t="s">
        <v>334</v>
      </c>
      <c r="AD228" s="545" t="s">
        <v>178</v>
      </c>
      <c r="AE228" s="546" t="s">
        <v>187</v>
      </c>
      <c r="AF228" s="547">
        <v>2014</v>
      </c>
      <c r="AG228" s="657"/>
      <c r="AH228" s="639"/>
    </row>
    <row r="229" spans="1:34" s="94" customFormat="1" ht="50.1" hidden="1" customHeight="1">
      <c r="A229" s="1068"/>
      <c r="B229" s="1087"/>
      <c r="C229" s="635" t="s">
        <v>169</v>
      </c>
      <c r="D229" s="1078"/>
      <c r="E229" s="655" t="str">
        <f t="shared" ref="E229:E238" si="38">+E228</f>
        <v>VIA, INDIUCHO-EL TAMBO, L=12,7 km. (Catamayo)  FALLA GEOLOGICA, ABS. 8+500  Inicio: 7 de marzo, continúa.</v>
      </c>
      <c r="F229" s="536" t="s">
        <v>330</v>
      </c>
      <c r="G229" s="536" t="str">
        <f>VLOOKUP(H229,'[5]Pob. Ext, Parroquial'!$B$9:$C$117,2,0)</f>
        <v>CATAMAYO</v>
      </c>
      <c r="H229" s="536" t="s">
        <v>355</v>
      </c>
      <c r="I229" s="536" t="s">
        <v>173</v>
      </c>
      <c r="J229" s="536" t="s">
        <v>174</v>
      </c>
      <c r="K229" s="537"/>
      <c r="L229" s="537"/>
      <c r="M229" s="538">
        <f>IF(K229&gt;0,VLOOKUP(H229,'[5]Pob. Ext, Parroquial'!$B$8:$F$117,4,FALSE),0)</f>
        <v>0</v>
      </c>
      <c r="N229" s="539" t="s">
        <v>358</v>
      </c>
      <c r="O229" s="540" t="s">
        <v>176</v>
      </c>
      <c r="P229" s="540">
        <v>9.84</v>
      </c>
      <c r="Q229" s="665">
        <v>800</v>
      </c>
      <c r="R229" s="540"/>
      <c r="S229" s="541">
        <v>41644</v>
      </c>
      <c r="T229" s="541">
        <v>41790</v>
      </c>
      <c r="U229" s="542" t="str">
        <f t="shared" si="26"/>
        <v>EJECUTADO</v>
      </c>
      <c r="V229" s="543">
        <f t="shared" si="32"/>
        <v>7872</v>
      </c>
      <c r="W229" s="543"/>
      <c r="X229" s="543">
        <f t="shared" si="25"/>
        <v>11808</v>
      </c>
      <c r="Y229" s="544"/>
      <c r="Z229" s="544"/>
      <c r="AA229" s="1072"/>
      <c r="AB229" s="640"/>
      <c r="AC229" s="545" t="s">
        <v>334</v>
      </c>
      <c r="AD229" s="545" t="s">
        <v>178</v>
      </c>
      <c r="AE229" s="546" t="s">
        <v>187</v>
      </c>
      <c r="AF229" s="547">
        <v>2014</v>
      </c>
      <c r="AG229" s="657"/>
      <c r="AH229" s="639"/>
    </row>
    <row r="230" spans="1:34" s="94" customFormat="1" ht="50.1" hidden="1" customHeight="1">
      <c r="A230" s="1068"/>
      <c r="B230" s="1087"/>
      <c r="C230" s="635" t="s">
        <v>169</v>
      </c>
      <c r="D230" s="1078"/>
      <c r="E230" s="655" t="str">
        <f t="shared" si="38"/>
        <v>VIA, INDIUCHO-EL TAMBO, L=12,7 km. (Catamayo)  FALLA GEOLOGICA, ABS. 8+500  Inicio: 7 de marzo, continúa.</v>
      </c>
      <c r="F230" s="536" t="s">
        <v>330</v>
      </c>
      <c r="G230" s="536" t="str">
        <f>VLOOKUP(H230,'[5]Pob. Ext, Parroquial'!$B$9:$C$117,2,0)</f>
        <v>CATAMAYO</v>
      </c>
      <c r="H230" s="536" t="s">
        <v>355</v>
      </c>
      <c r="I230" s="536" t="s">
        <v>173</v>
      </c>
      <c r="J230" s="536" t="s">
        <v>174</v>
      </c>
      <c r="K230" s="537"/>
      <c r="L230" s="537"/>
      <c r="M230" s="538">
        <f>IF(K230&gt;0,VLOOKUP(H230,'[5]Pob. Ext, Parroquial'!$B$8:$F$117,4,FALSE),0)</f>
        <v>0</v>
      </c>
      <c r="N230" s="539" t="s">
        <v>359</v>
      </c>
      <c r="O230" s="540" t="s">
        <v>176</v>
      </c>
      <c r="P230" s="540">
        <v>5.05</v>
      </c>
      <c r="Q230" s="665">
        <v>440</v>
      </c>
      <c r="R230" s="540"/>
      <c r="S230" s="541">
        <v>41644</v>
      </c>
      <c r="T230" s="541">
        <v>41790</v>
      </c>
      <c r="U230" s="542" t="str">
        <f t="shared" si="26"/>
        <v>EJECUTADO</v>
      </c>
      <c r="V230" s="543">
        <f t="shared" si="32"/>
        <v>2222</v>
      </c>
      <c r="W230" s="543"/>
      <c r="X230" s="543">
        <f t="shared" si="25"/>
        <v>3333</v>
      </c>
      <c r="Y230" s="544"/>
      <c r="Z230" s="544"/>
      <c r="AA230" s="1072"/>
      <c r="AB230" s="640"/>
      <c r="AC230" s="545" t="s">
        <v>334</v>
      </c>
      <c r="AD230" s="545" t="s">
        <v>178</v>
      </c>
      <c r="AE230" s="546" t="s">
        <v>187</v>
      </c>
      <c r="AF230" s="547">
        <v>2014</v>
      </c>
      <c r="AG230" s="657"/>
      <c r="AH230" s="639"/>
    </row>
    <row r="231" spans="1:34" s="94" customFormat="1" ht="50.1" hidden="1" customHeight="1">
      <c r="A231" s="1068"/>
      <c r="B231" s="1087"/>
      <c r="C231" s="635" t="s">
        <v>182</v>
      </c>
      <c r="D231" s="1078"/>
      <c r="E231" s="655" t="str">
        <f t="shared" si="38"/>
        <v>VIA, INDIUCHO-EL TAMBO, L=12,7 km. (Catamayo)  FALLA GEOLOGICA, ABS. 8+500  Inicio: 7 de marzo, continúa.</v>
      </c>
      <c r="F231" s="536" t="s">
        <v>330</v>
      </c>
      <c r="G231" s="536" t="str">
        <f>VLOOKUP(H231,'[5]Pob. Ext, Parroquial'!$B$9:$C$117,2,0)</f>
        <v>CATAMAYO</v>
      </c>
      <c r="H231" s="536" t="s">
        <v>355</v>
      </c>
      <c r="I231" s="536" t="s">
        <v>173</v>
      </c>
      <c r="J231" s="536" t="s">
        <v>174</v>
      </c>
      <c r="K231" s="537"/>
      <c r="L231" s="537"/>
      <c r="M231" s="538">
        <f>IF(K231&gt;0,VLOOKUP(H231,'[5]Pob. Ext, Parroquial'!$B$8:$F$117,4,FALSE),0)</f>
        <v>0</v>
      </c>
      <c r="N231" s="539" t="s">
        <v>360</v>
      </c>
      <c r="O231" s="540" t="s">
        <v>176</v>
      </c>
      <c r="P231" s="540">
        <v>0.92</v>
      </c>
      <c r="Q231" s="665">
        <v>4372.8</v>
      </c>
      <c r="R231" s="540"/>
      <c r="S231" s="541">
        <v>41644</v>
      </c>
      <c r="T231" s="541">
        <v>41790</v>
      </c>
      <c r="U231" s="542" t="str">
        <f t="shared" si="26"/>
        <v>EJECUTADO</v>
      </c>
      <c r="V231" s="543">
        <f t="shared" si="32"/>
        <v>4022.98</v>
      </c>
      <c r="W231" s="543"/>
      <c r="X231" s="543">
        <f t="shared" si="25"/>
        <v>6034.47</v>
      </c>
      <c r="Y231" s="544"/>
      <c r="Z231" s="544"/>
      <c r="AA231" s="1072"/>
      <c r="AB231" s="640"/>
      <c r="AC231" s="545" t="s">
        <v>334</v>
      </c>
      <c r="AD231" s="545" t="s">
        <v>178</v>
      </c>
      <c r="AE231" s="546" t="s">
        <v>187</v>
      </c>
      <c r="AF231" s="547">
        <v>2014</v>
      </c>
      <c r="AG231" s="657"/>
      <c r="AH231" s="639"/>
    </row>
    <row r="232" spans="1:34" s="94" customFormat="1" ht="50.1" hidden="1" customHeight="1">
      <c r="A232" s="1068"/>
      <c r="B232" s="1087"/>
      <c r="C232" s="635" t="s">
        <v>169</v>
      </c>
      <c r="D232" s="1078"/>
      <c r="E232" s="655" t="str">
        <f t="shared" si="38"/>
        <v>VIA, INDIUCHO-EL TAMBO, L=12,7 km. (Catamayo)  FALLA GEOLOGICA, ABS. 8+500  Inicio: 7 de marzo, continúa.</v>
      </c>
      <c r="F232" s="536" t="s">
        <v>330</v>
      </c>
      <c r="G232" s="536" t="str">
        <f>VLOOKUP(H232,'[5]Pob. Ext, Parroquial'!$B$9:$C$117,2,0)</f>
        <v>CATAMAYO</v>
      </c>
      <c r="H232" s="536" t="s">
        <v>355</v>
      </c>
      <c r="I232" s="536" t="s">
        <v>173</v>
      </c>
      <c r="J232" s="536" t="s">
        <v>174</v>
      </c>
      <c r="K232" s="537"/>
      <c r="L232" s="537"/>
      <c r="M232" s="538">
        <f>IF(K232&gt;0,VLOOKUP(H232,'[5]Pob. Ext, Parroquial'!$B$8:$F$117,4,FALSE),0)</f>
        <v>0</v>
      </c>
      <c r="N232" s="539" t="s">
        <v>361</v>
      </c>
      <c r="O232" s="540" t="s">
        <v>333</v>
      </c>
      <c r="P232" s="540">
        <v>2.54</v>
      </c>
      <c r="Q232" s="665">
        <v>1300</v>
      </c>
      <c r="R232" s="540"/>
      <c r="S232" s="541">
        <v>41705</v>
      </c>
      <c r="T232" s="541">
        <v>41752</v>
      </c>
      <c r="U232" s="542" t="str">
        <f t="shared" si="26"/>
        <v>EJECUTADO</v>
      </c>
      <c r="V232" s="543">
        <f t="shared" si="32"/>
        <v>3302</v>
      </c>
      <c r="W232" s="543">
        <v>3302</v>
      </c>
      <c r="X232" s="543">
        <f t="shared" si="25"/>
        <v>0</v>
      </c>
      <c r="Y232" s="544"/>
      <c r="Z232" s="544"/>
      <c r="AA232" s="1072"/>
      <c r="AB232" s="640"/>
      <c r="AC232" s="545" t="s">
        <v>334</v>
      </c>
      <c r="AD232" s="545" t="s">
        <v>178</v>
      </c>
      <c r="AE232" s="546" t="s">
        <v>187</v>
      </c>
      <c r="AF232" s="547">
        <v>2014</v>
      </c>
      <c r="AG232" s="657"/>
      <c r="AH232" s="639"/>
    </row>
    <row r="233" spans="1:34" s="94" customFormat="1" ht="50.1" hidden="1" customHeight="1">
      <c r="A233" s="1068"/>
      <c r="B233" s="1087"/>
      <c r="C233" s="635" t="s">
        <v>169</v>
      </c>
      <c r="D233" s="1078"/>
      <c r="E233" s="655" t="str">
        <f t="shared" si="38"/>
        <v>VIA, INDIUCHO-EL TAMBO, L=12,7 km. (Catamayo)  FALLA GEOLOGICA, ABS. 8+500  Inicio: 7 de marzo, continúa.</v>
      </c>
      <c r="F233" s="536" t="s">
        <v>330</v>
      </c>
      <c r="G233" s="536" t="str">
        <f>VLOOKUP(H233,'[5]Pob. Ext, Parroquial'!$B$9:$C$117,2,0)</f>
        <v>CATAMAYO</v>
      </c>
      <c r="H233" s="536" t="s">
        <v>355</v>
      </c>
      <c r="I233" s="536" t="s">
        <v>173</v>
      </c>
      <c r="J233" s="536" t="s">
        <v>174</v>
      </c>
      <c r="K233" s="537"/>
      <c r="L233" s="537"/>
      <c r="M233" s="538">
        <f>IF(K233&gt;0,VLOOKUP(H233,'[5]Pob. Ext, Parroquial'!$B$8:$F$117,4,FALSE),0)</f>
        <v>0</v>
      </c>
      <c r="N233" s="539" t="s">
        <v>362</v>
      </c>
      <c r="O233" s="540" t="s">
        <v>333</v>
      </c>
      <c r="P233" s="540">
        <v>1.62</v>
      </c>
      <c r="Q233" s="665">
        <v>4930</v>
      </c>
      <c r="R233" s="540"/>
      <c r="S233" s="541">
        <v>41705</v>
      </c>
      <c r="T233" s="541">
        <v>41752</v>
      </c>
      <c r="U233" s="542" t="str">
        <f t="shared" si="26"/>
        <v>EJECUTADO</v>
      </c>
      <c r="V233" s="543">
        <f t="shared" si="32"/>
        <v>7986.6</v>
      </c>
      <c r="W233" s="543">
        <v>7986.6</v>
      </c>
      <c r="X233" s="543">
        <f t="shared" si="25"/>
        <v>0</v>
      </c>
      <c r="Y233" s="544"/>
      <c r="Z233" s="544"/>
      <c r="AA233" s="1072"/>
      <c r="AB233" s="640"/>
      <c r="AC233" s="545" t="s">
        <v>334</v>
      </c>
      <c r="AD233" s="545" t="s">
        <v>178</v>
      </c>
      <c r="AE233" s="546" t="s">
        <v>187</v>
      </c>
      <c r="AF233" s="547">
        <v>2014</v>
      </c>
      <c r="AG233" s="657"/>
      <c r="AH233" s="639"/>
    </row>
    <row r="234" spans="1:34" s="94" customFormat="1" ht="50.1" hidden="1" customHeight="1">
      <c r="A234" s="1068"/>
      <c r="B234" s="1087"/>
      <c r="C234" s="635" t="s">
        <v>169</v>
      </c>
      <c r="D234" s="1078"/>
      <c r="E234" s="655" t="str">
        <f t="shared" si="38"/>
        <v>VIA, INDIUCHO-EL TAMBO, L=12,7 km. (Catamayo)  FALLA GEOLOGICA, ABS. 8+500  Inicio: 7 de marzo, continúa.</v>
      </c>
      <c r="F234" s="536" t="s">
        <v>330</v>
      </c>
      <c r="G234" s="536" t="str">
        <f>VLOOKUP(H234,'[5]Pob. Ext, Parroquial'!$B$9:$C$117,2,0)</f>
        <v>CATAMAYO</v>
      </c>
      <c r="H234" s="536" t="s">
        <v>355</v>
      </c>
      <c r="I234" s="536" t="s">
        <v>173</v>
      </c>
      <c r="J234" s="536" t="s">
        <v>174</v>
      </c>
      <c r="K234" s="537"/>
      <c r="L234" s="537"/>
      <c r="M234" s="538">
        <f>IF(K234&gt;0,VLOOKUP(H234,'[5]Pob. Ext, Parroquial'!$B$8:$F$117,4,FALSE),0)</f>
        <v>0</v>
      </c>
      <c r="N234" s="669" t="s">
        <v>336</v>
      </c>
      <c r="O234" s="540" t="s">
        <v>333</v>
      </c>
      <c r="P234" s="540">
        <v>1.47</v>
      </c>
      <c r="Q234" s="665">
        <v>2130</v>
      </c>
      <c r="R234" s="540"/>
      <c r="S234" s="541">
        <v>41705</v>
      </c>
      <c r="T234" s="541">
        <v>41729</v>
      </c>
      <c r="U234" s="542" t="str">
        <f t="shared" si="26"/>
        <v>EJECUTADO</v>
      </c>
      <c r="V234" s="543">
        <f t="shared" si="32"/>
        <v>3131.1</v>
      </c>
      <c r="W234" s="543">
        <v>3131.1</v>
      </c>
      <c r="X234" s="543">
        <f t="shared" si="25"/>
        <v>0</v>
      </c>
      <c r="Y234" s="544"/>
      <c r="Z234" s="544"/>
      <c r="AA234" s="1072"/>
      <c r="AB234" s="640"/>
      <c r="AC234" s="545" t="s">
        <v>334</v>
      </c>
      <c r="AD234" s="545" t="s">
        <v>178</v>
      </c>
      <c r="AE234" s="546" t="s">
        <v>187</v>
      </c>
      <c r="AF234" s="547">
        <v>2014</v>
      </c>
      <c r="AG234" s="657"/>
      <c r="AH234" s="639"/>
    </row>
    <row r="235" spans="1:34" s="94" customFormat="1" ht="50.1" hidden="1" customHeight="1">
      <c r="A235" s="1068"/>
      <c r="B235" s="1087"/>
      <c r="C235" s="635" t="s">
        <v>182</v>
      </c>
      <c r="D235" s="1078"/>
      <c r="E235" s="655" t="str">
        <f t="shared" si="38"/>
        <v>VIA, INDIUCHO-EL TAMBO, L=12,7 km. (Catamayo)  FALLA GEOLOGICA, ABS. 8+500  Inicio: 7 de marzo, continúa.</v>
      </c>
      <c r="F235" s="536" t="s">
        <v>330</v>
      </c>
      <c r="G235" s="536" t="str">
        <f>VLOOKUP(H235,'[5]Pob. Ext, Parroquial'!$B$9:$C$117,2,0)</f>
        <v>CATAMAYO</v>
      </c>
      <c r="H235" s="536" t="s">
        <v>355</v>
      </c>
      <c r="I235" s="536" t="s">
        <v>173</v>
      </c>
      <c r="J235" s="536" t="s">
        <v>174</v>
      </c>
      <c r="K235" s="537"/>
      <c r="L235" s="537"/>
      <c r="M235" s="538">
        <f>IF(K235&gt;0,VLOOKUP(H235,'[5]Pob. Ext, Parroquial'!$B$8:$F$117,4,FALSE),0)</f>
        <v>0</v>
      </c>
      <c r="N235" s="539" t="s">
        <v>351</v>
      </c>
      <c r="O235" s="540" t="s">
        <v>352</v>
      </c>
      <c r="P235" s="540">
        <v>0.38</v>
      </c>
      <c r="Q235" s="665">
        <v>1457</v>
      </c>
      <c r="R235" s="540"/>
      <c r="S235" s="541">
        <v>41705</v>
      </c>
      <c r="T235" s="541">
        <v>41752</v>
      </c>
      <c r="U235" s="542" t="str">
        <f t="shared" si="26"/>
        <v>EJECUTADO</v>
      </c>
      <c r="V235" s="543">
        <f t="shared" si="32"/>
        <v>553.66</v>
      </c>
      <c r="W235" s="543">
        <v>553.66</v>
      </c>
      <c r="X235" s="543">
        <f t="shared" si="25"/>
        <v>0</v>
      </c>
      <c r="Y235" s="544"/>
      <c r="Z235" s="544"/>
      <c r="AA235" s="1072"/>
      <c r="AB235" s="640"/>
      <c r="AC235" s="545" t="s">
        <v>334</v>
      </c>
      <c r="AD235" s="545" t="s">
        <v>178</v>
      </c>
      <c r="AE235" s="546" t="s">
        <v>187</v>
      </c>
      <c r="AF235" s="547">
        <v>2014</v>
      </c>
      <c r="AG235" s="657"/>
      <c r="AH235" s="639"/>
    </row>
    <row r="236" spans="1:34" s="94" customFormat="1" ht="50.1" hidden="1" customHeight="1">
      <c r="A236" s="1068"/>
      <c r="B236" s="1087"/>
      <c r="C236" s="635" t="s">
        <v>169</v>
      </c>
      <c r="D236" s="1078"/>
      <c r="E236" s="655" t="str">
        <f t="shared" si="38"/>
        <v>VIA, INDIUCHO-EL TAMBO, L=12,7 km. (Catamayo)  FALLA GEOLOGICA, ABS. 8+500  Inicio: 7 de marzo, continúa.</v>
      </c>
      <c r="F236" s="536" t="s">
        <v>330</v>
      </c>
      <c r="G236" s="536" t="str">
        <f>VLOOKUP(H236,'[5]Pob. Ext, Parroquial'!$B$9:$C$117,2,0)</f>
        <v>CATAMAYO</v>
      </c>
      <c r="H236" s="536" t="s">
        <v>355</v>
      </c>
      <c r="I236" s="536" t="s">
        <v>173</v>
      </c>
      <c r="J236" s="536" t="s">
        <v>174</v>
      </c>
      <c r="K236" s="537"/>
      <c r="L236" s="537"/>
      <c r="M236" s="538">
        <f>IF(K236&gt;0,VLOOKUP(H236,'[5]Pob. Ext, Parroquial'!$B$8:$F$117,4,FALSE),0)</f>
        <v>0</v>
      </c>
      <c r="N236" s="539" t="s">
        <v>363</v>
      </c>
      <c r="O236" s="540" t="s">
        <v>352</v>
      </c>
      <c r="P236" s="540">
        <v>0.3</v>
      </c>
      <c r="Q236" s="665">
        <v>5902.4</v>
      </c>
      <c r="R236" s="540"/>
      <c r="S236" s="541">
        <v>41705</v>
      </c>
      <c r="T236" s="541">
        <v>41752</v>
      </c>
      <c r="U236" s="542" t="str">
        <f t="shared" si="26"/>
        <v>EJECUTADO</v>
      </c>
      <c r="V236" s="543">
        <f t="shared" si="32"/>
        <v>1770.72</v>
      </c>
      <c r="W236" s="543">
        <v>1770.72</v>
      </c>
      <c r="X236" s="543">
        <f t="shared" si="25"/>
        <v>0</v>
      </c>
      <c r="Y236" s="544"/>
      <c r="Z236" s="544"/>
      <c r="AA236" s="1072"/>
      <c r="AB236" s="640"/>
      <c r="AC236" s="545" t="s">
        <v>334</v>
      </c>
      <c r="AD236" s="545" t="s">
        <v>178</v>
      </c>
      <c r="AE236" s="546" t="s">
        <v>187</v>
      </c>
      <c r="AF236" s="547">
        <v>2014</v>
      </c>
      <c r="AG236" s="657"/>
      <c r="AH236" s="639"/>
    </row>
    <row r="237" spans="1:34" s="94" customFormat="1" ht="50.1" hidden="1" customHeight="1">
      <c r="A237" s="1068"/>
      <c r="B237" s="1087"/>
      <c r="C237" s="635" t="s">
        <v>169</v>
      </c>
      <c r="D237" s="1078"/>
      <c r="E237" s="655" t="str">
        <f t="shared" si="38"/>
        <v>VIA, INDIUCHO-EL TAMBO, L=12,7 km. (Catamayo)  FALLA GEOLOGICA, ABS. 8+500  Inicio: 7 de marzo, continúa.</v>
      </c>
      <c r="F237" s="536" t="s">
        <v>330</v>
      </c>
      <c r="G237" s="536" t="str">
        <f>VLOOKUP(H237,'[5]Pob. Ext, Parroquial'!$B$9:$C$117,2,0)</f>
        <v>CATAMAYO</v>
      </c>
      <c r="H237" s="536" t="s">
        <v>355</v>
      </c>
      <c r="I237" s="536" t="s">
        <v>173</v>
      </c>
      <c r="J237" s="536" t="s">
        <v>174</v>
      </c>
      <c r="K237" s="537"/>
      <c r="L237" s="537"/>
      <c r="M237" s="538">
        <f>IF(K237&gt;0,VLOOKUP(H237,'[5]Pob. Ext, Parroquial'!$B$8:$F$117,4,FALSE),0)</f>
        <v>0</v>
      </c>
      <c r="N237" s="539" t="s">
        <v>180</v>
      </c>
      <c r="O237" s="540" t="s">
        <v>352</v>
      </c>
      <c r="P237" s="540">
        <v>0.3</v>
      </c>
      <c r="Q237" s="665">
        <v>11572</v>
      </c>
      <c r="R237" s="540"/>
      <c r="S237" s="541">
        <v>41705</v>
      </c>
      <c r="T237" s="541">
        <v>41752</v>
      </c>
      <c r="U237" s="542" t="str">
        <f t="shared" si="26"/>
        <v>EJECUTADO</v>
      </c>
      <c r="V237" s="543">
        <f t="shared" si="32"/>
        <v>3471.6</v>
      </c>
      <c r="W237" s="543">
        <v>3471.6</v>
      </c>
      <c r="X237" s="543">
        <f t="shared" ref="X237:X342" si="39">+(V237-W237)/3*4.5</f>
        <v>0</v>
      </c>
      <c r="Y237" s="544"/>
      <c r="Z237" s="544"/>
      <c r="AA237" s="1072"/>
      <c r="AB237" s="640"/>
      <c r="AC237" s="545" t="s">
        <v>334</v>
      </c>
      <c r="AD237" s="545" t="s">
        <v>178</v>
      </c>
      <c r="AE237" s="546" t="s">
        <v>187</v>
      </c>
      <c r="AF237" s="547">
        <v>2014</v>
      </c>
      <c r="AG237" s="657"/>
      <c r="AH237" s="639"/>
    </row>
    <row r="238" spans="1:34" s="94" customFormat="1" ht="50.1" hidden="1" customHeight="1">
      <c r="A238" s="1068"/>
      <c r="B238" s="1087"/>
      <c r="C238" s="635" t="s">
        <v>169</v>
      </c>
      <c r="D238" s="1074"/>
      <c r="E238" s="655" t="str">
        <f t="shared" si="38"/>
        <v>VIA, INDIUCHO-EL TAMBO, L=12,7 km. (Catamayo)  FALLA GEOLOGICA, ABS. 8+500  Inicio: 7 de marzo, continúa.</v>
      </c>
      <c r="F238" s="536" t="s">
        <v>330</v>
      </c>
      <c r="G238" s="536" t="str">
        <f>VLOOKUP(H238,'[5]Pob. Ext, Parroquial'!$B$9:$C$117,2,0)</f>
        <v>CATAMAYO</v>
      </c>
      <c r="H238" s="536" t="s">
        <v>355</v>
      </c>
      <c r="I238" s="536" t="s">
        <v>173</v>
      </c>
      <c r="J238" s="536" t="s">
        <v>174</v>
      </c>
      <c r="K238" s="537"/>
      <c r="L238" s="537">
        <f>+ROUND(Q238/5500/0.2,2)</f>
        <v>0.84</v>
      </c>
      <c r="M238" s="538">
        <f>IF(K238&gt;0,VLOOKUP(H238,'[5]Pob. Ext, Parroquial'!$B$8:$F$117,4,FALSE),0)</f>
        <v>0</v>
      </c>
      <c r="N238" s="539" t="s">
        <v>229</v>
      </c>
      <c r="O238" s="540" t="s">
        <v>364</v>
      </c>
      <c r="P238" s="540">
        <v>5.92</v>
      </c>
      <c r="Q238" s="665">
        <v>924</v>
      </c>
      <c r="R238" s="540"/>
      <c r="S238" s="541">
        <v>41705</v>
      </c>
      <c r="T238" s="541">
        <v>41729</v>
      </c>
      <c r="U238" s="542" t="str">
        <f t="shared" si="26"/>
        <v>EJECUTADO</v>
      </c>
      <c r="V238" s="543">
        <f t="shared" si="32"/>
        <v>5470.08</v>
      </c>
      <c r="W238" s="543">
        <v>5340.72</v>
      </c>
      <c r="X238" s="543">
        <f t="shared" si="39"/>
        <v>194.03999999999951</v>
      </c>
      <c r="Y238" s="544"/>
      <c r="Z238" s="544"/>
      <c r="AA238" s="1072"/>
      <c r="AB238" s="640"/>
      <c r="AC238" s="545" t="s">
        <v>334</v>
      </c>
      <c r="AD238" s="545" t="s">
        <v>178</v>
      </c>
      <c r="AE238" s="546" t="s">
        <v>187</v>
      </c>
      <c r="AF238" s="547">
        <v>2014</v>
      </c>
      <c r="AG238" s="657"/>
      <c r="AH238" s="639"/>
    </row>
    <row r="239" spans="1:34" s="94" customFormat="1" ht="50.1" hidden="1" customHeight="1">
      <c r="A239" s="641"/>
      <c r="B239" s="635"/>
      <c r="C239" s="635" t="s">
        <v>182</v>
      </c>
      <c r="D239" s="647" t="s">
        <v>365</v>
      </c>
      <c r="E239" s="636" t="str">
        <f t="shared" si="31"/>
        <v>VIA, INDIUCHO-EL TAMBO, L=12,7 km. (Catamayo)</v>
      </c>
      <c r="F239" s="536" t="s">
        <v>330</v>
      </c>
      <c r="G239" s="536" t="str">
        <f>VLOOKUP(H239,'[5]Pob. Ext, Parroquial'!$B$9:$C$117,2,0)</f>
        <v>CATAMAYO</v>
      </c>
      <c r="H239" s="536" t="s">
        <v>355</v>
      </c>
      <c r="I239" s="536" t="s">
        <v>173</v>
      </c>
      <c r="J239" s="536" t="s">
        <v>174</v>
      </c>
      <c r="K239" s="537">
        <v>12.7</v>
      </c>
      <c r="L239" s="537"/>
      <c r="M239" s="538">
        <f>IF(K239&gt;0,VLOOKUP(H239,'[5]Pob. Ext, Parroquial'!$B$8:$F$117,4,FALSE),0)</f>
        <v>2886</v>
      </c>
      <c r="N239" s="539" t="s">
        <v>200</v>
      </c>
      <c r="O239" s="540" t="s">
        <v>333</v>
      </c>
      <c r="P239" s="540">
        <v>1.46</v>
      </c>
      <c r="Q239" s="665">
        <v>1975</v>
      </c>
      <c r="R239" s="540"/>
      <c r="S239" s="541">
        <v>41688</v>
      </c>
      <c r="T239" s="541">
        <v>41790</v>
      </c>
      <c r="U239" s="542" t="str">
        <f t="shared" si="26"/>
        <v>EJECUTADO</v>
      </c>
      <c r="V239" s="543">
        <f t="shared" si="32"/>
        <v>2883.5</v>
      </c>
      <c r="W239" s="543">
        <v>2080.0500000000002</v>
      </c>
      <c r="X239" s="543">
        <f t="shared" si="39"/>
        <v>1205.1749999999997</v>
      </c>
      <c r="Y239" s="544"/>
      <c r="Z239" s="544"/>
      <c r="AA239" s="643">
        <f>V239+Y239+Z239</f>
        <v>2883.5</v>
      </c>
      <c r="AB239" s="640"/>
      <c r="AC239" s="545" t="s">
        <v>334</v>
      </c>
      <c r="AD239" s="545" t="s">
        <v>178</v>
      </c>
      <c r="AE239" s="546" t="s">
        <v>187</v>
      </c>
      <c r="AF239" s="547">
        <v>2014</v>
      </c>
      <c r="AG239" s="657"/>
      <c r="AH239" s="639"/>
    </row>
    <row r="240" spans="1:34" s="94" customFormat="1" ht="50.1" hidden="1" customHeight="1">
      <c r="A240" s="641"/>
      <c r="B240" s="635"/>
      <c r="C240" s="635" t="s">
        <v>182</v>
      </c>
      <c r="D240" s="1073" t="s">
        <v>366</v>
      </c>
      <c r="E240" s="636" t="str">
        <f t="shared" si="31"/>
        <v>VIA, EL TAMBO-CHAPAMARCA-VILLONACO, L=18,2 km. (Catamayo)</v>
      </c>
      <c r="F240" s="536" t="s">
        <v>330</v>
      </c>
      <c r="G240" s="536" t="str">
        <f>VLOOKUP(H240,'[5]Pob. Ext, Parroquial'!$B$9:$C$117,2,0)</f>
        <v>CATAMAYO</v>
      </c>
      <c r="H240" s="536" t="s">
        <v>355</v>
      </c>
      <c r="I240" s="536" t="s">
        <v>173</v>
      </c>
      <c r="J240" s="536" t="s">
        <v>174</v>
      </c>
      <c r="K240" s="537">
        <v>18.2</v>
      </c>
      <c r="L240" s="537"/>
      <c r="M240" s="538">
        <f>IF(K240&gt;0,VLOOKUP(H240,'[5]Pob. Ext, Parroquial'!$B$8:$F$117,4,FALSE),0)</f>
        <v>2886</v>
      </c>
      <c r="N240" s="539" t="s">
        <v>200</v>
      </c>
      <c r="O240" s="540" t="s">
        <v>333</v>
      </c>
      <c r="P240" s="540">
        <v>1.46</v>
      </c>
      <c r="Q240" s="665">
        <v>2750</v>
      </c>
      <c r="R240" s="540"/>
      <c r="S240" s="541">
        <v>41733</v>
      </c>
      <c r="T240" s="541">
        <v>41820</v>
      </c>
      <c r="U240" s="542" t="str">
        <f t="shared" si="26"/>
        <v>EJECUTADO</v>
      </c>
      <c r="V240" s="543">
        <f t="shared" si="32"/>
        <v>4015</v>
      </c>
      <c r="W240" s="543">
        <v>1359.75</v>
      </c>
      <c r="X240" s="543">
        <f t="shared" si="39"/>
        <v>3982.875</v>
      </c>
      <c r="Y240" s="544"/>
      <c r="Z240" s="544"/>
      <c r="AA240" s="1080">
        <f>SUBTOTAL(9,V240:V241)</f>
        <v>0</v>
      </c>
      <c r="AB240" s="640"/>
      <c r="AC240" s="545" t="s">
        <v>334</v>
      </c>
      <c r="AD240" s="545" t="s">
        <v>178</v>
      </c>
      <c r="AE240" s="546" t="s">
        <v>187</v>
      </c>
      <c r="AF240" s="547">
        <v>2014</v>
      </c>
      <c r="AG240" s="657"/>
      <c r="AH240" s="639"/>
    </row>
    <row r="241" spans="1:34" s="94" customFormat="1" ht="50.1" hidden="1" customHeight="1">
      <c r="A241" s="641"/>
      <c r="B241" s="635"/>
      <c r="C241" s="635" t="s">
        <v>182</v>
      </c>
      <c r="D241" s="1074"/>
      <c r="E241" s="655" t="str">
        <f t="shared" ref="E241" si="40">+E240</f>
        <v>VIA, EL TAMBO-CHAPAMARCA-VILLONACO, L=18,2 km. (Catamayo)</v>
      </c>
      <c r="F241" s="536" t="s">
        <v>330</v>
      </c>
      <c r="G241" s="536" t="str">
        <f>VLOOKUP(H241,'[5]Pob. Ext, Parroquial'!$B$9:$C$117,2,0)</f>
        <v>CATAMAYO</v>
      </c>
      <c r="H241" s="536" t="s">
        <v>355</v>
      </c>
      <c r="I241" s="536" t="s">
        <v>173</v>
      </c>
      <c r="J241" s="536" t="s">
        <v>174</v>
      </c>
      <c r="K241" s="537"/>
      <c r="L241" s="537">
        <f>ROUNDUP(Q241/5.5/1000,2)</f>
        <v>3.5599999999999996</v>
      </c>
      <c r="M241" s="538">
        <f>IF(K241&gt;0,VLOOKUP(H241,'[5]Pob. Ext, Parroquial'!$B$8:$F$117,4,FALSE),0)</f>
        <v>0</v>
      </c>
      <c r="N241" s="539" t="s">
        <v>339</v>
      </c>
      <c r="O241" s="540" t="s">
        <v>184</v>
      </c>
      <c r="P241" s="540">
        <v>0.35</v>
      </c>
      <c r="Q241" s="665">
        <v>19550</v>
      </c>
      <c r="R241" s="540"/>
      <c r="S241" s="541">
        <v>41791</v>
      </c>
      <c r="T241" s="541">
        <v>41820</v>
      </c>
      <c r="U241" s="542" t="str">
        <f t="shared" si="26"/>
        <v>EJECUTADO</v>
      </c>
      <c r="V241" s="543">
        <f>ROUND(P241*Q241,2)</f>
        <v>6842.5</v>
      </c>
      <c r="W241" s="543"/>
      <c r="X241" s="543">
        <f t="shared" si="39"/>
        <v>10263.75</v>
      </c>
      <c r="Y241" s="544"/>
      <c r="Z241" s="544"/>
      <c r="AA241" s="1082"/>
      <c r="AB241" s="640"/>
      <c r="AC241" s="545" t="s">
        <v>334</v>
      </c>
      <c r="AD241" s="545" t="s">
        <v>178</v>
      </c>
      <c r="AE241" s="546" t="s">
        <v>187</v>
      </c>
      <c r="AF241" s="547">
        <v>2014</v>
      </c>
      <c r="AG241" s="657"/>
      <c r="AH241" s="639"/>
    </row>
    <row r="242" spans="1:34" s="94" customFormat="1" ht="50.1" hidden="1" customHeight="1">
      <c r="A242" s="1068"/>
      <c r="B242" s="1076"/>
      <c r="C242" s="635" t="s">
        <v>182</v>
      </c>
      <c r="D242" s="1073" t="s">
        <v>367</v>
      </c>
      <c r="E242" s="636" t="str">
        <f t="shared" si="31"/>
        <v>VIA, EL TAMBO-LA ERA, L=8,6 km. (Catamayo)</v>
      </c>
      <c r="F242" s="536" t="s">
        <v>330</v>
      </c>
      <c r="G242" s="536" t="str">
        <f>VLOOKUP(H242,'[5]Pob. Ext, Parroquial'!$B$9:$C$117,2,0)</f>
        <v>CATAMAYO</v>
      </c>
      <c r="H242" s="536" t="s">
        <v>355</v>
      </c>
      <c r="I242" s="536" t="s">
        <v>173</v>
      </c>
      <c r="J242" s="536" t="s">
        <v>174</v>
      </c>
      <c r="K242" s="537">
        <v>8.6</v>
      </c>
      <c r="L242" s="537"/>
      <c r="M242" s="538">
        <f>IF(K242&gt;0,VLOOKUP(H242,'[5]Pob. Ext, Parroquial'!$B$8:$F$117,4,FALSE),0)</f>
        <v>2886</v>
      </c>
      <c r="N242" s="539" t="s">
        <v>200</v>
      </c>
      <c r="O242" s="540" t="s">
        <v>333</v>
      </c>
      <c r="P242" s="540">
        <v>1.46</v>
      </c>
      <c r="Q242" s="665">
        <v>3200</v>
      </c>
      <c r="R242" s="540"/>
      <c r="S242" s="541">
        <v>41739</v>
      </c>
      <c r="T242" s="541">
        <v>41820</v>
      </c>
      <c r="U242" s="542" t="str">
        <f t="shared" si="26"/>
        <v>EJECUTADO</v>
      </c>
      <c r="V242" s="543">
        <f>ROUND(P242*Q242,2)</f>
        <v>4672</v>
      </c>
      <c r="W242" s="543">
        <v>514.5</v>
      </c>
      <c r="X242" s="543">
        <f t="shared" si="39"/>
        <v>6236.25</v>
      </c>
      <c r="Y242" s="544"/>
      <c r="Z242" s="544"/>
      <c r="AA242" s="1080">
        <f>SUBTOTAL(9,V242:V245)</f>
        <v>0</v>
      </c>
      <c r="AB242" s="640"/>
      <c r="AC242" s="545" t="s">
        <v>334</v>
      </c>
      <c r="AD242" s="545" t="s">
        <v>178</v>
      </c>
      <c r="AE242" s="546" t="s">
        <v>187</v>
      </c>
      <c r="AF242" s="547">
        <v>2014</v>
      </c>
      <c r="AG242" s="657"/>
      <c r="AH242" s="639"/>
    </row>
    <row r="243" spans="1:34" s="94" customFormat="1" ht="50.1" hidden="1" customHeight="1">
      <c r="A243" s="1068"/>
      <c r="B243" s="1076"/>
      <c r="C243" s="635" t="s">
        <v>182</v>
      </c>
      <c r="D243" s="1078"/>
      <c r="E243" s="655" t="str">
        <f t="shared" ref="E243:E245" si="41">+E242</f>
        <v>VIA, EL TAMBO-LA ERA, L=8,6 km. (Catamayo)</v>
      </c>
      <c r="F243" s="536" t="s">
        <v>330</v>
      </c>
      <c r="G243" s="536" t="str">
        <f>VLOOKUP(H243,'[5]Pob. Ext, Parroquial'!$B$9:$C$117,2,0)</f>
        <v>CATAMAYO</v>
      </c>
      <c r="H243" s="536" t="s">
        <v>355</v>
      </c>
      <c r="I243" s="536" t="s">
        <v>173</v>
      </c>
      <c r="J243" s="536" t="s">
        <v>174</v>
      </c>
      <c r="K243" s="537"/>
      <c r="L243" s="537"/>
      <c r="M243" s="538">
        <f>IF(K243&gt;0,VLOOKUP(H243,'[5]Pob. Ext, Parroquial'!$B$8:$F$117,4,FALSE),0)</f>
        <v>0</v>
      </c>
      <c r="N243" s="539" t="s">
        <v>359</v>
      </c>
      <c r="O243" s="540" t="s">
        <v>333</v>
      </c>
      <c r="P243" s="540">
        <v>5.05</v>
      </c>
      <c r="Q243" s="665">
        <v>360</v>
      </c>
      <c r="R243" s="540"/>
      <c r="S243" s="541">
        <v>41791</v>
      </c>
      <c r="T243" s="541">
        <v>41820</v>
      </c>
      <c r="U243" s="542" t="str">
        <f t="shared" si="26"/>
        <v>EJECUTADO</v>
      </c>
      <c r="V243" s="543">
        <f>ROUND(P243*Q243,2)</f>
        <v>1818</v>
      </c>
      <c r="W243" s="543"/>
      <c r="X243" s="543">
        <f t="shared" si="39"/>
        <v>2727</v>
      </c>
      <c r="Y243" s="544"/>
      <c r="Z243" s="544"/>
      <c r="AA243" s="1081"/>
      <c r="AB243" s="640"/>
      <c r="AC243" s="545" t="s">
        <v>334</v>
      </c>
      <c r="AD243" s="545" t="s">
        <v>178</v>
      </c>
      <c r="AE243" s="546" t="s">
        <v>187</v>
      </c>
      <c r="AF243" s="547">
        <v>2014</v>
      </c>
      <c r="AG243" s="657"/>
      <c r="AH243" s="639"/>
    </row>
    <row r="244" spans="1:34" s="94" customFormat="1" ht="50.1" hidden="1" customHeight="1">
      <c r="A244" s="1068"/>
      <c r="B244" s="1076"/>
      <c r="C244" s="635" t="s">
        <v>169</v>
      </c>
      <c r="D244" s="1078"/>
      <c r="E244" s="655" t="str">
        <f t="shared" si="41"/>
        <v>VIA, EL TAMBO-LA ERA, L=8,6 km. (Catamayo)</v>
      </c>
      <c r="F244" s="536" t="s">
        <v>330</v>
      </c>
      <c r="G244" s="536" t="str">
        <f>VLOOKUP(H244,'[5]Pob. Ext, Parroquial'!$B$9:$C$117,2,0)</f>
        <v>CATAMAYO</v>
      </c>
      <c r="H244" s="536" t="s">
        <v>355</v>
      </c>
      <c r="I244" s="536" t="s">
        <v>173</v>
      </c>
      <c r="J244" s="536" t="s">
        <v>174</v>
      </c>
      <c r="K244" s="537"/>
      <c r="L244" s="537"/>
      <c r="M244" s="538">
        <f>IF(K244&gt;0,VLOOKUP(H244,'[5]Pob. Ext, Parroquial'!$B$8:$F$117,4,FALSE),0)</f>
        <v>0</v>
      </c>
      <c r="N244" s="539" t="s">
        <v>368</v>
      </c>
      <c r="O244" s="540" t="s">
        <v>369</v>
      </c>
      <c r="P244" s="540">
        <v>0.3</v>
      </c>
      <c r="Q244" s="665">
        <v>972</v>
      </c>
      <c r="R244" s="540"/>
      <c r="S244" s="541">
        <v>41791</v>
      </c>
      <c r="T244" s="541">
        <v>41820</v>
      </c>
      <c r="U244" s="542" t="str">
        <f t="shared" si="26"/>
        <v>EJECUTADO</v>
      </c>
      <c r="V244" s="543">
        <f>ROUND(P244*Q244,2)</f>
        <v>291.60000000000002</v>
      </c>
      <c r="W244" s="543"/>
      <c r="X244" s="543">
        <f t="shared" si="39"/>
        <v>437.40000000000003</v>
      </c>
      <c r="Y244" s="544"/>
      <c r="Z244" s="544"/>
      <c r="AA244" s="1081"/>
      <c r="AB244" s="640"/>
      <c r="AC244" s="545" t="s">
        <v>334</v>
      </c>
      <c r="AD244" s="545" t="s">
        <v>178</v>
      </c>
      <c r="AE244" s="546" t="s">
        <v>187</v>
      </c>
      <c r="AF244" s="547">
        <v>2014</v>
      </c>
      <c r="AG244" s="657"/>
      <c r="AH244" s="639"/>
    </row>
    <row r="245" spans="1:34" s="94" customFormat="1" ht="50.1" hidden="1" customHeight="1">
      <c r="A245" s="1068"/>
      <c r="B245" s="1076"/>
      <c r="C245" s="635" t="s">
        <v>182</v>
      </c>
      <c r="D245" s="1074"/>
      <c r="E245" s="655" t="str">
        <f t="shared" si="41"/>
        <v>VIA, EL TAMBO-LA ERA, L=8,6 km. (Catamayo)</v>
      </c>
      <c r="F245" s="536" t="s">
        <v>330</v>
      </c>
      <c r="G245" s="536" t="str">
        <f>VLOOKUP(H245,'[5]Pob. Ext, Parroquial'!$B$9:$C$117,2,0)</f>
        <v>CATAMAYO</v>
      </c>
      <c r="H245" s="536" t="s">
        <v>355</v>
      </c>
      <c r="I245" s="536" t="s">
        <v>173</v>
      </c>
      <c r="J245" s="536" t="s">
        <v>174</v>
      </c>
      <c r="K245" s="537"/>
      <c r="L245" s="537">
        <f>ROUNDUP(Q245/5.5/1000,2)</f>
        <v>17.520000000000003</v>
      </c>
      <c r="M245" s="538">
        <f>IF(K245&gt;0,VLOOKUP(H245,'[5]Pob. Ext, Parroquial'!$B$8:$F$117,4,FALSE),0)</f>
        <v>0</v>
      </c>
      <c r="N245" s="539" t="s">
        <v>339</v>
      </c>
      <c r="O245" s="540" t="s">
        <v>333</v>
      </c>
      <c r="P245" s="540">
        <v>0.35</v>
      </c>
      <c r="Q245" s="665">
        <v>96320</v>
      </c>
      <c r="R245" s="540"/>
      <c r="S245" s="541">
        <v>41644</v>
      </c>
      <c r="T245" s="541">
        <v>41820</v>
      </c>
      <c r="U245" s="542" t="str">
        <f t="shared" si="26"/>
        <v>EJECUTADO</v>
      </c>
      <c r="V245" s="543">
        <f t="shared" si="32"/>
        <v>33712</v>
      </c>
      <c r="W245" s="543"/>
      <c r="X245" s="543">
        <f t="shared" si="39"/>
        <v>50568</v>
      </c>
      <c r="Y245" s="544"/>
      <c r="Z245" s="544"/>
      <c r="AA245" s="1082"/>
      <c r="AB245" s="640"/>
      <c r="AC245" s="545" t="s">
        <v>334</v>
      </c>
      <c r="AD245" s="545" t="s">
        <v>178</v>
      </c>
      <c r="AE245" s="546" t="s">
        <v>187</v>
      </c>
      <c r="AF245" s="547">
        <v>2014</v>
      </c>
      <c r="AG245" s="657"/>
      <c r="AH245" s="639"/>
    </row>
    <row r="246" spans="1:34" s="94" customFormat="1" ht="50.1" hidden="1" customHeight="1">
      <c r="A246" s="641"/>
      <c r="B246" s="635"/>
      <c r="C246" s="635" t="s">
        <v>182</v>
      </c>
      <c r="D246" s="1069" t="s">
        <v>370</v>
      </c>
      <c r="E246" s="636" t="str">
        <f t="shared" si="31"/>
        <v>VIA ACCESO A LA MERCED BAJA, L= 1.6 KM. VIA ANTIGUA, LA ERA - "Y" DEL CANAL, L= 2,3 KM (EL TAMBO - CATAMAYO)</v>
      </c>
      <c r="F246" s="536" t="s">
        <v>330</v>
      </c>
      <c r="G246" s="536" t="str">
        <f>VLOOKUP(H246,'[5]Pob. Ext, Parroquial'!$B$9:$C$117,2,0)</f>
        <v>CATAMAYO</v>
      </c>
      <c r="H246" s="536" t="s">
        <v>355</v>
      </c>
      <c r="I246" s="536" t="s">
        <v>173</v>
      </c>
      <c r="J246" s="536" t="s">
        <v>174</v>
      </c>
      <c r="K246" s="537">
        <v>1.6</v>
      </c>
      <c r="L246" s="537"/>
      <c r="M246" s="538">
        <f>IF(K246&gt;0,VLOOKUP(H246,'[5]Pob. Ext, Parroquial'!$B$8:$F$117,4,FALSE),0)</f>
        <v>2886</v>
      </c>
      <c r="N246" s="539" t="s">
        <v>200</v>
      </c>
      <c r="O246" s="540" t="s">
        <v>333</v>
      </c>
      <c r="P246" s="540">
        <v>1.46</v>
      </c>
      <c r="Q246" s="665">
        <v>1050</v>
      </c>
      <c r="R246" s="540"/>
      <c r="S246" s="541">
        <v>41791</v>
      </c>
      <c r="T246" s="541">
        <v>41820</v>
      </c>
      <c r="U246" s="542" t="str">
        <f t="shared" si="26"/>
        <v>EJECUTADO</v>
      </c>
      <c r="V246" s="543">
        <f>ROUND(P246*Q246,2)</f>
        <v>1533</v>
      </c>
      <c r="W246" s="543"/>
      <c r="X246" s="543">
        <f t="shared" si="39"/>
        <v>2299.5</v>
      </c>
      <c r="Y246" s="544"/>
      <c r="Z246" s="544"/>
      <c r="AA246" s="1080">
        <f>SUBTOTAL(9,V246:V247)</f>
        <v>0</v>
      </c>
      <c r="AB246" s="640"/>
      <c r="AC246" s="545" t="s">
        <v>334</v>
      </c>
      <c r="AD246" s="545" t="s">
        <v>178</v>
      </c>
      <c r="AE246" s="546" t="s">
        <v>187</v>
      </c>
      <c r="AF246" s="547">
        <v>2014</v>
      </c>
      <c r="AG246" s="657"/>
      <c r="AH246" s="639"/>
    </row>
    <row r="247" spans="1:34" s="94" customFormat="1" ht="50.1" hidden="1" customHeight="1">
      <c r="A247" s="641"/>
      <c r="B247" s="635"/>
      <c r="C247" s="635" t="s">
        <v>182</v>
      </c>
      <c r="D247" s="1071"/>
      <c r="E247" s="655" t="str">
        <f t="shared" ref="E247" si="42">+E246</f>
        <v>VIA ACCESO A LA MERCED BAJA, L= 1.6 KM. VIA ANTIGUA, LA ERA - "Y" DEL CANAL, L= 2,3 KM (EL TAMBO - CATAMAYO)</v>
      </c>
      <c r="F247" s="536" t="s">
        <v>330</v>
      </c>
      <c r="G247" s="536" t="str">
        <f>VLOOKUP(H247,'[5]Pob. Ext, Parroquial'!$B$9:$C$117,2,0)</f>
        <v>CATAMAYO</v>
      </c>
      <c r="H247" s="536" t="s">
        <v>355</v>
      </c>
      <c r="I247" s="536" t="s">
        <v>173</v>
      </c>
      <c r="J247" s="536" t="s">
        <v>174</v>
      </c>
      <c r="K247" s="537"/>
      <c r="L247" s="537">
        <f>ROUNDUP(Q247/5.5/1000,2)</f>
        <v>3.25</v>
      </c>
      <c r="M247" s="538">
        <f>IF(K247&gt;0,VLOOKUP(H247,'[5]Pob. Ext, Parroquial'!$B$8:$F$117,4,FALSE),0)</f>
        <v>0</v>
      </c>
      <c r="N247" s="539" t="s">
        <v>339</v>
      </c>
      <c r="O247" s="540" t="s">
        <v>184</v>
      </c>
      <c r="P247" s="540">
        <v>0.35</v>
      </c>
      <c r="Q247" s="665">
        <v>17850</v>
      </c>
      <c r="R247" s="540"/>
      <c r="S247" s="541">
        <v>41791</v>
      </c>
      <c r="T247" s="541">
        <v>41820</v>
      </c>
      <c r="U247" s="542" t="str">
        <f t="shared" si="26"/>
        <v>EJECUTADO</v>
      </c>
      <c r="V247" s="543">
        <f>ROUND(P247*Q247,2)</f>
        <v>6247.5</v>
      </c>
      <c r="W247" s="543"/>
      <c r="X247" s="543">
        <f t="shared" si="39"/>
        <v>9371.25</v>
      </c>
      <c r="Y247" s="544"/>
      <c r="Z247" s="544"/>
      <c r="AA247" s="1082"/>
      <c r="AB247" s="640"/>
      <c r="AC247" s="545" t="s">
        <v>334</v>
      </c>
      <c r="AD247" s="545" t="s">
        <v>178</v>
      </c>
      <c r="AE247" s="546" t="s">
        <v>187</v>
      </c>
      <c r="AF247" s="547">
        <v>2014</v>
      </c>
      <c r="AG247" s="657"/>
      <c r="AH247" s="639"/>
    </row>
    <row r="248" spans="1:34" s="94" customFormat="1" ht="50.1" hidden="1" customHeight="1">
      <c r="A248" s="1068"/>
      <c r="B248" s="1076"/>
      <c r="C248" s="635" t="s">
        <v>169</v>
      </c>
      <c r="D248" s="1073" t="s">
        <v>371</v>
      </c>
      <c r="E248" s="636" t="str">
        <f t="shared" si="31"/>
        <v>VIA, SOBRINOSPAMBA-EL HUAYCO, L=4,7 km. (Catamayo)</v>
      </c>
      <c r="F248" s="536" t="s">
        <v>330</v>
      </c>
      <c r="G248" s="536" t="str">
        <f>VLOOKUP(H248,'[5]Pob. Ext, Parroquial'!$B$9:$C$117,2,0)</f>
        <v>CATAMAYO</v>
      </c>
      <c r="H248" s="536" t="s">
        <v>355</v>
      </c>
      <c r="I248" s="536" t="s">
        <v>173</v>
      </c>
      <c r="J248" s="536" t="s">
        <v>174</v>
      </c>
      <c r="K248" s="537">
        <v>4.7</v>
      </c>
      <c r="L248" s="537"/>
      <c r="M248" s="538">
        <f>IF(K248&gt;0,VLOOKUP(H248,'[5]Pob. Ext, Parroquial'!$B$8:$F$117,4,FALSE),0)</f>
        <v>2886</v>
      </c>
      <c r="N248" s="669" t="s">
        <v>336</v>
      </c>
      <c r="O248" s="540" t="s">
        <v>333</v>
      </c>
      <c r="P248" s="540">
        <v>1.47</v>
      </c>
      <c r="Q248" s="665">
        <v>100</v>
      </c>
      <c r="R248" s="540"/>
      <c r="S248" s="541">
        <v>41739</v>
      </c>
      <c r="T248" s="541">
        <v>41740</v>
      </c>
      <c r="U248" s="542" t="str">
        <f t="shared" si="26"/>
        <v>EJECUTADO</v>
      </c>
      <c r="V248" s="543">
        <f t="shared" si="32"/>
        <v>147</v>
      </c>
      <c r="W248" s="543">
        <v>147</v>
      </c>
      <c r="X248" s="543">
        <f t="shared" si="39"/>
        <v>0</v>
      </c>
      <c r="Y248" s="544"/>
      <c r="Z248" s="544"/>
      <c r="AA248" s="1072">
        <f>+V248+V249+V250</f>
        <v>627.24</v>
      </c>
      <c r="AB248" s="640"/>
      <c r="AC248" s="545" t="s">
        <v>334</v>
      </c>
      <c r="AD248" s="545" t="s">
        <v>178</v>
      </c>
      <c r="AE248" s="546" t="s">
        <v>187</v>
      </c>
      <c r="AF248" s="547">
        <v>2014</v>
      </c>
      <c r="AG248" s="657"/>
      <c r="AH248" s="639"/>
    </row>
    <row r="249" spans="1:34" s="94" customFormat="1" ht="50.1" hidden="1" customHeight="1">
      <c r="A249" s="1068"/>
      <c r="B249" s="1076"/>
      <c r="C249" s="635" t="s">
        <v>169</v>
      </c>
      <c r="D249" s="1078"/>
      <c r="E249" s="655" t="str">
        <f t="shared" ref="E249:E258" si="43">+E248</f>
        <v>VIA, SOBRINOSPAMBA-EL HUAYCO, L=4,7 km. (Catamayo)</v>
      </c>
      <c r="F249" s="536" t="s">
        <v>330</v>
      </c>
      <c r="G249" s="536" t="str">
        <f>VLOOKUP(H249,'[5]Pob. Ext, Parroquial'!$B$9:$C$117,2,0)</f>
        <v>CATAMAYO</v>
      </c>
      <c r="H249" s="536" t="s">
        <v>355</v>
      </c>
      <c r="I249" s="536" t="s">
        <v>173</v>
      </c>
      <c r="J249" s="536" t="s">
        <v>174</v>
      </c>
      <c r="K249" s="537">
        <v>4.7</v>
      </c>
      <c r="L249" s="537"/>
      <c r="M249" s="538">
        <f>IF(K249&gt;0,VLOOKUP(H249,'[5]Pob. Ext, Parroquial'!$B$8:$F$117,4,FALSE),0)</f>
        <v>2886</v>
      </c>
      <c r="N249" s="669" t="s">
        <v>180</v>
      </c>
      <c r="O249" s="540" t="s">
        <v>352</v>
      </c>
      <c r="P249" s="540">
        <v>0.3</v>
      </c>
      <c r="Q249" s="665">
        <v>180</v>
      </c>
      <c r="R249" s="540"/>
      <c r="S249" s="541">
        <v>41739</v>
      </c>
      <c r="T249" s="541">
        <v>41740</v>
      </c>
      <c r="U249" s="542" t="str">
        <f t="shared" si="26"/>
        <v>EJECUTADO</v>
      </c>
      <c r="V249" s="543">
        <f t="shared" si="32"/>
        <v>54</v>
      </c>
      <c r="W249" s="543">
        <v>54</v>
      </c>
      <c r="X249" s="543">
        <f t="shared" si="39"/>
        <v>0</v>
      </c>
      <c r="Y249" s="544"/>
      <c r="Z249" s="544"/>
      <c r="AA249" s="1072"/>
      <c r="AB249" s="640"/>
      <c r="AC249" s="545" t="s">
        <v>334</v>
      </c>
      <c r="AD249" s="545" t="s">
        <v>178</v>
      </c>
      <c r="AE249" s="546" t="s">
        <v>187</v>
      </c>
      <c r="AF249" s="547">
        <v>2014</v>
      </c>
      <c r="AG249" s="657"/>
      <c r="AH249" s="639"/>
    </row>
    <row r="250" spans="1:34" s="94" customFormat="1" ht="50.1" hidden="1" customHeight="1">
      <c r="A250" s="1068"/>
      <c r="B250" s="1076"/>
      <c r="C250" s="635" t="s">
        <v>169</v>
      </c>
      <c r="D250" s="1074"/>
      <c r="E250" s="655" t="str">
        <f t="shared" si="43"/>
        <v>VIA, SOBRINOSPAMBA-EL HUAYCO, L=4,7 km. (Catamayo)</v>
      </c>
      <c r="F250" s="536" t="s">
        <v>330</v>
      </c>
      <c r="G250" s="536" t="str">
        <f>VLOOKUP(H250,'[5]Pob. Ext, Parroquial'!$B$9:$C$117,2,0)</f>
        <v>CATAMAYO</v>
      </c>
      <c r="H250" s="536" t="s">
        <v>355</v>
      </c>
      <c r="I250" s="536" t="s">
        <v>173</v>
      </c>
      <c r="J250" s="536" t="s">
        <v>174</v>
      </c>
      <c r="K250" s="537">
        <v>4.7</v>
      </c>
      <c r="L250" s="537">
        <f>+ROUND(Q250/5500/0.2,2)</f>
        <v>7.0000000000000007E-2</v>
      </c>
      <c r="M250" s="538">
        <f>IF(K250&gt;0,VLOOKUP(H250,'[5]Pob. Ext, Parroquial'!$B$8:$F$117,4,FALSE),0)</f>
        <v>2886</v>
      </c>
      <c r="N250" s="669" t="s">
        <v>229</v>
      </c>
      <c r="O250" s="540" t="s">
        <v>333</v>
      </c>
      <c r="P250" s="540">
        <v>5.92</v>
      </c>
      <c r="Q250" s="665">
        <v>72</v>
      </c>
      <c r="R250" s="540"/>
      <c r="S250" s="541">
        <v>41739</v>
      </c>
      <c r="T250" s="541">
        <v>41740</v>
      </c>
      <c r="U250" s="542" t="str">
        <f t="shared" si="26"/>
        <v>EJECUTADO</v>
      </c>
      <c r="V250" s="543">
        <f t="shared" si="32"/>
        <v>426.24</v>
      </c>
      <c r="W250" s="543">
        <v>416.16</v>
      </c>
      <c r="X250" s="543">
        <f t="shared" si="39"/>
        <v>15.119999999999976</v>
      </c>
      <c r="Y250" s="544"/>
      <c r="Z250" s="544"/>
      <c r="AA250" s="1072"/>
      <c r="AB250" s="640"/>
      <c r="AC250" s="545" t="s">
        <v>334</v>
      </c>
      <c r="AD250" s="545" t="s">
        <v>178</v>
      </c>
      <c r="AE250" s="546" t="s">
        <v>187</v>
      </c>
      <c r="AF250" s="547">
        <v>2014</v>
      </c>
      <c r="AG250" s="657"/>
      <c r="AH250" s="639"/>
    </row>
    <row r="251" spans="1:34" s="94" customFormat="1" ht="50.1" hidden="1" customHeight="1">
      <c r="A251" s="641" t="s">
        <v>372</v>
      </c>
      <c r="B251" s="654" t="str">
        <f>+U251</f>
        <v>EJECUTADO</v>
      </c>
      <c r="C251" s="635" t="s">
        <v>182</v>
      </c>
      <c r="D251" s="1073" t="s">
        <v>373</v>
      </c>
      <c r="E251" s="636" t="str">
        <f t="shared" si="31"/>
        <v>VIA, "Y" del ROSARIO-RIO YAGUACHI, L=15,4 km. (Chaguar.)</v>
      </c>
      <c r="F251" s="536" t="s">
        <v>330</v>
      </c>
      <c r="G251" s="536" t="str">
        <f>VLOOKUP(H251,'[5]Pob. Ext, Parroquial'!$B$9:$C$117,2,0)</f>
        <v>CHAGUARPAMBA</v>
      </c>
      <c r="H251" s="536" t="s">
        <v>342</v>
      </c>
      <c r="I251" s="536" t="s">
        <v>173</v>
      </c>
      <c r="J251" s="536" t="s">
        <v>174</v>
      </c>
      <c r="K251" s="537">
        <v>15.4</v>
      </c>
      <c r="L251" s="537"/>
      <c r="M251" s="538">
        <f>IF(K251&gt;0,VLOOKUP(H251,'[5]Pob. Ext, Parroquial'!$B$8:$F$117,4,FALSE),0)</f>
        <v>200</v>
      </c>
      <c r="N251" s="539" t="s">
        <v>200</v>
      </c>
      <c r="O251" s="540" t="s">
        <v>333</v>
      </c>
      <c r="P251" s="540">
        <v>1.46</v>
      </c>
      <c r="Q251" s="665">
        <v>8875</v>
      </c>
      <c r="R251" s="540"/>
      <c r="S251" s="541">
        <v>41688</v>
      </c>
      <c r="T251" s="541">
        <v>41851</v>
      </c>
      <c r="U251" s="542" t="str">
        <f t="shared" ref="U251:U372" si="44">IF(T251&lt;$G$4,"EJECUTADO","EN EJECUCION")</f>
        <v>EJECUTADO</v>
      </c>
      <c r="V251" s="543">
        <f t="shared" si="32"/>
        <v>12957.5</v>
      </c>
      <c r="W251" s="543">
        <v>3689.7</v>
      </c>
      <c r="X251" s="543">
        <f t="shared" si="39"/>
        <v>13901.699999999999</v>
      </c>
      <c r="Y251" s="544"/>
      <c r="Z251" s="544"/>
      <c r="AA251" s="1080">
        <f>SUBTOTAL(9,V251:V258)</f>
        <v>0</v>
      </c>
      <c r="AB251" s="640"/>
      <c r="AC251" s="545" t="s">
        <v>334</v>
      </c>
      <c r="AD251" s="545" t="s">
        <v>178</v>
      </c>
      <c r="AE251" s="546" t="s">
        <v>187</v>
      </c>
      <c r="AF251" s="547">
        <v>2014</v>
      </c>
      <c r="AG251" s="657"/>
      <c r="AH251" s="639"/>
    </row>
    <row r="252" spans="1:34" s="94" customFormat="1" ht="50.1" hidden="1" customHeight="1">
      <c r="A252" s="641"/>
      <c r="B252" s="654"/>
      <c r="C252" s="635" t="s">
        <v>182</v>
      </c>
      <c r="D252" s="1078"/>
      <c r="E252" s="655" t="str">
        <f t="shared" si="43"/>
        <v>VIA, "Y" del ROSARIO-RIO YAGUACHI, L=15,4 km. (Chaguar.)</v>
      </c>
      <c r="F252" s="536" t="s">
        <v>330</v>
      </c>
      <c r="G252" s="536" t="str">
        <f>VLOOKUP(H252,'[5]Pob. Ext, Parroquial'!$B$9:$C$117,2,0)</f>
        <v>CHAGUARPAMBA</v>
      </c>
      <c r="H252" s="536" t="s">
        <v>342</v>
      </c>
      <c r="I252" s="536" t="s">
        <v>173</v>
      </c>
      <c r="J252" s="536" t="s">
        <v>174</v>
      </c>
      <c r="K252" s="537"/>
      <c r="L252" s="537"/>
      <c r="M252" s="538"/>
      <c r="N252" s="539" t="s">
        <v>291</v>
      </c>
      <c r="O252" s="540" t="s">
        <v>333</v>
      </c>
      <c r="P252" s="540">
        <v>1.47</v>
      </c>
      <c r="Q252" s="665">
        <v>700</v>
      </c>
      <c r="R252" s="540"/>
      <c r="S252" s="541">
        <v>41821</v>
      </c>
      <c r="T252" s="541">
        <v>41851</v>
      </c>
      <c r="U252" s="542" t="str">
        <f t="shared" si="44"/>
        <v>EJECUTADO</v>
      </c>
      <c r="V252" s="543">
        <f t="shared" si="32"/>
        <v>1029</v>
      </c>
      <c r="W252" s="543"/>
      <c r="X252" s="543">
        <f t="shared" si="39"/>
        <v>1543.5</v>
      </c>
      <c r="Y252" s="544"/>
      <c r="Z252" s="544"/>
      <c r="AA252" s="1081"/>
      <c r="AB252" s="640"/>
      <c r="AC252" s="545" t="s">
        <v>334</v>
      </c>
      <c r="AD252" s="545" t="s">
        <v>178</v>
      </c>
      <c r="AE252" s="546" t="s">
        <v>187</v>
      </c>
      <c r="AF252" s="547">
        <v>2014</v>
      </c>
      <c r="AG252" s="657"/>
      <c r="AH252" s="639"/>
    </row>
    <row r="253" spans="1:34" s="94" customFormat="1" ht="50.1" hidden="1" customHeight="1">
      <c r="A253" s="641"/>
      <c r="B253" s="654"/>
      <c r="C253" s="635" t="s">
        <v>182</v>
      </c>
      <c r="D253" s="1078"/>
      <c r="E253" s="655" t="str">
        <f t="shared" si="43"/>
        <v>VIA, "Y" del ROSARIO-RIO YAGUACHI, L=15,4 km. (Chaguar.)</v>
      </c>
      <c r="F253" s="536" t="s">
        <v>330</v>
      </c>
      <c r="G253" s="536" t="str">
        <f>VLOOKUP(H253,'[5]Pob. Ext, Parroquial'!$B$9:$C$117,2,0)</f>
        <v>CHAGUARPAMBA</v>
      </c>
      <c r="H253" s="536" t="s">
        <v>342</v>
      </c>
      <c r="I253" s="536" t="s">
        <v>173</v>
      </c>
      <c r="J253" s="536" t="s">
        <v>174</v>
      </c>
      <c r="K253" s="537"/>
      <c r="L253" s="537"/>
      <c r="M253" s="538"/>
      <c r="N253" s="539" t="s">
        <v>351</v>
      </c>
      <c r="O253" s="540" t="s">
        <v>352</v>
      </c>
      <c r="P253" s="540">
        <v>0.38</v>
      </c>
      <c r="Q253" s="665">
        <v>639.36</v>
      </c>
      <c r="R253" s="540"/>
      <c r="S253" s="541">
        <v>41821</v>
      </c>
      <c r="T253" s="541">
        <v>41851</v>
      </c>
      <c r="U253" s="542" t="str">
        <f t="shared" si="44"/>
        <v>EJECUTADO</v>
      </c>
      <c r="V253" s="543">
        <f t="shared" si="32"/>
        <v>242.96</v>
      </c>
      <c r="W253" s="543"/>
      <c r="X253" s="543">
        <f t="shared" si="39"/>
        <v>364.44</v>
      </c>
      <c r="Y253" s="544"/>
      <c r="Z253" s="544"/>
      <c r="AA253" s="1081"/>
      <c r="AB253" s="640"/>
      <c r="AC253" s="545" t="s">
        <v>334</v>
      </c>
      <c r="AD253" s="545" t="s">
        <v>178</v>
      </c>
      <c r="AE253" s="546" t="s">
        <v>187</v>
      </c>
      <c r="AF253" s="547">
        <v>2014</v>
      </c>
      <c r="AG253" s="657"/>
      <c r="AH253" s="639"/>
    </row>
    <row r="254" spans="1:34" s="94" customFormat="1" ht="50.1" hidden="1" customHeight="1">
      <c r="A254" s="641"/>
      <c r="B254" s="654"/>
      <c r="C254" s="635" t="s">
        <v>169</v>
      </c>
      <c r="D254" s="1078"/>
      <c r="E254" s="655" t="str">
        <f t="shared" si="43"/>
        <v>VIA, "Y" del ROSARIO-RIO YAGUACHI, L=15,4 km. (Chaguar.)</v>
      </c>
      <c r="F254" s="536" t="s">
        <v>330</v>
      </c>
      <c r="G254" s="536" t="str">
        <f>VLOOKUP(H254,'[5]Pob. Ext, Parroquial'!$B$9:$C$117,2,0)</f>
        <v>CHAGUARPAMBA</v>
      </c>
      <c r="H254" s="536" t="s">
        <v>342</v>
      </c>
      <c r="I254" s="536" t="s">
        <v>173</v>
      </c>
      <c r="J254" s="536" t="s">
        <v>174</v>
      </c>
      <c r="K254" s="537"/>
      <c r="L254" s="537"/>
      <c r="M254" s="538"/>
      <c r="N254" s="539" t="s">
        <v>180</v>
      </c>
      <c r="O254" s="540" t="s">
        <v>352</v>
      </c>
      <c r="P254" s="540">
        <v>0.38</v>
      </c>
      <c r="Q254" s="665">
        <v>6542.64</v>
      </c>
      <c r="R254" s="540"/>
      <c r="S254" s="541">
        <v>41821</v>
      </c>
      <c r="T254" s="541">
        <v>41851</v>
      </c>
      <c r="U254" s="542" t="str">
        <f t="shared" si="44"/>
        <v>EJECUTADO</v>
      </c>
      <c r="V254" s="543">
        <f t="shared" si="32"/>
        <v>2486.1999999999998</v>
      </c>
      <c r="W254" s="543"/>
      <c r="X254" s="543">
        <f t="shared" si="39"/>
        <v>3729.2999999999997</v>
      </c>
      <c r="Y254" s="544"/>
      <c r="Z254" s="544"/>
      <c r="AA254" s="1081"/>
      <c r="AB254" s="640"/>
      <c r="AC254" s="545" t="s">
        <v>334</v>
      </c>
      <c r="AD254" s="545" t="s">
        <v>178</v>
      </c>
      <c r="AE254" s="546" t="s">
        <v>187</v>
      </c>
      <c r="AF254" s="547">
        <v>2014</v>
      </c>
      <c r="AG254" s="657"/>
      <c r="AH254" s="639"/>
    </row>
    <row r="255" spans="1:34" s="94" customFormat="1" ht="50.1" hidden="1" customHeight="1">
      <c r="A255" s="641"/>
      <c r="B255" s="654"/>
      <c r="C255" s="635" t="s">
        <v>182</v>
      </c>
      <c r="D255" s="1078"/>
      <c r="E255" s="655" t="str">
        <f t="shared" si="43"/>
        <v>VIA, "Y" del ROSARIO-RIO YAGUACHI, L=15,4 km. (Chaguar.)</v>
      </c>
      <c r="F255" s="536" t="s">
        <v>330</v>
      </c>
      <c r="G255" s="536" t="str">
        <f>VLOOKUP(H255,'[5]Pob. Ext, Parroquial'!$B$9:$C$117,2,0)</f>
        <v>CHAGUARPAMBA</v>
      </c>
      <c r="H255" s="536" t="s">
        <v>342</v>
      </c>
      <c r="I255" s="536" t="s">
        <v>173</v>
      </c>
      <c r="J255" s="536" t="s">
        <v>174</v>
      </c>
      <c r="K255" s="537"/>
      <c r="L255" s="537">
        <f>ROUNDUP(Q255/5.5/1000,2)</f>
        <v>16.07</v>
      </c>
      <c r="M255" s="538"/>
      <c r="N255" s="539" t="s">
        <v>374</v>
      </c>
      <c r="O255" s="540" t="s">
        <v>314</v>
      </c>
      <c r="P255" s="540">
        <v>0.35</v>
      </c>
      <c r="Q255" s="665">
        <v>88350</v>
      </c>
      <c r="R255" s="540"/>
      <c r="S255" s="541">
        <v>41821</v>
      </c>
      <c r="T255" s="541">
        <v>41851</v>
      </c>
      <c r="U255" s="542" t="str">
        <f t="shared" si="44"/>
        <v>EJECUTADO</v>
      </c>
      <c r="V255" s="543">
        <f t="shared" si="32"/>
        <v>30922.5</v>
      </c>
      <c r="W255" s="543"/>
      <c r="X255" s="543">
        <f t="shared" si="39"/>
        <v>46383.75</v>
      </c>
      <c r="Y255" s="544"/>
      <c r="Z255" s="544"/>
      <c r="AA255" s="1081"/>
      <c r="AB255" s="640"/>
      <c r="AC255" s="545" t="s">
        <v>334</v>
      </c>
      <c r="AD255" s="545" t="s">
        <v>178</v>
      </c>
      <c r="AE255" s="546" t="s">
        <v>187</v>
      </c>
      <c r="AF255" s="547">
        <v>2014</v>
      </c>
      <c r="AG255" s="657"/>
      <c r="AH255" s="639"/>
    </row>
    <row r="256" spans="1:34" s="94" customFormat="1" ht="50.1" hidden="1" customHeight="1">
      <c r="A256" s="641"/>
      <c r="B256" s="654"/>
      <c r="C256" s="635" t="s">
        <v>169</v>
      </c>
      <c r="D256" s="1078"/>
      <c r="E256" s="655" t="str">
        <f t="shared" si="43"/>
        <v>VIA, "Y" del ROSARIO-RIO YAGUACHI, L=15,4 km. (Chaguar.)</v>
      </c>
      <c r="F256" s="536" t="s">
        <v>330</v>
      </c>
      <c r="G256" s="536" t="str">
        <f>VLOOKUP(H256,'[5]Pob. Ext, Parroquial'!$B$9:$C$117,2,0)</f>
        <v>CHAGUARPAMBA</v>
      </c>
      <c r="H256" s="536" t="s">
        <v>342</v>
      </c>
      <c r="I256" s="536" t="s">
        <v>173</v>
      </c>
      <c r="J256" s="536" t="s">
        <v>174</v>
      </c>
      <c r="K256" s="537"/>
      <c r="L256" s="537">
        <f>+ROUND(Q256/5500/0.2,2)</f>
        <v>0.65</v>
      </c>
      <c r="M256" s="538"/>
      <c r="N256" s="539" t="s">
        <v>229</v>
      </c>
      <c r="O256" s="540" t="s">
        <v>333</v>
      </c>
      <c r="P256" s="540">
        <v>5.92</v>
      </c>
      <c r="Q256" s="665">
        <v>720</v>
      </c>
      <c r="R256" s="540"/>
      <c r="S256" s="541">
        <v>41821</v>
      </c>
      <c r="T256" s="541">
        <v>41851</v>
      </c>
      <c r="U256" s="542" t="str">
        <f t="shared" si="44"/>
        <v>EJECUTADO</v>
      </c>
      <c r="V256" s="543">
        <f t="shared" si="32"/>
        <v>4262.3999999999996</v>
      </c>
      <c r="W256" s="543"/>
      <c r="X256" s="543">
        <f t="shared" si="39"/>
        <v>6393.5999999999995</v>
      </c>
      <c r="Y256" s="544"/>
      <c r="Z256" s="544"/>
      <c r="AA256" s="1081"/>
      <c r="AB256" s="640"/>
      <c r="AC256" s="545" t="s">
        <v>334</v>
      </c>
      <c r="AD256" s="545" t="s">
        <v>178</v>
      </c>
      <c r="AE256" s="546" t="s">
        <v>187</v>
      </c>
      <c r="AF256" s="547">
        <v>2014</v>
      </c>
      <c r="AG256" s="657"/>
      <c r="AH256" s="639"/>
    </row>
    <row r="257" spans="1:34" s="94" customFormat="1" ht="50.1" hidden="1" customHeight="1">
      <c r="A257" s="641"/>
      <c r="B257" s="654"/>
      <c r="C257" s="635" t="s">
        <v>169</v>
      </c>
      <c r="D257" s="1078"/>
      <c r="E257" s="655" t="str">
        <f t="shared" si="43"/>
        <v>VIA, "Y" del ROSARIO-RIO YAGUACHI, L=15,4 km. (Chaguar.)</v>
      </c>
      <c r="F257" s="536" t="s">
        <v>330</v>
      </c>
      <c r="G257" s="536" t="str">
        <f>VLOOKUP(H257,'[5]Pob. Ext, Parroquial'!$B$9:$C$117,2,0)</f>
        <v>CHAGUARPAMBA</v>
      </c>
      <c r="H257" s="536" t="s">
        <v>342</v>
      </c>
      <c r="I257" s="536" t="s">
        <v>173</v>
      </c>
      <c r="J257" s="536" t="s">
        <v>174</v>
      </c>
      <c r="K257" s="537"/>
      <c r="L257" s="537"/>
      <c r="M257" s="538"/>
      <c r="N257" s="539" t="s">
        <v>375</v>
      </c>
      <c r="O257" s="540" t="s">
        <v>333</v>
      </c>
      <c r="P257" s="540">
        <v>7.6</v>
      </c>
      <c r="Q257" s="665">
        <v>940</v>
      </c>
      <c r="R257" s="540"/>
      <c r="S257" s="541">
        <v>41821</v>
      </c>
      <c r="T257" s="541">
        <v>41851</v>
      </c>
      <c r="U257" s="542" t="str">
        <f t="shared" si="44"/>
        <v>EJECUTADO</v>
      </c>
      <c r="V257" s="543">
        <f t="shared" si="32"/>
        <v>7144</v>
      </c>
      <c r="W257" s="543"/>
      <c r="X257" s="543">
        <f t="shared" si="39"/>
        <v>10716</v>
      </c>
      <c r="Y257" s="544"/>
      <c r="Z257" s="544"/>
      <c r="AA257" s="1081"/>
      <c r="AB257" s="640"/>
      <c r="AC257" s="545" t="s">
        <v>334</v>
      </c>
      <c r="AD257" s="545" t="s">
        <v>178</v>
      </c>
      <c r="AE257" s="546" t="s">
        <v>187</v>
      </c>
      <c r="AF257" s="547">
        <v>2014</v>
      </c>
      <c r="AG257" s="657"/>
      <c r="AH257" s="639"/>
    </row>
    <row r="258" spans="1:34" s="94" customFormat="1" ht="50.1" hidden="1" customHeight="1">
      <c r="A258" s="641"/>
      <c r="B258" s="654"/>
      <c r="C258" s="635" t="s">
        <v>169</v>
      </c>
      <c r="D258" s="1074"/>
      <c r="E258" s="655" t="str">
        <f t="shared" si="43"/>
        <v>VIA, "Y" del ROSARIO-RIO YAGUACHI, L=15,4 km. (Chaguar.)</v>
      </c>
      <c r="F258" s="536" t="s">
        <v>330</v>
      </c>
      <c r="G258" s="536" t="str">
        <f>VLOOKUP(H258,'[5]Pob. Ext, Parroquial'!$B$9:$C$117,2,0)</f>
        <v>CHAGUARPAMBA</v>
      </c>
      <c r="H258" s="536" t="s">
        <v>342</v>
      </c>
      <c r="I258" s="536" t="s">
        <v>173</v>
      </c>
      <c r="J258" s="536" t="s">
        <v>174</v>
      </c>
      <c r="K258" s="537"/>
      <c r="L258" s="537"/>
      <c r="M258" s="538"/>
      <c r="N258" s="539" t="s">
        <v>336</v>
      </c>
      <c r="O258" s="540" t="s">
        <v>333</v>
      </c>
      <c r="P258" s="540">
        <v>1.47</v>
      </c>
      <c r="Q258" s="665">
        <v>1580</v>
      </c>
      <c r="R258" s="540"/>
      <c r="S258" s="541">
        <v>41821</v>
      </c>
      <c r="T258" s="541">
        <v>41851</v>
      </c>
      <c r="U258" s="542" t="str">
        <f t="shared" si="44"/>
        <v>EJECUTADO</v>
      </c>
      <c r="V258" s="543">
        <f t="shared" si="32"/>
        <v>2322.6</v>
      </c>
      <c r="W258" s="543"/>
      <c r="X258" s="543">
        <f t="shared" si="39"/>
        <v>3483.8999999999996</v>
      </c>
      <c r="Y258" s="544"/>
      <c r="Z258" s="544"/>
      <c r="AA258" s="1082"/>
      <c r="AB258" s="640"/>
      <c r="AC258" s="545" t="s">
        <v>334</v>
      </c>
      <c r="AD258" s="545" t="s">
        <v>178</v>
      </c>
      <c r="AE258" s="546" t="s">
        <v>187</v>
      </c>
      <c r="AF258" s="547">
        <v>2014</v>
      </c>
      <c r="AG258" s="657"/>
      <c r="AH258" s="639"/>
    </row>
    <row r="259" spans="1:34" s="94" customFormat="1" ht="50.1" hidden="1" customHeight="1">
      <c r="A259" s="641" t="s">
        <v>376</v>
      </c>
      <c r="B259" s="654" t="str">
        <f>+U259</f>
        <v>EJECUTADO</v>
      </c>
      <c r="C259" s="635" t="s">
        <v>182</v>
      </c>
      <c r="D259" s="635" t="s">
        <v>377</v>
      </c>
      <c r="E259" s="636" t="str">
        <f t="shared" si="31"/>
        <v>VIA, CORDILLERA DE RAMOS-4 LOMAS, L=6,2 km. (Chaguar.)</v>
      </c>
      <c r="F259" s="536" t="s">
        <v>330</v>
      </c>
      <c r="G259" s="536" t="str">
        <f>VLOOKUP(H259,'[5]Pob. Ext, Parroquial'!$B$9:$C$117,2,0)</f>
        <v>CHAGUARPAMBA</v>
      </c>
      <c r="H259" s="536" t="s">
        <v>342</v>
      </c>
      <c r="I259" s="536" t="s">
        <v>173</v>
      </c>
      <c r="J259" s="536" t="s">
        <v>174</v>
      </c>
      <c r="K259" s="537">
        <v>6.2</v>
      </c>
      <c r="L259" s="537"/>
      <c r="M259" s="538">
        <f>IF(K259&gt;0,VLOOKUP(H259,'[5]Pob. Ext, Parroquial'!$B$8:$F$117,4,FALSE),0)</f>
        <v>200</v>
      </c>
      <c r="N259" s="539" t="s">
        <v>374</v>
      </c>
      <c r="O259" s="540" t="s">
        <v>314</v>
      </c>
      <c r="P259" s="540">
        <v>0.35</v>
      </c>
      <c r="Q259" s="665">
        <v>27900</v>
      </c>
      <c r="R259" s="540"/>
      <c r="S259" s="541">
        <v>41849</v>
      </c>
      <c r="T259" s="541">
        <v>41851</v>
      </c>
      <c r="U259" s="542" t="str">
        <f t="shared" si="44"/>
        <v>EJECUTADO</v>
      </c>
      <c r="V259" s="543">
        <f t="shared" si="32"/>
        <v>9765</v>
      </c>
      <c r="W259" s="543"/>
      <c r="X259" s="543">
        <f t="shared" si="39"/>
        <v>14647.5</v>
      </c>
      <c r="Y259" s="544"/>
      <c r="Z259" s="544"/>
      <c r="AA259" s="643">
        <f>+V259</f>
        <v>9765</v>
      </c>
      <c r="AB259" s="640"/>
      <c r="AC259" s="545" t="s">
        <v>334</v>
      </c>
      <c r="AD259" s="545" t="s">
        <v>178</v>
      </c>
      <c r="AE259" s="546" t="s">
        <v>187</v>
      </c>
      <c r="AF259" s="547">
        <v>2014</v>
      </c>
      <c r="AG259" s="657"/>
      <c r="AH259" s="639"/>
    </row>
    <row r="260" spans="1:34" s="94" customFormat="1" ht="50.1" hidden="1" customHeight="1">
      <c r="A260" s="1068"/>
      <c r="B260" s="1087"/>
      <c r="C260" s="635" t="s">
        <v>169</v>
      </c>
      <c r="D260" s="1073" t="s">
        <v>378</v>
      </c>
      <c r="E260" s="636" t="str">
        <f t="shared" si="31"/>
        <v>VIA,PANAMERICANA - SAN JOSE-BUENAVISTA, L=7,3 km. (Chaguarpamba)</v>
      </c>
      <c r="F260" s="536" t="s">
        <v>330</v>
      </c>
      <c r="G260" s="536" t="str">
        <f>VLOOKUP(H260,'[5]Pob. Ext, Parroquial'!$B$9:$C$117,2,0)</f>
        <v>CHAGUARPAMBA</v>
      </c>
      <c r="H260" s="536" t="s">
        <v>379</v>
      </c>
      <c r="I260" s="536" t="s">
        <v>173</v>
      </c>
      <c r="J260" s="536" t="s">
        <v>174</v>
      </c>
      <c r="K260" s="537">
        <v>7.3</v>
      </c>
      <c r="L260" s="537"/>
      <c r="M260" s="538">
        <f>IF(K260&gt;0,VLOOKUP(H260,'[5]Pob. Ext, Parroquial'!$B$8:$F$117,4,FALSE),0)</f>
        <v>483</v>
      </c>
      <c r="N260" s="539" t="s">
        <v>361</v>
      </c>
      <c r="O260" s="540" t="s">
        <v>333</v>
      </c>
      <c r="P260" s="540">
        <v>2.54</v>
      </c>
      <c r="Q260" s="665">
        <v>4430</v>
      </c>
      <c r="R260" s="540"/>
      <c r="S260" s="541">
        <v>41660</v>
      </c>
      <c r="T260" s="541">
        <v>41685</v>
      </c>
      <c r="U260" s="542" t="str">
        <f t="shared" si="44"/>
        <v>EJECUTADO</v>
      </c>
      <c r="V260" s="543">
        <f t="shared" si="32"/>
        <v>11252.2</v>
      </c>
      <c r="W260" s="543">
        <v>11252.2</v>
      </c>
      <c r="X260" s="543">
        <f t="shared" si="39"/>
        <v>0</v>
      </c>
      <c r="Y260" s="544"/>
      <c r="Z260" s="544"/>
      <c r="AA260" s="1072">
        <f>SUM(V260:V265)</f>
        <v>39442.979999999996</v>
      </c>
      <c r="AB260" s="640"/>
      <c r="AC260" s="545" t="s">
        <v>334</v>
      </c>
      <c r="AD260" s="545" t="s">
        <v>178</v>
      </c>
      <c r="AE260" s="546" t="s">
        <v>187</v>
      </c>
      <c r="AF260" s="547">
        <v>2014</v>
      </c>
      <c r="AG260" s="657"/>
      <c r="AH260" s="639"/>
    </row>
    <row r="261" spans="1:34" s="94" customFormat="1" ht="50.1" hidden="1" customHeight="1">
      <c r="A261" s="1068"/>
      <c r="B261" s="1087"/>
      <c r="C261" s="635" t="s">
        <v>169</v>
      </c>
      <c r="D261" s="1078"/>
      <c r="E261" s="655" t="str">
        <f t="shared" ref="E261:E265" si="45">+E260</f>
        <v>VIA,PANAMERICANA - SAN JOSE-BUENAVISTA, L=7,3 km. (Chaguarpamba)</v>
      </c>
      <c r="F261" s="536" t="s">
        <v>330</v>
      </c>
      <c r="G261" s="536" t="str">
        <f>VLOOKUP(H261,'[5]Pob. Ext, Parroquial'!$B$9:$C$117,2,0)</f>
        <v>CHAGUARPAMBA</v>
      </c>
      <c r="H261" s="536" t="s">
        <v>379</v>
      </c>
      <c r="I261" s="536" t="s">
        <v>173</v>
      </c>
      <c r="J261" s="536" t="s">
        <v>174</v>
      </c>
      <c r="K261" s="537"/>
      <c r="L261" s="537"/>
      <c r="M261" s="538">
        <f>IF(K261&gt;0,VLOOKUP(H261,'[5]Pob. Ext, Parroquial'!$B$8:$F$117,4,FALSE),0)</f>
        <v>0</v>
      </c>
      <c r="N261" s="669" t="s">
        <v>336</v>
      </c>
      <c r="O261" s="540" t="s">
        <v>333</v>
      </c>
      <c r="P261" s="540">
        <v>1.47</v>
      </c>
      <c r="Q261" s="665">
        <v>1350</v>
      </c>
      <c r="R261" s="540"/>
      <c r="S261" s="541">
        <v>41660</v>
      </c>
      <c r="T261" s="541">
        <v>41685</v>
      </c>
      <c r="U261" s="542" t="str">
        <f t="shared" si="44"/>
        <v>EJECUTADO</v>
      </c>
      <c r="V261" s="543">
        <f t="shared" si="32"/>
        <v>1984.5</v>
      </c>
      <c r="W261" s="543">
        <v>1984.5</v>
      </c>
      <c r="X261" s="543">
        <f t="shared" si="39"/>
        <v>0</v>
      </c>
      <c r="Y261" s="544"/>
      <c r="Z261" s="544"/>
      <c r="AA261" s="1072"/>
      <c r="AB261" s="640"/>
      <c r="AC261" s="545" t="s">
        <v>334</v>
      </c>
      <c r="AD261" s="545" t="s">
        <v>178</v>
      </c>
      <c r="AE261" s="546" t="s">
        <v>187</v>
      </c>
      <c r="AF261" s="547">
        <v>2014</v>
      </c>
      <c r="AG261" s="657"/>
      <c r="AH261" s="639"/>
    </row>
    <row r="262" spans="1:34" s="94" customFormat="1" ht="50.1" hidden="1" customHeight="1">
      <c r="A262" s="1068"/>
      <c r="B262" s="1087"/>
      <c r="C262" s="635" t="s">
        <v>182</v>
      </c>
      <c r="D262" s="1078"/>
      <c r="E262" s="655" t="str">
        <f t="shared" si="45"/>
        <v>VIA,PANAMERICANA - SAN JOSE-BUENAVISTA, L=7,3 km. (Chaguarpamba)</v>
      </c>
      <c r="F262" s="536" t="s">
        <v>330</v>
      </c>
      <c r="G262" s="536" t="str">
        <f>VLOOKUP(H262,'[5]Pob. Ext, Parroquial'!$B$9:$C$117,2,0)</f>
        <v>CHAGUARPAMBA</v>
      </c>
      <c r="H262" s="536" t="s">
        <v>379</v>
      </c>
      <c r="I262" s="536" t="s">
        <v>173</v>
      </c>
      <c r="J262" s="536" t="s">
        <v>174</v>
      </c>
      <c r="K262" s="537"/>
      <c r="L262" s="537"/>
      <c r="M262" s="538">
        <f>IF(K262&gt;0,VLOOKUP(H262,'[5]Pob. Ext, Parroquial'!$B$8:$F$117,4,FALSE),0)</f>
        <v>0</v>
      </c>
      <c r="N262" s="539" t="s">
        <v>200</v>
      </c>
      <c r="O262" s="540" t="s">
        <v>333</v>
      </c>
      <c r="P262" s="540">
        <v>1.46</v>
      </c>
      <c r="Q262" s="665">
        <v>1820</v>
      </c>
      <c r="R262" s="540"/>
      <c r="S262" s="541">
        <v>41660</v>
      </c>
      <c r="T262" s="541">
        <v>41729</v>
      </c>
      <c r="U262" s="542" t="str">
        <f t="shared" si="44"/>
        <v>EJECUTADO</v>
      </c>
      <c r="V262" s="543">
        <f t="shared" si="32"/>
        <v>2657.2</v>
      </c>
      <c r="W262" s="543">
        <f>+V262</f>
        <v>2657.2</v>
      </c>
      <c r="X262" s="543">
        <f t="shared" si="39"/>
        <v>0</v>
      </c>
      <c r="Y262" s="544"/>
      <c r="Z262" s="544"/>
      <c r="AA262" s="1072"/>
      <c r="AB262" s="640"/>
      <c r="AC262" s="545" t="s">
        <v>334</v>
      </c>
      <c r="AD262" s="545" t="s">
        <v>178</v>
      </c>
      <c r="AE262" s="546" t="s">
        <v>187</v>
      </c>
      <c r="AF262" s="547">
        <v>2014</v>
      </c>
      <c r="AG262" s="657"/>
      <c r="AH262" s="639"/>
    </row>
    <row r="263" spans="1:34" s="94" customFormat="1" ht="50.1" hidden="1" customHeight="1">
      <c r="A263" s="1068"/>
      <c r="B263" s="1087"/>
      <c r="C263" s="635" t="s">
        <v>182</v>
      </c>
      <c r="D263" s="1078"/>
      <c r="E263" s="655" t="str">
        <f t="shared" si="45"/>
        <v>VIA,PANAMERICANA - SAN JOSE-BUENAVISTA, L=7,3 km. (Chaguarpamba)</v>
      </c>
      <c r="F263" s="536" t="s">
        <v>330</v>
      </c>
      <c r="G263" s="536" t="str">
        <f>VLOOKUP(H263,'[5]Pob. Ext, Parroquial'!$B$9:$C$117,2,0)</f>
        <v>CHAGUARPAMBA</v>
      </c>
      <c r="H263" s="536" t="s">
        <v>379</v>
      </c>
      <c r="I263" s="536" t="s">
        <v>173</v>
      </c>
      <c r="J263" s="536" t="s">
        <v>174</v>
      </c>
      <c r="K263" s="537"/>
      <c r="L263" s="537">
        <f>ROUNDUP(Q263/5.5/1000,2)</f>
        <v>7.68</v>
      </c>
      <c r="M263" s="538">
        <f>IF(K263&gt;0,VLOOKUP(H263,'[5]Pob. Ext, Parroquial'!$B$8:$F$117,4,FALSE),0)</f>
        <v>0</v>
      </c>
      <c r="N263" s="539" t="s">
        <v>185</v>
      </c>
      <c r="O263" s="540" t="s">
        <v>314</v>
      </c>
      <c r="P263" s="540">
        <v>0.08</v>
      </c>
      <c r="Q263" s="665">
        <v>42195</v>
      </c>
      <c r="R263" s="540"/>
      <c r="S263" s="541">
        <v>41660</v>
      </c>
      <c r="T263" s="541">
        <v>41729</v>
      </c>
      <c r="U263" s="542" t="str">
        <f t="shared" si="44"/>
        <v>EJECUTADO</v>
      </c>
      <c r="V263" s="543">
        <f t="shared" si="32"/>
        <v>3375.6</v>
      </c>
      <c r="W263" s="543">
        <f>+V263</f>
        <v>3375.6</v>
      </c>
      <c r="X263" s="543">
        <f t="shared" si="39"/>
        <v>0</v>
      </c>
      <c r="Y263" s="544"/>
      <c r="Z263" s="544"/>
      <c r="AA263" s="1072"/>
      <c r="AB263" s="640"/>
      <c r="AC263" s="545" t="s">
        <v>334</v>
      </c>
      <c r="AD263" s="545" t="s">
        <v>178</v>
      </c>
      <c r="AE263" s="546" t="s">
        <v>187</v>
      </c>
      <c r="AF263" s="547">
        <v>2014</v>
      </c>
      <c r="AG263" s="657"/>
      <c r="AH263" s="639"/>
    </row>
    <row r="264" spans="1:34" s="94" customFormat="1" ht="50.1" hidden="1" customHeight="1">
      <c r="A264" s="1068"/>
      <c r="B264" s="1087"/>
      <c r="C264" s="635" t="s">
        <v>169</v>
      </c>
      <c r="D264" s="1078"/>
      <c r="E264" s="655" t="str">
        <f t="shared" si="45"/>
        <v>VIA,PANAMERICANA - SAN JOSE-BUENAVISTA, L=7,3 km. (Chaguarpamba)</v>
      </c>
      <c r="F264" s="536" t="s">
        <v>330</v>
      </c>
      <c r="G264" s="536" t="str">
        <f>VLOOKUP(H264,'[5]Pob. Ext, Parroquial'!$B$9:$C$117,2,0)</f>
        <v>CHAGUARPAMBA</v>
      </c>
      <c r="H264" s="536" t="s">
        <v>379</v>
      </c>
      <c r="I264" s="536" t="s">
        <v>173</v>
      </c>
      <c r="J264" s="536" t="s">
        <v>174</v>
      </c>
      <c r="K264" s="537"/>
      <c r="L264" s="537">
        <f>+ROUND(Q264/5500/0.2,2)</f>
        <v>2.77</v>
      </c>
      <c r="M264" s="538">
        <f>IF(K264&gt;0,VLOOKUP(H264,'[5]Pob. Ext, Parroquial'!$B$8:$F$117,4,FALSE),0)</f>
        <v>0</v>
      </c>
      <c r="N264" s="539" t="s">
        <v>229</v>
      </c>
      <c r="O264" s="540" t="s">
        <v>333</v>
      </c>
      <c r="P264" s="540">
        <v>5.92</v>
      </c>
      <c r="Q264" s="665">
        <v>3044</v>
      </c>
      <c r="R264" s="540"/>
      <c r="S264" s="541">
        <v>41660</v>
      </c>
      <c r="T264" s="541">
        <v>41685</v>
      </c>
      <c r="U264" s="542" t="str">
        <f t="shared" si="44"/>
        <v>EJECUTADO</v>
      </c>
      <c r="V264" s="543">
        <f t="shared" si="32"/>
        <v>18020.48</v>
      </c>
      <c r="W264" s="543">
        <v>17594.32</v>
      </c>
      <c r="X264" s="543">
        <f t="shared" si="39"/>
        <v>639.23999999999978</v>
      </c>
      <c r="Y264" s="544"/>
      <c r="Z264" s="544"/>
      <c r="AA264" s="1072"/>
      <c r="AB264" s="640"/>
      <c r="AC264" s="545" t="s">
        <v>334</v>
      </c>
      <c r="AD264" s="545" t="s">
        <v>178</v>
      </c>
      <c r="AE264" s="546" t="s">
        <v>187</v>
      </c>
      <c r="AF264" s="547">
        <v>2014</v>
      </c>
      <c r="AG264" s="657"/>
      <c r="AH264" s="639"/>
    </row>
    <row r="265" spans="1:34" s="94" customFormat="1" ht="50.1" hidden="1" customHeight="1">
      <c r="A265" s="1068"/>
      <c r="B265" s="1087"/>
      <c r="C265" s="635" t="s">
        <v>169</v>
      </c>
      <c r="D265" s="1074"/>
      <c r="E265" s="655" t="str">
        <f t="shared" si="45"/>
        <v>VIA,PANAMERICANA - SAN JOSE-BUENAVISTA, L=7,3 km. (Chaguarpamba)</v>
      </c>
      <c r="F265" s="536" t="s">
        <v>330</v>
      </c>
      <c r="G265" s="536" t="str">
        <f>VLOOKUP(H265,'[5]Pob. Ext, Parroquial'!$B$9:$C$117,2,0)</f>
        <v>CHAGUARPAMBA</v>
      </c>
      <c r="H265" s="536" t="s">
        <v>379</v>
      </c>
      <c r="I265" s="536" t="s">
        <v>173</v>
      </c>
      <c r="J265" s="536" t="s">
        <v>174</v>
      </c>
      <c r="K265" s="537"/>
      <c r="L265" s="537"/>
      <c r="M265" s="538">
        <f>IF(K265&gt;0,VLOOKUP(H265,'[5]Pob. Ext, Parroquial'!$B$8:$F$117,4,FALSE),0)</f>
        <v>0</v>
      </c>
      <c r="N265" s="539" t="s">
        <v>180</v>
      </c>
      <c r="O265" s="540" t="s">
        <v>352</v>
      </c>
      <c r="P265" s="540">
        <v>0.38</v>
      </c>
      <c r="Q265" s="665">
        <v>5665.78</v>
      </c>
      <c r="R265" s="540"/>
      <c r="S265" s="541">
        <v>41660</v>
      </c>
      <c r="T265" s="541">
        <v>41685</v>
      </c>
      <c r="U265" s="542" t="str">
        <f t="shared" si="44"/>
        <v>EJECUTADO</v>
      </c>
      <c r="V265" s="543">
        <f t="shared" si="32"/>
        <v>2153</v>
      </c>
      <c r="W265" s="543">
        <v>2153</v>
      </c>
      <c r="X265" s="543">
        <f t="shared" si="39"/>
        <v>0</v>
      </c>
      <c r="Y265" s="544"/>
      <c r="Z265" s="544"/>
      <c r="AA265" s="1072"/>
      <c r="AB265" s="640"/>
      <c r="AC265" s="545" t="s">
        <v>334</v>
      </c>
      <c r="AD265" s="545" t="s">
        <v>178</v>
      </c>
      <c r="AE265" s="546" t="s">
        <v>187</v>
      </c>
      <c r="AF265" s="547">
        <v>2014</v>
      </c>
      <c r="AG265" s="657"/>
      <c r="AH265" s="639"/>
    </row>
    <row r="266" spans="1:34" s="94" customFormat="1" ht="50.1" hidden="1" customHeight="1">
      <c r="A266" s="1068"/>
      <c r="B266" s="1076"/>
      <c r="C266" s="635" t="s">
        <v>169</v>
      </c>
      <c r="D266" s="1073" t="s">
        <v>380</v>
      </c>
      <c r="E266" s="636" t="str">
        <f t="shared" ref="E266:E366" si="46">+D266</f>
        <v>VIA, BUENAVISTA-AMARILLOS, L=9,9 km. (Chaguarpamba)</v>
      </c>
      <c r="F266" s="536" t="s">
        <v>330</v>
      </c>
      <c r="G266" s="536" t="str">
        <f>VLOOKUP(H266,'[5]Pob. Ext, Parroquial'!$B$9:$C$117,2,0)</f>
        <v>CHAGUARPAMBA</v>
      </c>
      <c r="H266" s="536" t="s">
        <v>381</v>
      </c>
      <c r="I266" s="536" t="s">
        <v>173</v>
      </c>
      <c r="J266" s="536" t="s">
        <v>174</v>
      </c>
      <c r="K266" s="537">
        <v>9.9</v>
      </c>
      <c r="L266" s="537"/>
      <c r="M266" s="538">
        <f>IF(K266&gt;0,VLOOKUP(H266,'[5]Pob. Ext, Parroquial'!$B$8:$F$117,4,FALSE),0)</f>
        <v>350</v>
      </c>
      <c r="N266" s="539" t="s">
        <v>361</v>
      </c>
      <c r="O266" s="540" t="s">
        <v>333</v>
      </c>
      <c r="P266" s="540">
        <v>2.54</v>
      </c>
      <c r="Q266" s="665">
        <v>1600</v>
      </c>
      <c r="R266" s="540"/>
      <c r="S266" s="541">
        <v>41686</v>
      </c>
      <c r="T266" s="541">
        <v>41691</v>
      </c>
      <c r="U266" s="542" t="str">
        <f t="shared" si="44"/>
        <v>EJECUTADO</v>
      </c>
      <c r="V266" s="543">
        <f t="shared" si="32"/>
        <v>4064</v>
      </c>
      <c r="W266" s="543">
        <v>4064</v>
      </c>
      <c r="X266" s="543">
        <f t="shared" si="39"/>
        <v>0</v>
      </c>
      <c r="Y266" s="544"/>
      <c r="Z266" s="544"/>
      <c r="AA266" s="1072">
        <f>SUM(V266:V271)</f>
        <v>15911.91</v>
      </c>
      <c r="AB266" s="640"/>
      <c r="AC266" s="545" t="s">
        <v>334</v>
      </c>
      <c r="AD266" s="545" t="s">
        <v>178</v>
      </c>
      <c r="AE266" s="546" t="s">
        <v>187</v>
      </c>
      <c r="AF266" s="547">
        <v>2014</v>
      </c>
      <c r="AG266" s="657"/>
      <c r="AH266" s="639"/>
    </row>
    <row r="267" spans="1:34" s="94" customFormat="1" ht="50.1" hidden="1" customHeight="1">
      <c r="A267" s="1068"/>
      <c r="B267" s="1076"/>
      <c r="C267" s="635" t="s">
        <v>169</v>
      </c>
      <c r="D267" s="1078"/>
      <c r="E267" s="655" t="str">
        <f t="shared" ref="E267:E271" si="47">+E266</f>
        <v>VIA, BUENAVISTA-AMARILLOS, L=9,9 km. (Chaguarpamba)</v>
      </c>
      <c r="F267" s="536" t="s">
        <v>330</v>
      </c>
      <c r="G267" s="536" t="str">
        <f>VLOOKUP(H267,'[5]Pob. Ext, Parroquial'!$B$9:$C$117,2,0)</f>
        <v>CHAGUARPAMBA</v>
      </c>
      <c r="H267" s="536" t="s">
        <v>381</v>
      </c>
      <c r="I267" s="536" t="s">
        <v>173</v>
      </c>
      <c r="J267" s="536" t="s">
        <v>174</v>
      </c>
      <c r="K267" s="537"/>
      <c r="L267" s="537"/>
      <c r="M267" s="538">
        <f>IF(K267&gt;0,VLOOKUP(H267,'[5]Pob. Ext, Parroquial'!$B$8:$F$117,4,FALSE),0)</f>
        <v>0</v>
      </c>
      <c r="N267" s="669" t="s">
        <v>336</v>
      </c>
      <c r="O267" s="540" t="s">
        <v>333</v>
      </c>
      <c r="P267" s="540">
        <v>1.47</v>
      </c>
      <c r="Q267" s="665">
        <v>300</v>
      </c>
      <c r="R267" s="540"/>
      <c r="S267" s="541">
        <v>41686</v>
      </c>
      <c r="T267" s="541">
        <v>41691</v>
      </c>
      <c r="U267" s="542" t="str">
        <f t="shared" si="44"/>
        <v>EJECUTADO</v>
      </c>
      <c r="V267" s="543">
        <f t="shared" ref="V267:V372" si="48">ROUND(P267*Q267,2)</f>
        <v>441</v>
      </c>
      <c r="W267" s="543">
        <v>441</v>
      </c>
      <c r="X267" s="543">
        <f t="shared" si="39"/>
        <v>0</v>
      </c>
      <c r="Y267" s="544"/>
      <c r="Z267" s="544"/>
      <c r="AA267" s="1072"/>
      <c r="AB267" s="640"/>
      <c r="AC267" s="545" t="s">
        <v>334</v>
      </c>
      <c r="AD267" s="545" t="s">
        <v>178</v>
      </c>
      <c r="AE267" s="546" t="s">
        <v>187</v>
      </c>
      <c r="AF267" s="547">
        <v>2014</v>
      </c>
      <c r="AG267" s="657"/>
      <c r="AH267" s="639"/>
    </row>
    <row r="268" spans="1:34" s="94" customFormat="1" ht="50.1" hidden="1" customHeight="1">
      <c r="A268" s="1068"/>
      <c r="B268" s="1076"/>
      <c r="C268" s="635" t="s">
        <v>182</v>
      </c>
      <c r="D268" s="1078"/>
      <c r="E268" s="655" t="str">
        <f t="shared" si="47"/>
        <v>VIA, BUENAVISTA-AMARILLOS, L=9,9 km. (Chaguarpamba)</v>
      </c>
      <c r="F268" s="536" t="s">
        <v>330</v>
      </c>
      <c r="G268" s="536" t="str">
        <f>VLOOKUP(H268,'[5]Pob. Ext, Parroquial'!$B$9:$C$117,2,0)</f>
        <v>CHAGUARPAMBA</v>
      </c>
      <c r="H268" s="536" t="s">
        <v>381</v>
      </c>
      <c r="I268" s="536" t="s">
        <v>173</v>
      </c>
      <c r="J268" s="536" t="s">
        <v>174</v>
      </c>
      <c r="K268" s="537"/>
      <c r="L268" s="537"/>
      <c r="M268" s="538">
        <f>IF(K268&gt;0,VLOOKUP(H268,'[5]Pob. Ext, Parroquial'!$B$8:$F$117,4,FALSE),0)</f>
        <v>0</v>
      </c>
      <c r="N268" s="539" t="s">
        <v>200</v>
      </c>
      <c r="O268" s="540" t="s">
        <v>333</v>
      </c>
      <c r="P268" s="540">
        <v>1.46</v>
      </c>
      <c r="Q268" s="665">
        <v>1650</v>
      </c>
      <c r="R268" s="540"/>
      <c r="S268" s="541">
        <v>41686</v>
      </c>
      <c r="T268" s="541">
        <v>41691</v>
      </c>
      <c r="U268" s="542" t="str">
        <f t="shared" si="44"/>
        <v>EJECUTADO</v>
      </c>
      <c r="V268" s="543">
        <f t="shared" si="48"/>
        <v>2409</v>
      </c>
      <c r="W268" s="543">
        <f>+V268</f>
        <v>2409</v>
      </c>
      <c r="X268" s="543">
        <f t="shared" si="39"/>
        <v>0</v>
      </c>
      <c r="Y268" s="544"/>
      <c r="Z268" s="544"/>
      <c r="AA268" s="1072"/>
      <c r="AB268" s="640"/>
      <c r="AC268" s="545" t="s">
        <v>334</v>
      </c>
      <c r="AD268" s="545" t="s">
        <v>178</v>
      </c>
      <c r="AE268" s="546" t="s">
        <v>187</v>
      </c>
      <c r="AF268" s="547">
        <v>2014</v>
      </c>
      <c r="AG268" s="657"/>
      <c r="AH268" s="639"/>
    </row>
    <row r="269" spans="1:34" s="94" customFormat="1" ht="50.1" hidden="1" customHeight="1">
      <c r="A269" s="1068"/>
      <c r="B269" s="1076"/>
      <c r="C269" s="635" t="s">
        <v>182</v>
      </c>
      <c r="D269" s="1078"/>
      <c r="E269" s="655" t="str">
        <f t="shared" si="47"/>
        <v>VIA, BUENAVISTA-AMARILLOS, L=9,9 km. (Chaguarpamba)</v>
      </c>
      <c r="F269" s="536" t="s">
        <v>330</v>
      </c>
      <c r="G269" s="536" t="str">
        <f>VLOOKUP(H269,'[5]Pob. Ext, Parroquial'!$B$9:$C$117,2,0)</f>
        <v>CHAGUARPAMBA</v>
      </c>
      <c r="H269" s="536" t="s">
        <v>381</v>
      </c>
      <c r="I269" s="536" t="s">
        <v>173</v>
      </c>
      <c r="J269" s="536" t="s">
        <v>174</v>
      </c>
      <c r="K269" s="537"/>
      <c r="L269" s="537">
        <f>ROUNDUP(Q269/5.5/1000,2)</f>
        <v>2.42</v>
      </c>
      <c r="M269" s="538">
        <f>IF(K269&gt;0,VLOOKUP(H269,'[5]Pob. Ext, Parroquial'!$B$8:$F$117,4,FALSE),0)</f>
        <v>0</v>
      </c>
      <c r="N269" s="539" t="s">
        <v>185</v>
      </c>
      <c r="O269" s="540" t="s">
        <v>314</v>
      </c>
      <c r="P269" s="540">
        <v>0.08</v>
      </c>
      <c r="Q269" s="665">
        <v>13260</v>
      </c>
      <c r="R269" s="540"/>
      <c r="S269" s="541">
        <v>41686</v>
      </c>
      <c r="T269" s="541">
        <v>41691</v>
      </c>
      <c r="U269" s="542" t="str">
        <f t="shared" si="44"/>
        <v>EJECUTADO</v>
      </c>
      <c r="V269" s="543">
        <f t="shared" si="48"/>
        <v>1060.8</v>
      </c>
      <c r="W269" s="543">
        <f>+V269</f>
        <v>1060.8</v>
      </c>
      <c r="X269" s="543">
        <f t="shared" si="39"/>
        <v>0</v>
      </c>
      <c r="Y269" s="544"/>
      <c r="Z269" s="544"/>
      <c r="AA269" s="1072"/>
      <c r="AB269" s="640"/>
      <c r="AC269" s="545" t="s">
        <v>334</v>
      </c>
      <c r="AD269" s="545" t="s">
        <v>178</v>
      </c>
      <c r="AE269" s="546" t="s">
        <v>187</v>
      </c>
      <c r="AF269" s="547">
        <v>2014</v>
      </c>
      <c r="AG269" s="657"/>
      <c r="AH269" s="639"/>
    </row>
    <row r="270" spans="1:34" s="94" customFormat="1" ht="50.1" hidden="1" customHeight="1">
      <c r="A270" s="1068"/>
      <c r="B270" s="1076"/>
      <c r="C270" s="635" t="s">
        <v>169</v>
      </c>
      <c r="D270" s="1078"/>
      <c r="E270" s="655" t="str">
        <f t="shared" si="47"/>
        <v>VIA, BUENAVISTA-AMARILLOS, L=9,9 km. (Chaguarpamba)</v>
      </c>
      <c r="F270" s="536" t="s">
        <v>330</v>
      </c>
      <c r="G270" s="536" t="str">
        <f>VLOOKUP(H270,'[5]Pob. Ext, Parroquial'!$B$9:$C$117,2,0)</f>
        <v>CHAGUARPAMBA</v>
      </c>
      <c r="H270" s="536" t="s">
        <v>381</v>
      </c>
      <c r="I270" s="536" t="s">
        <v>173</v>
      </c>
      <c r="J270" s="536" t="s">
        <v>174</v>
      </c>
      <c r="K270" s="537"/>
      <c r="L270" s="537">
        <f>+ROUND(Q270/5500/0.2,2)</f>
        <v>0.98</v>
      </c>
      <c r="M270" s="538">
        <f>IF(K270&gt;0,VLOOKUP(H270,'[5]Pob. Ext, Parroquial'!$B$8:$F$117,4,FALSE),0)</f>
        <v>0</v>
      </c>
      <c r="N270" s="539" t="s">
        <v>229</v>
      </c>
      <c r="O270" s="540" t="s">
        <v>333</v>
      </c>
      <c r="P270" s="540">
        <v>5.92</v>
      </c>
      <c r="Q270" s="665">
        <v>1079</v>
      </c>
      <c r="R270" s="540"/>
      <c r="S270" s="541">
        <v>41686</v>
      </c>
      <c r="T270" s="541">
        <v>41691</v>
      </c>
      <c r="U270" s="542" t="str">
        <f t="shared" si="44"/>
        <v>EJECUTADO</v>
      </c>
      <c r="V270" s="543">
        <f t="shared" si="48"/>
        <v>6387.68</v>
      </c>
      <c r="W270" s="543">
        <v>6236.62</v>
      </c>
      <c r="X270" s="543">
        <f t="shared" si="39"/>
        <v>226.5900000000006</v>
      </c>
      <c r="Y270" s="544"/>
      <c r="Z270" s="544"/>
      <c r="AA270" s="1072"/>
      <c r="AB270" s="640"/>
      <c r="AC270" s="545" t="s">
        <v>334</v>
      </c>
      <c r="AD270" s="545" t="s">
        <v>178</v>
      </c>
      <c r="AE270" s="546" t="s">
        <v>187</v>
      </c>
      <c r="AF270" s="547">
        <v>2014</v>
      </c>
      <c r="AG270" s="657"/>
      <c r="AH270" s="639"/>
    </row>
    <row r="271" spans="1:34" s="94" customFormat="1" ht="50.1" hidden="1" customHeight="1">
      <c r="A271" s="1068"/>
      <c r="B271" s="1076"/>
      <c r="C271" s="635" t="s">
        <v>169</v>
      </c>
      <c r="D271" s="1074"/>
      <c r="E271" s="655" t="str">
        <f t="shared" si="47"/>
        <v>VIA, BUENAVISTA-AMARILLOS, L=9,9 km. (Chaguarpamba)</v>
      </c>
      <c r="F271" s="536" t="s">
        <v>330</v>
      </c>
      <c r="G271" s="536" t="str">
        <f>VLOOKUP(H271,'[5]Pob. Ext, Parroquial'!$B$9:$C$117,2,0)</f>
        <v>CHAGUARPAMBA</v>
      </c>
      <c r="H271" s="536" t="s">
        <v>381</v>
      </c>
      <c r="I271" s="536" t="s">
        <v>173</v>
      </c>
      <c r="J271" s="536" t="s">
        <v>174</v>
      </c>
      <c r="K271" s="537"/>
      <c r="L271" s="537"/>
      <c r="M271" s="538">
        <f>IF(K271&gt;0,VLOOKUP(H271,'[5]Pob. Ext, Parroquial'!$B$8:$F$117,4,FALSE),0)</f>
        <v>0</v>
      </c>
      <c r="N271" s="539" t="s">
        <v>180</v>
      </c>
      <c r="O271" s="540" t="s">
        <v>352</v>
      </c>
      <c r="P271" s="540">
        <v>0.38</v>
      </c>
      <c r="Q271" s="665">
        <v>4077.45</v>
      </c>
      <c r="R271" s="540"/>
      <c r="S271" s="541">
        <v>41686</v>
      </c>
      <c r="T271" s="541">
        <v>41691</v>
      </c>
      <c r="U271" s="542" t="str">
        <f t="shared" si="44"/>
        <v>EJECUTADO</v>
      </c>
      <c r="V271" s="543">
        <f t="shared" si="48"/>
        <v>1549.43</v>
      </c>
      <c r="W271" s="543">
        <v>1549.43</v>
      </c>
      <c r="X271" s="543">
        <f t="shared" si="39"/>
        <v>0</v>
      </c>
      <c r="Y271" s="544"/>
      <c r="Z271" s="544"/>
      <c r="AA271" s="1072"/>
      <c r="AB271" s="640"/>
      <c r="AC271" s="545" t="s">
        <v>334</v>
      </c>
      <c r="AD271" s="545" t="s">
        <v>178</v>
      </c>
      <c r="AE271" s="546" t="s">
        <v>187</v>
      </c>
      <c r="AF271" s="547">
        <v>2014</v>
      </c>
      <c r="AG271" s="657"/>
      <c r="AH271" s="639"/>
    </row>
    <row r="272" spans="1:34" s="94" customFormat="1" ht="50.1" hidden="1" customHeight="1">
      <c r="A272" s="1068"/>
      <c r="B272" s="1076"/>
      <c r="C272" s="635" t="s">
        <v>182</v>
      </c>
      <c r="D272" s="1073" t="s">
        <v>382</v>
      </c>
      <c r="E272" s="636" t="str">
        <f t="shared" si="46"/>
        <v>VIAS DESDE BUENAVISTA A, VALLE HERMOSO, PALMAL Y PAN DE AZUCAR</v>
      </c>
      <c r="F272" s="536" t="s">
        <v>330</v>
      </c>
      <c r="G272" s="536" t="str">
        <f>VLOOKUP(H272,'[5]Pob. Ext, Parroquial'!$B$9:$C$117,2,0)</f>
        <v>CHAGUARPAMBA</v>
      </c>
      <c r="H272" s="536" t="s">
        <v>379</v>
      </c>
      <c r="I272" s="536" t="s">
        <v>173</v>
      </c>
      <c r="J272" s="536" t="s">
        <v>174</v>
      </c>
      <c r="K272" s="537">
        <v>13.6</v>
      </c>
      <c r="L272" s="537">
        <f>ROUNDUP(Q272/5.5/1000,2)</f>
        <v>4.2799999999999994</v>
      </c>
      <c r="M272" s="538">
        <f>IF(K272&gt;0,VLOOKUP(H272,'[5]Pob. Ext, Parroquial'!$B$8:$F$117,4,FALSE),0)</f>
        <v>483</v>
      </c>
      <c r="N272" s="539" t="s">
        <v>185</v>
      </c>
      <c r="O272" s="540" t="s">
        <v>314</v>
      </c>
      <c r="P272" s="540">
        <v>0.08</v>
      </c>
      <c r="Q272" s="665">
        <v>23520</v>
      </c>
      <c r="R272" s="540"/>
      <c r="S272" s="541">
        <v>41695</v>
      </c>
      <c r="T272" s="541">
        <v>41698</v>
      </c>
      <c r="U272" s="542" t="str">
        <f t="shared" si="44"/>
        <v>EJECUTADO</v>
      </c>
      <c r="V272" s="543">
        <f t="shared" si="48"/>
        <v>1881.6</v>
      </c>
      <c r="W272" s="543">
        <f>+V272</f>
        <v>1881.6</v>
      </c>
      <c r="X272" s="543">
        <f t="shared" si="39"/>
        <v>0</v>
      </c>
      <c r="Y272" s="544"/>
      <c r="Z272" s="544"/>
      <c r="AA272" s="1072">
        <f>SUM(V272:V273)</f>
        <v>3619</v>
      </c>
      <c r="AB272" s="640"/>
      <c r="AC272" s="545" t="s">
        <v>334</v>
      </c>
      <c r="AD272" s="545" t="s">
        <v>178</v>
      </c>
      <c r="AE272" s="546" t="s">
        <v>187</v>
      </c>
      <c r="AF272" s="547">
        <v>2014</v>
      </c>
      <c r="AG272" s="639"/>
      <c r="AH272" s="639"/>
    </row>
    <row r="273" spans="1:34" s="94" customFormat="1" ht="50.1" hidden="1" customHeight="1">
      <c r="A273" s="1068"/>
      <c r="B273" s="1076"/>
      <c r="C273" s="635" t="s">
        <v>182</v>
      </c>
      <c r="D273" s="1074"/>
      <c r="E273" s="655" t="str">
        <f t="shared" ref="E273" si="49">+E272</f>
        <v>VIAS DESDE BUENAVISTA A, VALLE HERMOSO, PALMAL Y PAN DE AZUCAR</v>
      </c>
      <c r="F273" s="536" t="s">
        <v>330</v>
      </c>
      <c r="G273" s="536" t="str">
        <f>VLOOKUP(H273,'[5]Pob. Ext, Parroquial'!$B$9:$C$117,2,0)</f>
        <v>CHAGUARPAMBA</v>
      </c>
      <c r="H273" s="536" t="s">
        <v>379</v>
      </c>
      <c r="I273" s="536" t="s">
        <v>173</v>
      </c>
      <c r="J273" s="536" t="s">
        <v>174</v>
      </c>
      <c r="K273" s="537"/>
      <c r="L273" s="537"/>
      <c r="M273" s="538">
        <f>IF(K273&gt;0,VLOOKUP(H273,'[5]Pob. Ext, Parroquial'!$B$8:$F$117,4,FALSE),0)</f>
        <v>0</v>
      </c>
      <c r="N273" s="539" t="s">
        <v>200</v>
      </c>
      <c r="O273" s="540" t="s">
        <v>333</v>
      </c>
      <c r="P273" s="540">
        <v>1.46</v>
      </c>
      <c r="Q273" s="665">
        <v>1190</v>
      </c>
      <c r="R273" s="540"/>
      <c r="S273" s="541">
        <v>41695</v>
      </c>
      <c r="T273" s="541">
        <v>41759</v>
      </c>
      <c r="U273" s="542" t="str">
        <f t="shared" si="44"/>
        <v>EJECUTADO</v>
      </c>
      <c r="V273" s="543">
        <f t="shared" si="48"/>
        <v>1737.4</v>
      </c>
      <c r="W273" s="543">
        <f>+V273</f>
        <v>1737.4</v>
      </c>
      <c r="X273" s="543">
        <f t="shared" si="39"/>
        <v>0</v>
      </c>
      <c r="Y273" s="544"/>
      <c r="Z273" s="544"/>
      <c r="AA273" s="1072"/>
      <c r="AB273" s="640"/>
      <c r="AC273" s="545" t="s">
        <v>334</v>
      </c>
      <c r="AD273" s="545" t="s">
        <v>178</v>
      </c>
      <c r="AE273" s="546" t="s">
        <v>187</v>
      </c>
      <c r="AF273" s="547">
        <v>2014</v>
      </c>
      <c r="AG273" s="639"/>
      <c r="AH273" s="639"/>
    </row>
    <row r="274" spans="1:34" s="94" customFormat="1" ht="50.1" hidden="1" customHeight="1">
      <c r="A274" s="1068"/>
      <c r="B274" s="1076"/>
      <c r="C274" s="635" t="s">
        <v>169</v>
      </c>
      <c r="D274" s="1073" t="s">
        <v>383</v>
      </c>
      <c r="E274" s="636" t="str">
        <f t="shared" si="46"/>
        <v xml:space="preserve">VIA, LAS JUNTAS-"Y" del GUINEO, RIO PINDO L=5.6 km. </v>
      </c>
      <c r="F274" s="536" t="s">
        <v>330</v>
      </c>
      <c r="G274" s="536" t="str">
        <f>VLOOKUP(H274,'[5]Pob. Ext, Parroquial'!$B$9:$C$117,2,0)</f>
        <v>CHAGUARPAMBA</v>
      </c>
      <c r="H274" s="670" t="s">
        <v>384</v>
      </c>
      <c r="I274" s="536" t="s">
        <v>173</v>
      </c>
      <c r="J274" s="536" t="s">
        <v>174</v>
      </c>
      <c r="K274" s="537">
        <v>4.2</v>
      </c>
      <c r="L274" s="537"/>
      <c r="M274" s="538">
        <f>IF(K274&gt;0,VLOOKUP(H274,'[5]Pob. Ext, Parroquial'!$B$8:$F$117,4,FALSE),0)</f>
        <v>698</v>
      </c>
      <c r="N274" s="539" t="s">
        <v>336</v>
      </c>
      <c r="O274" s="540" t="s">
        <v>333</v>
      </c>
      <c r="P274" s="540">
        <v>1.47</v>
      </c>
      <c r="Q274" s="665">
        <v>870</v>
      </c>
      <c r="R274" s="540"/>
      <c r="S274" s="541">
        <v>41646</v>
      </c>
      <c r="T274" s="541">
        <v>41670</v>
      </c>
      <c r="U274" s="542" t="str">
        <f t="shared" si="44"/>
        <v>EJECUTADO</v>
      </c>
      <c r="V274" s="543">
        <f t="shared" si="48"/>
        <v>1278.9000000000001</v>
      </c>
      <c r="W274" s="543">
        <v>1278.9000000000001</v>
      </c>
      <c r="X274" s="543">
        <f t="shared" si="39"/>
        <v>0</v>
      </c>
      <c r="Y274" s="544"/>
      <c r="Z274" s="544"/>
      <c r="AA274" s="1072">
        <f>SUM(V274:V277)</f>
        <v>4967.33</v>
      </c>
      <c r="AB274" s="640"/>
      <c r="AC274" s="545" t="s">
        <v>334</v>
      </c>
      <c r="AD274" s="545" t="s">
        <v>178</v>
      </c>
      <c r="AE274" s="546" t="s">
        <v>179</v>
      </c>
      <c r="AF274" s="547">
        <v>2014</v>
      </c>
      <c r="AG274" s="639"/>
      <c r="AH274" s="639"/>
    </row>
    <row r="275" spans="1:34" s="94" customFormat="1" ht="50.1" hidden="1" customHeight="1">
      <c r="A275" s="1068"/>
      <c r="B275" s="1076"/>
      <c r="C275" s="635" t="s">
        <v>182</v>
      </c>
      <c r="D275" s="1078"/>
      <c r="E275" s="655" t="str">
        <f t="shared" ref="E275:E277" si="50">+E274</f>
        <v xml:space="preserve">VIA, LAS JUNTAS-"Y" del GUINEO, RIO PINDO L=5.6 km. </v>
      </c>
      <c r="F275" s="536" t="s">
        <v>330</v>
      </c>
      <c r="G275" s="536" t="str">
        <f>VLOOKUP(H275,'[5]Pob. Ext, Parroquial'!$B$9:$C$117,2,0)</f>
        <v>CHAGUARPAMBA</v>
      </c>
      <c r="H275" s="670" t="s">
        <v>384</v>
      </c>
      <c r="I275" s="536" t="s">
        <v>173</v>
      </c>
      <c r="J275" s="536" t="s">
        <v>174</v>
      </c>
      <c r="K275" s="537"/>
      <c r="L275" s="537">
        <f>ROUNDUP(Q275/5.5/1000,2)</f>
        <v>1.1100000000000001</v>
      </c>
      <c r="M275" s="538">
        <f>IF(K275&gt;0,VLOOKUP(H275,'[5]Pob. Ext, Parroquial'!$B$8:$F$117,4,FALSE),0)</f>
        <v>0</v>
      </c>
      <c r="N275" s="539" t="s">
        <v>185</v>
      </c>
      <c r="O275" s="540" t="s">
        <v>314</v>
      </c>
      <c r="P275" s="540">
        <v>0.08</v>
      </c>
      <c r="Q275" s="665">
        <v>6080</v>
      </c>
      <c r="R275" s="540"/>
      <c r="S275" s="541">
        <v>41646</v>
      </c>
      <c r="T275" s="541">
        <v>41670</v>
      </c>
      <c r="U275" s="542" t="str">
        <f t="shared" si="44"/>
        <v>EJECUTADO</v>
      </c>
      <c r="V275" s="543">
        <f t="shared" si="48"/>
        <v>486.4</v>
      </c>
      <c r="W275" s="543">
        <f>+V275</f>
        <v>486.4</v>
      </c>
      <c r="X275" s="543">
        <f t="shared" si="39"/>
        <v>0</v>
      </c>
      <c r="Y275" s="544"/>
      <c r="Z275" s="544"/>
      <c r="AA275" s="1072"/>
      <c r="AB275" s="640"/>
      <c r="AC275" s="545" t="s">
        <v>334</v>
      </c>
      <c r="AD275" s="545" t="s">
        <v>178</v>
      </c>
      <c r="AE275" s="546" t="s">
        <v>179</v>
      </c>
      <c r="AF275" s="547">
        <v>2014</v>
      </c>
      <c r="AG275" s="639"/>
      <c r="AH275" s="639"/>
    </row>
    <row r="276" spans="1:34" s="94" customFormat="1" ht="50.1" hidden="1" customHeight="1">
      <c r="A276" s="1068"/>
      <c r="B276" s="1076"/>
      <c r="C276" s="635" t="s">
        <v>169</v>
      </c>
      <c r="D276" s="1078"/>
      <c r="E276" s="655" t="str">
        <f t="shared" si="50"/>
        <v xml:space="preserve">VIA, LAS JUNTAS-"Y" del GUINEO, RIO PINDO L=5.6 km. </v>
      </c>
      <c r="F276" s="536" t="s">
        <v>330</v>
      </c>
      <c r="G276" s="536" t="str">
        <f>VLOOKUP(H276,'[5]Pob. Ext, Parroquial'!$B$9:$C$117,2,0)</f>
        <v>CHAGUARPAMBA</v>
      </c>
      <c r="H276" s="670" t="s">
        <v>384</v>
      </c>
      <c r="I276" s="536" t="s">
        <v>173</v>
      </c>
      <c r="J276" s="536" t="s">
        <v>174</v>
      </c>
      <c r="K276" s="537"/>
      <c r="L276" s="537">
        <f>+ROUND(Q276/5500/0.2,2)</f>
        <v>0.41</v>
      </c>
      <c r="M276" s="538">
        <f>IF(K276&gt;0,VLOOKUP(H276,'[5]Pob. Ext, Parroquial'!$B$8:$F$117,4,FALSE),0)</f>
        <v>0</v>
      </c>
      <c r="N276" s="539" t="s">
        <v>229</v>
      </c>
      <c r="O276" s="540" t="s">
        <v>333</v>
      </c>
      <c r="P276" s="540">
        <v>5.92</v>
      </c>
      <c r="Q276" s="665">
        <v>456</v>
      </c>
      <c r="R276" s="540"/>
      <c r="S276" s="541">
        <v>41646</v>
      </c>
      <c r="T276" s="541">
        <v>41670</v>
      </c>
      <c r="U276" s="542" t="str">
        <f t="shared" si="44"/>
        <v>EJECUTADO</v>
      </c>
      <c r="V276" s="543">
        <f t="shared" si="48"/>
        <v>2699.52</v>
      </c>
      <c r="W276" s="543">
        <v>2635.68</v>
      </c>
      <c r="X276" s="543">
        <f t="shared" si="39"/>
        <v>95.760000000000218</v>
      </c>
      <c r="Y276" s="544"/>
      <c r="Z276" s="544"/>
      <c r="AA276" s="1072"/>
      <c r="AB276" s="640"/>
      <c r="AC276" s="545" t="s">
        <v>334</v>
      </c>
      <c r="AD276" s="545" t="s">
        <v>178</v>
      </c>
      <c r="AE276" s="546" t="s">
        <v>179</v>
      </c>
      <c r="AF276" s="547">
        <v>2014</v>
      </c>
      <c r="AG276" s="639"/>
      <c r="AH276" s="639"/>
    </row>
    <row r="277" spans="1:34" s="94" customFormat="1" ht="50.1" hidden="1" customHeight="1">
      <c r="A277" s="1068"/>
      <c r="B277" s="1076"/>
      <c r="C277" s="635" t="s">
        <v>169</v>
      </c>
      <c r="D277" s="1074"/>
      <c r="E277" s="655" t="str">
        <f t="shared" si="50"/>
        <v xml:space="preserve">VIA, LAS JUNTAS-"Y" del GUINEO, RIO PINDO L=5.6 km. </v>
      </c>
      <c r="F277" s="536" t="s">
        <v>330</v>
      </c>
      <c r="G277" s="536" t="str">
        <f>VLOOKUP(H277,'[5]Pob. Ext, Parroquial'!$B$9:$C$117,2,0)</f>
        <v>CHAGUARPAMBA</v>
      </c>
      <c r="H277" s="670" t="s">
        <v>384</v>
      </c>
      <c r="I277" s="536" t="s">
        <v>173</v>
      </c>
      <c r="J277" s="536" t="s">
        <v>174</v>
      </c>
      <c r="K277" s="537"/>
      <c r="L277" s="537"/>
      <c r="M277" s="538">
        <f>IF(K277&gt;0,VLOOKUP(H277,'[5]Pob. Ext, Parroquial'!$B$8:$F$117,4,FALSE),0)</f>
        <v>0</v>
      </c>
      <c r="N277" s="539" t="s">
        <v>180</v>
      </c>
      <c r="O277" s="540" t="s">
        <v>352</v>
      </c>
      <c r="P277" s="540">
        <v>0.38</v>
      </c>
      <c r="Q277" s="665">
        <v>1322.4</v>
      </c>
      <c r="R277" s="540"/>
      <c r="S277" s="541">
        <v>41646</v>
      </c>
      <c r="T277" s="541">
        <v>41670</v>
      </c>
      <c r="U277" s="542" t="str">
        <f t="shared" si="44"/>
        <v>EJECUTADO</v>
      </c>
      <c r="V277" s="543">
        <f t="shared" si="48"/>
        <v>502.51</v>
      </c>
      <c r="W277" s="543">
        <v>502.51</v>
      </c>
      <c r="X277" s="543">
        <f t="shared" si="39"/>
        <v>0</v>
      </c>
      <c r="Y277" s="544"/>
      <c r="Z277" s="544"/>
      <c r="AA277" s="1072"/>
      <c r="AB277" s="640"/>
      <c r="AC277" s="545" t="s">
        <v>334</v>
      </c>
      <c r="AD277" s="545" t="s">
        <v>178</v>
      </c>
      <c r="AE277" s="546" t="s">
        <v>179</v>
      </c>
      <c r="AF277" s="547">
        <v>2014</v>
      </c>
      <c r="AG277" s="639"/>
      <c r="AH277" s="639"/>
    </row>
    <row r="278" spans="1:34" s="94" customFormat="1" ht="50.1" hidden="1" customHeight="1">
      <c r="A278" s="641" t="s">
        <v>385</v>
      </c>
      <c r="B278" s="654" t="str">
        <f>+U278</f>
        <v>EJECUTADO</v>
      </c>
      <c r="C278" s="635" t="s">
        <v>182</v>
      </c>
      <c r="D278" s="635" t="s">
        <v>386</v>
      </c>
      <c r="E278" s="636" t="str">
        <f t="shared" si="46"/>
        <v>PLATAFORMA DEL CANAL,"Y" del GUINEO, L=4,2 km. (Chaguarpamba)</v>
      </c>
      <c r="F278" s="536" t="s">
        <v>330</v>
      </c>
      <c r="G278" s="536" t="str">
        <f>VLOOKUP(H278,'[5]Pob. Ext, Parroquial'!$B$9:$C$117,2,0)</f>
        <v>CHAGUARPAMBA</v>
      </c>
      <c r="H278" s="670" t="s">
        <v>384</v>
      </c>
      <c r="I278" s="536" t="s">
        <v>173</v>
      </c>
      <c r="J278" s="536" t="s">
        <v>174</v>
      </c>
      <c r="K278" s="537">
        <v>11</v>
      </c>
      <c r="L278" s="537"/>
      <c r="M278" s="538">
        <f>IF(K278&gt;0,VLOOKUP(H278,'[5]Pob. Ext, Parroquial'!$B$8:$F$117,4,FALSE),0)</f>
        <v>698</v>
      </c>
      <c r="N278" s="539" t="s">
        <v>387</v>
      </c>
      <c r="O278" s="540" t="s">
        <v>333</v>
      </c>
      <c r="P278" s="540">
        <v>1.46</v>
      </c>
      <c r="Q278" s="665">
        <v>1800</v>
      </c>
      <c r="R278" s="540"/>
      <c r="S278" s="541">
        <v>41846</v>
      </c>
      <c r="T278" s="541">
        <v>41851</v>
      </c>
      <c r="U278" s="542" t="str">
        <f t="shared" si="44"/>
        <v>EJECUTADO</v>
      </c>
      <c r="V278" s="543">
        <f t="shared" si="48"/>
        <v>2628</v>
      </c>
      <c r="W278" s="543"/>
      <c r="X278" s="543">
        <f t="shared" si="39"/>
        <v>3942</v>
      </c>
      <c r="Y278" s="544"/>
      <c r="Z278" s="544"/>
      <c r="AA278" s="643">
        <f>+V278</f>
        <v>2628</v>
      </c>
      <c r="AB278" s="640"/>
      <c r="AC278" s="545" t="s">
        <v>334</v>
      </c>
      <c r="AD278" s="545" t="s">
        <v>178</v>
      </c>
      <c r="AE278" s="546" t="s">
        <v>187</v>
      </c>
      <c r="AF278" s="547">
        <v>2014</v>
      </c>
      <c r="AG278" s="639"/>
      <c r="AH278" s="639"/>
    </row>
    <row r="279" spans="1:34" s="94" customFormat="1" ht="50.1" hidden="1" customHeight="1">
      <c r="A279" s="641"/>
      <c r="B279" s="654"/>
      <c r="C279" s="635" t="s">
        <v>169</v>
      </c>
      <c r="D279" s="1073" t="s">
        <v>776</v>
      </c>
      <c r="E279" s="636" t="s">
        <v>329</v>
      </c>
      <c r="F279" s="536" t="s">
        <v>330</v>
      </c>
      <c r="G279" s="536" t="str">
        <f>VLOOKUP(H279,'[5]Pob. Ext, Parroquial'!$B$9:$C$117,2,0)</f>
        <v>CHAGUARPAMBA</v>
      </c>
      <c r="H279" s="670" t="s">
        <v>384</v>
      </c>
      <c r="I279" s="536" t="s">
        <v>173</v>
      </c>
      <c r="J279" s="536" t="s">
        <v>174</v>
      </c>
      <c r="K279" s="537">
        <v>5.7</v>
      </c>
      <c r="L279" s="537">
        <v>5.7</v>
      </c>
      <c r="M279" s="538">
        <v>267</v>
      </c>
      <c r="N279" s="539" t="s">
        <v>332</v>
      </c>
      <c r="O279" s="540" t="s">
        <v>333</v>
      </c>
      <c r="P279" s="540">
        <v>1.62</v>
      </c>
      <c r="Q279" s="540"/>
      <c r="R279" s="540"/>
      <c r="S279" s="541">
        <v>41791</v>
      </c>
      <c r="T279" s="541">
        <v>41820</v>
      </c>
      <c r="U279" s="542" t="s">
        <v>179</v>
      </c>
      <c r="V279" s="543">
        <f t="shared" si="48"/>
        <v>0</v>
      </c>
      <c r="W279" s="544"/>
      <c r="X279" s="544"/>
      <c r="Y279" s="1072">
        <v>141961.84</v>
      </c>
      <c r="Z279" s="640"/>
      <c r="AA279" s="545" t="s">
        <v>334</v>
      </c>
      <c r="AB279" s="545" t="s">
        <v>178</v>
      </c>
      <c r="AC279" s="546" t="s">
        <v>187</v>
      </c>
      <c r="AD279" s="547">
        <v>2014</v>
      </c>
      <c r="AE279" s="546"/>
      <c r="AF279" s="547"/>
      <c r="AG279" s="639"/>
      <c r="AH279" s="639"/>
    </row>
    <row r="280" spans="1:34" s="94" customFormat="1" ht="50.1" hidden="1" customHeight="1">
      <c r="A280" s="641"/>
      <c r="B280" s="654"/>
      <c r="C280" s="635" t="s">
        <v>169</v>
      </c>
      <c r="D280" s="1078"/>
      <c r="E280" s="655" t="s">
        <v>329</v>
      </c>
      <c r="F280" s="536" t="s">
        <v>330</v>
      </c>
      <c r="G280" s="536" t="str">
        <f>VLOOKUP(H280,'[5]Pob. Ext, Parroquial'!$B$9:$C$117,2,0)</f>
        <v>CHAGUARPAMBA</v>
      </c>
      <c r="H280" s="670" t="s">
        <v>384</v>
      </c>
      <c r="I280" s="536" t="s">
        <v>173</v>
      </c>
      <c r="J280" s="536" t="s">
        <v>174</v>
      </c>
      <c r="K280" s="537"/>
      <c r="L280" s="537"/>
      <c r="M280" s="538">
        <v>0</v>
      </c>
      <c r="N280" s="539" t="s">
        <v>335</v>
      </c>
      <c r="O280" s="540" t="s">
        <v>333</v>
      </c>
      <c r="P280" s="540">
        <v>2.54</v>
      </c>
      <c r="Q280" s="540">
        <v>1200</v>
      </c>
      <c r="R280" s="540"/>
      <c r="S280" s="541">
        <v>41644</v>
      </c>
      <c r="T280" s="541">
        <v>41790</v>
      </c>
      <c r="U280" s="542" t="s">
        <v>179</v>
      </c>
      <c r="V280" s="543">
        <f t="shared" si="48"/>
        <v>3048</v>
      </c>
      <c r="W280" s="544"/>
      <c r="X280" s="544"/>
      <c r="Y280" s="1072"/>
      <c r="Z280" s="640"/>
      <c r="AA280" s="545" t="s">
        <v>334</v>
      </c>
      <c r="AB280" s="545" t="s">
        <v>178</v>
      </c>
      <c r="AC280" s="546" t="s">
        <v>187</v>
      </c>
      <c r="AD280" s="547">
        <v>2014</v>
      </c>
      <c r="AE280" s="546"/>
      <c r="AF280" s="547"/>
      <c r="AG280" s="639"/>
      <c r="AH280" s="639"/>
    </row>
    <row r="281" spans="1:34" s="94" customFormat="1" ht="50.1" hidden="1" customHeight="1">
      <c r="A281" s="641"/>
      <c r="B281" s="654"/>
      <c r="C281" s="635" t="s">
        <v>169</v>
      </c>
      <c r="D281" s="1078"/>
      <c r="E281" s="655" t="s">
        <v>329</v>
      </c>
      <c r="F281" s="536" t="s">
        <v>330</v>
      </c>
      <c r="G281" s="536" t="str">
        <f>VLOOKUP(H281,'[5]Pob. Ext, Parroquial'!$B$9:$C$117,2,0)</f>
        <v>CHAGUARPAMBA</v>
      </c>
      <c r="H281" s="670" t="s">
        <v>384</v>
      </c>
      <c r="I281" s="536" t="s">
        <v>173</v>
      </c>
      <c r="J281" s="536" t="s">
        <v>174</v>
      </c>
      <c r="K281" s="537"/>
      <c r="L281" s="537"/>
      <c r="M281" s="538">
        <v>0</v>
      </c>
      <c r="N281" s="539" t="s">
        <v>336</v>
      </c>
      <c r="O281" s="540" t="s">
        <v>333</v>
      </c>
      <c r="P281" s="540">
        <v>1.47</v>
      </c>
      <c r="Q281" s="540">
        <v>1100</v>
      </c>
      <c r="R281" s="540"/>
      <c r="S281" s="541">
        <v>41802</v>
      </c>
      <c r="T281" s="541">
        <v>41820</v>
      </c>
      <c r="U281" s="542" t="s">
        <v>179</v>
      </c>
      <c r="V281" s="543">
        <f t="shared" si="48"/>
        <v>1617</v>
      </c>
      <c r="W281" s="544"/>
      <c r="X281" s="544"/>
      <c r="Y281" s="1072"/>
      <c r="Z281" s="640"/>
      <c r="AA281" s="545" t="s">
        <v>334</v>
      </c>
      <c r="AB281" s="545" t="s">
        <v>178</v>
      </c>
      <c r="AC281" s="546" t="s">
        <v>187</v>
      </c>
      <c r="AD281" s="547">
        <v>2014</v>
      </c>
      <c r="AE281" s="546"/>
      <c r="AF281" s="547"/>
      <c r="AG281" s="639"/>
      <c r="AH281" s="639"/>
    </row>
    <row r="282" spans="1:34" s="94" customFormat="1" ht="50.1" hidden="1" customHeight="1">
      <c r="A282" s="641"/>
      <c r="B282" s="654"/>
      <c r="C282" s="635" t="s">
        <v>182</v>
      </c>
      <c r="D282" s="1078"/>
      <c r="E282" s="655" t="s">
        <v>329</v>
      </c>
      <c r="F282" s="536" t="s">
        <v>330</v>
      </c>
      <c r="G282" s="536" t="str">
        <f>VLOOKUP(H282,'[5]Pob. Ext, Parroquial'!$B$9:$C$117,2,0)</f>
        <v>CHAGUARPAMBA</v>
      </c>
      <c r="H282" s="670" t="s">
        <v>384</v>
      </c>
      <c r="I282" s="536" t="s">
        <v>173</v>
      </c>
      <c r="J282" s="536" t="s">
        <v>174</v>
      </c>
      <c r="K282" s="537"/>
      <c r="L282" s="537"/>
      <c r="M282" s="538">
        <v>0</v>
      </c>
      <c r="N282" s="539" t="s">
        <v>337</v>
      </c>
      <c r="O282" s="540" t="s">
        <v>333</v>
      </c>
      <c r="P282" s="540">
        <v>1.46</v>
      </c>
      <c r="Q282" s="540">
        <v>1200</v>
      </c>
      <c r="R282" s="540"/>
      <c r="S282" s="541">
        <v>41640</v>
      </c>
      <c r="T282" s="541">
        <v>41820</v>
      </c>
      <c r="U282" s="542" t="s">
        <v>179</v>
      </c>
      <c r="V282" s="543">
        <f t="shared" si="48"/>
        <v>1752</v>
      </c>
      <c r="W282" s="544"/>
      <c r="X282" s="544"/>
      <c r="Y282" s="1072"/>
      <c r="Z282" s="640"/>
      <c r="AA282" s="545" t="s">
        <v>334</v>
      </c>
      <c r="AB282" s="545" t="s">
        <v>178</v>
      </c>
      <c r="AC282" s="546" t="s">
        <v>187</v>
      </c>
      <c r="AD282" s="547">
        <v>2014</v>
      </c>
      <c r="AE282" s="546"/>
      <c r="AF282" s="547"/>
      <c r="AG282" s="639"/>
      <c r="AH282" s="639"/>
    </row>
    <row r="283" spans="1:34" s="94" customFormat="1" ht="50.1" hidden="1" customHeight="1">
      <c r="A283" s="641"/>
      <c r="B283" s="654"/>
      <c r="C283" s="635" t="s">
        <v>182</v>
      </c>
      <c r="D283" s="1078"/>
      <c r="E283" s="655" t="s">
        <v>329</v>
      </c>
      <c r="F283" s="536" t="s">
        <v>330</v>
      </c>
      <c r="G283" s="536" t="str">
        <f>VLOOKUP(H283,'[5]Pob. Ext, Parroquial'!$B$9:$C$117,2,0)</f>
        <v>CHAGUARPAMBA</v>
      </c>
      <c r="H283" s="670" t="s">
        <v>384</v>
      </c>
      <c r="I283" s="536" t="s">
        <v>173</v>
      </c>
      <c r="J283" s="536" t="s">
        <v>174</v>
      </c>
      <c r="K283" s="537"/>
      <c r="L283" s="537"/>
      <c r="M283" s="538">
        <v>0</v>
      </c>
      <c r="N283" s="539" t="s">
        <v>279</v>
      </c>
      <c r="O283" s="540" t="s">
        <v>333</v>
      </c>
      <c r="P283" s="540">
        <v>1.47</v>
      </c>
      <c r="Q283" s="540"/>
      <c r="R283" s="540"/>
      <c r="S283" s="541">
        <v>41644</v>
      </c>
      <c r="T283" s="541">
        <v>41851</v>
      </c>
      <c r="U283" s="542" t="s">
        <v>187</v>
      </c>
      <c r="V283" s="543">
        <f t="shared" si="48"/>
        <v>0</v>
      </c>
      <c r="W283" s="544"/>
      <c r="X283" s="544"/>
      <c r="Y283" s="1072"/>
      <c r="Z283" s="640"/>
      <c r="AA283" s="545" t="s">
        <v>334</v>
      </c>
      <c r="AB283" s="545" t="s">
        <v>178</v>
      </c>
      <c r="AC283" s="546" t="s">
        <v>187</v>
      </c>
      <c r="AD283" s="547">
        <v>2014</v>
      </c>
      <c r="AE283" s="546"/>
      <c r="AF283" s="547"/>
      <c r="AG283" s="639"/>
      <c r="AH283" s="639"/>
    </row>
    <row r="284" spans="1:34" s="94" customFormat="1" ht="50.1" hidden="1" customHeight="1">
      <c r="A284" s="641"/>
      <c r="B284" s="654"/>
      <c r="C284" s="635" t="s">
        <v>182</v>
      </c>
      <c r="D284" s="1078"/>
      <c r="E284" s="655" t="s">
        <v>329</v>
      </c>
      <c r="F284" s="536" t="s">
        <v>330</v>
      </c>
      <c r="G284" s="536" t="str">
        <f>VLOOKUP(H284,'[5]Pob. Ext, Parroquial'!$B$9:$C$117,2,0)</f>
        <v>CHAGUARPAMBA</v>
      </c>
      <c r="H284" s="670" t="s">
        <v>384</v>
      </c>
      <c r="I284" s="536" t="s">
        <v>173</v>
      </c>
      <c r="J284" s="536" t="s">
        <v>174</v>
      </c>
      <c r="K284" s="537"/>
      <c r="L284" s="537"/>
      <c r="M284" s="538">
        <v>144</v>
      </c>
      <c r="N284" s="539" t="s">
        <v>229</v>
      </c>
      <c r="O284" s="540" t="s">
        <v>333</v>
      </c>
      <c r="P284" s="540">
        <v>5.92</v>
      </c>
      <c r="Q284" s="540">
        <v>1010</v>
      </c>
      <c r="R284" s="540"/>
      <c r="S284" s="541">
        <v>41640</v>
      </c>
      <c r="T284" s="541">
        <v>41759</v>
      </c>
      <c r="U284" s="542" t="s">
        <v>179</v>
      </c>
      <c r="V284" s="543">
        <f t="shared" si="48"/>
        <v>5979.2</v>
      </c>
      <c r="W284" s="544"/>
      <c r="X284" s="544"/>
      <c r="Y284" s="1072"/>
      <c r="Z284" s="640"/>
      <c r="AA284" s="545" t="s">
        <v>334</v>
      </c>
      <c r="AB284" s="545" t="s">
        <v>178</v>
      </c>
      <c r="AC284" s="546" t="s">
        <v>187</v>
      </c>
      <c r="AD284" s="547">
        <v>2014</v>
      </c>
      <c r="AE284" s="546"/>
      <c r="AF284" s="547"/>
      <c r="AG284" s="639"/>
      <c r="AH284" s="639"/>
    </row>
    <row r="285" spans="1:34" s="94" customFormat="1" ht="50.1" hidden="1" customHeight="1">
      <c r="A285" s="641"/>
      <c r="B285" s="654"/>
      <c r="C285" s="635" t="s">
        <v>182</v>
      </c>
      <c r="D285" s="1078"/>
      <c r="E285" s="655" t="s">
        <v>329</v>
      </c>
      <c r="F285" s="536" t="s">
        <v>330</v>
      </c>
      <c r="G285" s="536" t="str">
        <f>VLOOKUP(H285,'[5]Pob. Ext, Parroquial'!$B$9:$C$117,2,0)</f>
        <v>CHAGUARPAMBA</v>
      </c>
      <c r="H285" s="670" t="s">
        <v>384</v>
      </c>
      <c r="I285" s="536" t="s">
        <v>173</v>
      </c>
      <c r="J285" s="536" t="s">
        <v>174</v>
      </c>
      <c r="K285" s="537"/>
      <c r="L285" s="537"/>
      <c r="M285" s="538">
        <v>0</v>
      </c>
      <c r="N285" s="539" t="s">
        <v>339</v>
      </c>
      <c r="O285" s="540" t="s">
        <v>314</v>
      </c>
      <c r="P285" s="540">
        <v>0.35</v>
      </c>
      <c r="Q285" s="540">
        <v>34230</v>
      </c>
      <c r="R285" s="540"/>
      <c r="S285" s="541">
        <v>41640</v>
      </c>
      <c r="T285" s="541">
        <v>41820</v>
      </c>
      <c r="U285" s="542" t="s">
        <v>179</v>
      </c>
      <c r="V285" s="543">
        <f t="shared" si="48"/>
        <v>11980.5</v>
      </c>
      <c r="W285" s="544"/>
      <c r="X285" s="544"/>
      <c r="Y285" s="1072"/>
      <c r="Z285" s="640"/>
      <c r="AA285" s="545" t="s">
        <v>334</v>
      </c>
      <c r="AB285" s="545" t="s">
        <v>178</v>
      </c>
      <c r="AC285" s="546" t="s">
        <v>187</v>
      </c>
      <c r="AD285" s="547">
        <v>2014</v>
      </c>
      <c r="AE285" s="546"/>
      <c r="AF285" s="547"/>
      <c r="AG285" s="639"/>
      <c r="AH285" s="639"/>
    </row>
    <row r="286" spans="1:34" s="94" customFormat="1" ht="50.1" hidden="1" customHeight="1">
      <c r="A286" s="641"/>
      <c r="B286" s="654"/>
      <c r="C286" s="635" t="s">
        <v>169</v>
      </c>
      <c r="D286" s="1078"/>
      <c r="E286" s="655" t="s">
        <v>329</v>
      </c>
      <c r="F286" s="536" t="s">
        <v>330</v>
      </c>
      <c r="G286" s="536" t="str">
        <f>VLOOKUP(H286,'[5]Pob. Ext, Parroquial'!$B$9:$C$117,2,0)</f>
        <v>CHAGUARPAMBA</v>
      </c>
      <c r="H286" s="670" t="s">
        <v>384</v>
      </c>
      <c r="I286" s="536" t="s">
        <v>173</v>
      </c>
      <c r="J286" s="536" t="s">
        <v>174</v>
      </c>
      <c r="K286" s="537"/>
      <c r="L286" s="537"/>
      <c r="M286" s="538">
        <v>0</v>
      </c>
      <c r="N286" s="539" t="s">
        <v>340</v>
      </c>
      <c r="O286" s="540" t="s">
        <v>341</v>
      </c>
      <c r="P286" s="540">
        <v>0.3</v>
      </c>
      <c r="Q286" s="540">
        <v>6831</v>
      </c>
      <c r="R286" s="540"/>
      <c r="S286" s="541">
        <v>41644</v>
      </c>
      <c r="T286" s="541">
        <v>41820</v>
      </c>
      <c r="U286" s="542" t="s">
        <v>179</v>
      </c>
      <c r="V286" s="543">
        <f t="shared" si="48"/>
        <v>2049.3000000000002</v>
      </c>
      <c r="W286" s="544"/>
      <c r="X286" s="544"/>
      <c r="Y286" s="1072"/>
      <c r="Z286" s="640"/>
      <c r="AA286" s="545" t="s">
        <v>334</v>
      </c>
      <c r="AB286" s="545" t="s">
        <v>178</v>
      </c>
      <c r="AC286" s="546" t="s">
        <v>187</v>
      </c>
      <c r="AD286" s="547">
        <v>2014</v>
      </c>
      <c r="AE286" s="546"/>
      <c r="AF286" s="547"/>
      <c r="AG286" s="639"/>
      <c r="AH286" s="639"/>
    </row>
    <row r="287" spans="1:34" s="94" customFormat="1" ht="50.1" hidden="1" customHeight="1">
      <c r="A287" s="641"/>
      <c r="B287" s="654"/>
      <c r="C287" s="635" t="s">
        <v>182</v>
      </c>
      <c r="D287" s="1074"/>
      <c r="E287" s="655" t="s">
        <v>329</v>
      </c>
      <c r="F287" s="536" t="s">
        <v>330</v>
      </c>
      <c r="G287" s="536" t="str">
        <f>VLOOKUP(H287,'[5]Pob. Ext, Parroquial'!$B$9:$C$117,2,0)</f>
        <v>CHAGUARPAMBA</v>
      </c>
      <c r="H287" s="670" t="s">
        <v>384</v>
      </c>
      <c r="I287" s="536" t="s">
        <v>173</v>
      </c>
      <c r="J287" s="536" t="s">
        <v>174</v>
      </c>
      <c r="K287" s="537"/>
      <c r="L287" s="537"/>
      <c r="M287" s="538">
        <v>200</v>
      </c>
      <c r="N287" s="539" t="s">
        <v>351</v>
      </c>
      <c r="O287" s="540" t="s">
        <v>352</v>
      </c>
      <c r="P287" s="540">
        <v>0.38</v>
      </c>
      <c r="Q287" s="540">
        <v>1176.48</v>
      </c>
      <c r="R287" s="540"/>
      <c r="S287" s="541">
        <v>41760</v>
      </c>
      <c r="T287" s="541">
        <v>41790</v>
      </c>
      <c r="U287" s="542" t="s">
        <v>179</v>
      </c>
      <c r="V287" s="543">
        <f t="shared" si="48"/>
        <v>447.06</v>
      </c>
      <c r="W287" s="544"/>
      <c r="X287" s="544"/>
      <c r="Y287" s="1072"/>
      <c r="Z287" s="640"/>
      <c r="AA287" s="545" t="s">
        <v>334</v>
      </c>
      <c r="AB287" s="545" t="s">
        <v>178</v>
      </c>
      <c r="AC287" s="546" t="s">
        <v>187</v>
      </c>
      <c r="AD287" s="547">
        <v>2014</v>
      </c>
      <c r="AE287" s="546"/>
      <c r="AF287" s="547"/>
      <c r="AG287" s="639"/>
      <c r="AH287" s="639"/>
    </row>
    <row r="288" spans="1:34" s="94" customFormat="1" ht="50.1" hidden="1" customHeight="1">
      <c r="A288" s="641"/>
      <c r="B288" s="654"/>
      <c r="C288" s="635" t="s">
        <v>182</v>
      </c>
      <c r="D288" s="671" t="s">
        <v>777</v>
      </c>
      <c r="E288" s="655" t="str">
        <f>+D288</f>
        <v>VIA SANTARUFINA PUEBLO NUEVO 2.8 KM</v>
      </c>
      <c r="F288" s="536" t="s">
        <v>330</v>
      </c>
      <c r="G288" s="536" t="str">
        <f>VLOOKUP(H288,'[5]Pob. Ext, Parroquial'!$B$9:$C$117,2,0)</f>
        <v>CHAGUARPAMBA</v>
      </c>
      <c r="H288" s="670" t="s">
        <v>384</v>
      </c>
      <c r="I288" s="536" t="s">
        <v>173</v>
      </c>
      <c r="J288" s="536" t="s">
        <v>174</v>
      </c>
      <c r="K288" s="537">
        <v>2.8</v>
      </c>
      <c r="L288" s="537">
        <v>2.8</v>
      </c>
      <c r="M288" s="538">
        <v>0</v>
      </c>
      <c r="N288" s="539" t="s">
        <v>279</v>
      </c>
      <c r="O288" s="540" t="s">
        <v>333</v>
      </c>
      <c r="P288" s="540">
        <v>1.47</v>
      </c>
      <c r="Q288" s="540">
        <v>600</v>
      </c>
      <c r="R288" s="540"/>
      <c r="S288" s="541">
        <v>41644</v>
      </c>
      <c r="T288" s="541">
        <v>41851</v>
      </c>
      <c r="U288" s="542" t="s">
        <v>187</v>
      </c>
      <c r="V288" s="543">
        <f t="shared" si="48"/>
        <v>882</v>
      </c>
      <c r="W288" s="544"/>
      <c r="X288" s="544"/>
      <c r="Y288" s="672"/>
      <c r="Z288" s="640"/>
      <c r="AA288" s="673"/>
      <c r="AB288" s="674"/>
      <c r="AC288" s="546"/>
      <c r="AD288" s="547"/>
      <c r="AE288" s="546"/>
      <c r="AF288" s="547"/>
      <c r="AG288" s="639"/>
      <c r="AH288" s="639"/>
    </row>
    <row r="289" spans="1:34" s="94" customFormat="1" ht="50.1" hidden="1" customHeight="1">
      <c r="A289" s="641"/>
      <c r="B289" s="654"/>
      <c r="C289" s="635" t="s">
        <v>182</v>
      </c>
      <c r="D289" s="671" t="s">
        <v>778</v>
      </c>
      <c r="E289" s="655" t="str">
        <f>+D289</f>
        <v>VIA AMANCAY SANTARUFINA PUEBLO NUEVO 1,7 KM</v>
      </c>
      <c r="F289" s="536" t="s">
        <v>330</v>
      </c>
      <c r="G289" s="536" t="str">
        <f>VLOOKUP(H289,'[5]Pob. Ext, Parroquial'!$B$9:$C$117,2,0)</f>
        <v>CHAGUARPAMBA</v>
      </c>
      <c r="H289" s="670" t="s">
        <v>384</v>
      </c>
      <c r="I289" s="536" t="s">
        <v>173</v>
      </c>
      <c r="J289" s="536" t="s">
        <v>174</v>
      </c>
      <c r="K289" s="537">
        <v>1.7</v>
      </c>
      <c r="L289" s="537">
        <v>1.7</v>
      </c>
      <c r="M289" s="538">
        <v>0</v>
      </c>
      <c r="N289" s="539" t="s">
        <v>339</v>
      </c>
      <c r="O289" s="540" t="s">
        <v>314</v>
      </c>
      <c r="P289" s="540">
        <v>0.35</v>
      </c>
      <c r="Q289" s="540">
        <v>16830</v>
      </c>
      <c r="R289" s="540"/>
      <c r="S289" s="541">
        <v>41640</v>
      </c>
      <c r="T289" s="541">
        <v>41820</v>
      </c>
      <c r="U289" s="542" t="s">
        <v>179</v>
      </c>
      <c r="V289" s="543">
        <f t="shared" si="48"/>
        <v>5890.5</v>
      </c>
      <c r="W289" s="544"/>
      <c r="X289" s="544"/>
      <c r="Y289" s="672"/>
      <c r="Z289" s="640"/>
      <c r="AA289" s="673"/>
      <c r="AB289" s="674"/>
      <c r="AC289" s="546"/>
      <c r="AD289" s="547"/>
      <c r="AE289" s="546"/>
      <c r="AF289" s="547"/>
      <c r="AG289" s="639"/>
      <c r="AH289" s="639"/>
    </row>
    <row r="290" spans="1:34" s="94" customFormat="1" ht="50.1" hidden="1" customHeight="1">
      <c r="A290" s="641"/>
      <c r="B290" s="654"/>
      <c r="C290" s="635" t="s">
        <v>182</v>
      </c>
      <c r="D290" s="671" t="s">
        <v>778</v>
      </c>
      <c r="E290" s="655" t="str">
        <f>+E289</f>
        <v>VIA AMANCAY SANTARUFINA PUEBLO NUEVO 1,7 KM</v>
      </c>
      <c r="F290" s="536" t="s">
        <v>330</v>
      </c>
      <c r="G290" s="536" t="s">
        <v>583</v>
      </c>
      <c r="H290" s="670" t="s">
        <v>384</v>
      </c>
      <c r="I290" s="536" t="s">
        <v>173</v>
      </c>
      <c r="J290" s="536" t="s">
        <v>174</v>
      </c>
      <c r="K290" s="537"/>
      <c r="L290" s="537"/>
      <c r="M290" s="538">
        <v>0</v>
      </c>
      <c r="N290" s="539" t="s">
        <v>279</v>
      </c>
      <c r="O290" s="540" t="s">
        <v>333</v>
      </c>
      <c r="P290" s="540">
        <v>1.47</v>
      </c>
      <c r="Q290" s="540"/>
      <c r="R290" s="540"/>
      <c r="S290" s="541">
        <v>41644</v>
      </c>
      <c r="T290" s="541">
        <v>41851</v>
      </c>
      <c r="U290" s="542" t="s">
        <v>187</v>
      </c>
      <c r="V290" s="543">
        <f t="shared" si="48"/>
        <v>0</v>
      </c>
      <c r="W290" s="672"/>
      <c r="X290" s="640"/>
      <c r="Y290" s="673"/>
      <c r="Z290" s="674"/>
      <c r="AA290" s="546"/>
      <c r="AB290" s="547"/>
      <c r="AC290" s="546"/>
      <c r="AD290" s="547"/>
      <c r="AE290" s="546"/>
      <c r="AF290" s="547"/>
      <c r="AG290" s="639"/>
      <c r="AH290" s="639"/>
    </row>
    <row r="291" spans="1:34" s="94" customFormat="1" ht="50.1" hidden="1" customHeight="1">
      <c r="A291" s="641"/>
      <c r="B291" s="654"/>
      <c r="C291" s="635" t="s">
        <v>182</v>
      </c>
      <c r="D291" s="671"/>
      <c r="E291" s="655" t="str">
        <f t="shared" ref="E291:E297" si="51">+E290</f>
        <v>VIA AMANCAY SANTARUFINA PUEBLO NUEVO 1,7 KM</v>
      </c>
      <c r="F291" s="536" t="s">
        <v>330</v>
      </c>
      <c r="G291" s="536" t="s">
        <v>583</v>
      </c>
      <c r="H291" s="670" t="s">
        <v>384</v>
      </c>
      <c r="I291" s="536" t="s">
        <v>173</v>
      </c>
      <c r="J291" s="536" t="s">
        <v>174</v>
      </c>
      <c r="K291" s="537"/>
      <c r="L291" s="537"/>
      <c r="M291" s="538">
        <v>0</v>
      </c>
      <c r="N291" s="539" t="s">
        <v>339</v>
      </c>
      <c r="O291" s="540" t="s">
        <v>314</v>
      </c>
      <c r="P291" s="540">
        <v>0.35</v>
      </c>
      <c r="Q291" s="540"/>
      <c r="R291" s="540"/>
      <c r="S291" s="541">
        <v>41640</v>
      </c>
      <c r="T291" s="541">
        <v>41820</v>
      </c>
      <c r="U291" s="542" t="s">
        <v>179</v>
      </c>
      <c r="V291" s="543">
        <f t="shared" si="48"/>
        <v>0</v>
      </c>
      <c r="W291" s="672"/>
      <c r="X291" s="640"/>
      <c r="Y291" s="673"/>
      <c r="Z291" s="674"/>
      <c r="AA291" s="546"/>
      <c r="AB291" s="547"/>
      <c r="AC291" s="546"/>
      <c r="AD291" s="547"/>
      <c r="AE291" s="546"/>
      <c r="AF291" s="547"/>
      <c r="AG291" s="639"/>
      <c r="AH291" s="639"/>
    </row>
    <row r="292" spans="1:34" s="94" customFormat="1" ht="50.1" hidden="1" customHeight="1">
      <c r="A292" s="641"/>
      <c r="B292" s="654"/>
      <c r="C292" s="635" t="s">
        <v>182</v>
      </c>
      <c r="D292" s="671"/>
      <c r="E292" s="655" t="str">
        <f t="shared" si="51"/>
        <v>VIA AMANCAY SANTARUFINA PUEBLO NUEVO 1,7 KM</v>
      </c>
      <c r="F292" s="536" t="s">
        <v>330</v>
      </c>
      <c r="G292" s="536" t="s">
        <v>583</v>
      </c>
      <c r="H292" s="670" t="s">
        <v>384</v>
      </c>
      <c r="I292" s="536" t="s">
        <v>173</v>
      </c>
      <c r="J292" s="536" t="s">
        <v>174</v>
      </c>
      <c r="K292" s="537"/>
      <c r="L292" s="537"/>
      <c r="M292" s="538"/>
      <c r="N292" s="539" t="s">
        <v>335</v>
      </c>
      <c r="O292" s="540" t="s">
        <v>333</v>
      </c>
      <c r="P292" s="540">
        <v>2.54</v>
      </c>
      <c r="Q292" s="540">
        <v>1100</v>
      </c>
      <c r="R292" s="540"/>
      <c r="S292" s="541">
        <v>41644</v>
      </c>
      <c r="T292" s="541">
        <v>41790</v>
      </c>
      <c r="U292" s="542" t="s">
        <v>179</v>
      </c>
      <c r="V292" s="543">
        <f t="shared" si="48"/>
        <v>2794</v>
      </c>
      <c r="W292" s="672"/>
      <c r="X292" s="640"/>
      <c r="Y292" s="673"/>
      <c r="Z292" s="674"/>
      <c r="AA292" s="675"/>
      <c r="AB292" s="676"/>
      <c r="AC292" s="546"/>
      <c r="AD292" s="547"/>
      <c r="AE292" s="546"/>
      <c r="AF292" s="547"/>
      <c r="AG292" s="639"/>
      <c r="AH292" s="639"/>
    </row>
    <row r="293" spans="1:34" s="94" customFormat="1" ht="50.1" hidden="1" customHeight="1">
      <c r="A293" s="641"/>
      <c r="B293" s="654"/>
      <c r="C293" s="635" t="s">
        <v>182</v>
      </c>
      <c r="D293" s="671"/>
      <c r="E293" s="655" t="str">
        <f t="shared" si="51"/>
        <v>VIA AMANCAY SANTARUFINA PUEBLO NUEVO 1,7 KM</v>
      </c>
      <c r="F293" s="536" t="s">
        <v>330</v>
      </c>
      <c r="G293" s="536" t="s">
        <v>583</v>
      </c>
      <c r="H293" s="670" t="s">
        <v>384</v>
      </c>
      <c r="I293" s="536" t="s">
        <v>173</v>
      </c>
      <c r="J293" s="536" t="s">
        <v>174</v>
      </c>
      <c r="K293" s="537"/>
      <c r="L293" s="537"/>
      <c r="M293" s="538"/>
      <c r="N293" s="539" t="s">
        <v>336</v>
      </c>
      <c r="O293" s="540" t="s">
        <v>333</v>
      </c>
      <c r="P293" s="540">
        <v>1.47</v>
      </c>
      <c r="Q293" s="540">
        <v>1100</v>
      </c>
      <c r="R293" s="540"/>
      <c r="S293" s="541">
        <v>41802</v>
      </c>
      <c r="T293" s="541">
        <v>41820</v>
      </c>
      <c r="U293" s="542" t="s">
        <v>179</v>
      </c>
      <c r="V293" s="543">
        <f t="shared" si="48"/>
        <v>1617</v>
      </c>
      <c r="W293" s="672"/>
      <c r="X293" s="640"/>
      <c r="Y293" s="673"/>
      <c r="Z293" s="674"/>
      <c r="AA293" s="675"/>
      <c r="AB293" s="676"/>
      <c r="AC293" s="546"/>
      <c r="AD293" s="547"/>
      <c r="AE293" s="546"/>
      <c r="AF293" s="547"/>
      <c r="AG293" s="639"/>
      <c r="AH293" s="639"/>
    </row>
    <row r="294" spans="1:34" s="94" customFormat="1" ht="50.1" hidden="1" customHeight="1">
      <c r="A294" s="641"/>
      <c r="B294" s="654"/>
      <c r="C294" s="635" t="s">
        <v>182</v>
      </c>
      <c r="D294" s="671"/>
      <c r="E294" s="655" t="str">
        <f t="shared" si="51"/>
        <v>VIA AMANCAY SANTARUFINA PUEBLO NUEVO 1,7 KM</v>
      </c>
      <c r="F294" s="536" t="s">
        <v>330</v>
      </c>
      <c r="G294" s="536" t="s">
        <v>583</v>
      </c>
      <c r="H294" s="670" t="s">
        <v>384</v>
      </c>
      <c r="I294" s="536" t="s">
        <v>173</v>
      </c>
      <c r="J294" s="536" t="s">
        <v>174</v>
      </c>
      <c r="K294" s="537"/>
      <c r="L294" s="537"/>
      <c r="M294" s="538"/>
      <c r="N294" s="539" t="s">
        <v>337</v>
      </c>
      <c r="O294" s="540" t="s">
        <v>333</v>
      </c>
      <c r="P294" s="540">
        <v>1.46</v>
      </c>
      <c r="Q294" s="540">
        <v>840</v>
      </c>
      <c r="R294" s="540"/>
      <c r="S294" s="541">
        <v>41640</v>
      </c>
      <c r="T294" s="541">
        <v>41820</v>
      </c>
      <c r="U294" s="542" t="s">
        <v>179</v>
      </c>
      <c r="V294" s="543">
        <f t="shared" si="48"/>
        <v>1226.4000000000001</v>
      </c>
      <c r="W294" s="672"/>
      <c r="X294" s="640"/>
      <c r="Y294" s="673"/>
      <c r="Z294" s="674"/>
      <c r="AA294" s="675"/>
      <c r="AB294" s="676"/>
      <c r="AC294" s="546"/>
      <c r="AD294" s="547"/>
      <c r="AE294" s="546"/>
      <c r="AF294" s="547"/>
      <c r="AG294" s="639"/>
      <c r="AH294" s="639"/>
    </row>
    <row r="295" spans="1:34" s="94" customFormat="1" ht="50.1" hidden="1" customHeight="1">
      <c r="A295" s="641"/>
      <c r="B295" s="654"/>
      <c r="C295" s="635" t="s">
        <v>182</v>
      </c>
      <c r="D295" s="671"/>
      <c r="E295" s="655" t="str">
        <f t="shared" si="51"/>
        <v>VIA AMANCAY SANTARUFINA PUEBLO NUEVO 1,7 KM</v>
      </c>
      <c r="F295" s="536" t="s">
        <v>330</v>
      </c>
      <c r="G295" s="536" t="s">
        <v>583</v>
      </c>
      <c r="H295" s="670" t="s">
        <v>384</v>
      </c>
      <c r="I295" s="536" t="s">
        <v>173</v>
      </c>
      <c r="J295" s="536" t="s">
        <v>174</v>
      </c>
      <c r="K295" s="537"/>
      <c r="L295" s="537"/>
      <c r="M295" s="538"/>
      <c r="N295" s="539" t="s">
        <v>185</v>
      </c>
      <c r="O295" s="540" t="s">
        <v>314</v>
      </c>
      <c r="P295" s="540">
        <v>0.35</v>
      </c>
      <c r="Q295" s="540">
        <f>1700*5</f>
        <v>8500</v>
      </c>
      <c r="R295" s="540"/>
      <c r="S295" s="541">
        <v>41640</v>
      </c>
      <c r="T295" s="541">
        <v>41820</v>
      </c>
      <c r="U295" s="542" t="s">
        <v>179</v>
      </c>
      <c r="V295" s="543">
        <f t="shared" si="48"/>
        <v>2975</v>
      </c>
      <c r="W295" s="673"/>
      <c r="X295" s="674"/>
      <c r="Y295" s="546"/>
      <c r="Z295" s="674"/>
      <c r="AA295" s="546"/>
      <c r="AB295" s="547"/>
      <c r="AC295" s="546"/>
      <c r="AD295" s="547"/>
      <c r="AE295" s="546"/>
      <c r="AF295" s="547"/>
      <c r="AG295" s="639"/>
      <c r="AH295" s="639"/>
    </row>
    <row r="296" spans="1:34" s="94" customFormat="1" ht="50.1" hidden="1" customHeight="1">
      <c r="A296" s="641"/>
      <c r="B296" s="654"/>
      <c r="C296" s="635" t="s">
        <v>182</v>
      </c>
      <c r="D296" s="671"/>
      <c r="E296" s="655" t="str">
        <f t="shared" si="51"/>
        <v>VIA AMANCAY SANTARUFINA PUEBLO NUEVO 1,7 KM</v>
      </c>
      <c r="F296" s="536" t="s">
        <v>330</v>
      </c>
      <c r="G296" s="536" t="s">
        <v>583</v>
      </c>
      <c r="H296" s="670" t="s">
        <v>384</v>
      </c>
      <c r="I296" s="536" t="s">
        <v>173</v>
      </c>
      <c r="J296" s="536" t="s">
        <v>174</v>
      </c>
      <c r="K296" s="537"/>
      <c r="L296" s="537"/>
      <c r="M296" s="538"/>
      <c r="N296" s="539" t="s">
        <v>229</v>
      </c>
      <c r="O296" s="540" t="s">
        <v>333</v>
      </c>
      <c r="P296" s="540">
        <v>5.92</v>
      </c>
      <c r="Q296" s="540">
        <v>1070</v>
      </c>
      <c r="R296" s="540"/>
      <c r="S296" s="541">
        <v>41640</v>
      </c>
      <c r="T296" s="541">
        <v>41759</v>
      </c>
      <c r="U296" s="542" t="s">
        <v>179</v>
      </c>
      <c r="V296" s="543">
        <f t="shared" si="48"/>
        <v>6334.4</v>
      </c>
      <c r="W296" s="672"/>
      <c r="X296" s="640"/>
      <c r="Y296" s="673"/>
      <c r="Z296" s="674"/>
      <c r="AA296" s="675"/>
      <c r="AB296" s="676"/>
      <c r="AC296" s="546"/>
      <c r="AD296" s="547"/>
      <c r="AE296" s="546"/>
      <c r="AF296" s="547"/>
      <c r="AG296" s="639"/>
      <c r="AH296" s="639"/>
    </row>
    <row r="297" spans="1:34" s="94" customFormat="1" ht="50.1" hidden="1" customHeight="1">
      <c r="A297" s="641"/>
      <c r="B297" s="654"/>
      <c r="C297" s="635" t="s">
        <v>182</v>
      </c>
      <c r="D297" s="671"/>
      <c r="E297" s="655" t="str">
        <f t="shared" si="51"/>
        <v>VIA AMANCAY SANTARUFINA PUEBLO NUEVO 1,7 KM</v>
      </c>
      <c r="F297" s="536" t="s">
        <v>330</v>
      </c>
      <c r="G297" s="536" t="s">
        <v>583</v>
      </c>
      <c r="H297" s="670" t="s">
        <v>384</v>
      </c>
      <c r="I297" s="536" t="s">
        <v>173</v>
      </c>
      <c r="J297" s="536" t="s">
        <v>174</v>
      </c>
      <c r="K297" s="537"/>
      <c r="L297" s="537"/>
      <c r="M297" s="538"/>
      <c r="N297" s="539" t="s">
        <v>340</v>
      </c>
      <c r="O297" s="540" t="s">
        <v>341</v>
      </c>
      <c r="P297" s="540">
        <v>0.3</v>
      </c>
      <c r="Q297" s="540">
        <v>9596.6200000000008</v>
      </c>
      <c r="R297" s="540"/>
      <c r="S297" s="541">
        <v>41644</v>
      </c>
      <c r="T297" s="541">
        <v>41820</v>
      </c>
      <c r="U297" s="542" t="s">
        <v>179</v>
      </c>
      <c r="V297" s="543">
        <f t="shared" si="48"/>
        <v>2878.99</v>
      </c>
      <c r="W297" s="544"/>
      <c r="X297" s="544"/>
      <c r="Y297" s="672"/>
      <c r="Z297" s="640"/>
      <c r="AA297" s="673"/>
      <c r="AB297" s="674"/>
      <c r="AC297" s="546"/>
      <c r="AD297" s="547"/>
      <c r="AE297" s="546"/>
      <c r="AF297" s="547"/>
      <c r="AG297" s="639"/>
      <c r="AH297" s="639"/>
    </row>
    <row r="298" spans="1:34" s="94" customFormat="1" ht="50.1" hidden="1" customHeight="1">
      <c r="A298" s="641"/>
      <c r="B298" s="654"/>
      <c r="C298" s="635" t="s">
        <v>182</v>
      </c>
      <c r="D298" s="671" t="s">
        <v>779</v>
      </c>
      <c r="E298" s="655" t="str">
        <f>+D298</f>
        <v>CALLES DE SANTA RUFINA  0,8 KM</v>
      </c>
      <c r="F298" s="536" t="s">
        <v>330</v>
      </c>
      <c r="G298" s="536" t="s">
        <v>583</v>
      </c>
      <c r="H298" s="670" t="s">
        <v>384</v>
      </c>
      <c r="I298" s="536" t="s">
        <v>173</v>
      </c>
      <c r="J298" s="536" t="s">
        <v>174</v>
      </c>
      <c r="K298" s="537">
        <v>0.8</v>
      </c>
      <c r="L298" s="537">
        <v>0.8</v>
      </c>
      <c r="M298" s="538"/>
      <c r="N298" s="539" t="s">
        <v>335</v>
      </c>
      <c r="O298" s="540" t="s">
        <v>333</v>
      </c>
      <c r="P298" s="540">
        <v>2.54</v>
      </c>
      <c r="Q298" s="540">
        <v>900</v>
      </c>
      <c r="R298" s="540"/>
      <c r="S298" s="541">
        <v>41644</v>
      </c>
      <c r="T298" s="541">
        <v>41790</v>
      </c>
      <c r="U298" s="542" t="s">
        <v>179</v>
      </c>
      <c r="V298" s="543">
        <f t="shared" si="48"/>
        <v>2286</v>
      </c>
      <c r="W298" s="673"/>
      <c r="X298" s="674"/>
      <c r="Y298" s="675"/>
      <c r="Z298" s="676"/>
      <c r="AA298" s="546"/>
      <c r="AB298" s="674"/>
      <c r="AC298" s="546"/>
      <c r="AD298" s="547"/>
      <c r="AE298" s="546"/>
      <c r="AF298" s="547"/>
      <c r="AG298" s="639"/>
      <c r="AH298" s="639"/>
    </row>
    <row r="299" spans="1:34" s="94" customFormat="1" ht="50.1" hidden="1" customHeight="1">
      <c r="A299" s="641"/>
      <c r="B299" s="654"/>
      <c r="C299" s="635" t="s">
        <v>182</v>
      </c>
      <c r="D299" s="671"/>
      <c r="E299" s="655" t="str">
        <f>+E298</f>
        <v>CALLES DE SANTA RUFINA  0,8 KM</v>
      </c>
      <c r="F299" s="536" t="s">
        <v>330</v>
      </c>
      <c r="G299" s="536" t="s">
        <v>583</v>
      </c>
      <c r="H299" s="670" t="s">
        <v>384</v>
      </c>
      <c r="I299" s="536" t="s">
        <v>173</v>
      </c>
      <c r="J299" s="536" t="s">
        <v>174</v>
      </c>
      <c r="K299" s="537"/>
      <c r="L299" s="537"/>
      <c r="M299" s="538"/>
      <c r="N299" s="539" t="s">
        <v>336</v>
      </c>
      <c r="O299" s="540" t="s">
        <v>333</v>
      </c>
      <c r="P299" s="540">
        <v>1.47</v>
      </c>
      <c r="Q299" s="540">
        <v>750</v>
      </c>
      <c r="R299" s="540"/>
      <c r="S299" s="541">
        <v>41802</v>
      </c>
      <c r="T299" s="541">
        <v>41820</v>
      </c>
      <c r="U299" s="542" t="s">
        <v>179</v>
      </c>
      <c r="V299" s="543">
        <f t="shared" si="48"/>
        <v>1102.5</v>
      </c>
      <c r="W299" s="673"/>
      <c r="X299" s="674"/>
      <c r="Y299" s="675"/>
      <c r="Z299" s="676"/>
      <c r="AA299" s="546"/>
      <c r="AB299" s="674"/>
      <c r="AC299" s="546"/>
      <c r="AD299" s="547"/>
      <c r="AE299" s="546"/>
      <c r="AF299" s="547"/>
      <c r="AG299" s="639"/>
      <c r="AH299" s="639"/>
    </row>
    <row r="300" spans="1:34" s="94" customFormat="1" ht="50.1" hidden="1" customHeight="1">
      <c r="A300" s="641"/>
      <c r="B300" s="654"/>
      <c r="C300" s="635" t="s">
        <v>182</v>
      </c>
      <c r="D300" s="671"/>
      <c r="E300" s="655" t="str">
        <f t="shared" ref="E300:E303" si="52">+E299</f>
        <v>CALLES DE SANTA RUFINA  0,8 KM</v>
      </c>
      <c r="F300" s="536" t="s">
        <v>330</v>
      </c>
      <c r="G300" s="536" t="s">
        <v>583</v>
      </c>
      <c r="H300" s="670" t="s">
        <v>384</v>
      </c>
      <c r="I300" s="536" t="s">
        <v>173</v>
      </c>
      <c r="J300" s="536" t="s">
        <v>174</v>
      </c>
      <c r="K300" s="537"/>
      <c r="L300" s="537"/>
      <c r="M300" s="538"/>
      <c r="N300" s="539" t="s">
        <v>337</v>
      </c>
      <c r="O300" s="540" t="s">
        <v>333</v>
      </c>
      <c r="P300" s="540">
        <v>1.46</v>
      </c>
      <c r="Q300" s="540">
        <v>480</v>
      </c>
      <c r="R300" s="540"/>
      <c r="S300" s="541">
        <v>41640</v>
      </c>
      <c r="T300" s="541">
        <v>41820</v>
      </c>
      <c r="U300" s="542" t="s">
        <v>179</v>
      </c>
      <c r="V300" s="543">
        <f t="shared" si="48"/>
        <v>700.8</v>
      </c>
      <c r="W300" s="673"/>
      <c r="X300" s="674"/>
      <c r="Y300" s="675"/>
      <c r="Z300" s="676"/>
      <c r="AA300" s="546"/>
      <c r="AB300" s="674"/>
      <c r="AC300" s="546"/>
      <c r="AD300" s="547"/>
      <c r="AE300" s="546"/>
      <c r="AF300" s="547"/>
      <c r="AG300" s="639"/>
      <c r="AH300" s="639"/>
    </row>
    <row r="301" spans="1:34" s="94" customFormat="1" ht="50.1" hidden="1" customHeight="1">
      <c r="A301" s="641"/>
      <c r="B301" s="654"/>
      <c r="C301" s="635" t="s">
        <v>182</v>
      </c>
      <c r="D301" s="671"/>
      <c r="E301" s="655" t="str">
        <f t="shared" si="52"/>
        <v>CALLES DE SANTA RUFINA  0,8 KM</v>
      </c>
      <c r="F301" s="536" t="s">
        <v>330</v>
      </c>
      <c r="G301" s="536" t="s">
        <v>583</v>
      </c>
      <c r="H301" s="670" t="s">
        <v>384</v>
      </c>
      <c r="I301" s="536" t="s">
        <v>173</v>
      </c>
      <c r="J301" s="536" t="s">
        <v>174</v>
      </c>
      <c r="K301" s="537"/>
      <c r="L301" s="537"/>
      <c r="M301" s="538"/>
      <c r="N301" s="539" t="s">
        <v>185</v>
      </c>
      <c r="O301" s="540" t="s">
        <v>314</v>
      </c>
      <c r="P301" s="540">
        <v>0.35</v>
      </c>
      <c r="Q301" s="540">
        <f>0.8*1000*5</f>
        <v>4000</v>
      </c>
      <c r="R301" s="540"/>
      <c r="S301" s="541">
        <v>41640</v>
      </c>
      <c r="T301" s="541">
        <v>41820</v>
      </c>
      <c r="U301" s="542" t="s">
        <v>179</v>
      </c>
      <c r="V301" s="543">
        <f t="shared" si="48"/>
        <v>1400</v>
      </c>
      <c r="W301" s="673"/>
      <c r="X301" s="674"/>
      <c r="Y301" s="546"/>
      <c r="Z301" s="674"/>
      <c r="AA301" s="546"/>
      <c r="AB301" s="547"/>
      <c r="AC301" s="546"/>
      <c r="AD301" s="547"/>
      <c r="AE301" s="546"/>
      <c r="AF301" s="547"/>
      <c r="AG301" s="639"/>
      <c r="AH301" s="639"/>
    </row>
    <row r="302" spans="1:34" s="94" customFormat="1" ht="50.1" hidden="1" customHeight="1">
      <c r="A302" s="641"/>
      <c r="B302" s="654"/>
      <c r="C302" s="635" t="s">
        <v>182</v>
      </c>
      <c r="D302" s="671"/>
      <c r="E302" s="655" t="str">
        <f t="shared" si="52"/>
        <v>CALLES DE SANTA RUFINA  0,8 KM</v>
      </c>
      <c r="F302" s="536" t="s">
        <v>330</v>
      </c>
      <c r="G302" s="536" t="s">
        <v>583</v>
      </c>
      <c r="H302" s="670" t="s">
        <v>384</v>
      </c>
      <c r="I302" s="536" t="s">
        <v>173</v>
      </c>
      <c r="J302" s="536" t="s">
        <v>174</v>
      </c>
      <c r="K302" s="537"/>
      <c r="L302" s="537"/>
      <c r="M302" s="538"/>
      <c r="N302" s="539" t="s">
        <v>229</v>
      </c>
      <c r="O302" s="540" t="s">
        <v>333</v>
      </c>
      <c r="P302" s="540">
        <v>5.92</v>
      </c>
      <c r="Q302" s="540">
        <v>540</v>
      </c>
      <c r="R302" s="540"/>
      <c r="S302" s="541">
        <v>41640</v>
      </c>
      <c r="T302" s="541">
        <v>41759</v>
      </c>
      <c r="U302" s="542" t="s">
        <v>179</v>
      </c>
      <c r="V302" s="543">
        <f t="shared" si="48"/>
        <v>3196.8</v>
      </c>
      <c r="W302" s="673"/>
      <c r="X302" s="674"/>
      <c r="Y302" s="675"/>
      <c r="Z302" s="676"/>
      <c r="AA302" s="546"/>
      <c r="AB302" s="674"/>
      <c r="AC302" s="546"/>
      <c r="AD302" s="547"/>
      <c r="AE302" s="546"/>
      <c r="AF302" s="547"/>
      <c r="AG302" s="639"/>
      <c r="AH302" s="639"/>
    </row>
    <row r="303" spans="1:34" s="94" customFormat="1" ht="50.1" hidden="1" customHeight="1">
      <c r="A303" s="641"/>
      <c r="B303" s="654"/>
      <c r="C303" s="635" t="s">
        <v>182</v>
      </c>
      <c r="D303" s="671"/>
      <c r="E303" s="655" t="str">
        <f t="shared" si="52"/>
        <v>CALLES DE SANTA RUFINA  0,8 KM</v>
      </c>
      <c r="F303" s="536" t="s">
        <v>330</v>
      </c>
      <c r="G303" s="536" t="s">
        <v>583</v>
      </c>
      <c r="H303" s="670" t="s">
        <v>384</v>
      </c>
      <c r="I303" s="536" t="s">
        <v>173</v>
      </c>
      <c r="J303" s="536" t="s">
        <v>174</v>
      </c>
      <c r="K303" s="537"/>
      <c r="L303" s="537"/>
      <c r="M303" s="538"/>
      <c r="N303" s="539" t="s">
        <v>340</v>
      </c>
      <c r="O303" s="540" t="s">
        <v>341</v>
      </c>
      <c r="P303" s="540">
        <v>0.3</v>
      </c>
      <c r="Q303" s="540">
        <v>5430</v>
      </c>
      <c r="R303" s="540"/>
      <c r="S303" s="541">
        <v>41644</v>
      </c>
      <c r="T303" s="541">
        <v>41820</v>
      </c>
      <c r="U303" s="542" t="s">
        <v>179</v>
      </c>
      <c r="V303" s="543">
        <f t="shared" si="48"/>
        <v>1629</v>
      </c>
      <c r="W303" s="672"/>
      <c r="X303" s="640"/>
      <c r="Y303" s="673"/>
      <c r="Z303" s="674"/>
      <c r="AA303" s="546"/>
      <c r="AB303" s="674"/>
      <c r="AC303" s="546"/>
      <c r="AD303" s="547"/>
      <c r="AE303" s="546"/>
      <c r="AF303" s="547"/>
      <c r="AG303" s="639"/>
      <c r="AH303" s="639"/>
    </row>
    <row r="304" spans="1:34" s="94" customFormat="1" ht="50.1" hidden="1" customHeight="1">
      <c r="A304" s="641"/>
      <c r="B304" s="654"/>
      <c r="C304" s="635" t="s">
        <v>182</v>
      </c>
      <c r="D304" s="671" t="s">
        <v>780</v>
      </c>
      <c r="E304" s="655" t="str">
        <f>+D304</f>
        <v>VIA GUACHANAMA CELICA 9,6 KM</v>
      </c>
      <c r="F304" s="536" t="s">
        <v>330</v>
      </c>
      <c r="G304" s="536" t="s">
        <v>583</v>
      </c>
      <c r="H304" s="670" t="s">
        <v>384</v>
      </c>
      <c r="I304" s="536" t="s">
        <v>173</v>
      </c>
      <c r="J304" s="536" t="s">
        <v>174</v>
      </c>
      <c r="K304" s="537">
        <v>9.6</v>
      </c>
      <c r="L304" s="537">
        <v>9.6</v>
      </c>
      <c r="M304" s="538"/>
      <c r="N304" s="539" t="s">
        <v>337</v>
      </c>
      <c r="O304" s="540" t="s">
        <v>333</v>
      </c>
      <c r="P304" s="540">
        <v>1.46</v>
      </c>
      <c r="Q304" s="540">
        <v>2240</v>
      </c>
      <c r="R304" s="540"/>
      <c r="S304" s="541">
        <v>41640</v>
      </c>
      <c r="T304" s="541">
        <v>41820</v>
      </c>
      <c r="U304" s="542" t="s">
        <v>179</v>
      </c>
      <c r="V304" s="543">
        <f t="shared" si="48"/>
        <v>3270.4</v>
      </c>
      <c r="W304" s="546"/>
      <c r="X304" s="674"/>
      <c r="Y304" s="546"/>
      <c r="Z304" s="547"/>
      <c r="AA304" s="546"/>
      <c r="AB304" s="547"/>
      <c r="AC304" s="546"/>
      <c r="AD304" s="547"/>
      <c r="AE304" s="546"/>
      <c r="AF304" s="547"/>
      <c r="AG304" s="639"/>
      <c r="AH304" s="639"/>
    </row>
    <row r="305" spans="1:34" s="94" customFormat="1" ht="50.1" hidden="1" customHeight="1">
      <c r="A305" s="641"/>
      <c r="B305" s="654"/>
      <c r="C305" s="635" t="s">
        <v>182</v>
      </c>
      <c r="D305" s="671"/>
      <c r="E305" s="655" t="str">
        <f>+E304</f>
        <v>VIA GUACHANAMA CELICA 9,6 KM</v>
      </c>
      <c r="F305" s="536" t="s">
        <v>330</v>
      </c>
      <c r="G305" s="536" t="s">
        <v>583</v>
      </c>
      <c r="H305" s="670" t="s">
        <v>384</v>
      </c>
      <c r="I305" s="536" t="s">
        <v>173</v>
      </c>
      <c r="J305" s="536" t="s">
        <v>174</v>
      </c>
      <c r="K305" s="537"/>
      <c r="L305" s="537"/>
      <c r="M305" s="538"/>
      <c r="N305" s="539" t="s">
        <v>339</v>
      </c>
      <c r="O305" s="540" t="s">
        <v>314</v>
      </c>
      <c r="P305" s="540">
        <v>0.35</v>
      </c>
      <c r="Q305" s="540">
        <v>48000</v>
      </c>
      <c r="R305" s="540"/>
      <c r="S305" s="541">
        <v>41640</v>
      </c>
      <c r="T305" s="541">
        <v>41820</v>
      </c>
      <c r="U305" s="542" t="s">
        <v>179</v>
      </c>
      <c r="V305" s="543">
        <f t="shared" si="48"/>
        <v>16800</v>
      </c>
      <c r="W305" s="673"/>
      <c r="X305" s="674"/>
      <c r="Y305" s="546"/>
      <c r="Z305" s="674"/>
      <c r="AA305" s="546"/>
      <c r="AB305" s="547"/>
      <c r="AC305" s="546"/>
      <c r="AD305" s="547"/>
      <c r="AE305" s="546"/>
      <c r="AF305" s="547"/>
      <c r="AG305" s="639"/>
      <c r="AH305" s="639"/>
    </row>
    <row r="306" spans="1:34" s="94" customFormat="1" ht="50.1" hidden="1" customHeight="1">
      <c r="A306" s="641"/>
      <c r="B306" s="654"/>
      <c r="C306" s="635" t="s">
        <v>182</v>
      </c>
      <c r="D306" s="671"/>
      <c r="E306" s="655" t="str">
        <f t="shared" ref="E306:E308" si="53">+E305</f>
        <v>VIA GUACHANAMA CELICA 9,6 KM</v>
      </c>
      <c r="F306" s="536" t="s">
        <v>330</v>
      </c>
      <c r="G306" s="536" t="s">
        <v>583</v>
      </c>
      <c r="H306" s="670" t="s">
        <v>384</v>
      </c>
      <c r="I306" s="536" t="s">
        <v>173</v>
      </c>
      <c r="J306" s="536" t="s">
        <v>174</v>
      </c>
      <c r="K306" s="537"/>
      <c r="L306" s="537"/>
      <c r="M306" s="538"/>
      <c r="N306" s="539" t="s">
        <v>229</v>
      </c>
      <c r="O306" s="540" t="s">
        <v>333</v>
      </c>
      <c r="P306" s="540">
        <v>5.92</v>
      </c>
      <c r="Q306" s="540">
        <v>700</v>
      </c>
      <c r="R306" s="540"/>
      <c r="S306" s="541">
        <v>41640</v>
      </c>
      <c r="T306" s="541">
        <v>41759</v>
      </c>
      <c r="U306" s="542" t="s">
        <v>179</v>
      </c>
      <c r="V306" s="543">
        <f t="shared" si="48"/>
        <v>4144</v>
      </c>
      <c r="W306" s="675"/>
      <c r="X306" s="676"/>
      <c r="Y306" s="546"/>
      <c r="Z306" s="674"/>
      <c r="AA306" s="546"/>
      <c r="AB306" s="547"/>
      <c r="AC306" s="546"/>
      <c r="AD306" s="547"/>
      <c r="AE306" s="546"/>
      <c r="AF306" s="547"/>
      <c r="AG306" s="639"/>
      <c r="AH306" s="639"/>
    </row>
    <row r="307" spans="1:34" s="94" customFormat="1" ht="50.1" hidden="1" customHeight="1">
      <c r="A307" s="641"/>
      <c r="B307" s="654"/>
      <c r="C307" s="635" t="s">
        <v>182</v>
      </c>
      <c r="D307" s="671"/>
      <c r="E307" s="655" t="str">
        <f t="shared" si="53"/>
        <v>VIA GUACHANAMA CELICA 9,6 KM</v>
      </c>
      <c r="F307" s="536" t="s">
        <v>330</v>
      </c>
      <c r="G307" s="536" t="s">
        <v>583</v>
      </c>
      <c r="H307" s="670" t="s">
        <v>384</v>
      </c>
      <c r="I307" s="536" t="s">
        <v>173</v>
      </c>
      <c r="J307" s="536" t="s">
        <v>174</v>
      </c>
      <c r="K307" s="537"/>
      <c r="L307" s="537"/>
      <c r="M307" s="538"/>
      <c r="N307" s="539" t="s">
        <v>340</v>
      </c>
      <c r="O307" s="540" t="s">
        <v>341</v>
      </c>
      <c r="P307" s="540">
        <v>0.3</v>
      </c>
      <c r="Q307" s="540">
        <v>6852.16</v>
      </c>
      <c r="R307" s="540"/>
      <c r="S307" s="541">
        <v>41644</v>
      </c>
      <c r="T307" s="541">
        <v>41820</v>
      </c>
      <c r="U307" s="542" t="s">
        <v>179</v>
      </c>
      <c r="V307" s="543">
        <f t="shared" si="48"/>
        <v>2055.65</v>
      </c>
      <c r="W307" s="673"/>
      <c r="X307" s="674"/>
      <c r="Y307" s="546"/>
      <c r="Z307" s="674"/>
      <c r="AA307" s="546"/>
      <c r="AB307" s="547"/>
      <c r="AC307" s="546"/>
      <c r="AD307" s="547"/>
      <c r="AE307" s="546"/>
      <c r="AF307" s="547"/>
      <c r="AG307" s="639"/>
      <c r="AH307" s="639"/>
    </row>
    <row r="308" spans="1:34" s="94" customFormat="1" ht="50.1" hidden="1" customHeight="1">
      <c r="A308" s="641"/>
      <c r="B308" s="654"/>
      <c r="C308" s="635" t="s">
        <v>182</v>
      </c>
      <c r="D308" s="671"/>
      <c r="E308" s="655" t="str">
        <f t="shared" si="53"/>
        <v>VIA GUACHANAMA CELICA 9,6 KM</v>
      </c>
      <c r="F308" s="536" t="s">
        <v>330</v>
      </c>
      <c r="G308" s="536" t="s">
        <v>583</v>
      </c>
      <c r="H308" s="670" t="s">
        <v>384</v>
      </c>
      <c r="I308" s="536" t="s">
        <v>173</v>
      </c>
      <c r="J308" s="536" t="s">
        <v>174</v>
      </c>
      <c r="K308" s="537"/>
      <c r="L308" s="537"/>
      <c r="M308" s="538"/>
      <c r="N308" s="539" t="s">
        <v>336</v>
      </c>
      <c r="O308" s="540" t="s">
        <v>333</v>
      </c>
      <c r="P308" s="540">
        <v>1.47</v>
      </c>
      <c r="Q308" s="540">
        <v>840</v>
      </c>
      <c r="R308" s="540"/>
      <c r="S308" s="541">
        <v>41802</v>
      </c>
      <c r="T308" s="541">
        <v>41820</v>
      </c>
      <c r="U308" s="542" t="s">
        <v>179</v>
      </c>
      <c r="V308" s="543">
        <f t="shared" si="48"/>
        <v>1234.8</v>
      </c>
      <c r="W308" s="675"/>
      <c r="X308" s="676"/>
      <c r="Y308" s="546"/>
      <c r="Z308" s="674"/>
      <c r="AA308" s="546"/>
      <c r="AB308" s="547"/>
      <c r="AC308" s="546"/>
      <c r="AD308" s="547"/>
      <c r="AE308" s="639"/>
      <c r="AF308" s="547"/>
      <c r="AG308" s="639"/>
      <c r="AH308" s="639"/>
    </row>
    <row r="309" spans="1:34" s="94" customFormat="1" ht="50.1" hidden="1" customHeight="1">
      <c r="A309" s="641"/>
      <c r="B309" s="654"/>
      <c r="C309" s="635" t="s">
        <v>182</v>
      </c>
      <c r="D309" s="671" t="s">
        <v>781</v>
      </c>
      <c r="E309" s="655" t="str">
        <f>+D309</f>
        <v>VIA GUACHANAMA LA SALERA 17,1 KM</v>
      </c>
      <c r="F309" s="536" t="s">
        <v>330</v>
      </c>
      <c r="G309" s="536" t="s">
        <v>583</v>
      </c>
      <c r="H309" s="670" t="s">
        <v>384</v>
      </c>
      <c r="I309" s="536" t="s">
        <v>173</v>
      </c>
      <c r="J309" s="536" t="s">
        <v>174</v>
      </c>
      <c r="K309" s="537">
        <v>17.100000000000001</v>
      </c>
      <c r="L309" s="537">
        <v>9.6</v>
      </c>
      <c r="M309" s="538"/>
      <c r="N309" s="539" t="s">
        <v>337</v>
      </c>
      <c r="O309" s="540" t="s">
        <v>333</v>
      </c>
      <c r="P309" s="540">
        <v>1.46</v>
      </c>
      <c r="Q309" s="540">
        <v>2265</v>
      </c>
      <c r="R309" s="540"/>
      <c r="S309" s="541">
        <v>41640</v>
      </c>
      <c r="T309" s="541">
        <v>41820</v>
      </c>
      <c r="U309" s="542" t="s">
        <v>179</v>
      </c>
      <c r="V309" s="543">
        <f t="shared" si="48"/>
        <v>3306.9</v>
      </c>
      <c r="W309" s="546"/>
      <c r="X309" s="547"/>
      <c r="Y309" s="546"/>
      <c r="Z309" s="547"/>
      <c r="AA309" s="546"/>
      <c r="AB309" s="547"/>
      <c r="AC309" s="546"/>
      <c r="AD309" s="547"/>
      <c r="AE309" s="546"/>
      <c r="AF309" s="547"/>
      <c r="AG309" s="639"/>
      <c r="AH309" s="639"/>
    </row>
    <row r="310" spans="1:34" s="94" customFormat="1" ht="50.1" hidden="1" customHeight="1">
      <c r="A310" s="641"/>
      <c r="B310" s="654"/>
      <c r="C310" s="635" t="s">
        <v>182</v>
      </c>
      <c r="D310" s="671"/>
      <c r="E310" s="655" t="str">
        <f>+E309</f>
        <v>VIA GUACHANAMA LA SALERA 17,1 KM</v>
      </c>
      <c r="F310" s="536" t="s">
        <v>330</v>
      </c>
      <c r="G310" s="536" t="s">
        <v>583</v>
      </c>
      <c r="H310" s="670" t="s">
        <v>384</v>
      </c>
      <c r="I310" s="536" t="s">
        <v>173</v>
      </c>
      <c r="J310" s="536" t="s">
        <v>174</v>
      </c>
      <c r="K310" s="537"/>
      <c r="L310" s="537"/>
      <c r="M310" s="538"/>
      <c r="N310" s="539" t="s">
        <v>339</v>
      </c>
      <c r="O310" s="540" t="s">
        <v>314</v>
      </c>
      <c r="P310" s="540">
        <v>0.35</v>
      </c>
      <c r="Q310" s="540">
        <v>68980</v>
      </c>
      <c r="R310" s="540"/>
      <c r="S310" s="541">
        <v>41640</v>
      </c>
      <c r="T310" s="541">
        <v>41820</v>
      </c>
      <c r="U310" s="542" t="s">
        <v>179</v>
      </c>
      <c r="V310" s="543">
        <f t="shared" si="48"/>
        <v>24143</v>
      </c>
      <c r="W310" s="546"/>
      <c r="X310" s="674"/>
      <c r="Y310" s="546"/>
      <c r="Z310" s="547"/>
      <c r="AA310" s="546"/>
      <c r="AB310" s="547"/>
      <c r="AC310" s="546"/>
      <c r="AD310" s="547"/>
      <c r="AE310" s="546"/>
      <c r="AF310" s="547"/>
      <c r="AG310" s="639"/>
      <c r="AH310" s="639"/>
    </row>
    <row r="311" spans="1:34" s="94" customFormat="1" ht="50.1" hidden="1" customHeight="1">
      <c r="A311" s="641"/>
      <c r="B311" s="654"/>
      <c r="C311" s="635" t="s">
        <v>182</v>
      </c>
      <c r="D311" s="671"/>
      <c r="E311" s="655" t="str">
        <f t="shared" ref="E311:E313" si="54">+E310</f>
        <v>VIA GUACHANAMA LA SALERA 17,1 KM</v>
      </c>
      <c r="F311" s="536" t="s">
        <v>330</v>
      </c>
      <c r="G311" s="536" t="s">
        <v>583</v>
      </c>
      <c r="H311" s="670" t="s">
        <v>384</v>
      </c>
      <c r="I311" s="536" t="s">
        <v>173</v>
      </c>
      <c r="J311" s="536" t="s">
        <v>174</v>
      </c>
      <c r="K311" s="537"/>
      <c r="L311" s="537"/>
      <c r="M311" s="538"/>
      <c r="N311" s="539" t="s">
        <v>229</v>
      </c>
      <c r="O311" s="540" t="s">
        <v>333</v>
      </c>
      <c r="P311" s="540">
        <v>5.92</v>
      </c>
      <c r="Q311" s="540">
        <v>2060</v>
      </c>
      <c r="R311" s="540"/>
      <c r="S311" s="541">
        <v>41640</v>
      </c>
      <c r="T311" s="541">
        <v>41759</v>
      </c>
      <c r="U311" s="542" t="s">
        <v>179</v>
      </c>
      <c r="V311" s="543">
        <f t="shared" si="48"/>
        <v>12195.2</v>
      </c>
      <c r="W311" s="546"/>
      <c r="X311" s="674"/>
      <c r="Y311" s="546"/>
      <c r="Z311" s="547"/>
      <c r="AA311" s="546"/>
      <c r="AB311" s="547"/>
      <c r="AC311" s="546"/>
      <c r="AD311" s="547"/>
      <c r="AE311" s="546"/>
      <c r="AF311" s="547"/>
      <c r="AG311" s="639"/>
      <c r="AH311" s="639"/>
    </row>
    <row r="312" spans="1:34" s="94" customFormat="1" ht="50.1" hidden="1" customHeight="1">
      <c r="A312" s="641"/>
      <c r="B312" s="654"/>
      <c r="C312" s="635" t="s">
        <v>182</v>
      </c>
      <c r="D312" s="671"/>
      <c r="E312" s="655" t="str">
        <f t="shared" si="54"/>
        <v>VIA GUACHANAMA LA SALERA 17,1 KM</v>
      </c>
      <c r="F312" s="536" t="s">
        <v>330</v>
      </c>
      <c r="G312" s="536" t="s">
        <v>583</v>
      </c>
      <c r="H312" s="670" t="s">
        <v>384</v>
      </c>
      <c r="I312" s="536" t="s">
        <v>173</v>
      </c>
      <c r="J312" s="536" t="s">
        <v>174</v>
      </c>
      <c r="K312" s="537"/>
      <c r="L312" s="537"/>
      <c r="M312" s="538"/>
      <c r="N312" s="539" t="s">
        <v>340</v>
      </c>
      <c r="O312" s="540" t="s">
        <v>341</v>
      </c>
      <c r="P312" s="540">
        <v>0.3</v>
      </c>
      <c r="Q312" s="540">
        <v>15232</v>
      </c>
      <c r="R312" s="540"/>
      <c r="S312" s="541">
        <v>41644</v>
      </c>
      <c r="T312" s="541">
        <v>41820</v>
      </c>
      <c r="U312" s="542" t="s">
        <v>179</v>
      </c>
      <c r="V312" s="543">
        <f t="shared" si="48"/>
        <v>4569.6000000000004</v>
      </c>
      <c r="W312" s="546"/>
      <c r="X312" s="674"/>
      <c r="Y312" s="546"/>
      <c r="Z312" s="547"/>
      <c r="AA312" s="546"/>
      <c r="AB312" s="547"/>
      <c r="AC312" s="546"/>
      <c r="AD312" s="547"/>
      <c r="AE312" s="546"/>
      <c r="AF312" s="547"/>
      <c r="AG312" s="639"/>
      <c r="AH312" s="639"/>
    </row>
    <row r="313" spans="1:34" s="94" customFormat="1" ht="50.1" hidden="1" customHeight="1">
      <c r="A313" s="641"/>
      <c r="B313" s="654"/>
      <c r="C313" s="635" t="s">
        <v>182</v>
      </c>
      <c r="D313" s="671"/>
      <c r="E313" s="655" t="str">
        <f t="shared" si="54"/>
        <v>VIA GUACHANAMA LA SALERA 17,1 KM</v>
      </c>
      <c r="F313" s="536" t="s">
        <v>330</v>
      </c>
      <c r="G313" s="536" t="s">
        <v>583</v>
      </c>
      <c r="H313" s="670" t="s">
        <v>384</v>
      </c>
      <c r="I313" s="536" t="s">
        <v>173</v>
      </c>
      <c r="J313" s="536" t="s">
        <v>174</v>
      </c>
      <c r="K313" s="537"/>
      <c r="L313" s="537"/>
      <c r="M313" s="538"/>
      <c r="N313" s="539" t="s">
        <v>336</v>
      </c>
      <c r="O313" s="540" t="s">
        <v>333</v>
      </c>
      <c r="P313" s="540">
        <v>1.47</v>
      </c>
      <c r="Q313" s="540">
        <v>2320</v>
      </c>
      <c r="R313" s="540"/>
      <c r="S313" s="541">
        <v>41802</v>
      </c>
      <c r="T313" s="541">
        <v>41820</v>
      </c>
      <c r="U313" s="542" t="s">
        <v>179</v>
      </c>
      <c r="V313" s="543">
        <f t="shared" si="48"/>
        <v>3410.4</v>
      </c>
      <c r="W313" s="546"/>
      <c r="X313" s="674"/>
      <c r="Y313" s="546"/>
      <c r="Z313" s="547"/>
      <c r="AA313" s="546"/>
      <c r="AB313" s="547"/>
      <c r="AC313" s="639"/>
      <c r="AD313" s="547"/>
      <c r="AE313" s="546"/>
      <c r="AF313" s="547"/>
      <c r="AG313" s="639"/>
      <c r="AH313" s="639"/>
    </row>
    <row r="314" spans="1:34" s="94" customFormat="1" ht="50.1" hidden="1" customHeight="1">
      <c r="A314" s="641"/>
      <c r="B314" s="654"/>
      <c r="C314" s="635" t="s">
        <v>182</v>
      </c>
      <c r="D314" s="671" t="s">
        <v>782</v>
      </c>
      <c r="E314" s="655" t="str">
        <f>+D314</f>
        <v>VIA LAURO GUERRERO SANTA GERTRUDIZ 12.1 KM</v>
      </c>
      <c r="F314" s="536" t="s">
        <v>330</v>
      </c>
      <c r="G314" s="536" t="s">
        <v>583</v>
      </c>
      <c r="H314" s="670" t="s">
        <v>384</v>
      </c>
      <c r="I314" s="536" t="s">
        <v>173</v>
      </c>
      <c r="J314" s="536" t="s">
        <v>174</v>
      </c>
      <c r="K314" s="537">
        <v>12.1</v>
      </c>
      <c r="L314" s="537">
        <v>12.1</v>
      </c>
      <c r="M314" s="538"/>
      <c r="N314" s="539" t="s">
        <v>337</v>
      </c>
      <c r="O314" s="540" t="s">
        <v>333</v>
      </c>
      <c r="P314" s="540">
        <v>1.46</v>
      </c>
      <c r="Q314" s="540">
        <v>450</v>
      </c>
      <c r="R314" s="540"/>
      <c r="S314" s="541">
        <v>41640</v>
      </c>
      <c r="T314" s="541">
        <v>41820</v>
      </c>
      <c r="U314" s="542" t="s">
        <v>179</v>
      </c>
      <c r="V314" s="543">
        <f t="shared" si="48"/>
        <v>657</v>
      </c>
      <c r="W314" s="546"/>
      <c r="X314" s="547"/>
      <c r="Y314" s="546"/>
      <c r="Z314" s="547"/>
      <c r="AA314" s="675"/>
      <c r="AB314" s="676"/>
      <c r="AC314" s="639"/>
      <c r="AD314" s="547"/>
      <c r="AE314" s="546"/>
      <c r="AF314" s="547"/>
      <c r="AG314" s="639"/>
      <c r="AH314" s="639"/>
    </row>
    <row r="315" spans="1:34" s="94" customFormat="1" ht="50.1" hidden="1" customHeight="1">
      <c r="A315" s="641"/>
      <c r="B315" s="654"/>
      <c r="C315" s="635" t="s">
        <v>182</v>
      </c>
      <c r="D315" s="671"/>
      <c r="E315" s="655" t="str">
        <f>+E314</f>
        <v>VIA LAURO GUERRERO SANTA GERTRUDIZ 12.1 KM</v>
      </c>
      <c r="F315" s="536" t="s">
        <v>330</v>
      </c>
      <c r="G315" s="536" t="s">
        <v>583</v>
      </c>
      <c r="H315" s="670" t="s">
        <v>384</v>
      </c>
      <c r="I315" s="536" t="s">
        <v>173</v>
      </c>
      <c r="J315" s="536" t="s">
        <v>174</v>
      </c>
      <c r="K315" s="537"/>
      <c r="L315" s="537"/>
      <c r="M315" s="538"/>
      <c r="N315" s="539" t="s">
        <v>339</v>
      </c>
      <c r="O315" s="540" t="s">
        <v>314</v>
      </c>
      <c r="P315" s="540">
        <v>0.35</v>
      </c>
      <c r="Q315" s="540">
        <v>32450</v>
      </c>
      <c r="R315" s="540"/>
      <c r="S315" s="541">
        <v>41640</v>
      </c>
      <c r="T315" s="541">
        <v>41820</v>
      </c>
      <c r="U315" s="542" t="s">
        <v>179</v>
      </c>
      <c r="V315" s="543">
        <f t="shared" si="48"/>
        <v>11357.5</v>
      </c>
      <c r="W315" s="546"/>
      <c r="X315" s="547"/>
      <c r="Y315" s="546"/>
      <c r="Z315" s="547"/>
      <c r="AA315" s="675"/>
      <c r="AB315" s="676"/>
      <c r="AC315" s="639"/>
      <c r="AD315" s="547"/>
      <c r="AE315" s="546"/>
      <c r="AF315" s="547"/>
      <c r="AG315" s="639"/>
      <c r="AH315" s="639"/>
    </row>
    <row r="316" spans="1:34" s="94" customFormat="1" ht="50.1" hidden="1" customHeight="1">
      <c r="A316" s="641"/>
      <c r="B316" s="654"/>
      <c r="C316" s="635" t="s">
        <v>182</v>
      </c>
      <c r="D316" s="671"/>
      <c r="E316" s="655" t="str">
        <f t="shared" ref="E316:E319" si="55">+E315</f>
        <v>VIA LAURO GUERRERO SANTA GERTRUDIZ 12.1 KM</v>
      </c>
      <c r="F316" s="536" t="s">
        <v>330</v>
      </c>
      <c r="G316" s="536" t="s">
        <v>583</v>
      </c>
      <c r="H316" s="670" t="s">
        <v>384</v>
      </c>
      <c r="I316" s="536" t="s">
        <v>173</v>
      </c>
      <c r="J316" s="536" t="s">
        <v>174</v>
      </c>
      <c r="K316" s="537"/>
      <c r="L316" s="537"/>
      <c r="M316" s="538"/>
      <c r="N316" s="539" t="s">
        <v>229</v>
      </c>
      <c r="O316" s="540" t="s">
        <v>333</v>
      </c>
      <c r="P316" s="540">
        <v>5.92</v>
      </c>
      <c r="Q316" s="540">
        <v>1040</v>
      </c>
      <c r="R316" s="540"/>
      <c r="S316" s="541">
        <v>41640</v>
      </c>
      <c r="T316" s="541">
        <v>41759</v>
      </c>
      <c r="U316" s="542" t="s">
        <v>179</v>
      </c>
      <c r="V316" s="543">
        <f t="shared" si="48"/>
        <v>6156.8</v>
      </c>
      <c r="W316" s="546"/>
      <c r="X316" s="547"/>
      <c r="Y316" s="546"/>
      <c r="Z316" s="547"/>
      <c r="AA316" s="675"/>
      <c r="AB316" s="676"/>
      <c r="AC316" s="639"/>
      <c r="AD316" s="547"/>
      <c r="AE316" s="546"/>
      <c r="AF316" s="547"/>
      <c r="AG316" s="639"/>
      <c r="AH316" s="639"/>
    </row>
    <row r="317" spans="1:34" s="94" customFormat="1" ht="50.1" hidden="1" customHeight="1">
      <c r="A317" s="641"/>
      <c r="B317" s="654"/>
      <c r="C317" s="635" t="s">
        <v>182</v>
      </c>
      <c r="D317" s="671"/>
      <c r="E317" s="655" t="str">
        <f t="shared" si="55"/>
        <v>VIA LAURO GUERRERO SANTA GERTRUDIZ 12.1 KM</v>
      </c>
      <c r="F317" s="536" t="s">
        <v>330</v>
      </c>
      <c r="G317" s="536" t="s">
        <v>583</v>
      </c>
      <c r="H317" s="670" t="s">
        <v>384</v>
      </c>
      <c r="I317" s="536" t="s">
        <v>173</v>
      </c>
      <c r="J317" s="536" t="s">
        <v>174</v>
      </c>
      <c r="K317" s="537"/>
      <c r="L317" s="537"/>
      <c r="M317" s="538"/>
      <c r="N317" s="539" t="s">
        <v>340</v>
      </c>
      <c r="O317" s="540" t="s">
        <v>341</v>
      </c>
      <c r="P317" s="540">
        <v>0.3</v>
      </c>
      <c r="Q317" s="540">
        <v>14234.2</v>
      </c>
      <c r="R317" s="540"/>
      <c r="S317" s="541">
        <v>41644</v>
      </c>
      <c r="T317" s="541">
        <v>41820</v>
      </c>
      <c r="U317" s="542" t="s">
        <v>179</v>
      </c>
      <c r="V317" s="543">
        <f t="shared" si="48"/>
        <v>4270.26</v>
      </c>
      <c r="W317" s="546"/>
      <c r="X317" s="547"/>
      <c r="Y317" s="546"/>
      <c r="Z317" s="547"/>
      <c r="AA317" s="675"/>
      <c r="AB317" s="676"/>
      <c r="AC317" s="639"/>
      <c r="AD317" s="547"/>
      <c r="AE317" s="546"/>
      <c r="AF317" s="547"/>
      <c r="AG317" s="639"/>
      <c r="AH317" s="639"/>
    </row>
    <row r="318" spans="1:34" s="94" customFormat="1" ht="50.1" hidden="1" customHeight="1">
      <c r="A318" s="641"/>
      <c r="B318" s="654"/>
      <c r="C318" s="635" t="s">
        <v>182</v>
      </c>
      <c r="D318" s="671"/>
      <c r="E318" s="655" t="str">
        <f t="shared" si="55"/>
        <v>VIA LAURO GUERRERO SANTA GERTRUDIZ 12.1 KM</v>
      </c>
      <c r="F318" s="536" t="s">
        <v>330</v>
      </c>
      <c r="G318" s="536" t="s">
        <v>614</v>
      </c>
      <c r="H318" s="670" t="s">
        <v>389</v>
      </c>
      <c r="I318" s="536" t="s">
        <v>173</v>
      </c>
      <c r="J318" s="536" t="s">
        <v>174</v>
      </c>
      <c r="K318" s="537"/>
      <c r="L318" s="537"/>
      <c r="M318" s="538"/>
      <c r="N318" s="539" t="s">
        <v>361</v>
      </c>
      <c r="O318" s="540" t="s">
        <v>333</v>
      </c>
      <c r="P318" s="540">
        <v>2.54</v>
      </c>
      <c r="Q318" s="540">
        <v>1500</v>
      </c>
      <c r="R318" s="540"/>
      <c r="S318" s="541">
        <v>41641</v>
      </c>
      <c r="T318" s="541">
        <v>41670</v>
      </c>
      <c r="U318" s="542" t="s">
        <v>179</v>
      </c>
      <c r="V318" s="543">
        <f t="shared" si="48"/>
        <v>3810</v>
      </c>
      <c r="W318" s="544"/>
      <c r="X318" s="544"/>
      <c r="Y318" s="546"/>
      <c r="Z318" s="547"/>
      <c r="AA318" s="675"/>
      <c r="AB318" s="676"/>
      <c r="AC318" s="639"/>
      <c r="AD318" s="547"/>
      <c r="AE318" s="546"/>
      <c r="AF318" s="547"/>
      <c r="AG318" s="639"/>
      <c r="AH318" s="639"/>
    </row>
    <row r="319" spans="1:34" s="94" customFormat="1" ht="50.1" hidden="1" customHeight="1">
      <c r="A319" s="641"/>
      <c r="B319" s="654"/>
      <c r="C319" s="635" t="s">
        <v>182</v>
      </c>
      <c r="D319" s="671"/>
      <c r="E319" s="655" t="str">
        <f t="shared" si="55"/>
        <v>VIA LAURO GUERRERO SANTA GERTRUDIZ 12.1 KM</v>
      </c>
      <c r="F319" s="536" t="s">
        <v>330</v>
      </c>
      <c r="G319" s="536" t="s">
        <v>583</v>
      </c>
      <c r="H319" s="670" t="s">
        <v>384</v>
      </c>
      <c r="I319" s="536" t="s">
        <v>173</v>
      </c>
      <c r="J319" s="536" t="s">
        <v>174</v>
      </c>
      <c r="K319" s="537"/>
      <c r="L319" s="537"/>
      <c r="M319" s="538"/>
      <c r="N319" s="539" t="s">
        <v>336</v>
      </c>
      <c r="O319" s="540" t="s">
        <v>333</v>
      </c>
      <c r="P319" s="540">
        <v>1.47</v>
      </c>
      <c r="Q319" s="540">
        <v>1200</v>
      </c>
      <c r="R319" s="540"/>
      <c r="S319" s="541">
        <v>41802</v>
      </c>
      <c r="T319" s="541">
        <v>41820</v>
      </c>
      <c r="U319" s="542" t="s">
        <v>179</v>
      </c>
      <c r="V319" s="543">
        <f t="shared" si="48"/>
        <v>1764</v>
      </c>
      <c r="W319" s="546"/>
      <c r="X319" s="547"/>
      <c r="Y319" s="546"/>
      <c r="Z319" s="547"/>
      <c r="AA319" s="675"/>
      <c r="AB319" s="676"/>
      <c r="AC319" s="639"/>
      <c r="AD319" s="547"/>
      <c r="AE319" s="546"/>
      <c r="AF319" s="547"/>
      <c r="AG319" s="639"/>
      <c r="AH319" s="639"/>
    </row>
    <row r="320" spans="1:34" s="94" customFormat="1" ht="50.1" hidden="1" customHeight="1">
      <c r="A320" s="1068"/>
      <c r="B320" s="635"/>
      <c r="C320" s="635" t="s">
        <v>169</v>
      </c>
      <c r="D320" s="1073" t="s">
        <v>388</v>
      </c>
      <c r="E320" s="636" t="str">
        <f t="shared" si="46"/>
        <v>VIA, ORIANGA-LA VICTORIA-SHOA, L=11,0 km. (Paltas)</v>
      </c>
      <c r="F320" s="536" t="s">
        <v>330</v>
      </c>
      <c r="G320" s="536" t="str">
        <f>VLOOKUP(H320,'[5]Pob. Ext, Parroquial'!$B$9:$C$117,2,0)</f>
        <v>PALTAS</v>
      </c>
      <c r="H320" s="670" t="s">
        <v>389</v>
      </c>
      <c r="I320" s="536" t="s">
        <v>173</v>
      </c>
      <c r="J320" s="536" t="s">
        <v>174</v>
      </c>
      <c r="K320" s="537">
        <v>11</v>
      </c>
      <c r="L320" s="537"/>
      <c r="M320" s="538">
        <f>IF(K320&gt;0,VLOOKUP(H320,'[5]Pob. Ext, Parroquial'!$B$8:$F$117,4,FALSE),0)</f>
        <v>1083</v>
      </c>
      <c r="N320" s="539" t="s">
        <v>361</v>
      </c>
      <c r="O320" s="540" t="s">
        <v>333</v>
      </c>
      <c r="P320" s="540">
        <v>2.54</v>
      </c>
      <c r="Q320" s="665">
        <v>960</v>
      </c>
      <c r="R320" s="540"/>
      <c r="S320" s="541">
        <v>41641</v>
      </c>
      <c r="T320" s="541">
        <v>41670</v>
      </c>
      <c r="U320" s="542" t="str">
        <f t="shared" si="44"/>
        <v>EJECUTADO</v>
      </c>
      <c r="V320" s="543">
        <f t="shared" si="48"/>
        <v>2438.4</v>
      </c>
      <c r="W320" s="543">
        <v>2438.4</v>
      </c>
      <c r="X320" s="543">
        <f t="shared" si="39"/>
        <v>0</v>
      </c>
      <c r="Y320" s="544"/>
      <c r="Z320" s="544"/>
      <c r="AA320" s="1072">
        <f>SUM(V320:V325)</f>
        <v>22139.7</v>
      </c>
      <c r="AB320" s="640"/>
      <c r="AC320" s="545" t="s">
        <v>334</v>
      </c>
      <c r="AD320" s="545" t="s">
        <v>178</v>
      </c>
      <c r="AE320" s="546" t="s">
        <v>179</v>
      </c>
      <c r="AF320" s="547">
        <v>2014</v>
      </c>
      <c r="AG320" s="639"/>
      <c r="AH320" s="639"/>
    </row>
    <row r="321" spans="1:34" s="94" customFormat="1" ht="50.1" hidden="1" customHeight="1">
      <c r="A321" s="1068"/>
      <c r="B321" s="654"/>
      <c r="C321" s="635" t="s">
        <v>182</v>
      </c>
      <c r="D321" s="1078"/>
      <c r="E321" s="655" t="str">
        <f t="shared" ref="E321:E325" si="56">+E320</f>
        <v>VIA, ORIANGA-LA VICTORIA-SHOA, L=11,0 km. (Paltas)</v>
      </c>
      <c r="F321" s="536" t="s">
        <v>330</v>
      </c>
      <c r="G321" s="536" t="str">
        <f>VLOOKUP(H321,'[5]Pob. Ext, Parroquial'!$B$9:$C$117,2,0)</f>
        <v>PALTAS</v>
      </c>
      <c r="H321" s="670" t="s">
        <v>389</v>
      </c>
      <c r="I321" s="536" t="s">
        <v>173</v>
      </c>
      <c r="J321" s="536" t="s">
        <v>174</v>
      </c>
      <c r="K321" s="537"/>
      <c r="L321" s="537"/>
      <c r="M321" s="538">
        <f>IF(K321&gt;0,VLOOKUP(H321,'[5]Pob. Ext, Parroquial'!$B$8:$F$117,4,FALSE),0)</f>
        <v>0</v>
      </c>
      <c r="N321" s="539" t="s">
        <v>200</v>
      </c>
      <c r="O321" s="540" t="s">
        <v>333</v>
      </c>
      <c r="P321" s="540">
        <v>1.46</v>
      </c>
      <c r="Q321" s="665">
        <v>1320</v>
      </c>
      <c r="R321" s="540"/>
      <c r="S321" s="541">
        <v>41791</v>
      </c>
      <c r="T321" s="541">
        <v>41820</v>
      </c>
      <c r="U321" s="542" t="str">
        <f t="shared" si="44"/>
        <v>EJECUTADO</v>
      </c>
      <c r="V321" s="543">
        <f t="shared" si="48"/>
        <v>1927.2</v>
      </c>
      <c r="W321" s="543"/>
      <c r="X321" s="543">
        <f t="shared" si="39"/>
        <v>2890.7999999999997</v>
      </c>
      <c r="Y321" s="544"/>
      <c r="Z321" s="544"/>
      <c r="AA321" s="1072"/>
      <c r="AB321" s="640"/>
      <c r="AC321" s="545"/>
      <c r="AD321" s="545"/>
      <c r="AE321" s="546"/>
      <c r="AF321" s="547"/>
      <c r="AG321" s="639"/>
      <c r="AH321" s="639"/>
    </row>
    <row r="322" spans="1:34" s="94" customFormat="1" ht="50.1" hidden="1" customHeight="1">
      <c r="A322" s="1068"/>
      <c r="B322" s="635"/>
      <c r="C322" s="635" t="s">
        <v>169</v>
      </c>
      <c r="D322" s="1078"/>
      <c r="E322" s="655" t="str">
        <f t="shared" si="56"/>
        <v>VIA, ORIANGA-LA VICTORIA-SHOA, L=11,0 km. (Paltas)</v>
      </c>
      <c r="F322" s="536" t="s">
        <v>330</v>
      </c>
      <c r="G322" s="536" t="str">
        <f>VLOOKUP(H322,'[5]Pob. Ext, Parroquial'!$B$9:$C$117,2,0)</f>
        <v>PALTAS</v>
      </c>
      <c r="H322" s="670" t="s">
        <v>389</v>
      </c>
      <c r="I322" s="536" t="s">
        <v>173</v>
      </c>
      <c r="J322" s="536" t="s">
        <v>174</v>
      </c>
      <c r="K322" s="537"/>
      <c r="L322" s="537"/>
      <c r="M322" s="538">
        <f>IF(K322&gt;0,VLOOKUP(H322,'[5]Pob. Ext, Parroquial'!$B$8:$F$117,4,FALSE),0)</f>
        <v>0</v>
      </c>
      <c r="N322" s="669" t="s">
        <v>336</v>
      </c>
      <c r="O322" s="540" t="s">
        <v>333</v>
      </c>
      <c r="P322" s="540">
        <v>1.47</v>
      </c>
      <c r="Q322" s="665">
        <v>1700</v>
      </c>
      <c r="R322" s="540"/>
      <c r="S322" s="541">
        <v>41641</v>
      </c>
      <c r="T322" s="541">
        <v>41670</v>
      </c>
      <c r="U322" s="542" t="str">
        <f t="shared" si="44"/>
        <v>EJECUTADO</v>
      </c>
      <c r="V322" s="543">
        <f t="shared" si="48"/>
        <v>2499</v>
      </c>
      <c r="W322" s="543">
        <v>2499</v>
      </c>
      <c r="X322" s="543">
        <f t="shared" si="39"/>
        <v>0</v>
      </c>
      <c r="Y322" s="544"/>
      <c r="Z322" s="544"/>
      <c r="AA322" s="1072"/>
      <c r="AB322" s="640"/>
      <c r="AC322" s="545" t="s">
        <v>334</v>
      </c>
      <c r="AD322" s="545" t="s">
        <v>178</v>
      </c>
      <c r="AE322" s="546" t="s">
        <v>179</v>
      </c>
      <c r="AF322" s="547">
        <v>2014</v>
      </c>
      <c r="AG322" s="639"/>
      <c r="AH322" s="639"/>
    </row>
    <row r="323" spans="1:34" s="94" customFormat="1" ht="50.1" hidden="1" customHeight="1">
      <c r="A323" s="1068"/>
      <c r="B323" s="635"/>
      <c r="C323" s="635" t="s">
        <v>182</v>
      </c>
      <c r="D323" s="1078"/>
      <c r="E323" s="655" t="str">
        <f t="shared" si="56"/>
        <v>VIA, ORIANGA-LA VICTORIA-SHOA, L=11,0 km. (Paltas)</v>
      </c>
      <c r="F323" s="536" t="s">
        <v>330</v>
      </c>
      <c r="G323" s="536" t="str">
        <f>VLOOKUP(H323,'[5]Pob. Ext, Parroquial'!$B$9:$C$117,2,0)</f>
        <v>PALTAS</v>
      </c>
      <c r="H323" s="670" t="s">
        <v>389</v>
      </c>
      <c r="I323" s="536" t="s">
        <v>173</v>
      </c>
      <c r="J323" s="536" t="s">
        <v>174</v>
      </c>
      <c r="K323" s="537"/>
      <c r="L323" s="537">
        <f>ROUNDUP(Q323/5.5/1000,2)</f>
        <v>4.84</v>
      </c>
      <c r="M323" s="538">
        <f>IF(K323&gt;0,VLOOKUP(H323,'[5]Pob. Ext, Parroquial'!$B$8:$F$117,4,FALSE),0)</f>
        <v>0</v>
      </c>
      <c r="N323" s="539" t="s">
        <v>185</v>
      </c>
      <c r="O323" s="540" t="s">
        <v>314</v>
      </c>
      <c r="P323" s="540">
        <v>0.08</v>
      </c>
      <c r="Q323" s="665">
        <v>26600</v>
      </c>
      <c r="R323" s="540"/>
      <c r="S323" s="541">
        <v>41641</v>
      </c>
      <c r="T323" s="541">
        <v>41670</v>
      </c>
      <c r="U323" s="542" t="str">
        <f t="shared" si="44"/>
        <v>EJECUTADO</v>
      </c>
      <c r="V323" s="543">
        <f t="shared" si="48"/>
        <v>2128</v>
      </c>
      <c r="W323" s="543">
        <f>+V323</f>
        <v>2128</v>
      </c>
      <c r="X323" s="543">
        <f t="shared" si="39"/>
        <v>0</v>
      </c>
      <c r="Y323" s="544"/>
      <c r="Z323" s="544"/>
      <c r="AA323" s="1072"/>
      <c r="AB323" s="640"/>
      <c r="AC323" s="545" t="s">
        <v>334</v>
      </c>
      <c r="AD323" s="545" t="s">
        <v>178</v>
      </c>
      <c r="AE323" s="546" t="s">
        <v>179</v>
      </c>
      <c r="AF323" s="547">
        <v>2014</v>
      </c>
      <c r="AG323" s="639"/>
      <c r="AH323" s="639"/>
    </row>
    <row r="324" spans="1:34" s="94" customFormat="1" ht="50.1" hidden="1" customHeight="1">
      <c r="A324" s="1068"/>
      <c r="B324" s="635"/>
      <c r="C324" s="635" t="s">
        <v>169</v>
      </c>
      <c r="D324" s="1078"/>
      <c r="E324" s="655" t="str">
        <f t="shared" si="56"/>
        <v>VIA, ORIANGA-LA VICTORIA-SHOA, L=11,0 km. (Paltas)</v>
      </c>
      <c r="F324" s="536" t="s">
        <v>330</v>
      </c>
      <c r="G324" s="536" t="str">
        <f>VLOOKUP(H324,'[5]Pob. Ext, Parroquial'!$B$9:$C$117,2,0)</f>
        <v>PALTAS</v>
      </c>
      <c r="H324" s="670" t="s">
        <v>389</v>
      </c>
      <c r="I324" s="536" t="s">
        <v>173</v>
      </c>
      <c r="J324" s="536" t="s">
        <v>174</v>
      </c>
      <c r="K324" s="537"/>
      <c r="L324" s="537">
        <f>+ROUND(Q324/5500/0.2,2)</f>
        <v>1.3</v>
      </c>
      <c r="M324" s="538">
        <f>IF(K324&gt;0,VLOOKUP(H324,'[5]Pob. Ext, Parroquial'!$B$8:$F$117,4,FALSE),0)</f>
        <v>0</v>
      </c>
      <c r="N324" s="539" t="s">
        <v>229</v>
      </c>
      <c r="O324" s="540" t="s">
        <v>333</v>
      </c>
      <c r="P324" s="540">
        <v>5.92</v>
      </c>
      <c r="Q324" s="665">
        <v>1430</v>
      </c>
      <c r="R324" s="540"/>
      <c r="S324" s="541">
        <v>41641</v>
      </c>
      <c r="T324" s="541">
        <v>41670</v>
      </c>
      <c r="U324" s="542" t="str">
        <f t="shared" si="44"/>
        <v>EJECUTADO</v>
      </c>
      <c r="V324" s="543">
        <f t="shared" si="48"/>
        <v>8465.6</v>
      </c>
      <c r="W324" s="543">
        <v>8265.4</v>
      </c>
      <c r="X324" s="543">
        <f t="shared" si="39"/>
        <v>300.30000000000109</v>
      </c>
      <c r="Y324" s="544"/>
      <c r="Z324" s="544"/>
      <c r="AA324" s="1072"/>
      <c r="AB324" s="640"/>
      <c r="AC324" s="545" t="s">
        <v>334</v>
      </c>
      <c r="AD324" s="545" t="s">
        <v>178</v>
      </c>
      <c r="AE324" s="546" t="s">
        <v>179</v>
      </c>
      <c r="AF324" s="547">
        <v>2014</v>
      </c>
      <c r="AG324" s="639"/>
      <c r="AH324" s="639"/>
    </row>
    <row r="325" spans="1:34" s="94" customFormat="1" ht="50.1" hidden="1" customHeight="1">
      <c r="A325" s="1068"/>
      <c r="B325" s="667"/>
      <c r="C325" s="635" t="s">
        <v>169</v>
      </c>
      <c r="D325" s="1074"/>
      <c r="E325" s="655" t="str">
        <f t="shared" si="56"/>
        <v>VIA, ORIANGA-LA VICTORIA-SHOA, L=11,0 km. (Paltas)</v>
      </c>
      <c r="F325" s="536" t="s">
        <v>330</v>
      </c>
      <c r="G325" s="536" t="str">
        <f>VLOOKUP(H325,'[5]Pob. Ext, Parroquial'!$B$9:$C$117,2,0)</f>
        <v>PALTAS</v>
      </c>
      <c r="H325" s="670" t="s">
        <v>389</v>
      </c>
      <c r="I325" s="536" t="s">
        <v>173</v>
      </c>
      <c r="J325" s="536" t="s">
        <v>174</v>
      </c>
      <c r="K325" s="537"/>
      <c r="L325" s="537"/>
      <c r="M325" s="538">
        <f>IF(K325&gt;0,VLOOKUP(H325,'[5]Pob. Ext, Parroquial'!$B$8:$F$117,4,FALSE),0)</f>
        <v>0</v>
      </c>
      <c r="N325" s="539" t="s">
        <v>180</v>
      </c>
      <c r="O325" s="540" t="s">
        <v>352</v>
      </c>
      <c r="P325" s="540">
        <v>0.3</v>
      </c>
      <c r="Q325" s="665">
        <v>15605</v>
      </c>
      <c r="R325" s="540"/>
      <c r="S325" s="541">
        <v>41641</v>
      </c>
      <c r="T325" s="541">
        <v>41820</v>
      </c>
      <c r="U325" s="542" t="str">
        <f t="shared" si="44"/>
        <v>EJECUTADO</v>
      </c>
      <c r="V325" s="543">
        <f t="shared" si="48"/>
        <v>4681.5</v>
      </c>
      <c r="W325" s="543">
        <v>3903.9</v>
      </c>
      <c r="X325" s="543">
        <f t="shared" si="39"/>
        <v>1166.3999999999999</v>
      </c>
      <c r="Y325" s="544"/>
      <c r="Z325" s="544"/>
      <c r="AA325" s="1072"/>
      <c r="AB325" s="640"/>
      <c r="AC325" s="545" t="s">
        <v>334</v>
      </c>
      <c r="AD325" s="545" t="s">
        <v>178</v>
      </c>
      <c r="AE325" s="546" t="s">
        <v>179</v>
      </c>
      <c r="AF325" s="547">
        <v>2014</v>
      </c>
      <c r="AG325" s="639"/>
      <c r="AH325" s="639"/>
    </row>
    <row r="326" spans="1:34" s="94" customFormat="1" ht="50.1" hidden="1" customHeight="1">
      <c r="A326" s="1088" t="s">
        <v>390</v>
      </c>
      <c r="B326" s="1069" t="str">
        <f>+U328</f>
        <v>EJECUTADO</v>
      </c>
      <c r="C326" s="635" t="s">
        <v>182</v>
      </c>
      <c r="D326" s="1073" t="s">
        <v>774</v>
      </c>
      <c r="E326" s="636" t="str">
        <f t="shared" si="46"/>
        <v>VIA RIO PINDO  LAS JUNTAS ORIANGA L=17,8 KM (PALTAS)</v>
      </c>
      <c r="F326" s="536" t="s">
        <v>330</v>
      </c>
      <c r="G326" s="536" t="str">
        <f>VLOOKUP(H326,'[5]Pob. Ext, Parroquial'!$B$9:$C$117,2,0)</f>
        <v>PALTAS</v>
      </c>
      <c r="H326" s="670" t="s">
        <v>389</v>
      </c>
      <c r="I326" s="536" t="s">
        <v>173</v>
      </c>
      <c r="J326" s="536" t="s">
        <v>174</v>
      </c>
      <c r="K326" s="537">
        <v>17.8</v>
      </c>
      <c r="L326" s="537"/>
      <c r="M326" s="538">
        <f>IF(K326&gt;0,VLOOKUP(H326,'[5]Pob. Ext, Parroquial'!$B$8:$F$117,4,FALSE),0)</f>
        <v>1083</v>
      </c>
      <c r="N326" s="539" t="s">
        <v>200</v>
      </c>
      <c r="O326" s="540" t="s">
        <v>333</v>
      </c>
      <c r="P326" s="540">
        <v>1.46</v>
      </c>
      <c r="Q326" s="540">
        <v>17120</v>
      </c>
      <c r="R326" s="540"/>
      <c r="S326" s="541">
        <v>41658</v>
      </c>
      <c r="T326" s="541">
        <v>41820</v>
      </c>
      <c r="U326" s="542" t="str">
        <f t="shared" si="44"/>
        <v>EJECUTADO</v>
      </c>
      <c r="V326" s="543">
        <f t="shared" si="48"/>
        <v>24995.200000000001</v>
      </c>
      <c r="W326" s="543">
        <v>9290.4</v>
      </c>
      <c r="X326" s="543">
        <f t="shared" si="39"/>
        <v>23557.200000000001</v>
      </c>
      <c r="Y326" s="544"/>
      <c r="Z326" s="544"/>
      <c r="AA326" s="1080">
        <f>SUBTOTAL(9,V326:V328)</f>
        <v>0</v>
      </c>
      <c r="AB326" s="640"/>
      <c r="AC326" s="545" t="s">
        <v>334</v>
      </c>
      <c r="AD326" s="545" t="s">
        <v>178</v>
      </c>
      <c r="AE326" s="546" t="s">
        <v>187</v>
      </c>
      <c r="AF326" s="547">
        <v>2014</v>
      </c>
      <c r="AG326" s="639"/>
      <c r="AH326" s="639"/>
    </row>
    <row r="327" spans="1:34" s="94" customFormat="1" ht="50.1" hidden="1" customHeight="1">
      <c r="A327" s="1089"/>
      <c r="B327" s="1070"/>
      <c r="C327" s="635" t="s">
        <v>169</v>
      </c>
      <c r="D327" s="1078"/>
      <c r="E327" s="655" t="str">
        <f t="shared" ref="E327:E328" si="57">+E326</f>
        <v>VIA RIO PINDO  LAS JUNTAS ORIANGA L=17,8 KM (PALTAS)</v>
      </c>
      <c r="F327" s="536" t="s">
        <v>330</v>
      </c>
      <c r="G327" s="536" t="str">
        <f>VLOOKUP(H327,'[5]Pob. Ext, Parroquial'!$B$9:$C$117,2,0)</f>
        <v>PALTAS</v>
      </c>
      <c r="H327" s="670" t="s">
        <v>389</v>
      </c>
      <c r="I327" s="536" t="s">
        <v>173</v>
      </c>
      <c r="J327" s="536" t="s">
        <v>174</v>
      </c>
      <c r="K327" s="537"/>
      <c r="L327" s="537"/>
      <c r="M327" s="538">
        <f>IF(K327&gt;0,VLOOKUP(H327,'[5]Pob. Ext, Parroquial'!$B$8:$F$117,4,FALSE),0)</f>
        <v>0</v>
      </c>
      <c r="N327" s="539" t="s">
        <v>392</v>
      </c>
      <c r="O327" s="540" t="s">
        <v>333</v>
      </c>
      <c r="P327" s="540">
        <v>1.62</v>
      </c>
      <c r="Q327" s="540">
        <v>36270</v>
      </c>
      <c r="R327" s="540"/>
      <c r="S327" s="541">
        <v>41839</v>
      </c>
      <c r="T327" s="541">
        <v>41851</v>
      </c>
      <c r="U327" s="542" t="str">
        <f t="shared" si="44"/>
        <v>EJECUTADO</v>
      </c>
      <c r="V327" s="543">
        <f t="shared" si="48"/>
        <v>58757.4</v>
      </c>
      <c r="W327" s="543"/>
      <c r="X327" s="543">
        <f t="shared" si="39"/>
        <v>88136.099999999991</v>
      </c>
      <c r="Y327" s="544"/>
      <c r="Z327" s="544"/>
      <c r="AA327" s="1081"/>
      <c r="AB327" s="640"/>
      <c r="AC327" s="545" t="s">
        <v>334</v>
      </c>
      <c r="AD327" s="545" t="s">
        <v>178</v>
      </c>
      <c r="AE327" s="546" t="s">
        <v>187</v>
      </c>
      <c r="AF327" s="547">
        <v>2014</v>
      </c>
      <c r="AG327" s="639"/>
      <c r="AH327" s="639"/>
    </row>
    <row r="328" spans="1:34" s="94" customFormat="1" ht="50.1" hidden="1" customHeight="1">
      <c r="A328" s="1090"/>
      <c r="B328" s="1071"/>
      <c r="C328" s="635" t="s">
        <v>182</v>
      </c>
      <c r="D328" s="1074"/>
      <c r="E328" s="655" t="str">
        <f t="shared" si="57"/>
        <v>VIA RIO PINDO  LAS JUNTAS ORIANGA L=17,8 KM (PALTAS)</v>
      </c>
      <c r="F328" s="536" t="s">
        <v>330</v>
      </c>
      <c r="G328" s="536" t="str">
        <f>VLOOKUP(H328,'[5]Pob. Ext, Parroquial'!$B$9:$C$117,2,0)</f>
        <v>PALTAS</v>
      </c>
      <c r="H328" s="670" t="s">
        <v>389</v>
      </c>
      <c r="I328" s="536" t="s">
        <v>173</v>
      </c>
      <c r="J328" s="536" t="s">
        <v>174</v>
      </c>
      <c r="K328" s="537"/>
      <c r="L328" s="537"/>
      <c r="M328" s="538">
        <f>IF(K328&gt;0,VLOOKUP(H328,'[5]Pob. Ext, Parroquial'!$B$8:$F$117,4,FALSE),0)</f>
        <v>0</v>
      </c>
      <c r="N328" s="539" t="s">
        <v>351</v>
      </c>
      <c r="O328" s="540" t="s">
        <v>352</v>
      </c>
      <c r="P328" s="540">
        <v>0.38</v>
      </c>
      <c r="Q328" s="540">
        <v>5513.44</v>
      </c>
      <c r="R328" s="540"/>
      <c r="S328" s="541">
        <v>41839</v>
      </c>
      <c r="T328" s="541">
        <v>41851</v>
      </c>
      <c r="U328" s="542" t="str">
        <f t="shared" si="44"/>
        <v>EJECUTADO</v>
      </c>
      <c r="V328" s="543">
        <f t="shared" si="48"/>
        <v>2095.11</v>
      </c>
      <c r="W328" s="543"/>
      <c r="X328" s="543">
        <f t="shared" si="39"/>
        <v>3142.665</v>
      </c>
      <c r="Y328" s="544"/>
      <c r="Z328" s="544"/>
      <c r="AA328" s="1082"/>
      <c r="AB328" s="640"/>
      <c r="AC328" s="545" t="s">
        <v>334</v>
      </c>
      <c r="AD328" s="545" t="s">
        <v>178</v>
      </c>
      <c r="AE328" s="546" t="s">
        <v>187</v>
      </c>
      <c r="AF328" s="547">
        <v>2014</v>
      </c>
      <c r="AG328" s="639"/>
      <c r="AH328" s="639"/>
    </row>
    <row r="329" spans="1:34" s="94" customFormat="1" ht="50.1" hidden="1" customHeight="1">
      <c r="A329" s="1088" t="s">
        <v>393</v>
      </c>
      <c r="B329" s="1083" t="str">
        <f>+U329</f>
        <v>EJECUTADO</v>
      </c>
      <c r="C329" s="635" t="s">
        <v>169</v>
      </c>
      <c r="D329" s="1073" t="s">
        <v>391</v>
      </c>
      <c r="E329" s="636" t="str">
        <f t="shared" si="46"/>
        <v>VIA RIO PINDO  LAS JUNTAS ORIANGA L=23.2 KM (PALTAS)</v>
      </c>
      <c r="F329" s="536" t="s">
        <v>330</v>
      </c>
      <c r="G329" s="536" t="str">
        <f>VLOOKUP(H329,'[5]Pob. Ext, Parroquial'!$B$9:$C$117,2,0)</f>
        <v>PALTAS</v>
      </c>
      <c r="H329" s="670" t="s">
        <v>389</v>
      </c>
      <c r="I329" s="536" t="s">
        <v>173</v>
      </c>
      <c r="J329" s="536" t="s">
        <v>174</v>
      </c>
      <c r="K329" s="537">
        <v>23.2</v>
      </c>
      <c r="L329" s="537"/>
      <c r="M329" s="538">
        <f>IF(K329&gt;0,VLOOKUP(H329,'[5]Pob. Ext, Parroquial'!$B$8:$F$117,4,FALSE),0)</f>
        <v>1083</v>
      </c>
      <c r="N329" s="539" t="s">
        <v>394</v>
      </c>
      <c r="O329" s="540" t="s">
        <v>333</v>
      </c>
      <c r="P329" s="540">
        <v>1.62</v>
      </c>
      <c r="Q329" s="540">
        <v>5580</v>
      </c>
      <c r="R329" s="540"/>
      <c r="S329" s="541">
        <v>41791</v>
      </c>
      <c r="T329" s="541">
        <v>41851</v>
      </c>
      <c r="U329" s="542" t="str">
        <f t="shared" si="44"/>
        <v>EJECUTADO</v>
      </c>
      <c r="V329" s="543">
        <f t="shared" si="48"/>
        <v>9039.6</v>
      </c>
      <c r="W329" s="543"/>
      <c r="X329" s="543">
        <f t="shared" si="39"/>
        <v>13559.400000000001</v>
      </c>
      <c r="Y329" s="544"/>
      <c r="Z329" s="544"/>
      <c r="AA329" s="1080">
        <f>SUBTOTAL(9,V329:V331)</f>
        <v>0</v>
      </c>
      <c r="AB329" s="640"/>
      <c r="AC329" s="545" t="s">
        <v>334</v>
      </c>
      <c r="AD329" s="545" t="s">
        <v>178</v>
      </c>
      <c r="AE329" s="546" t="s">
        <v>187</v>
      </c>
      <c r="AF329" s="547">
        <v>2014</v>
      </c>
      <c r="AG329" s="639"/>
      <c r="AH329" s="639"/>
    </row>
    <row r="330" spans="1:34" s="94" customFormat="1" ht="50.1" hidden="1" customHeight="1">
      <c r="A330" s="1089"/>
      <c r="B330" s="1084"/>
      <c r="C330" s="635" t="s">
        <v>182</v>
      </c>
      <c r="D330" s="1078"/>
      <c r="E330" s="655" t="str">
        <f t="shared" ref="E330:E335" si="58">+E329</f>
        <v>VIA RIO PINDO  LAS JUNTAS ORIANGA L=23.2 KM (PALTAS)</v>
      </c>
      <c r="F330" s="536" t="s">
        <v>330</v>
      </c>
      <c r="G330" s="536" t="str">
        <f>VLOOKUP(H330,'[5]Pob. Ext, Parroquial'!$B$9:$C$117,2,0)</f>
        <v>PALTAS</v>
      </c>
      <c r="H330" s="670" t="s">
        <v>389</v>
      </c>
      <c r="I330" s="536" t="s">
        <v>173</v>
      </c>
      <c r="J330" s="536" t="s">
        <v>174</v>
      </c>
      <c r="K330" s="537"/>
      <c r="L330" s="537"/>
      <c r="M330" s="538">
        <f>IF(K330&gt;0,VLOOKUP(H330,'[5]Pob. Ext, Parroquial'!$B$8:$F$117,4,FALSE),0)</f>
        <v>0</v>
      </c>
      <c r="N330" s="539" t="s">
        <v>200</v>
      </c>
      <c r="O330" s="540" t="s">
        <v>333</v>
      </c>
      <c r="P330" s="540">
        <v>1.46</v>
      </c>
      <c r="Q330" s="540">
        <v>7045</v>
      </c>
      <c r="R330" s="540"/>
      <c r="S330" s="541">
        <v>41791</v>
      </c>
      <c r="T330" s="541">
        <v>41851</v>
      </c>
      <c r="U330" s="542" t="str">
        <f t="shared" si="44"/>
        <v>EJECUTADO</v>
      </c>
      <c r="V330" s="543">
        <f t="shared" si="48"/>
        <v>10285.700000000001</v>
      </c>
      <c r="W330" s="543"/>
      <c r="X330" s="543">
        <f t="shared" si="39"/>
        <v>15428.550000000001</v>
      </c>
      <c r="Y330" s="544"/>
      <c r="Z330" s="544"/>
      <c r="AA330" s="1081"/>
      <c r="AB330" s="640"/>
      <c r="AC330" s="545" t="s">
        <v>334</v>
      </c>
      <c r="AD330" s="545" t="s">
        <v>178</v>
      </c>
      <c r="AE330" s="546" t="s">
        <v>187</v>
      </c>
      <c r="AF330" s="547">
        <v>2014</v>
      </c>
      <c r="AG330" s="639"/>
      <c r="AH330" s="639"/>
    </row>
    <row r="331" spans="1:34" s="94" customFormat="1" ht="50.1" hidden="1" customHeight="1">
      <c r="A331" s="1089"/>
      <c r="B331" s="1084"/>
      <c r="C331" s="635" t="s">
        <v>182</v>
      </c>
      <c r="D331" s="1078"/>
      <c r="E331" s="655" t="str">
        <f t="shared" si="58"/>
        <v>VIA RIO PINDO  LAS JUNTAS ORIANGA L=23.2 KM (PALTAS)</v>
      </c>
      <c r="F331" s="536" t="s">
        <v>330</v>
      </c>
      <c r="G331" s="536" t="str">
        <f>VLOOKUP(H331,'[5]Pob. Ext, Parroquial'!$B$9:$C$117,2,0)</f>
        <v>PALTAS</v>
      </c>
      <c r="H331" s="670" t="s">
        <v>389</v>
      </c>
      <c r="I331" s="536" t="s">
        <v>173</v>
      </c>
      <c r="J331" s="536" t="s">
        <v>174</v>
      </c>
      <c r="K331" s="537"/>
      <c r="L331" s="537">
        <f>ROUNDUP(Q331/5.5/1000,2)</f>
        <v>25.01</v>
      </c>
      <c r="M331" s="538">
        <f>IF(K331&gt;0,VLOOKUP(H331,'[5]Pob. Ext, Parroquial'!$B$8:$F$117,4,FALSE),0)</f>
        <v>0</v>
      </c>
      <c r="N331" s="539" t="s">
        <v>339</v>
      </c>
      <c r="O331" s="540" t="s">
        <v>333</v>
      </c>
      <c r="P331" s="540">
        <v>0.35</v>
      </c>
      <c r="Q331" s="540">
        <v>137520</v>
      </c>
      <c r="R331" s="540"/>
      <c r="S331" s="541">
        <v>41791</v>
      </c>
      <c r="T331" s="541">
        <v>41820</v>
      </c>
      <c r="U331" s="542" t="str">
        <f t="shared" si="44"/>
        <v>EJECUTADO</v>
      </c>
      <c r="V331" s="543">
        <f t="shared" si="48"/>
        <v>48132</v>
      </c>
      <c r="W331" s="543"/>
      <c r="X331" s="543">
        <f t="shared" si="39"/>
        <v>72198</v>
      </c>
      <c r="Y331" s="544"/>
      <c r="Z331" s="544"/>
      <c r="AA331" s="1082"/>
      <c r="AB331" s="640"/>
      <c r="AC331" s="545" t="s">
        <v>334</v>
      </c>
      <c r="AD331" s="545" t="s">
        <v>178</v>
      </c>
      <c r="AE331" s="546" t="s">
        <v>187</v>
      </c>
      <c r="AF331" s="547">
        <v>2014</v>
      </c>
      <c r="AG331" s="639"/>
      <c r="AH331" s="639"/>
    </row>
    <row r="332" spans="1:34" s="94" customFormat="1" ht="50.1" hidden="1" customHeight="1">
      <c r="A332" s="1089"/>
      <c r="B332" s="1084"/>
      <c r="C332" s="635" t="s">
        <v>182</v>
      </c>
      <c r="D332" s="1078"/>
      <c r="E332" s="655" t="str">
        <f>+E331</f>
        <v>VIA RIO PINDO  LAS JUNTAS ORIANGA L=23.2 KM (PALTAS)</v>
      </c>
      <c r="F332" s="536" t="s">
        <v>330</v>
      </c>
      <c r="G332" s="536" t="str">
        <f>VLOOKUP(H332,'[5]Pob. Ext, Parroquial'!$B$9:$C$117,2,0)</f>
        <v>PALTAS</v>
      </c>
      <c r="H332" s="670" t="s">
        <v>389</v>
      </c>
      <c r="I332" s="536" t="s">
        <v>173</v>
      </c>
      <c r="J332" s="536" t="s">
        <v>174</v>
      </c>
      <c r="K332" s="537"/>
      <c r="L332" s="537"/>
      <c r="M332" s="538">
        <f>IF(K332&gt;0,VLOOKUP(H332,'[5]Pob. Ext, Parroquial'!$B$8:$F$117,4,FALSE),0)</f>
        <v>0</v>
      </c>
      <c r="N332" s="539" t="s">
        <v>229</v>
      </c>
      <c r="O332" s="540" t="s">
        <v>333</v>
      </c>
      <c r="P332" s="540">
        <v>5.92</v>
      </c>
      <c r="Q332" s="540">
        <v>1297</v>
      </c>
      <c r="R332" s="540"/>
      <c r="S332" s="541">
        <v>41641</v>
      </c>
      <c r="T332" s="541">
        <v>41670</v>
      </c>
      <c r="U332" s="542" t="str">
        <f t="shared" si="44"/>
        <v>EJECUTADO</v>
      </c>
      <c r="V332" s="543">
        <f t="shared" si="48"/>
        <v>7678.24</v>
      </c>
      <c r="W332" s="543"/>
      <c r="X332" s="543"/>
      <c r="Y332" s="544"/>
      <c r="Z332" s="544"/>
      <c r="AA332" s="677"/>
      <c r="AB332" s="640"/>
      <c r="AC332" s="545"/>
      <c r="AD332" s="545"/>
      <c r="AE332" s="546"/>
      <c r="AF332" s="547"/>
      <c r="AG332" s="639"/>
      <c r="AH332" s="639"/>
    </row>
    <row r="333" spans="1:34" s="94" customFormat="1" ht="50.1" hidden="1" customHeight="1">
      <c r="A333" s="1089"/>
      <c r="B333" s="1084"/>
      <c r="C333" s="635" t="s">
        <v>169</v>
      </c>
      <c r="D333" s="1078"/>
      <c r="E333" s="655" t="str">
        <f>+E331</f>
        <v>VIA RIO PINDO  LAS JUNTAS ORIANGA L=23.2 KM (PALTAS)</v>
      </c>
      <c r="F333" s="536" t="s">
        <v>330</v>
      </c>
      <c r="G333" s="536" t="str">
        <f>VLOOKUP(H333,'[5]Pob. Ext, Parroquial'!$B$9:$C$117,2,0)</f>
        <v>PALTAS</v>
      </c>
      <c r="H333" s="670" t="s">
        <v>389</v>
      </c>
      <c r="I333" s="536" t="s">
        <v>173</v>
      </c>
      <c r="J333" s="536" t="s">
        <v>174</v>
      </c>
      <c r="K333" s="537"/>
      <c r="L333" s="537">
        <f t="shared" ref="L333:L335" si="59">ROUNDUP(Q333/5.5/1000,2)</f>
        <v>0.18000000000000002</v>
      </c>
      <c r="M333" s="538">
        <f>IF(K333&gt;0,VLOOKUP(H333,'[5]Pob. Ext, Parroquial'!$B$8:$F$117,4,FALSE),0)</f>
        <v>0</v>
      </c>
      <c r="N333" s="539" t="s">
        <v>375</v>
      </c>
      <c r="O333" s="540" t="s">
        <v>333</v>
      </c>
      <c r="P333" s="540">
        <v>7.6</v>
      </c>
      <c r="Q333" s="540">
        <v>955</v>
      </c>
      <c r="R333" s="540"/>
      <c r="S333" s="541">
        <v>41821</v>
      </c>
      <c r="T333" s="541">
        <v>41851</v>
      </c>
      <c r="U333" s="542" t="str">
        <f t="shared" si="44"/>
        <v>EJECUTADO</v>
      </c>
      <c r="V333" s="543">
        <f t="shared" si="48"/>
        <v>7258</v>
      </c>
      <c r="W333" s="543"/>
      <c r="X333" s="543">
        <f t="shared" si="39"/>
        <v>10887</v>
      </c>
      <c r="Y333" s="544"/>
      <c r="Z333" s="544"/>
      <c r="AA333" s="677"/>
      <c r="AB333" s="640"/>
      <c r="AC333" s="545" t="s">
        <v>334</v>
      </c>
      <c r="AD333" s="545" t="s">
        <v>178</v>
      </c>
      <c r="AE333" s="546" t="s">
        <v>187</v>
      </c>
      <c r="AF333" s="547">
        <v>2014</v>
      </c>
      <c r="AG333" s="639"/>
      <c r="AH333" s="639"/>
    </row>
    <row r="334" spans="1:34" s="94" customFormat="1" ht="50.1" hidden="1" customHeight="1">
      <c r="A334" s="1089"/>
      <c r="B334" s="1084"/>
      <c r="C334" s="635" t="s">
        <v>169</v>
      </c>
      <c r="D334" s="1078"/>
      <c r="E334" s="655" t="str">
        <f t="shared" si="58"/>
        <v>VIA RIO PINDO  LAS JUNTAS ORIANGA L=23.2 KM (PALTAS)</v>
      </c>
      <c r="F334" s="536" t="s">
        <v>330</v>
      </c>
      <c r="G334" s="536" t="str">
        <f>VLOOKUP(H334,'[5]Pob. Ext, Parroquial'!$B$9:$C$117,2,0)</f>
        <v>PALTAS</v>
      </c>
      <c r="H334" s="670" t="s">
        <v>389</v>
      </c>
      <c r="I334" s="536" t="s">
        <v>173</v>
      </c>
      <c r="J334" s="536" t="s">
        <v>174</v>
      </c>
      <c r="K334" s="537"/>
      <c r="L334" s="537">
        <f t="shared" si="59"/>
        <v>3.8499999999999996</v>
      </c>
      <c r="M334" s="538">
        <f>IF(K334&gt;0,VLOOKUP(H334,'[5]Pob. Ext, Parroquial'!$B$8:$F$117,4,FALSE),0)</f>
        <v>0</v>
      </c>
      <c r="N334" s="539" t="s">
        <v>395</v>
      </c>
      <c r="O334" s="540" t="s">
        <v>333</v>
      </c>
      <c r="P334" s="540">
        <v>1.47</v>
      </c>
      <c r="Q334" s="540">
        <v>21150</v>
      </c>
      <c r="R334" s="540"/>
      <c r="S334" s="541">
        <v>41821</v>
      </c>
      <c r="T334" s="541">
        <v>41851</v>
      </c>
      <c r="U334" s="542" t="str">
        <f t="shared" si="44"/>
        <v>EJECUTADO</v>
      </c>
      <c r="V334" s="543">
        <f t="shared" si="48"/>
        <v>31090.5</v>
      </c>
      <c r="W334" s="543"/>
      <c r="X334" s="543">
        <f t="shared" si="39"/>
        <v>46635.75</v>
      </c>
      <c r="Y334" s="544"/>
      <c r="Z334" s="544"/>
      <c r="AA334" s="677"/>
      <c r="AB334" s="640"/>
      <c r="AC334" s="545" t="s">
        <v>334</v>
      </c>
      <c r="AD334" s="545" t="s">
        <v>178</v>
      </c>
      <c r="AE334" s="546" t="s">
        <v>187</v>
      </c>
      <c r="AF334" s="547">
        <v>2014</v>
      </c>
      <c r="AG334" s="639"/>
      <c r="AH334" s="639"/>
    </row>
    <row r="335" spans="1:34" s="94" customFormat="1" ht="50.1" hidden="1" customHeight="1">
      <c r="A335" s="1090"/>
      <c r="B335" s="1084"/>
      <c r="C335" s="635" t="s">
        <v>169</v>
      </c>
      <c r="D335" s="1074"/>
      <c r="E335" s="655" t="str">
        <f t="shared" si="58"/>
        <v>VIA RIO PINDO  LAS JUNTAS ORIANGA L=23.2 KM (PALTAS)</v>
      </c>
      <c r="F335" s="536" t="s">
        <v>330</v>
      </c>
      <c r="G335" s="536" t="str">
        <f>VLOOKUP(H335,'[5]Pob. Ext, Parroquial'!$B$9:$C$117,2,0)</f>
        <v>PALTAS</v>
      </c>
      <c r="H335" s="670" t="s">
        <v>389</v>
      </c>
      <c r="I335" s="536" t="s">
        <v>173</v>
      </c>
      <c r="J335" s="536" t="s">
        <v>174</v>
      </c>
      <c r="K335" s="537"/>
      <c r="L335" s="537">
        <f t="shared" si="59"/>
        <v>1.36</v>
      </c>
      <c r="M335" s="538">
        <f>IF(K335&gt;0,VLOOKUP(H335,'[5]Pob. Ext, Parroquial'!$B$8:$F$117,4,FALSE),0)</f>
        <v>0</v>
      </c>
      <c r="N335" s="539" t="s">
        <v>180</v>
      </c>
      <c r="O335" s="540" t="s">
        <v>352</v>
      </c>
      <c r="P335" s="540">
        <v>0.38</v>
      </c>
      <c r="Q335" s="540">
        <v>7461.2</v>
      </c>
      <c r="R335" s="540"/>
      <c r="S335" s="541">
        <v>41821</v>
      </c>
      <c r="T335" s="541">
        <v>41851</v>
      </c>
      <c r="U335" s="542" t="str">
        <f t="shared" si="44"/>
        <v>EJECUTADO</v>
      </c>
      <c r="V335" s="543">
        <f t="shared" si="48"/>
        <v>2835.26</v>
      </c>
      <c r="W335" s="543"/>
      <c r="X335" s="543">
        <f t="shared" si="39"/>
        <v>4252.8900000000003</v>
      </c>
      <c r="Y335" s="544"/>
      <c r="Z335" s="544"/>
      <c r="AA335" s="677"/>
      <c r="AB335" s="640"/>
      <c r="AC335" s="545" t="s">
        <v>334</v>
      </c>
      <c r="AD335" s="545" t="s">
        <v>178</v>
      </c>
      <c r="AE335" s="546" t="s">
        <v>187</v>
      </c>
      <c r="AF335" s="547">
        <v>2014</v>
      </c>
      <c r="AG335" s="639"/>
      <c r="AH335" s="639"/>
    </row>
    <row r="336" spans="1:34" s="94" customFormat="1" ht="50.1" hidden="1" customHeight="1">
      <c r="A336" s="1088" t="s">
        <v>396</v>
      </c>
      <c r="B336" s="1084" t="str">
        <f>+U336</f>
        <v>EJECUTADO</v>
      </c>
      <c r="C336" s="635" t="s">
        <v>169</v>
      </c>
      <c r="D336" s="635" t="s">
        <v>397</v>
      </c>
      <c r="E336" s="636" t="str">
        <f t="shared" si="46"/>
        <v>CALLES DE ORIANGA, L=1,0 km.  (Paltas)</v>
      </c>
      <c r="F336" s="536" t="s">
        <v>330</v>
      </c>
      <c r="G336" s="536" t="str">
        <f>VLOOKUP(H336,'[5]Pob. Ext, Parroquial'!$B$9:$C$117,2,0)</f>
        <v>PALTAS</v>
      </c>
      <c r="H336" s="670" t="s">
        <v>389</v>
      </c>
      <c r="I336" s="536" t="s">
        <v>173</v>
      </c>
      <c r="J336" s="536" t="s">
        <v>174</v>
      </c>
      <c r="K336" s="537">
        <v>1</v>
      </c>
      <c r="L336" s="537"/>
      <c r="M336" s="538">
        <f>IF(K336&gt;0,VLOOKUP(H336,'[5]Pob. Ext, Parroquial'!$B$8:$F$117,4,FALSE),0)</f>
        <v>1083</v>
      </c>
      <c r="N336" s="539" t="s">
        <v>395</v>
      </c>
      <c r="O336" s="540" t="s">
        <v>333</v>
      </c>
      <c r="P336" s="540">
        <v>1.47</v>
      </c>
      <c r="Q336" s="540">
        <v>300</v>
      </c>
      <c r="R336" s="540"/>
      <c r="S336" s="541">
        <v>41836</v>
      </c>
      <c r="T336" s="541">
        <v>41851</v>
      </c>
      <c r="U336" s="542" t="str">
        <f t="shared" si="44"/>
        <v>EJECUTADO</v>
      </c>
      <c r="V336" s="543">
        <f t="shared" si="48"/>
        <v>441</v>
      </c>
      <c r="W336" s="543"/>
      <c r="X336" s="543">
        <f t="shared" si="39"/>
        <v>661.5</v>
      </c>
      <c r="Y336" s="544"/>
      <c r="Z336" s="544"/>
      <c r="AA336" s="1080">
        <f>SUBTOTAL(9,V336:V337)</f>
        <v>0</v>
      </c>
      <c r="AB336" s="640"/>
      <c r="AC336" s="545" t="s">
        <v>334</v>
      </c>
      <c r="AD336" s="545" t="s">
        <v>178</v>
      </c>
      <c r="AE336" s="546" t="s">
        <v>187</v>
      </c>
      <c r="AF336" s="547">
        <v>2014</v>
      </c>
      <c r="AG336" s="639"/>
      <c r="AH336" s="639"/>
    </row>
    <row r="337" spans="1:34" s="94" customFormat="1" ht="50.1" hidden="1" customHeight="1">
      <c r="A337" s="1090"/>
      <c r="B337" s="1084"/>
      <c r="C337" s="635" t="s">
        <v>169</v>
      </c>
      <c r="D337" s="635" t="s">
        <v>397</v>
      </c>
      <c r="E337" s="636" t="str">
        <f t="shared" si="46"/>
        <v>CALLES DE ORIANGA, L=1,0 km.  (Paltas)</v>
      </c>
      <c r="F337" s="536" t="s">
        <v>330</v>
      </c>
      <c r="G337" s="536" t="str">
        <f>VLOOKUP(H337,'[5]Pob. Ext, Parroquial'!$B$9:$C$117,2,0)</f>
        <v>PALTAS</v>
      </c>
      <c r="H337" s="670" t="s">
        <v>389</v>
      </c>
      <c r="I337" s="536" t="s">
        <v>173</v>
      </c>
      <c r="J337" s="536" t="s">
        <v>174</v>
      </c>
      <c r="K337" s="537"/>
      <c r="L337" s="537"/>
      <c r="M337" s="538">
        <f>IF(K337&gt;0,VLOOKUP(H337,'[5]Pob. Ext, Parroquial'!$B$8:$F$117,4,FALSE),0)</f>
        <v>0</v>
      </c>
      <c r="N337" s="539" t="s">
        <v>180</v>
      </c>
      <c r="O337" s="540" t="s">
        <v>352</v>
      </c>
      <c r="P337" s="540">
        <v>0.38</v>
      </c>
      <c r="Q337" s="540">
        <v>926.9</v>
      </c>
      <c r="R337" s="540"/>
      <c r="S337" s="541">
        <v>41836</v>
      </c>
      <c r="T337" s="541">
        <v>41851</v>
      </c>
      <c r="U337" s="542" t="str">
        <f t="shared" si="44"/>
        <v>EJECUTADO</v>
      </c>
      <c r="V337" s="543">
        <f t="shared" si="48"/>
        <v>352.22</v>
      </c>
      <c r="W337" s="543"/>
      <c r="X337" s="543">
        <f t="shared" si="39"/>
        <v>528.33000000000004</v>
      </c>
      <c r="Y337" s="544"/>
      <c r="Z337" s="544"/>
      <c r="AA337" s="1082"/>
      <c r="AB337" s="640"/>
      <c r="AC337" s="545" t="s">
        <v>334</v>
      </c>
      <c r="AD337" s="545" t="s">
        <v>178</v>
      </c>
      <c r="AE337" s="546" t="s">
        <v>187</v>
      </c>
      <c r="AF337" s="547">
        <v>2014</v>
      </c>
      <c r="AG337" s="639"/>
      <c r="AH337" s="639"/>
    </row>
    <row r="338" spans="1:34" s="94" customFormat="1" ht="50.1" hidden="1" customHeight="1">
      <c r="A338" s="641"/>
      <c r="B338" s="651"/>
      <c r="C338" s="635" t="s">
        <v>182</v>
      </c>
      <c r="D338" s="647" t="s">
        <v>398</v>
      </c>
      <c r="E338" s="636" t="str">
        <f t="shared" si="46"/>
        <v>VIA, ORIANGA-EL TRIUNFO, L=7,7 km. (Paltas)</v>
      </c>
      <c r="F338" s="536" t="s">
        <v>330</v>
      </c>
      <c r="G338" s="536" t="str">
        <f>VLOOKUP(H338,'[5]Pob. Ext, Parroquial'!$B$9:$C$117,2,0)</f>
        <v>PALTAS</v>
      </c>
      <c r="H338" s="670" t="s">
        <v>389</v>
      </c>
      <c r="I338" s="536" t="s">
        <v>173</v>
      </c>
      <c r="J338" s="536" t="s">
        <v>174</v>
      </c>
      <c r="K338" s="537">
        <v>7.7</v>
      </c>
      <c r="L338" s="537"/>
      <c r="M338" s="538">
        <f>IF(K338&gt;0,VLOOKUP(H338,'[5]Pob. Ext, Parroquial'!$B$8:$F$117,4,FALSE),0)</f>
        <v>1083</v>
      </c>
      <c r="N338" s="539" t="s">
        <v>200</v>
      </c>
      <c r="O338" s="540" t="s">
        <v>333</v>
      </c>
      <c r="P338" s="540">
        <v>1.46</v>
      </c>
      <c r="Q338" s="540">
        <v>7350</v>
      </c>
      <c r="R338" s="540"/>
      <c r="S338" s="541">
        <v>41684</v>
      </c>
      <c r="T338" s="541">
        <v>41729</v>
      </c>
      <c r="U338" s="542" t="str">
        <f t="shared" si="44"/>
        <v>EJECUTADO</v>
      </c>
      <c r="V338" s="543">
        <f t="shared" si="48"/>
        <v>10731</v>
      </c>
      <c r="W338" s="543">
        <f>+V338</f>
        <v>10731</v>
      </c>
      <c r="X338" s="543">
        <f t="shared" si="39"/>
        <v>0</v>
      </c>
      <c r="Y338" s="544"/>
      <c r="Z338" s="544"/>
      <c r="AA338" s="643">
        <f>V338+Y338+Z338</f>
        <v>10731</v>
      </c>
      <c r="AB338" s="640"/>
      <c r="AC338" s="545" t="s">
        <v>334</v>
      </c>
      <c r="AD338" s="545" t="s">
        <v>178</v>
      </c>
      <c r="AE338" s="546" t="s">
        <v>187</v>
      </c>
      <c r="AF338" s="547">
        <v>2014</v>
      </c>
      <c r="AG338" s="639"/>
      <c r="AH338" s="639"/>
    </row>
    <row r="339" spans="1:34" s="94" customFormat="1" ht="50.1" hidden="1" customHeight="1">
      <c r="A339" s="641"/>
      <c r="B339" s="651"/>
      <c r="C339" s="635" t="s">
        <v>182</v>
      </c>
      <c r="D339" s="647" t="s">
        <v>399</v>
      </c>
      <c r="E339" s="636" t="str">
        <f t="shared" si="46"/>
        <v>VIAS DESDE ORIANGA A, GUAYACAN Y LA VEGA. (Paltas)</v>
      </c>
      <c r="F339" s="536" t="s">
        <v>330</v>
      </c>
      <c r="G339" s="536" t="str">
        <f>VLOOKUP(H339,'[5]Pob. Ext, Parroquial'!$B$9:$C$117,2,0)</f>
        <v>PALTAS</v>
      </c>
      <c r="H339" s="670" t="s">
        <v>389</v>
      </c>
      <c r="I339" s="536" t="s">
        <v>173</v>
      </c>
      <c r="J339" s="536" t="s">
        <v>174</v>
      </c>
      <c r="K339" s="537">
        <v>4.5</v>
      </c>
      <c r="L339" s="537"/>
      <c r="M339" s="538">
        <f>IF(K339&gt;0,VLOOKUP(H339,'[5]Pob. Ext, Parroquial'!$B$8:$F$117,4,FALSE),0)</f>
        <v>1083</v>
      </c>
      <c r="N339" s="539" t="s">
        <v>200</v>
      </c>
      <c r="O339" s="540" t="s">
        <v>333</v>
      </c>
      <c r="P339" s="540">
        <v>1.46</v>
      </c>
      <c r="Q339" s="540">
        <v>2880</v>
      </c>
      <c r="R339" s="540"/>
      <c r="S339" s="541">
        <v>41687</v>
      </c>
      <c r="T339" s="541">
        <v>41759</v>
      </c>
      <c r="U339" s="542" t="str">
        <f t="shared" si="44"/>
        <v>EJECUTADO</v>
      </c>
      <c r="V339" s="543">
        <f t="shared" si="48"/>
        <v>4204.8</v>
      </c>
      <c r="W339" s="543">
        <f>+V339</f>
        <v>4204.8</v>
      </c>
      <c r="X339" s="543">
        <f t="shared" si="39"/>
        <v>0</v>
      </c>
      <c r="Y339" s="544"/>
      <c r="Z339" s="544"/>
      <c r="AA339" s="643">
        <f>V339+Y339+Z339</f>
        <v>4204.8</v>
      </c>
      <c r="AB339" s="640"/>
      <c r="AC339" s="545" t="s">
        <v>334</v>
      </c>
      <c r="AD339" s="545" t="s">
        <v>178</v>
      </c>
      <c r="AE339" s="546" t="s">
        <v>187</v>
      </c>
      <c r="AF339" s="547">
        <v>2014</v>
      </c>
      <c r="AG339" s="639"/>
      <c r="AH339" s="639"/>
    </row>
    <row r="340" spans="1:34" s="94" customFormat="1" ht="50.1" hidden="1" customHeight="1">
      <c r="A340" s="1068"/>
      <c r="B340" s="651"/>
      <c r="C340" s="635" t="s">
        <v>169</v>
      </c>
      <c r="D340" s="1073" t="s">
        <v>400</v>
      </c>
      <c r="E340" s="636" t="str">
        <f t="shared" si="46"/>
        <v>VIA, LA PALMA-EL PLACER, L=11,1 km. (Paltas)( RETROEXCAVADORA DE LA JUNTA PARROQUIAL)</v>
      </c>
      <c r="F340" s="536" t="s">
        <v>330</v>
      </c>
      <c r="G340" s="536" t="str">
        <f>VLOOKUP(H340,'[5]Pob. Ext, Parroquial'!$B$9:$C$117,2,0)</f>
        <v>PALTAS</v>
      </c>
      <c r="H340" s="670" t="s">
        <v>401</v>
      </c>
      <c r="I340" s="536" t="s">
        <v>173</v>
      </c>
      <c r="J340" s="536" t="s">
        <v>174</v>
      </c>
      <c r="K340" s="537">
        <v>11.1</v>
      </c>
      <c r="L340" s="537"/>
      <c r="M340" s="538">
        <f>IF(K340&gt;0,VLOOKUP(H340,'[5]Pob. Ext, Parroquial'!$B$8:$F$117,4,FALSE),0)</f>
        <v>1092</v>
      </c>
      <c r="N340" s="539" t="s">
        <v>361</v>
      </c>
      <c r="O340" s="540" t="s">
        <v>333</v>
      </c>
      <c r="P340" s="540">
        <v>2.54</v>
      </c>
      <c r="Q340" s="540">
        <v>640</v>
      </c>
      <c r="R340" s="540"/>
      <c r="S340" s="541">
        <v>41673</v>
      </c>
      <c r="T340" s="541">
        <v>41677</v>
      </c>
      <c r="U340" s="542" t="str">
        <f t="shared" si="44"/>
        <v>EJECUTADO</v>
      </c>
      <c r="V340" s="543">
        <f t="shared" si="48"/>
        <v>1625.6</v>
      </c>
      <c r="W340" s="543">
        <f>+V340</f>
        <v>1625.6</v>
      </c>
      <c r="X340" s="543">
        <f t="shared" si="39"/>
        <v>0</v>
      </c>
      <c r="Y340" s="544"/>
      <c r="Z340" s="544"/>
      <c r="AA340" s="1072">
        <f>SUM(V340:V341)</f>
        <v>1821.11</v>
      </c>
      <c r="AB340" s="640"/>
      <c r="AC340" s="545" t="s">
        <v>334</v>
      </c>
      <c r="AD340" s="545" t="s">
        <v>178</v>
      </c>
      <c r="AE340" s="546" t="s">
        <v>187</v>
      </c>
      <c r="AF340" s="547">
        <v>2014</v>
      </c>
      <c r="AG340" s="639"/>
      <c r="AH340" s="639"/>
    </row>
    <row r="341" spans="1:34" s="94" customFormat="1" ht="50.1" hidden="1" customHeight="1">
      <c r="A341" s="1068"/>
      <c r="B341" s="653"/>
      <c r="C341" s="635" t="s">
        <v>169</v>
      </c>
      <c r="D341" s="1074"/>
      <c r="E341" s="655" t="str">
        <f t="shared" ref="E341" si="60">+E340</f>
        <v>VIA, LA PALMA-EL PLACER, L=11,1 km. (Paltas)( RETROEXCAVADORA DE LA JUNTA PARROQUIAL)</v>
      </c>
      <c r="F341" s="536" t="s">
        <v>330</v>
      </c>
      <c r="G341" s="536" t="str">
        <f>VLOOKUP(H341,'[5]Pob. Ext, Parroquial'!$B$9:$C$117,2,0)</f>
        <v>PALTAS</v>
      </c>
      <c r="H341" s="670" t="s">
        <v>401</v>
      </c>
      <c r="I341" s="536" t="s">
        <v>173</v>
      </c>
      <c r="J341" s="536" t="s">
        <v>174</v>
      </c>
      <c r="K341" s="537"/>
      <c r="L341" s="537"/>
      <c r="M341" s="538">
        <f>IF(K341&gt;0,VLOOKUP(H341,'[5]Pob. Ext, Parroquial'!$B$8:$F$117,4,FALSE),0)</f>
        <v>0</v>
      </c>
      <c r="N341" s="539" t="s">
        <v>180</v>
      </c>
      <c r="O341" s="540" t="s">
        <v>352</v>
      </c>
      <c r="P341" s="540">
        <v>0.38</v>
      </c>
      <c r="Q341" s="540">
        <v>514.5</v>
      </c>
      <c r="R341" s="540"/>
      <c r="S341" s="541">
        <v>41673</v>
      </c>
      <c r="T341" s="541">
        <v>41677</v>
      </c>
      <c r="U341" s="542" t="str">
        <f t="shared" si="44"/>
        <v>EJECUTADO</v>
      </c>
      <c r="V341" s="543">
        <f t="shared" si="48"/>
        <v>195.51</v>
      </c>
      <c r="W341" s="543">
        <f>+V341</f>
        <v>195.51</v>
      </c>
      <c r="X341" s="543">
        <f t="shared" si="39"/>
        <v>0</v>
      </c>
      <c r="Y341" s="544"/>
      <c r="Z341" s="544"/>
      <c r="AA341" s="1072"/>
      <c r="AB341" s="640"/>
      <c r="AC341" s="545" t="s">
        <v>334</v>
      </c>
      <c r="AD341" s="545" t="s">
        <v>178</v>
      </c>
      <c r="AE341" s="546" t="s">
        <v>187</v>
      </c>
      <c r="AF341" s="547">
        <v>2014</v>
      </c>
      <c r="AG341" s="639"/>
      <c r="AH341" s="639"/>
    </row>
    <row r="342" spans="1:34" s="94" customFormat="1" ht="50.1" hidden="1" customHeight="1">
      <c r="A342" s="641"/>
      <c r="B342" s="635"/>
      <c r="C342" s="635" t="s">
        <v>182</v>
      </c>
      <c r="D342" s="647" t="s">
        <v>402</v>
      </c>
      <c r="E342" s="636" t="str">
        <f t="shared" si="46"/>
        <v>VIAS DE LA PARROQUIA YAMANA, L=6,90 km. (Paltas)</v>
      </c>
      <c r="F342" s="536" t="s">
        <v>330</v>
      </c>
      <c r="G342" s="536" t="str">
        <f>VLOOKUP(H342,'[5]Pob. Ext, Parroquial'!$B$9:$C$117,2,0)</f>
        <v>PALTAS</v>
      </c>
      <c r="H342" s="670" t="s">
        <v>403</v>
      </c>
      <c r="I342" s="536" t="s">
        <v>173</v>
      </c>
      <c r="J342" s="536" t="s">
        <v>174</v>
      </c>
      <c r="K342" s="537">
        <v>6.9</v>
      </c>
      <c r="L342" s="537">
        <f>ROUNDUP(Q342/5.5/1000,2)</f>
        <v>4.97</v>
      </c>
      <c r="M342" s="538">
        <f>IF(K342&gt;0,VLOOKUP(H342,'[5]Pob. Ext, Parroquial'!$B$8:$F$117,4,FALSE),0)</f>
        <v>797</v>
      </c>
      <c r="N342" s="539" t="s">
        <v>185</v>
      </c>
      <c r="O342" s="540" t="s">
        <v>314</v>
      </c>
      <c r="P342" s="540">
        <v>0.08</v>
      </c>
      <c r="Q342" s="540">
        <v>27300</v>
      </c>
      <c r="R342" s="540"/>
      <c r="S342" s="541">
        <v>41641</v>
      </c>
      <c r="T342" s="541">
        <v>41644</v>
      </c>
      <c r="U342" s="542" t="str">
        <f t="shared" si="44"/>
        <v>EJECUTADO</v>
      </c>
      <c r="V342" s="543">
        <f t="shared" si="48"/>
        <v>2184</v>
      </c>
      <c r="W342" s="543">
        <f>+V342</f>
        <v>2184</v>
      </c>
      <c r="X342" s="543">
        <f t="shared" si="39"/>
        <v>0</v>
      </c>
      <c r="Y342" s="544"/>
      <c r="Z342" s="544"/>
      <c r="AA342" s="643">
        <f>V342+Y342+Z342</f>
        <v>2184</v>
      </c>
      <c r="AB342" s="640"/>
      <c r="AC342" s="545" t="s">
        <v>334</v>
      </c>
      <c r="AD342" s="545" t="s">
        <v>178</v>
      </c>
      <c r="AE342" s="546" t="s">
        <v>179</v>
      </c>
      <c r="AF342" s="547">
        <v>2014</v>
      </c>
      <c r="AG342" s="639"/>
      <c r="AH342" s="639"/>
    </row>
    <row r="343" spans="1:34" s="94" customFormat="1" ht="50.1" hidden="1" customHeight="1">
      <c r="A343" s="1068"/>
      <c r="B343" s="1076"/>
      <c r="C343" s="635" t="s">
        <v>169</v>
      </c>
      <c r="D343" s="1073" t="s">
        <v>404</v>
      </c>
      <c r="E343" s="636" t="str">
        <f t="shared" si="46"/>
        <v>VIA, PLAYAS-YAMANA, L=3,8 km. (Paltas)</v>
      </c>
      <c r="F343" s="536" t="s">
        <v>330</v>
      </c>
      <c r="G343" s="536" t="str">
        <f>VLOOKUP(H343,'[5]Pob. Ext, Parroquial'!$B$9:$C$117,2,0)</f>
        <v>PALTAS</v>
      </c>
      <c r="H343" s="670" t="s">
        <v>403</v>
      </c>
      <c r="I343" s="536" t="s">
        <v>173</v>
      </c>
      <c r="J343" s="536" t="s">
        <v>174</v>
      </c>
      <c r="K343" s="537">
        <v>3.8</v>
      </c>
      <c r="L343" s="537"/>
      <c r="M343" s="538">
        <f>IF(K343&gt;0,VLOOKUP(H343,'[5]Pob. Ext, Parroquial'!$B$8:$F$117,4,FALSE),0)</f>
        <v>797</v>
      </c>
      <c r="N343" s="669" t="s">
        <v>336</v>
      </c>
      <c r="O343" s="540" t="s">
        <v>333</v>
      </c>
      <c r="P343" s="540">
        <v>1.47</v>
      </c>
      <c r="Q343" s="540">
        <v>1325</v>
      </c>
      <c r="R343" s="540"/>
      <c r="S343" s="541">
        <v>41641</v>
      </c>
      <c r="T343" s="541">
        <v>41650</v>
      </c>
      <c r="U343" s="542" t="str">
        <f t="shared" si="44"/>
        <v>EJECUTADO</v>
      </c>
      <c r="V343" s="543">
        <f t="shared" si="48"/>
        <v>1947.75</v>
      </c>
      <c r="W343" s="644">
        <v>1947.75</v>
      </c>
      <c r="X343" s="543">
        <f t="shared" ref="X343:X446" si="61">+(V343-W343)/3*4.5</f>
        <v>0</v>
      </c>
      <c r="Y343" s="544"/>
      <c r="Z343" s="544"/>
      <c r="AA343" s="1072">
        <f>SUM(V343:V345)</f>
        <v>9294.8599999999988</v>
      </c>
      <c r="AB343" s="640"/>
      <c r="AC343" s="545" t="s">
        <v>334</v>
      </c>
      <c r="AD343" s="545" t="s">
        <v>178</v>
      </c>
      <c r="AE343" s="546" t="s">
        <v>179</v>
      </c>
      <c r="AF343" s="547">
        <v>2014</v>
      </c>
      <c r="AG343" s="639"/>
      <c r="AH343" s="639"/>
    </row>
    <row r="344" spans="1:34" s="94" customFormat="1" ht="50.1" hidden="1" customHeight="1">
      <c r="A344" s="1068"/>
      <c r="B344" s="1076"/>
      <c r="C344" s="635" t="s">
        <v>169</v>
      </c>
      <c r="D344" s="1078"/>
      <c r="E344" s="655" t="str">
        <f t="shared" ref="E344:E345" si="62">+E343</f>
        <v>VIA, PLAYAS-YAMANA, L=3,8 km. (Paltas)</v>
      </c>
      <c r="F344" s="536" t="s">
        <v>330</v>
      </c>
      <c r="G344" s="536" t="str">
        <f>VLOOKUP(H344,'[5]Pob. Ext, Parroquial'!$B$9:$C$117,2,0)</f>
        <v>PALTAS</v>
      </c>
      <c r="H344" s="670" t="s">
        <v>403</v>
      </c>
      <c r="I344" s="536" t="s">
        <v>173</v>
      </c>
      <c r="J344" s="536" t="s">
        <v>174</v>
      </c>
      <c r="K344" s="537"/>
      <c r="L344" s="537">
        <f>+ROUND(Q344/5500/0.2,2)</f>
        <v>1.08</v>
      </c>
      <c r="M344" s="538">
        <f>IF(K344&gt;0,VLOOKUP(H344,'[5]Pob. Ext, Parroquial'!$B$8:$F$117,4,FALSE),0)</f>
        <v>0</v>
      </c>
      <c r="N344" s="539" t="s">
        <v>229</v>
      </c>
      <c r="O344" s="540" t="s">
        <v>333</v>
      </c>
      <c r="P344" s="540">
        <v>5.92</v>
      </c>
      <c r="Q344" s="540">
        <v>1192</v>
      </c>
      <c r="R344" s="540"/>
      <c r="S344" s="541">
        <v>41641</v>
      </c>
      <c r="T344" s="541">
        <v>41650</v>
      </c>
      <c r="U344" s="542" t="str">
        <f t="shared" si="44"/>
        <v>EJECUTADO</v>
      </c>
      <c r="V344" s="543">
        <f t="shared" si="48"/>
        <v>7056.64</v>
      </c>
      <c r="W344" s="644">
        <v>6889.76</v>
      </c>
      <c r="X344" s="543">
        <f t="shared" si="61"/>
        <v>250.32000000000016</v>
      </c>
      <c r="Y344" s="544"/>
      <c r="Z344" s="544"/>
      <c r="AA344" s="1072"/>
      <c r="AB344" s="640"/>
      <c r="AC344" s="545" t="s">
        <v>334</v>
      </c>
      <c r="AD344" s="545" t="s">
        <v>178</v>
      </c>
      <c r="AE344" s="546" t="s">
        <v>179</v>
      </c>
      <c r="AF344" s="547">
        <v>2014</v>
      </c>
      <c r="AG344" s="639"/>
      <c r="AH344" s="639"/>
    </row>
    <row r="345" spans="1:34" s="94" customFormat="1" ht="50.1" hidden="1" customHeight="1">
      <c r="A345" s="1068"/>
      <c r="B345" s="1076"/>
      <c r="C345" s="635" t="s">
        <v>169</v>
      </c>
      <c r="D345" s="1074"/>
      <c r="E345" s="655" t="str">
        <f t="shared" si="62"/>
        <v>VIA, PLAYAS-YAMANA, L=3,8 km. (Paltas)</v>
      </c>
      <c r="F345" s="536" t="s">
        <v>330</v>
      </c>
      <c r="G345" s="536" t="str">
        <f>VLOOKUP(H345,'[5]Pob. Ext, Parroquial'!$B$9:$C$117,2,0)</f>
        <v>PALTAS</v>
      </c>
      <c r="H345" s="670" t="s">
        <v>403</v>
      </c>
      <c r="I345" s="536" t="s">
        <v>173</v>
      </c>
      <c r="J345" s="536" t="s">
        <v>174</v>
      </c>
      <c r="K345" s="537"/>
      <c r="L345" s="537"/>
      <c r="M345" s="538">
        <f>IF(K345&gt;0,VLOOKUP(H345,'[5]Pob. Ext, Parroquial'!$B$8:$F$117,4,FALSE),0)</f>
        <v>0</v>
      </c>
      <c r="N345" s="539" t="s">
        <v>180</v>
      </c>
      <c r="O345" s="540" t="s">
        <v>352</v>
      </c>
      <c r="P345" s="540">
        <v>0.38</v>
      </c>
      <c r="Q345" s="540">
        <v>764.4</v>
      </c>
      <c r="R345" s="540"/>
      <c r="S345" s="541">
        <v>41641</v>
      </c>
      <c r="T345" s="541">
        <v>41650</v>
      </c>
      <c r="U345" s="542" t="str">
        <f t="shared" si="44"/>
        <v>EJECUTADO</v>
      </c>
      <c r="V345" s="543">
        <f t="shared" si="48"/>
        <v>290.47000000000003</v>
      </c>
      <c r="W345" s="644">
        <v>290.47000000000003</v>
      </c>
      <c r="X345" s="543">
        <f t="shared" si="61"/>
        <v>0</v>
      </c>
      <c r="Y345" s="544"/>
      <c r="Z345" s="544"/>
      <c r="AA345" s="1072"/>
      <c r="AB345" s="640"/>
      <c r="AC345" s="545" t="s">
        <v>334</v>
      </c>
      <c r="AD345" s="545" t="s">
        <v>178</v>
      </c>
      <c r="AE345" s="546" t="s">
        <v>179</v>
      </c>
      <c r="AF345" s="547">
        <v>2014</v>
      </c>
      <c r="AG345" s="639"/>
      <c r="AH345" s="639"/>
    </row>
    <row r="346" spans="1:34" s="94" customFormat="1" ht="50.1" hidden="1" customHeight="1">
      <c r="A346" s="1068"/>
      <c r="B346" s="1076"/>
      <c r="C346" s="635" t="s">
        <v>169</v>
      </c>
      <c r="D346" s="1073" t="s">
        <v>405</v>
      </c>
      <c r="E346" s="636" t="str">
        <f t="shared" si="46"/>
        <v>VIA, SAN ANTONIO-EL SAUCE, L=9,7 km. (Paltas)</v>
      </c>
      <c r="F346" s="536" t="s">
        <v>330</v>
      </c>
      <c r="G346" s="536" t="str">
        <f>VLOOKUP(H346,'[5]Pob. Ext, Parroquial'!$B$9:$C$117,2,0)</f>
        <v>PALTAS</v>
      </c>
      <c r="H346" s="670" t="s">
        <v>406</v>
      </c>
      <c r="I346" s="536" t="s">
        <v>173</v>
      </c>
      <c r="J346" s="536" t="s">
        <v>174</v>
      </c>
      <c r="K346" s="537">
        <v>9.6999999999999993</v>
      </c>
      <c r="L346" s="537"/>
      <c r="M346" s="538">
        <f>IF(K346&gt;0,VLOOKUP(H346,'[5]Pob. Ext, Parroquial'!$B$8:$F$117,4,FALSE),0)</f>
        <v>639</v>
      </c>
      <c r="N346" s="539" t="s">
        <v>361</v>
      </c>
      <c r="O346" s="540" t="s">
        <v>333</v>
      </c>
      <c r="P346" s="540">
        <v>2.54</v>
      </c>
      <c r="Q346" s="540">
        <v>10895</v>
      </c>
      <c r="R346" s="540"/>
      <c r="S346" s="541">
        <v>41655</v>
      </c>
      <c r="T346" s="541">
        <v>41729</v>
      </c>
      <c r="U346" s="542" t="str">
        <f t="shared" si="44"/>
        <v>EJECUTADO</v>
      </c>
      <c r="V346" s="543">
        <f t="shared" si="48"/>
        <v>27673.3</v>
      </c>
      <c r="W346" s="543">
        <v>27673.3</v>
      </c>
      <c r="X346" s="543">
        <f t="shared" si="61"/>
        <v>0</v>
      </c>
      <c r="Y346" s="544"/>
      <c r="Z346" s="544"/>
      <c r="AA346" s="1072">
        <f>SUM(V346:V350)</f>
        <v>105800.52</v>
      </c>
      <c r="AB346" s="640"/>
      <c r="AC346" s="545" t="s">
        <v>334</v>
      </c>
      <c r="AD346" s="545" t="s">
        <v>178</v>
      </c>
      <c r="AE346" s="546" t="s">
        <v>187</v>
      </c>
      <c r="AF346" s="547">
        <v>2014</v>
      </c>
      <c r="AG346" s="639"/>
      <c r="AH346" s="639"/>
    </row>
    <row r="347" spans="1:34" s="94" customFormat="1" ht="50.1" hidden="1" customHeight="1">
      <c r="A347" s="1068"/>
      <c r="B347" s="1076"/>
      <c r="C347" s="635" t="s">
        <v>169</v>
      </c>
      <c r="D347" s="1078"/>
      <c r="E347" s="655" t="str">
        <f t="shared" ref="E347:E350" si="63">+E346</f>
        <v>VIA, SAN ANTONIO-EL SAUCE, L=9,7 km. (Paltas)</v>
      </c>
      <c r="F347" s="536" t="s">
        <v>330</v>
      </c>
      <c r="G347" s="536" t="str">
        <f>VLOOKUP(H347,'[5]Pob. Ext, Parroquial'!$B$9:$C$117,2,0)</f>
        <v>PALTAS</v>
      </c>
      <c r="H347" s="670" t="s">
        <v>406</v>
      </c>
      <c r="I347" s="536" t="s">
        <v>173</v>
      </c>
      <c r="J347" s="536" t="s">
        <v>174</v>
      </c>
      <c r="K347" s="537"/>
      <c r="L347" s="537"/>
      <c r="M347" s="538"/>
      <c r="N347" s="669" t="s">
        <v>336</v>
      </c>
      <c r="O347" s="540" t="s">
        <v>333</v>
      </c>
      <c r="P347" s="540">
        <v>1.47</v>
      </c>
      <c r="Q347" s="540">
        <v>8985</v>
      </c>
      <c r="R347" s="540"/>
      <c r="S347" s="541">
        <v>41655</v>
      </c>
      <c r="T347" s="541">
        <v>41729</v>
      </c>
      <c r="U347" s="542" t="str">
        <f t="shared" si="44"/>
        <v>EJECUTADO</v>
      </c>
      <c r="V347" s="543">
        <f t="shared" si="48"/>
        <v>13207.95</v>
      </c>
      <c r="W347" s="543">
        <v>13207.95</v>
      </c>
      <c r="X347" s="543">
        <f t="shared" si="61"/>
        <v>0</v>
      </c>
      <c r="Y347" s="544"/>
      <c r="Z347" s="544"/>
      <c r="AA347" s="1072"/>
      <c r="AB347" s="640"/>
      <c r="AC347" s="545" t="s">
        <v>334</v>
      </c>
      <c r="AD347" s="545" t="s">
        <v>178</v>
      </c>
      <c r="AE347" s="546" t="s">
        <v>187</v>
      </c>
      <c r="AF347" s="547">
        <v>2014</v>
      </c>
      <c r="AG347" s="639"/>
      <c r="AH347" s="639"/>
    </row>
    <row r="348" spans="1:34" s="94" customFormat="1" ht="50.1" hidden="1" customHeight="1">
      <c r="A348" s="1068"/>
      <c r="B348" s="1076"/>
      <c r="C348" s="635" t="s">
        <v>182</v>
      </c>
      <c r="D348" s="1078"/>
      <c r="E348" s="655" t="str">
        <f t="shared" si="63"/>
        <v>VIA, SAN ANTONIO-EL SAUCE, L=9,7 km. (Paltas)</v>
      </c>
      <c r="F348" s="536" t="s">
        <v>330</v>
      </c>
      <c r="G348" s="536" t="str">
        <f>VLOOKUP(H348,'[5]Pob. Ext, Parroquial'!$B$9:$C$117,2,0)</f>
        <v>PALTAS</v>
      </c>
      <c r="H348" s="670" t="s">
        <v>406</v>
      </c>
      <c r="I348" s="536" t="s">
        <v>173</v>
      </c>
      <c r="J348" s="536" t="s">
        <v>174</v>
      </c>
      <c r="K348" s="537"/>
      <c r="L348" s="537">
        <f>ROUNDUP(Q348/5.5/1000,2)</f>
        <v>4.0699999999999994</v>
      </c>
      <c r="M348" s="538"/>
      <c r="N348" s="539" t="s">
        <v>185</v>
      </c>
      <c r="O348" s="540" t="s">
        <v>314</v>
      </c>
      <c r="P348" s="540">
        <v>0.08</v>
      </c>
      <c r="Q348" s="540">
        <v>22344</v>
      </c>
      <c r="R348" s="540"/>
      <c r="S348" s="541">
        <v>41655</v>
      </c>
      <c r="T348" s="541">
        <v>41729</v>
      </c>
      <c r="U348" s="542" t="str">
        <f t="shared" si="44"/>
        <v>EJECUTADO</v>
      </c>
      <c r="V348" s="543">
        <f t="shared" si="48"/>
        <v>1787.52</v>
      </c>
      <c r="W348" s="543">
        <f>+V348</f>
        <v>1787.52</v>
      </c>
      <c r="X348" s="543">
        <f t="shared" si="61"/>
        <v>0</v>
      </c>
      <c r="Y348" s="544"/>
      <c r="Z348" s="544"/>
      <c r="AA348" s="1072"/>
      <c r="AB348" s="640"/>
      <c r="AC348" s="545" t="s">
        <v>334</v>
      </c>
      <c r="AD348" s="545" t="s">
        <v>178</v>
      </c>
      <c r="AE348" s="546" t="s">
        <v>187</v>
      </c>
      <c r="AF348" s="547">
        <v>2014</v>
      </c>
      <c r="AG348" s="639"/>
      <c r="AH348" s="639"/>
    </row>
    <row r="349" spans="1:34" s="94" customFormat="1" ht="50.1" hidden="1" customHeight="1">
      <c r="A349" s="1068"/>
      <c r="B349" s="1076"/>
      <c r="C349" s="635" t="s">
        <v>169</v>
      </c>
      <c r="D349" s="1078"/>
      <c r="E349" s="655" t="str">
        <f t="shared" si="63"/>
        <v>VIA, SAN ANTONIO-EL SAUCE, L=9,7 km. (Paltas)</v>
      </c>
      <c r="F349" s="536" t="s">
        <v>330</v>
      </c>
      <c r="G349" s="536" t="str">
        <f>VLOOKUP(H349,'[5]Pob. Ext, Parroquial'!$B$9:$C$117,2,0)</f>
        <v>PALTAS</v>
      </c>
      <c r="H349" s="670" t="s">
        <v>406</v>
      </c>
      <c r="I349" s="536" t="s">
        <v>173</v>
      </c>
      <c r="J349" s="536" t="s">
        <v>174</v>
      </c>
      <c r="K349" s="537"/>
      <c r="L349" s="537">
        <f>+ROUND(Q349/5500/0.2,2)</f>
        <v>8.19</v>
      </c>
      <c r="M349" s="538"/>
      <c r="N349" s="539" t="s">
        <v>229</v>
      </c>
      <c r="O349" s="540" t="s">
        <v>333</v>
      </c>
      <c r="P349" s="540">
        <v>5.92</v>
      </c>
      <c r="Q349" s="540">
        <v>9011</v>
      </c>
      <c r="R349" s="540"/>
      <c r="S349" s="541">
        <v>41655</v>
      </c>
      <c r="T349" s="541">
        <v>41729</v>
      </c>
      <c r="U349" s="542" t="str">
        <f t="shared" si="44"/>
        <v>EJECUTADO</v>
      </c>
      <c r="V349" s="543">
        <f t="shared" si="48"/>
        <v>53345.120000000003</v>
      </c>
      <c r="W349" s="543">
        <f>+V349</f>
        <v>53345.120000000003</v>
      </c>
      <c r="X349" s="543">
        <f t="shared" si="61"/>
        <v>0</v>
      </c>
      <c r="Y349" s="544"/>
      <c r="Z349" s="544"/>
      <c r="AA349" s="1072"/>
      <c r="AB349" s="640"/>
      <c r="AC349" s="545" t="s">
        <v>334</v>
      </c>
      <c r="AD349" s="545" t="s">
        <v>178</v>
      </c>
      <c r="AE349" s="546" t="s">
        <v>187</v>
      </c>
      <c r="AF349" s="547">
        <v>2014</v>
      </c>
      <c r="AG349" s="639"/>
      <c r="AH349" s="639"/>
    </row>
    <row r="350" spans="1:34" s="94" customFormat="1" ht="50.1" hidden="1" customHeight="1">
      <c r="A350" s="1068"/>
      <c r="B350" s="1076"/>
      <c r="C350" s="635" t="s">
        <v>169</v>
      </c>
      <c r="D350" s="1074"/>
      <c r="E350" s="655" t="str">
        <f t="shared" si="63"/>
        <v>VIA, SAN ANTONIO-EL SAUCE, L=9,7 km. (Paltas)</v>
      </c>
      <c r="F350" s="536" t="s">
        <v>330</v>
      </c>
      <c r="G350" s="536" t="str">
        <f>VLOOKUP(H350,'[5]Pob. Ext, Parroquial'!$B$9:$C$117,2,0)</f>
        <v>PALTAS</v>
      </c>
      <c r="H350" s="670" t="s">
        <v>406</v>
      </c>
      <c r="I350" s="536" t="s">
        <v>173</v>
      </c>
      <c r="J350" s="536" t="s">
        <v>174</v>
      </c>
      <c r="K350" s="537"/>
      <c r="L350" s="537"/>
      <c r="M350" s="538"/>
      <c r="N350" s="539" t="s">
        <v>180</v>
      </c>
      <c r="O350" s="540" t="s">
        <v>352</v>
      </c>
      <c r="P350" s="540">
        <v>0.35</v>
      </c>
      <c r="Q350" s="540">
        <v>27961.8</v>
      </c>
      <c r="R350" s="540"/>
      <c r="S350" s="541">
        <v>41655</v>
      </c>
      <c r="T350" s="541">
        <v>41729</v>
      </c>
      <c r="U350" s="542" t="str">
        <f t="shared" si="44"/>
        <v>EJECUTADO</v>
      </c>
      <c r="V350" s="543">
        <f t="shared" si="48"/>
        <v>9786.6299999999992</v>
      </c>
      <c r="W350" s="543">
        <v>9786.6299999999992</v>
      </c>
      <c r="X350" s="543">
        <f t="shared" si="61"/>
        <v>0</v>
      </c>
      <c r="Y350" s="544"/>
      <c r="Z350" s="544"/>
      <c r="AA350" s="1072"/>
      <c r="AB350" s="640"/>
      <c r="AC350" s="545" t="s">
        <v>334</v>
      </c>
      <c r="AD350" s="545" t="s">
        <v>178</v>
      </c>
      <c r="AE350" s="546" t="s">
        <v>187</v>
      </c>
      <c r="AF350" s="547">
        <v>2014</v>
      </c>
      <c r="AG350" s="639"/>
      <c r="AH350" s="639"/>
    </row>
    <row r="351" spans="1:34" s="94" customFormat="1" ht="50.1" hidden="1" customHeight="1">
      <c r="A351" s="1068"/>
      <c r="B351" s="1076"/>
      <c r="C351" s="635" t="s">
        <v>169</v>
      </c>
      <c r="D351" s="1073" t="s">
        <v>407</v>
      </c>
      <c r="E351" s="636" t="str">
        <f t="shared" si="46"/>
        <v>VIA, SAN ANTONIO-YAMANA, L=2.8 km. (Paltas) Inicio: 22 de marzo</v>
      </c>
      <c r="F351" s="536" t="s">
        <v>330</v>
      </c>
      <c r="G351" s="536" t="str">
        <f>VLOOKUP(H351,'[5]Pob. Ext, Parroquial'!$B$9:$C$117,2,0)</f>
        <v>PALTAS</v>
      </c>
      <c r="H351" s="670" t="s">
        <v>406</v>
      </c>
      <c r="I351" s="536" t="s">
        <v>173</v>
      </c>
      <c r="J351" s="536" t="s">
        <v>174</v>
      </c>
      <c r="K351" s="537">
        <v>5.7</v>
      </c>
      <c r="L351" s="537"/>
      <c r="M351" s="538"/>
      <c r="N351" s="539" t="s">
        <v>361</v>
      </c>
      <c r="O351" s="540" t="s">
        <v>333</v>
      </c>
      <c r="P351" s="540">
        <v>2.54</v>
      </c>
      <c r="Q351" s="540">
        <v>880</v>
      </c>
      <c r="R351" s="540"/>
      <c r="S351" s="541">
        <v>41719</v>
      </c>
      <c r="T351" s="541">
        <v>41729</v>
      </c>
      <c r="U351" s="542" t="str">
        <f t="shared" si="44"/>
        <v>EJECUTADO</v>
      </c>
      <c r="V351" s="543">
        <f t="shared" si="48"/>
        <v>2235.1999999999998</v>
      </c>
      <c r="W351" s="543">
        <v>2235.1999999999998</v>
      </c>
      <c r="X351" s="543">
        <f t="shared" si="61"/>
        <v>0</v>
      </c>
      <c r="Y351" s="544"/>
      <c r="Z351" s="544"/>
      <c r="AA351" s="1072">
        <f>SUM(V351:V356)</f>
        <v>19205.28</v>
      </c>
      <c r="AB351" s="640"/>
      <c r="AC351" s="545" t="s">
        <v>334</v>
      </c>
      <c r="AD351" s="545" t="s">
        <v>178</v>
      </c>
      <c r="AE351" s="546" t="s">
        <v>187</v>
      </c>
      <c r="AF351" s="547">
        <v>2014</v>
      </c>
      <c r="AG351" s="639"/>
      <c r="AH351" s="639"/>
    </row>
    <row r="352" spans="1:34" s="94" customFormat="1" ht="50.1" hidden="1" customHeight="1">
      <c r="A352" s="1068"/>
      <c r="B352" s="1076"/>
      <c r="C352" s="635" t="s">
        <v>169</v>
      </c>
      <c r="D352" s="1078"/>
      <c r="E352" s="655" t="str">
        <f t="shared" ref="E352:E356" si="64">+E351</f>
        <v>VIA, SAN ANTONIO-YAMANA, L=2.8 km. (Paltas) Inicio: 22 de marzo</v>
      </c>
      <c r="F352" s="536" t="s">
        <v>330</v>
      </c>
      <c r="G352" s="536" t="str">
        <f>VLOOKUP(H352,'[5]Pob. Ext, Parroquial'!$B$9:$C$117,2,0)</f>
        <v>PALTAS</v>
      </c>
      <c r="H352" s="670" t="s">
        <v>406</v>
      </c>
      <c r="I352" s="536" t="s">
        <v>173</v>
      </c>
      <c r="J352" s="536" t="s">
        <v>174</v>
      </c>
      <c r="K352" s="537"/>
      <c r="L352" s="537"/>
      <c r="M352" s="538"/>
      <c r="N352" s="539" t="s">
        <v>362</v>
      </c>
      <c r="O352" s="540" t="s">
        <v>333</v>
      </c>
      <c r="P352" s="540">
        <v>1.62</v>
      </c>
      <c r="Q352" s="540">
        <v>4070</v>
      </c>
      <c r="R352" s="540"/>
      <c r="S352" s="541">
        <v>41719</v>
      </c>
      <c r="T352" s="541">
        <v>41729</v>
      </c>
      <c r="U352" s="542" t="str">
        <f t="shared" si="44"/>
        <v>EJECUTADO</v>
      </c>
      <c r="V352" s="543">
        <f t="shared" si="48"/>
        <v>6593.4</v>
      </c>
      <c r="W352" s="543">
        <v>6593.4</v>
      </c>
      <c r="X352" s="543">
        <f t="shared" si="61"/>
        <v>0</v>
      </c>
      <c r="Y352" s="544"/>
      <c r="Z352" s="544"/>
      <c r="AA352" s="1072"/>
      <c r="AB352" s="640"/>
      <c r="AC352" s="545" t="s">
        <v>334</v>
      </c>
      <c r="AD352" s="545" t="s">
        <v>178</v>
      </c>
      <c r="AE352" s="546" t="s">
        <v>187</v>
      </c>
      <c r="AF352" s="547">
        <v>2014</v>
      </c>
      <c r="AG352" s="639"/>
      <c r="AH352" s="639"/>
    </row>
    <row r="353" spans="1:34" s="94" customFormat="1" ht="50.1" hidden="1" customHeight="1">
      <c r="A353" s="1068"/>
      <c r="B353" s="1076"/>
      <c r="C353" s="635" t="s">
        <v>169</v>
      </c>
      <c r="D353" s="1078"/>
      <c r="E353" s="655" t="str">
        <f t="shared" si="64"/>
        <v>VIA, SAN ANTONIO-YAMANA, L=2.8 km. (Paltas) Inicio: 22 de marzo</v>
      </c>
      <c r="F353" s="536" t="s">
        <v>330</v>
      </c>
      <c r="G353" s="536" t="str">
        <f>VLOOKUP(H353,'[5]Pob. Ext, Parroquial'!$B$9:$C$117,2,0)</f>
        <v>PALTAS</v>
      </c>
      <c r="H353" s="670" t="s">
        <v>406</v>
      </c>
      <c r="I353" s="536" t="s">
        <v>173</v>
      </c>
      <c r="J353" s="536" t="s">
        <v>174</v>
      </c>
      <c r="K353" s="537"/>
      <c r="L353" s="537"/>
      <c r="M353" s="538"/>
      <c r="N353" s="669" t="s">
        <v>336</v>
      </c>
      <c r="O353" s="540" t="s">
        <v>333</v>
      </c>
      <c r="P353" s="540">
        <v>1.47</v>
      </c>
      <c r="Q353" s="540">
        <v>2400</v>
      </c>
      <c r="R353" s="540"/>
      <c r="S353" s="541">
        <v>41719</v>
      </c>
      <c r="T353" s="541">
        <v>41729</v>
      </c>
      <c r="U353" s="542" t="str">
        <f t="shared" si="44"/>
        <v>EJECUTADO</v>
      </c>
      <c r="V353" s="543">
        <f t="shared" si="48"/>
        <v>3528</v>
      </c>
      <c r="W353" s="543">
        <v>3528</v>
      </c>
      <c r="X353" s="543">
        <f t="shared" si="61"/>
        <v>0</v>
      </c>
      <c r="Y353" s="544"/>
      <c r="Z353" s="544"/>
      <c r="AA353" s="1072"/>
      <c r="AB353" s="640"/>
      <c r="AC353" s="545" t="s">
        <v>334</v>
      </c>
      <c r="AD353" s="545" t="s">
        <v>178</v>
      </c>
      <c r="AE353" s="546" t="s">
        <v>187</v>
      </c>
      <c r="AF353" s="547">
        <v>2014</v>
      </c>
      <c r="AG353" s="639"/>
      <c r="AH353" s="639"/>
    </row>
    <row r="354" spans="1:34" s="94" customFormat="1" ht="50.1" hidden="1" customHeight="1">
      <c r="A354" s="1068"/>
      <c r="B354" s="1076"/>
      <c r="C354" s="635" t="s">
        <v>182</v>
      </c>
      <c r="D354" s="1078"/>
      <c r="E354" s="655" t="str">
        <f t="shared" si="64"/>
        <v>VIA, SAN ANTONIO-YAMANA, L=2.8 km. (Paltas) Inicio: 22 de marzo</v>
      </c>
      <c r="F354" s="536" t="s">
        <v>330</v>
      </c>
      <c r="G354" s="536" t="str">
        <f>VLOOKUP(H354,'[5]Pob. Ext, Parroquial'!$B$9:$C$117,2,0)</f>
        <v>PALTAS</v>
      </c>
      <c r="H354" s="670" t="s">
        <v>406</v>
      </c>
      <c r="I354" s="536" t="s">
        <v>173</v>
      </c>
      <c r="J354" s="536" t="s">
        <v>174</v>
      </c>
      <c r="K354" s="537"/>
      <c r="L354" s="537">
        <f>ROUNDUP(Q354/5.5/1000,2)</f>
        <v>3.6399999999999997</v>
      </c>
      <c r="M354" s="538"/>
      <c r="N354" s="539" t="s">
        <v>185</v>
      </c>
      <c r="O354" s="540" t="s">
        <v>314</v>
      </c>
      <c r="P354" s="540">
        <v>0.08</v>
      </c>
      <c r="Q354" s="540">
        <v>20000</v>
      </c>
      <c r="R354" s="540"/>
      <c r="S354" s="541">
        <v>41719</v>
      </c>
      <c r="T354" s="541">
        <v>41729</v>
      </c>
      <c r="U354" s="542" t="str">
        <f t="shared" si="44"/>
        <v>EJECUTADO</v>
      </c>
      <c r="V354" s="543">
        <f t="shared" si="48"/>
        <v>1600</v>
      </c>
      <c r="W354" s="543">
        <f>+V354</f>
        <v>1600</v>
      </c>
      <c r="X354" s="543">
        <f t="shared" si="61"/>
        <v>0</v>
      </c>
      <c r="Y354" s="544"/>
      <c r="Z354" s="544"/>
      <c r="AA354" s="1072"/>
      <c r="AB354" s="640"/>
      <c r="AC354" s="545" t="s">
        <v>334</v>
      </c>
      <c r="AD354" s="545" t="s">
        <v>178</v>
      </c>
      <c r="AE354" s="546" t="s">
        <v>187</v>
      </c>
      <c r="AF354" s="547">
        <v>2014</v>
      </c>
      <c r="AG354" s="639"/>
      <c r="AH354" s="639"/>
    </row>
    <row r="355" spans="1:34" s="94" customFormat="1" ht="50.1" hidden="1" customHeight="1">
      <c r="A355" s="1068"/>
      <c r="B355" s="1076"/>
      <c r="C355" s="635" t="s">
        <v>169</v>
      </c>
      <c r="D355" s="1078"/>
      <c r="E355" s="655" t="str">
        <f t="shared" si="64"/>
        <v>VIA, SAN ANTONIO-YAMANA, L=2.8 km. (Paltas) Inicio: 22 de marzo</v>
      </c>
      <c r="F355" s="536" t="s">
        <v>330</v>
      </c>
      <c r="G355" s="536" t="str">
        <f>VLOOKUP(H355,'[5]Pob. Ext, Parroquial'!$B$9:$C$117,2,0)</f>
        <v>PALTAS</v>
      </c>
      <c r="H355" s="670" t="s">
        <v>406</v>
      </c>
      <c r="I355" s="536" t="s">
        <v>173</v>
      </c>
      <c r="J355" s="536" t="s">
        <v>174</v>
      </c>
      <c r="K355" s="537"/>
      <c r="L355" s="537">
        <f>+ROUND(Q355/5500/0.2,2)</f>
        <v>0.76</v>
      </c>
      <c r="M355" s="538"/>
      <c r="N355" s="539" t="s">
        <v>229</v>
      </c>
      <c r="O355" s="540" t="s">
        <v>333</v>
      </c>
      <c r="P355" s="540">
        <v>5.92</v>
      </c>
      <c r="Q355" s="540">
        <v>840</v>
      </c>
      <c r="R355" s="540"/>
      <c r="S355" s="541">
        <v>41719</v>
      </c>
      <c r="T355" s="541">
        <v>41729</v>
      </c>
      <c r="U355" s="542" t="str">
        <f t="shared" si="44"/>
        <v>EJECUTADO</v>
      </c>
      <c r="V355" s="543">
        <f t="shared" si="48"/>
        <v>4972.8</v>
      </c>
      <c r="W355" s="543">
        <f>+V355</f>
        <v>4972.8</v>
      </c>
      <c r="X355" s="543">
        <f t="shared" si="61"/>
        <v>0</v>
      </c>
      <c r="Y355" s="544"/>
      <c r="Z355" s="544"/>
      <c r="AA355" s="1072"/>
      <c r="AB355" s="640"/>
      <c r="AC355" s="545" t="s">
        <v>334</v>
      </c>
      <c r="AD355" s="545" t="s">
        <v>178</v>
      </c>
      <c r="AE355" s="546" t="s">
        <v>187</v>
      </c>
      <c r="AF355" s="547">
        <v>2014</v>
      </c>
      <c r="AG355" s="639"/>
      <c r="AH355" s="639"/>
    </row>
    <row r="356" spans="1:34" s="94" customFormat="1" ht="50.1" hidden="1" customHeight="1">
      <c r="A356" s="1068"/>
      <c r="B356" s="1076"/>
      <c r="C356" s="635" t="s">
        <v>169</v>
      </c>
      <c r="D356" s="1074"/>
      <c r="E356" s="655" t="str">
        <f t="shared" si="64"/>
        <v>VIA, SAN ANTONIO-YAMANA, L=2.8 km. (Paltas) Inicio: 22 de marzo</v>
      </c>
      <c r="F356" s="536" t="s">
        <v>330</v>
      </c>
      <c r="G356" s="536" t="str">
        <f>VLOOKUP(H356,'[5]Pob. Ext, Parroquial'!$B$9:$C$117,2,0)</f>
        <v>PALTAS</v>
      </c>
      <c r="H356" s="670" t="s">
        <v>406</v>
      </c>
      <c r="I356" s="536" t="s">
        <v>173</v>
      </c>
      <c r="J356" s="536" t="s">
        <v>174</v>
      </c>
      <c r="K356" s="537"/>
      <c r="L356" s="537"/>
      <c r="M356" s="538"/>
      <c r="N356" s="539" t="s">
        <v>180</v>
      </c>
      <c r="O356" s="540" t="s">
        <v>352</v>
      </c>
      <c r="P356" s="540">
        <v>0.38</v>
      </c>
      <c r="Q356" s="540">
        <v>726</v>
      </c>
      <c r="R356" s="540"/>
      <c r="S356" s="541">
        <v>41719</v>
      </c>
      <c r="T356" s="541">
        <v>41729</v>
      </c>
      <c r="U356" s="542" t="str">
        <f t="shared" si="44"/>
        <v>EJECUTADO</v>
      </c>
      <c r="V356" s="543">
        <f t="shared" si="48"/>
        <v>275.88</v>
      </c>
      <c r="W356" s="543">
        <v>275.88</v>
      </c>
      <c r="X356" s="543">
        <f t="shared" si="61"/>
        <v>0</v>
      </c>
      <c r="Y356" s="544"/>
      <c r="Z356" s="544"/>
      <c r="AA356" s="1072"/>
      <c r="AB356" s="640"/>
      <c r="AC356" s="545" t="s">
        <v>334</v>
      </c>
      <c r="AD356" s="545" t="s">
        <v>178</v>
      </c>
      <c r="AE356" s="546" t="s">
        <v>187</v>
      </c>
      <c r="AF356" s="547">
        <v>2014</v>
      </c>
      <c r="AG356" s="639"/>
      <c r="AH356" s="639"/>
    </row>
    <row r="357" spans="1:34" s="94" customFormat="1" ht="50.1" hidden="1" customHeight="1">
      <c r="A357" s="641"/>
      <c r="B357" s="635"/>
      <c r="C357" s="635" t="s">
        <v>182</v>
      </c>
      <c r="D357" s="647" t="s">
        <v>408</v>
      </c>
      <c r="E357" s="636" t="str">
        <f t="shared" si="46"/>
        <v>VIAS DE ACCESO A LOS BARRIOS, STO. DOMINGO, L=3.8 km. CHORRERA L=0.8 km. (Paltas)</v>
      </c>
      <c r="F357" s="536" t="s">
        <v>330</v>
      </c>
      <c r="G357" s="536" t="str">
        <f>VLOOKUP(H357,'[5]Pob. Ext, Parroquial'!$B$9:$C$117,2,0)</f>
        <v>PALTAS</v>
      </c>
      <c r="H357" s="670" t="s">
        <v>406</v>
      </c>
      <c r="I357" s="536" t="s">
        <v>173</v>
      </c>
      <c r="J357" s="536" t="s">
        <v>174</v>
      </c>
      <c r="K357" s="537">
        <v>0.8</v>
      </c>
      <c r="L357" s="537">
        <f>ROUNDUP(Q357/5.5/1000,2)</f>
        <v>2.96</v>
      </c>
      <c r="M357" s="538">
        <f>IF(K357&gt;0,VLOOKUP(H357,'[5]Pob. Ext, Parroquial'!$B$8:$F$117,4,FALSE),0)</f>
        <v>639</v>
      </c>
      <c r="N357" s="539" t="s">
        <v>185</v>
      </c>
      <c r="O357" s="540" t="s">
        <v>314</v>
      </c>
      <c r="P357" s="540">
        <v>0.08</v>
      </c>
      <c r="Q357" s="540">
        <v>16280</v>
      </c>
      <c r="R357" s="540"/>
      <c r="S357" s="541">
        <v>41730</v>
      </c>
      <c r="T357" s="541">
        <v>41759</v>
      </c>
      <c r="U357" s="542" t="str">
        <f t="shared" si="44"/>
        <v>EJECUTADO</v>
      </c>
      <c r="V357" s="543">
        <f t="shared" si="48"/>
        <v>1302.4000000000001</v>
      </c>
      <c r="W357" s="543">
        <f>+V357</f>
        <v>1302.4000000000001</v>
      </c>
      <c r="X357" s="543">
        <f t="shared" si="61"/>
        <v>0</v>
      </c>
      <c r="Y357" s="544"/>
      <c r="Z357" s="544"/>
      <c r="AA357" s="643">
        <f>V357+Y357+Z357</f>
        <v>1302.4000000000001</v>
      </c>
      <c r="AB357" s="640"/>
      <c r="AC357" s="545" t="s">
        <v>334</v>
      </c>
      <c r="AD357" s="545" t="s">
        <v>178</v>
      </c>
      <c r="AE357" s="546" t="s">
        <v>187</v>
      </c>
      <c r="AF357" s="547">
        <v>2014</v>
      </c>
      <c r="AG357" s="639"/>
      <c r="AH357" s="639"/>
    </row>
    <row r="358" spans="1:34" s="94" customFormat="1" ht="50.1" hidden="1" customHeight="1">
      <c r="A358" s="641"/>
      <c r="B358" s="635"/>
      <c r="C358" s="635" t="s">
        <v>182</v>
      </c>
      <c r="D358" s="635" t="s">
        <v>410</v>
      </c>
      <c r="E358" s="636" t="str">
        <f t="shared" si="46"/>
        <v>VIA TAMBARA-COLA L=6.3 KM</v>
      </c>
      <c r="F358" s="536" t="s">
        <v>330</v>
      </c>
      <c r="G358" s="536" t="str">
        <f>VLOOKUP(H358,'[5]Pob. Ext, Parroquial'!$B$9:$C$117,2,0)</f>
        <v>OLMEDO</v>
      </c>
      <c r="H358" s="670" t="s">
        <v>411</v>
      </c>
      <c r="I358" s="536" t="s">
        <v>173</v>
      </c>
      <c r="J358" s="536" t="s">
        <v>174</v>
      </c>
      <c r="K358" s="537">
        <v>6.3</v>
      </c>
      <c r="L358" s="537"/>
      <c r="M358" s="538">
        <f>IF(K358&gt;0,VLOOKUP(H358,'[5]Pob. Ext, Parroquial'!$B$8:$F$117,4,FALSE),0)</f>
        <v>512</v>
      </c>
      <c r="N358" s="539" t="s">
        <v>337</v>
      </c>
      <c r="O358" s="540" t="s">
        <v>409</v>
      </c>
      <c r="P358" s="540">
        <v>1.46</v>
      </c>
      <c r="Q358" s="540">
        <v>480</v>
      </c>
      <c r="R358" s="540"/>
      <c r="S358" s="541">
        <v>41644</v>
      </c>
      <c r="T358" s="541">
        <v>41790</v>
      </c>
      <c r="U358" s="542" t="str">
        <f t="shared" si="44"/>
        <v>EJECUTADO</v>
      </c>
      <c r="V358" s="543">
        <f t="shared" si="48"/>
        <v>700.8</v>
      </c>
      <c r="W358" s="543"/>
      <c r="X358" s="543">
        <f t="shared" si="61"/>
        <v>1051.2</v>
      </c>
      <c r="Y358" s="544"/>
      <c r="Z358" s="544"/>
      <c r="AA358" s="643">
        <f>V358+Y358+Z358</f>
        <v>700.8</v>
      </c>
      <c r="AB358" s="640"/>
      <c r="AC358" s="545" t="s">
        <v>334</v>
      </c>
      <c r="AD358" s="545" t="s">
        <v>178</v>
      </c>
      <c r="AE358" s="546" t="s">
        <v>187</v>
      </c>
      <c r="AF358" s="547">
        <v>2014</v>
      </c>
      <c r="AG358" s="639"/>
      <c r="AH358" s="639"/>
    </row>
    <row r="359" spans="1:34" s="94" customFormat="1" ht="50.1" hidden="1" customHeight="1">
      <c r="A359" s="641"/>
      <c r="B359" s="635"/>
      <c r="C359" s="635" t="s">
        <v>182</v>
      </c>
      <c r="D359" s="647" t="s">
        <v>412</v>
      </c>
      <c r="E359" s="636" t="str">
        <f t="shared" si="46"/>
        <v>VIA, LA TINGUE-ZAPALLAL.  L=4,8 km.</v>
      </c>
      <c r="F359" s="536" t="s">
        <v>330</v>
      </c>
      <c r="G359" s="536" t="str">
        <f>VLOOKUP(H359,'[5]Pob. Ext, Parroquial'!$B$9:$C$117,2,0)</f>
        <v>OLMEDO</v>
      </c>
      <c r="H359" s="670" t="s">
        <v>411</v>
      </c>
      <c r="I359" s="536" t="s">
        <v>173</v>
      </c>
      <c r="J359" s="536" t="s">
        <v>174</v>
      </c>
      <c r="K359" s="537">
        <v>4.8</v>
      </c>
      <c r="L359" s="537"/>
      <c r="M359" s="538">
        <f>IF(K359&gt;0,VLOOKUP(H359,'[5]Pob. Ext, Parroquial'!$B$8:$F$117,4,FALSE),0)</f>
        <v>512</v>
      </c>
      <c r="N359" s="539" t="s">
        <v>200</v>
      </c>
      <c r="O359" s="540" t="s">
        <v>333</v>
      </c>
      <c r="P359" s="540">
        <v>1.46</v>
      </c>
      <c r="Q359" s="540">
        <v>840</v>
      </c>
      <c r="R359" s="540"/>
      <c r="S359" s="541">
        <v>41719</v>
      </c>
      <c r="T359" s="541">
        <v>41790</v>
      </c>
      <c r="U359" s="542" t="str">
        <f t="shared" si="44"/>
        <v>EJECUTADO</v>
      </c>
      <c r="V359" s="543">
        <f t="shared" si="48"/>
        <v>1226.4000000000001</v>
      </c>
      <c r="W359" s="543">
        <v>411.6</v>
      </c>
      <c r="X359" s="543">
        <f t="shared" si="61"/>
        <v>1222.2</v>
      </c>
      <c r="Y359" s="544"/>
      <c r="Z359" s="544"/>
      <c r="AA359" s="643">
        <f>V359+Y359+Z359</f>
        <v>1226.4000000000001</v>
      </c>
      <c r="AB359" s="640"/>
      <c r="AC359" s="545" t="s">
        <v>334</v>
      </c>
      <c r="AD359" s="545" t="s">
        <v>178</v>
      </c>
      <c r="AE359" s="546" t="s">
        <v>187</v>
      </c>
      <c r="AF359" s="547">
        <v>2014</v>
      </c>
      <c r="AG359" s="639"/>
      <c r="AH359" s="639"/>
    </row>
    <row r="360" spans="1:34" s="94" customFormat="1" ht="50.1" hidden="1" customHeight="1">
      <c r="A360" s="641"/>
      <c r="B360" s="635"/>
      <c r="C360" s="635" t="s">
        <v>182</v>
      </c>
      <c r="D360" s="647" t="s">
        <v>775</v>
      </c>
      <c r="E360" s="636" t="str">
        <f>+D360</f>
        <v>VIA EL LIMON GUACHANAMA LAURO GUERRERO</v>
      </c>
      <c r="F360" s="536" t="s">
        <v>330</v>
      </c>
      <c r="G360" s="536" t="str">
        <f>VLOOKUP(H360,'[5]Pob. Ext, Parroquial'!$B$9:$C$117,2,0)</f>
        <v>PALTAS</v>
      </c>
      <c r="H360" s="670" t="s">
        <v>406</v>
      </c>
      <c r="I360" s="536" t="s">
        <v>173</v>
      </c>
      <c r="J360" s="536" t="s">
        <v>174</v>
      </c>
      <c r="K360" s="537"/>
      <c r="L360" s="537"/>
      <c r="M360" s="538"/>
      <c r="N360" s="539" t="s">
        <v>200</v>
      </c>
      <c r="O360" s="540" t="s">
        <v>333</v>
      </c>
      <c r="P360" s="540">
        <v>1.46</v>
      </c>
      <c r="Q360" s="540">
        <v>1440</v>
      </c>
      <c r="R360" s="540"/>
      <c r="S360" s="541">
        <v>41719</v>
      </c>
      <c r="T360" s="541">
        <v>41790</v>
      </c>
      <c r="U360" s="542" t="s">
        <v>179</v>
      </c>
      <c r="V360" s="543">
        <f t="shared" si="48"/>
        <v>2102.4</v>
      </c>
      <c r="W360" s="544"/>
      <c r="X360" s="544"/>
      <c r="Y360" s="643">
        <v>1226.4000000000001</v>
      </c>
      <c r="Z360" s="544"/>
      <c r="AA360" s="643"/>
      <c r="AB360" s="640"/>
      <c r="AC360" s="545"/>
      <c r="AD360" s="545"/>
      <c r="AE360" s="546"/>
      <c r="AF360" s="547"/>
      <c r="AG360" s="639"/>
      <c r="AH360" s="639"/>
    </row>
    <row r="361" spans="1:34" s="94" customFormat="1" ht="50.1" hidden="1" customHeight="1">
      <c r="A361" s="641"/>
      <c r="B361" s="635"/>
      <c r="C361" s="635" t="s">
        <v>182</v>
      </c>
      <c r="D361" s="635" t="s">
        <v>413</v>
      </c>
      <c r="E361" s="636" t="str">
        <f t="shared" si="46"/>
        <v>VIAS DE ACCESO A LOS BARRIOS, SACAPIANGA Y SAN ANTONIO BAJO</v>
      </c>
      <c r="F361" s="536" t="s">
        <v>330</v>
      </c>
      <c r="G361" s="536" t="str">
        <f>VLOOKUP(H361,'[5]Pob. Ext, Parroquial'!$B$9:$C$117,2,0)</f>
        <v>PALTAS</v>
      </c>
      <c r="H361" s="670" t="s">
        <v>406</v>
      </c>
      <c r="I361" s="536" t="s">
        <v>173</v>
      </c>
      <c r="J361" s="536" t="s">
        <v>174</v>
      </c>
      <c r="K361" s="537">
        <v>4.2</v>
      </c>
      <c r="L361" s="537">
        <f>ROUNDUP(Q361/5.5/1000,2)</f>
        <v>3.44</v>
      </c>
      <c r="M361" s="538">
        <f>IF(K361&gt;0,VLOOKUP(H361,'[5]Pob. Ext, Parroquial'!$B$8:$F$117,4,FALSE),0)</f>
        <v>639</v>
      </c>
      <c r="N361" s="539" t="s">
        <v>185</v>
      </c>
      <c r="O361" s="540" t="s">
        <v>314</v>
      </c>
      <c r="P361" s="540">
        <v>0.08</v>
      </c>
      <c r="Q361" s="540">
        <v>18900</v>
      </c>
      <c r="R361" s="540"/>
      <c r="S361" s="541">
        <v>41671</v>
      </c>
      <c r="T361" s="541">
        <v>41673</v>
      </c>
      <c r="U361" s="542" t="str">
        <f t="shared" si="44"/>
        <v>EJECUTADO</v>
      </c>
      <c r="V361" s="543">
        <f t="shared" si="48"/>
        <v>1512</v>
      </c>
      <c r="W361" s="543">
        <f>+V361</f>
        <v>1512</v>
      </c>
      <c r="X361" s="543">
        <f t="shared" si="61"/>
        <v>0</v>
      </c>
      <c r="Y361" s="544"/>
      <c r="Z361" s="544"/>
      <c r="AA361" s="643">
        <f>V361+Y361+Z361</f>
        <v>1512</v>
      </c>
      <c r="AB361" s="640"/>
      <c r="AC361" s="545" t="s">
        <v>334</v>
      </c>
      <c r="AD361" s="545" t="s">
        <v>178</v>
      </c>
      <c r="AE361" s="546" t="s">
        <v>187</v>
      </c>
      <c r="AF361" s="547">
        <v>2014</v>
      </c>
      <c r="AG361" s="639"/>
      <c r="AH361" s="639"/>
    </row>
    <row r="362" spans="1:34" s="94" customFormat="1" ht="82.9" hidden="1" customHeight="1">
      <c r="A362" s="1068"/>
      <c r="B362" s="1076"/>
      <c r="C362" s="635" t="s">
        <v>182</v>
      </c>
      <c r="D362" s="1091" t="s">
        <v>414</v>
      </c>
      <c r="E362" s="636" t="str">
        <f t="shared" si="46"/>
        <v>MANTENIMIENTO DE LAS VIAS TABLON-MINA, TABLON-SAN JOSE, YEE DE SAN JOSE-QUISHQUIL, CEMENTERIO-LA LAGUNA-COCHALOMA, PANAMERICANA-POTRERILLOS-TACHIN. LONGITUD 18 KM</v>
      </c>
      <c r="F362" s="536" t="s">
        <v>415</v>
      </c>
      <c r="G362" s="536" t="str">
        <f>VLOOKUP(H362,'[5]Pob. Ext, Parroquial'!$B$9:$C$117,2,0)</f>
        <v>SARAGURO</v>
      </c>
      <c r="H362" s="536" t="s">
        <v>416</v>
      </c>
      <c r="I362" s="536" t="s">
        <v>173</v>
      </c>
      <c r="J362" s="536" t="s">
        <v>174</v>
      </c>
      <c r="K362" s="537">
        <v>18</v>
      </c>
      <c r="L362" s="537">
        <f>ROUNDUP(Q362/5.5/1000,2)</f>
        <v>12.73</v>
      </c>
      <c r="M362" s="538">
        <f>IF(K362&gt;0,VLOOKUP(H362,'[5]Pob. Ext, Parroquial'!$B$8:$F$117,4,FALSE),0)</f>
        <v>716</v>
      </c>
      <c r="N362" s="539" t="s">
        <v>185</v>
      </c>
      <c r="O362" s="540" t="s">
        <v>224</v>
      </c>
      <c r="P362" s="540">
        <v>0.08</v>
      </c>
      <c r="Q362" s="637">
        <v>70000</v>
      </c>
      <c r="R362" s="540"/>
      <c r="S362" s="541">
        <v>41640</v>
      </c>
      <c r="T362" s="541">
        <v>41698</v>
      </c>
      <c r="U362" s="542" t="str">
        <f t="shared" si="44"/>
        <v>EJECUTADO</v>
      </c>
      <c r="V362" s="678">
        <f t="shared" si="48"/>
        <v>5600</v>
      </c>
      <c r="W362" s="543">
        <v>5600</v>
      </c>
      <c r="X362" s="543">
        <f t="shared" si="61"/>
        <v>0</v>
      </c>
      <c r="Y362" s="544"/>
      <c r="Z362" s="544"/>
      <c r="AA362" s="1072">
        <f>SUM(V362:V365)</f>
        <v>43610</v>
      </c>
      <c r="AB362" s="640">
        <v>0</v>
      </c>
      <c r="AC362" s="545" t="s">
        <v>417</v>
      </c>
      <c r="AD362" s="545" t="s">
        <v>178</v>
      </c>
      <c r="AE362" s="546" t="s">
        <v>187</v>
      </c>
      <c r="AF362" s="547">
        <v>2014</v>
      </c>
      <c r="AG362" s="657">
        <f>SUM(V136:V171)</f>
        <v>190000.66</v>
      </c>
      <c r="AH362" s="639"/>
    </row>
    <row r="363" spans="1:34" s="94" customFormat="1" ht="73.900000000000006" hidden="1" customHeight="1">
      <c r="A363" s="1068"/>
      <c r="B363" s="1076"/>
      <c r="C363" s="635" t="s">
        <v>169</v>
      </c>
      <c r="D363" s="1092"/>
      <c r="E363" s="655" t="str">
        <f t="shared" ref="E363:E365" si="65">+E362</f>
        <v>MANTENIMIENTO DE LAS VIAS TABLON-MINA, TABLON-SAN JOSE, YEE DE SAN JOSE-QUISHQUIL, CEMENTERIO-LA LAGUNA-COCHALOMA, PANAMERICANA-POTRERILLOS-TACHIN. LONGITUD 18 KM</v>
      </c>
      <c r="F363" s="536" t="s">
        <v>415</v>
      </c>
      <c r="G363" s="536" t="str">
        <f>VLOOKUP(H363,'[5]Pob. Ext, Parroquial'!$B$9:$C$117,2,0)</f>
        <v>SARAGURO</v>
      </c>
      <c r="H363" s="536" t="s">
        <v>416</v>
      </c>
      <c r="I363" s="536" t="s">
        <v>173</v>
      </c>
      <c r="J363" s="536" t="s">
        <v>174</v>
      </c>
      <c r="K363" s="537"/>
      <c r="L363" s="537">
        <f>+ROUND(Q363/5500/0.2,2)</f>
        <v>3.18</v>
      </c>
      <c r="M363" s="538">
        <f>IF(K363&gt;0,VLOOKUP(H363,'[5]Pob. Ext, Parroquial'!$B$8:$F$117,4,FALSE),0)</f>
        <v>0</v>
      </c>
      <c r="N363" s="539" t="s">
        <v>229</v>
      </c>
      <c r="O363" s="540" t="s">
        <v>418</v>
      </c>
      <c r="P363" s="540">
        <v>5.92</v>
      </c>
      <c r="Q363" s="637">
        <v>3500</v>
      </c>
      <c r="R363" s="540"/>
      <c r="S363" s="541">
        <v>41640</v>
      </c>
      <c r="T363" s="541">
        <v>41698</v>
      </c>
      <c r="U363" s="542" t="str">
        <f t="shared" si="44"/>
        <v>EJECUTADO</v>
      </c>
      <c r="V363" s="678">
        <f t="shared" si="48"/>
        <v>20720</v>
      </c>
      <c r="W363" s="543">
        <v>18200</v>
      </c>
      <c r="X363" s="543">
        <f t="shared" si="61"/>
        <v>3780</v>
      </c>
      <c r="Y363" s="544"/>
      <c r="Z363" s="544"/>
      <c r="AA363" s="1072"/>
      <c r="AB363" s="640"/>
      <c r="AC363" s="545" t="s">
        <v>417</v>
      </c>
      <c r="AD363" s="545" t="s">
        <v>178</v>
      </c>
      <c r="AE363" s="546" t="s">
        <v>187</v>
      </c>
      <c r="AF363" s="547">
        <v>2014</v>
      </c>
      <c r="AG363" s="657"/>
      <c r="AH363" s="639"/>
    </row>
    <row r="364" spans="1:34" s="94" customFormat="1" ht="71.45" hidden="1" customHeight="1">
      <c r="A364" s="1068"/>
      <c r="B364" s="1076"/>
      <c r="C364" s="635" t="s">
        <v>169</v>
      </c>
      <c r="D364" s="1092"/>
      <c r="E364" s="655" t="str">
        <f t="shared" si="65"/>
        <v>MANTENIMIENTO DE LAS VIAS TABLON-MINA, TABLON-SAN JOSE, YEE DE SAN JOSE-QUISHQUIL, CEMENTERIO-LA LAGUNA-COCHALOMA, PANAMERICANA-POTRERILLOS-TACHIN. LONGITUD 18 KM</v>
      </c>
      <c r="F364" s="536" t="s">
        <v>415</v>
      </c>
      <c r="G364" s="536" t="str">
        <f>VLOOKUP(H364,'[5]Pob. Ext, Parroquial'!$B$9:$C$117,2,0)</f>
        <v>SARAGURO</v>
      </c>
      <c r="H364" s="536" t="s">
        <v>416</v>
      </c>
      <c r="I364" s="536" t="s">
        <v>173</v>
      </c>
      <c r="J364" s="536" t="s">
        <v>174</v>
      </c>
      <c r="K364" s="537"/>
      <c r="L364" s="537"/>
      <c r="M364" s="538">
        <f>IF(K364&gt;0,VLOOKUP(H364,'[5]Pob. Ext, Parroquial'!$B$8:$F$117,4,FALSE),0)</f>
        <v>0</v>
      </c>
      <c r="N364" s="539" t="s">
        <v>419</v>
      </c>
      <c r="O364" s="540" t="s">
        <v>420</v>
      </c>
      <c r="P364" s="540">
        <v>0.3</v>
      </c>
      <c r="Q364" s="637">
        <v>28000</v>
      </c>
      <c r="R364" s="540"/>
      <c r="S364" s="541">
        <v>41640</v>
      </c>
      <c r="T364" s="541">
        <v>41698</v>
      </c>
      <c r="U364" s="542" t="str">
        <f t="shared" si="44"/>
        <v>EJECUTADO</v>
      </c>
      <c r="V364" s="678">
        <f t="shared" si="48"/>
        <v>8400</v>
      </c>
      <c r="W364" s="543">
        <v>7000</v>
      </c>
      <c r="X364" s="543">
        <f t="shared" si="61"/>
        <v>2100</v>
      </c>
      <c r="Y364" s="544"/>
      <c r="Z364" s="544"/>
      <c r="AA364" s="1072"/>
      <c r="AB364" s="640"/>
      <c r="AC364" s="545" t="s">
        <v>417</v>
      </c>
      <c r="AD364" s="545" t="s">
        <v>178</v>
      </c>
      <c r="AE364" s="546" t="s">
        <v>187</v>
      </c>
      <c r="AF364" s="547">
        <v>2014</v>
      </c>
      <c r="AG364" s="657"/>
      <c r="AH364" s="639"/>
    </row>
    <row r="365" spans="1:34" s="94" customFormat="1" ht="80.45" hidden="1" customHeight="1">
      <c r="A365" s="1068"/>
      <c r="B365" s="1076"/>
      <c r="C365" s="635" t="s">
        <v>169</v>
      </c>
      <c r="D365" s="1093"/>
      <c r="E365" s="655" t="str">
        <f t="shared" si="65"/>
        <v>MANTENIMIENTO DE LAS VIAS TABLON-MINA, TABLON-SAN JOSE, YEE DE SAN JOSE-QUISHQUIL, CEMENTERIO-LA LAGUNA-COCHALOMA, PANAMERICANA-POTRERILLOS-TACHIN. LONGITUD 18 KM</v>
      </c>
      <c r="F365" s="536" t="s">
        <v>415</v>
      </c>
      <c r="G365" s="536" t="str">
        <f>VLOOKUP(H365,'[5]Pob. Ext, Parroquial'!$B$9:$C$117,2,0)</f>
        <v>SARAGURO</v>
      </c>
      <c r="H365" s="536" t="s">
        <v>416</v>
      </c>
      <c r="I365" s="536" t="s">
        <v>173</v>
      </c>
      <c r="J365" s="536" t="s">
        <v>174</v>
      </c>
      <c r="K365" s="537"/>
      <c r="L365" s="537"/>
      <c r="M365" s="538">
        <f>IF(K365&gt;0,VLOOKUP(H365,'[5]Pob. Ext, Parroquial'!$B$8:$F$117,4,FALSE),0)</f>
        <v>0</v>
      </c>
      <c r="N365" s="539" t="s">
        <v>421</v>
      </c>
      <c r="O365" s="540" t="s">
        <v>418</v>
      </c>
      <c r="P365" s="540">
        <v>2.54</v>
      </c>
      <c r="Q365" s="637">
        <v>3500</v>
      </c>
      <c r="R365" s="540"/>
      <c r="S365" s="541">
        <v>41640</v>
      </c>
      <c r="T365" s="541">
        <v>41698</v>
      </c>
      <c r="U365" s="542" t="str">
        <f t="shared" si="44"/>
        <v>EJECUTADO</v>
      </c>
      <c r="V365" s="550">
        <f t="shared" si="48"/>
        <v>8890</v>
      </c>
      <c r="W365" s="543">
        <v>4235</v>
      </c>
      <c r="X365" s="543">
        <f t="shared" si="61"/>
        <v>6982.5</v>
      </c>
      <c r="Y365" s="544"/>
      <c r="Z365" s="544"/>
      <c r="AA365" s="1072"/>
      <c r="AB365" s="640"/>
      <c r="AC365" s="545" t="s">
        <v>417</v>
      </c>
      <c r="AD365" s="545" t="s">
        <v>178</v>
      </c>
      <c r="AE365" s="546" t="s">
        <v>187</v>
      </c>
      <c r="AF365" s="547">
        <v>2014</v>
      </c>
      <c r="AG365" s="657"/>
      <c r="AH365" s="639"/>
    </row>
    <row r="366" spans="1:34" s="94" customFormat="1" ht="50.1" hidden="1" customHeight="1">
      <c r="A366" s="1068"/>
      <c r="B366" s="1076"/>
      <c r="C366" s="635" t="s">
        <v>182</v>
      </c>
      <c r="D366" s="1091" t="s">
        <v>422</v>
      </c>
      <c r="E366" s="636" t="str">
        <f t="shared" si="46"/>
        <v>MANTENIMIENTO DE LAS VIAS DE LA PARROQUIA CELEN, LONGITUD 12,00 KM</v>
      </c>
      <c r="F366" s="536" t="s">
        <v>415</v>
      </c>
      <c r="G366" s="536" t="str">
        <f>VLOOKUP(H366,'[5]Pob. Ext, Parroquial'!$B$9:$C$117,2,0)</f>
        <v>SARAGURO</v>
      </c>
      <c r="H366" s="536" t="s">
        <v>423</v>
      </c>
      <c r="I366" s="536" t="s">
        <v>173</v>
      </c>
      <c r="J366" s="536" t="s">
        <v>174</v>
      </c>
      <c r="K366" s="537">
        <v>12</v>
      </c>
      <c r="L366" s="537">
        <f>ROUNDUP(Q366/5.5/1000,2)</f>
        <v>13.1</v>
      </c>
      <c r="M366" s="538">
        <f>IF(K366&gt;0,VLOOKUP(H366,'[5]Pob. Ext, Parroquial'!$B$8:$F$117,4,FALSE),0)</f>
        <v>2132</v>
      </c>
      <c r="N366" s="539" t="s">
        <v>185</v>
      </c>
      <c r="O366" s="540" t="s">
        <v>224</v>
      </c>
      <c r="P366" s="540">
        <v>0.08</v>
      </c>
      <c r="Q366" s="637">
        <v>72000</v>
      </c>
      <c r="R366" s="540"/>
      <c r="S366" s="541">
        <v>41640</v>
      </c>
      <c r="T366" s="541">
        <v>41670</v>
      </c>
      <c r="U366" s="542" t="str">
        <f t="shared" si="44"/>
        <v>EJECUTADO</v>
      </c>
      <c r="V366" s="550">
        <f t="shared" si="48"/>
        <v>5760</v>
      </c>
      <c r="W366" s="543">
        <v>4320</v>
      </c>
      <c r="X366" s="543">
        <f t="shared" si="61"/>
        <v>2160</v>
      </c>
      <c r="Y366" s="544"/>
      <c r="Z366" s="544"/>
      <c r="AA366" s="1072">
        <f>SUM(V366:V367)</f>
        <v>5863.68</v>
      </c>
      <c r="AB366" s="640"/>
      <c r="AC366" s="545" t="s">
        <v>417</v>
      </c>
      <c r="AD366" s="545" t="s">
        <v>178</v>
      </c>
      <c r="AE366" s="546" t="s">
        <v>179</v>
      </c>
      <c r="AF366" s="547">
        <v>2014</v>
      </c>
      <c r="AG366" s="657"/>
      <c r="AH366" s="639"/>
    </row>
    <row r="367" spans="1:34" s="94" customFormat="1" ht="50.1" hidden="1" customHeight="1">
      <c r="A367" s="1068"/>
      <c r="B367" s="1076"/>
      <c r="C367" s="635" t="s">
        <v>169</v>
      </c>
      <c r="D367" s="1093"/>
      <c r="E367" s="655" t="str">
        <f t="shared" ref="E367" si="66">+E366</f>
        <v>MANTENIMIENTO DE LAS VIAS DE LA PARROQUIA CELEN, LONGITUD 12,00 KM</v>
      </c>
      <c r="F367" s="536" t="s">
        <v>415</v>
      </c>
      <c r="G367" s="536" t="str">
        <f>VLOOKUP(H367,'[5]Pob. Ext, Parroquial'!$B$9:$C$117,2,0)</f>
        <v>SARAGURO</v>
      </c>
      <c r="H367" s="536" t="s">
        <v>423</v>
      </c>
      <c r="I367" s="536" t="s">
        <v>173</v>
      </c>
      <c r="J367" s="536" t="s">
        <v>174</v>
      </c>
      <c r="K367" s="537"/>
      <c r="L367" s="537"/>
      <c r="M367" s="538">
        <f>IF(K367&gt;0,VLOOKUP(H367,'[5]Pob. Ext, Parroquial'!$B$8:$F$117,4,FALSE),0)</f>
        <v>0</v>
      </c>
      <c r="N367" s="539" t="s">
        <v>226</v>
      </c>
      <c r="O367" s="540" t="s">
        <v>418</v>
      </c>
      <c r="P367" s="540">
        <v>1.62</v>
      </c>
      <c r="Q367" s="637">
        <v>64</v>
      </c>
      <c r="R367" s="540"/>
      <c r="S367" s="541">
        <v>41640</v>
      </c>
      <c r="T367" s="541">
        <v>41670</v>
      </c>
      <c r="U367" s="542" t="str">
        <f t="shared" si="44"/>
        <v>EJECUTADO</v>
      </c>
      <c r="V367" s="550">
        <f t="shared" si="48"/>
        <v>103.68</v>
      </c>
      <c r="W367" s="543">
        <v>84.48</v>
      </c>
      <c r="X367" s="543">
        <f t="shared" si="61"/>
        <v>28.800000000000004</v>
      </c>
      <c r="Y367" s="544"/>
      <c r="Z367" s="544"/>
      <c r="AA367" s="1072"/>
      <c r="AB367" s="640"/>
      <c r="AC367" s="545" t="s">
        <v>417</v>
      </c>
      <c r="AD367" s="545" t="s">
        <v>178</v>
      </c>
      <c r="AE367" s="546" t="s">
        <v>179</v>
      </c>
      <c r="AF367" s="547">
        <v>2014</v>
      </c>
      <c r="AG367" s="657"/>
      <c r="AH367" s="639"/>
    </row>
    <row r="368" spans="1:34" s="94" customFormat="1" ht="50.1" hidden="1" customHeight="1">
      <c r="A368" s="1068"/>
      <c r="B368" s="1076"/>
      <c r="C368" s="635" t="s">
        <v>182</v>
      </c>
      <c r="D368" s="1091" t="s">
        <v>424</v>
      </c>
      <c r="E368" s="636" t="str">
        <f t="shared" ref="E368:E446" si="67">+D368</f>
        <v>MANTENIMIENTO DE LA VIA MALACATOS-SAN JOSE DE LAS PEÑAS, LONGITUD 3,00 KM</v>
      </c>
      <c r="F368" s="536" t="s">
        <v>415</v>
      </c>
      <c r="G368" s="536" t="str">
        <f>VLOOKUP(H368,'[5]Pob. Ext, Parroquial'!$B$9:$C$117,2,0)</f>
        <v>LOJA</v>
      </c>
      <c r="H368" s="536" t="s">
        <v>425</v>
      </c>
      <c r="I368" s="536" t="s">
        <v>173</v>
      </c>
      <c r="J368" s="536" t="s">
        <v>174</v>
      </c>
      <c r="K368" s="537">
        <v>3</v>
      </c>
      <c r="L368" s="537">
        <f>ROUNDUP(Q368/5.5/1000,2)</f>
        <v>1.9</v>
      </c>
      <c r="M368" s="538">
        <f>IF(K368&gt;0,VLOOKUP(H368,'[5]Pob. Ext, Parroquial'!$B$8:$F$117,4,FALSE),0)</f>
        <v>2611</v>
      </c>
      <c r="N368" s="539" t="s">
        <v>282</v>
      </c>
      <c r="O368" s="540" t="s">
        <v>224</v>
      </c>
      <c r="P368" s="540">
        <v>0.35</v>
      </c>
      <c r="Q368" s="637">
        <v>10450</v>
      </c>
      <c r="R368" s="540"/>
      <c r="S368" s="541">
        <v>41640</v>
      </c>
      <c r="T368" s="541">
        <v>41670</v>
      </c>
      <c r="U368" s="542" t="str">
        <f t="shared" si="44"/>
        <v>EJECUTADO</v>
      </c>
      <c r="V368" s="550">
        <f t="shared" si="48"/>
        <v>3657.5</v>
      </c>
      <c r="W368" s="543">
        <v>2612.5</v>
      </c>
      <c r="X368" s="543">
        <f t="shared" si="61"/>
        <v>1567.5</v>
      </c>
      <c r="Y368" s="544"/>
      <c r="Z368" s="544"/>
      <c r="AA368" s="1072">
        <f>SUM(V368:V370)</f>
        <v>4780.8599999999997</v>
      </c>
      <c r="AB368" s="640"/>
      <c r="AC368" s="545" t="s">
        <v>417</v>
      </c>
      <c r="AD368" s="545" t="s">
        <v>178</v>
      </c>
      <c r="AE368" s="546" t="s">
        <v>179</v>
      </c>
      <c r="AF368" s="547">
        <v>2014</v>
      </c>
      <c r="AG368" s="657"/>
      <c r="AH368" s="639"/>
    </row>
    <row r="369" spans="1:34" s="94" customFormat="1" ht="50.1" hidden="1" customHeight="1">
      <c r="A369" s="1068"/>
      <c r="B369" s="1076"/>
      <c r="C369" s="635" t="s">
        <v>169</v>
      </c>
      <c r="D369" s="1092"/>
      <c r="E369" s="655" t="str">
        <f t="shared" ref="E369:E370" si="68">+E368</f>
        <v>MANTENIMIENTO DE LA VIA MALACATOS-SAN JOSE DE LAS PEÑAS, LONGITUD 3,00 KM</v>
      </c>
      <c r="F369" s="536" t="s">
        <v>415</v>
      </c>
      <c r="G369" s="536" t="str">
        <f>VLOOKUP(H369,'[5]Pob. Ext, Parroquial'!$B$9:$C$117,2,0)</f>
        <v>LOJA</v>
      </c>
      <c r="H369" s="536" t="s">
        <v>425</v>
      </c>
      <c r="I369" s="536" t="s">
        <v>173</v>
      </c>
      <c r="J369" s="536" t="s">
        <v>174</v>
      </c>
      <c r="K369" s="537"/>
      <c r="L369" s="537">
        <f>+ROUND(Q369/5500/0.2,2)</f>
        <v>0.11</v>
      </c>
      <c r="M369" s="538">
        <f>IF(K369&gt;0,VLOOKUP(H369,'[5]Pob. Ext, Parroquial'!$B$8:$F$117,4,FALSE),0)</f>
        <v>0</v>
      </c>
      <c r="N369" s="539" t="s">
        <v>229</v>
      </c>
      <c r="O369" s="540" t="s">
        <v>418</v>
      </c>
      <c r="P369" s="540">
        <v>5.92</v>
      </c>
      <c r="Q369" s="637">
        <v>118</v>
      </c>
      <c r="R369" s="540"/>
      <c r="S369" s="541">
        <v>41640</v>
      </c>
      <c r="T369" s="541">
        <v>41670</v>
      </c>
      <c r="U369" s="542" t="str">
        <f t="shared" si="44"/>
        <v>EJECUTADO</v>
      </c>
      <c r="V369" s="550">
        <f t="shared" si="48"/>
        <v>698.56</v>
      </c>
      <c r="W369" s="543">
        <v>613.6</v>
      </c>
      <c r="X369" s="543">
        <f t="shared" si="61"/>
        <v>127.43999999999988</v>
      </c>
      <c r="Y369" s="544"/>
      <c r="Z369" s="544"/>
      <c r="AA369" s="1072"/>
      <c r="AB369" s="640"/>
      <c r="AC369" s="545" t="s">
        <v>417</v>
      </c>
      <c r="AD369" s="545" t="s">
        <v>178</v>
      </c>
      <c r="AE369" s="546" t="s">
        <v>179</v>
      </c>
      <c r="AF369" s="547">
        <v>2014</v>
      </c>
      <c r="AG369" s="657"/>
      <c r="AH369" s="639"/>
    </row>
    <row r="370" spans="1:34" s="94" customFormat="1" ht="50.1" hidden="1" customHeight="1">
      <c r="A370" s="1068"/>
      <c r="B370" s="1076"/>
      <c r="C370" s="635" t="s">
        <v>169</v>
      </c>
      <c r="D370" s="1093"/>
      <c r="E370" s="655" t="str">
        <f t="shared" si="68"/>
        <v>MANTENIMIENTO DE LA VIA MALACATOS-SAN JOSE DE LAS PEÑAS, LONGITUD 3,00 KM</v>
      </c>
      <c r="F370" s="536" t="s">
        <v>415</v>
      </c>
      <c r="G370" s="536" t="str">
        <f>VLOOKUP(H370,'[5]Pob. Ext, Parroquial'!$B$9:$C$117,2,0)</f>
        <v>LOJA</v>
      </c>
      <c r="H370" s="536" t="s">
        <v>425</v>
      </c>
      <c r="I370" s="536" t="s">
        <v>173</v>
      </c>
      <c r="J370" s="536" t="s">
        <v>174</v>
      </c>
      <c r="K370" s="537"/>
      <c r="L370" s="537"/>
      <c r="M370" s="538">
        <f>IF(K370&gt;0,VLOOKUP(H370,'[5]Pob. Ext, Parroquial'!$B$8:$F$117,4,FALSE),0)</f>
        <v>0</v>
      </c>
      <c r="N370" s="539" t="s">
        <v>419</v>
      </c>
      <c r="O370" s="540" t="s">
        <v>420</v>
      </c>
      <c r="P370" s="540">
        <v>0.3</v>
      </c>
      <c r="Q370" s="637">
        <v>1416</v>
      </c>
      <c r="R370" s="540"/>
      <c r="S370" s="541">
        <v>41640</v>
      </c>
      <c r="T370" s="541">
        <v>41670</v>
      </c>
      <c r="U370" s="542" t="str">
        <f t="shared" si="44"/>
        <v>EJECUTADO</v>
      </c>
      <c r="V370" s="550">
        <f t="shared" si="48"/>
        <v>424.8</v>
      </c>
      <c r="W370" s="543">
        <v>354</v>
      </c>
      <c r="X370" s="543">
        <f t="shared" si="61"/>
        <v>106.20000000000002</v>
      </c>
      <c r="Y370" s="544"/>
      <c r="Z370" s="544"/>
      <c r="AA370" s="1072"/>
      <c r="AB370" s="640"/>
      <c r="AC370" s="545" t="s">
        <v>417</v>
      </c>
      <c r="AD370" s="545" t="s">
        <v>178</v>
      </c>
      <c r="AE370" s="546" t="s">
        <v>179</v>
      </c>
      <c r="AF370" s="547">
        <v>2014</v>
      </c>
      <c r="AG370" s="657"/>
      <c r="AH370" s="639"/>
    </row>
    <row r="371" spans="1:34" s="94" customFormat="1" ht="50.1" hidden="1" customHeight="1">
      <c r="A371" s="1068"/>
      <c r="B371" s="1076"/>
      <c r="C371" s="635" t="s">
        <v>182</v>
      </c>
      <c r="D371" s="1091" t="s">
        <v>426</v>
      </c>
      <c r="E371" s="636" t="str">
        <f t="shared" si="67"/>
        <v>MANTENIMIENTO DE LA VIA TANQUE DE COLA - PUENTE SANTO DOMINGO, LONGITUD 3,00 KM</v>
      </c>
      <c r="F371" s="536" t="s">
        <v>415</v>
      </c>
      <c r="G371" s="536" t="str">
        <f>VLOOKUP(H371,'[5]Pob. Ext, Parroquial'!$B$9:$C$117,2,0)</f>
        <v>LOJA</v>
      </c>
      <c r="H371" s="536" t="s">
        <v>425</v>
      </c>
      <c r="I371" s="536" t="s">
        <v>173</v>
      </c>
      <c r="J371" s="536" t="s">
        <v>174</v>
      </c>
      <c r="K371" s="537">
        <v>3</v>
      </c>
      <c r="L371" s="537">
        <f>ROUNDUP(Q371/5.5/1000,2)</f>
        <v>3.28</v>
      </c>
      <c r="M371" s="538">
        <f>IF(K371&gt;0,VLOOKUP(H371,'[5]Pob. Ext, Parroquial'!$B$8:$F$117,4,FALSE),0)</f>
        <v>2611</v>
      </c>
      <c r="N371" s="539" t="s">
        <v>282</v>
      </c>
      <c r="O371" s="540" t="s">
        <v>224</v>
      </c>
      <c r="P371" s="540">
        <v>0.35</v>
      </c>
      <c r="Q371" s="637">
        <v>18000</v>
      </c>
      <c r="R371" s="540"/>
      <c r="S371" s="541">
        <v>41640</v>
      </c>
      <c r="T371" s="541">
        <v>41670</v>
      </c>
      <c r="U371" s="542" t="str">
        <f t="shared" si="44"/>
        <v>EJECUTADO</v>
      </c>
      <c r="V371" s="550">
        <f t="shared" si="48"/>
        <v>6300</v>
      </c>
      <c r="W371" s="543">
        <v>4500</v>
      </c>
      <c r="X371" s="543">
        <f t="shared" si="61"/>
        <v>2700</v>
      </c>
      <c r="Y371" s="544"/>
      <c r="Z371" s="544"/>
      <c r="AA371" s="1072">
        <f>SUM(V371:V372)</f>
        <v>20880</v>
      </c>
      <c r="AB371" s="640"/>
      <c r="AC371" s="545" t="s">
        <v>417</v>
      </c>
      <c r="AD371" s="545" t="s">
        <v>178</v>
      </c>
      <c r="AE371" s="546" t="s">
        <v>179</v>
      </c>
      <c r="AF371" s="547">
        <v>2014</v>
      </c>
      <c r="AG371" s="657"/>
      <c r="AH371" s="639"/>
    </row>
    <row r="372" spans="1:34" s="94" customFormat="1" ht="50.1" hidden="1" customHeight="1">
      <c r="A372" s="1068"/>
      <c r="B372" s="1076"/>
      <c r="C372" s="635" t="s">
        <v>169</v>
      </c>
      <c r="D372" s="1093"/>
      <c r="E372" s="655" t="str">
        <f t="shared" ref="E372" si="69">+E371</f>
        <v>MANTENIMIENTO DE LA VIA TANQUE DE COLA - PUENTE SANTO DOMINGO, LONGITUD 3,00 KM</v>
      </c>
      <c r="F372" s="536" t="s">
        <v>415</v>
      </c>
      <c r="G372" s="536" t="str">
        <f>VLOOKUP(H372,'[5]Pob. Ext, Parroquial'!$B$9:$C$117,2,0)</f>
        <v>LOJA</v>
      </c>
      <c r="H372" s="536" t="s">
        <v>425</v>
      </c>
      <c r="I372" s="536" t="s">
        <v>173</v>
      </c>
      <c r="J372" s="536" t="s">
        <v>174</v>
      </c>
      <c r="K372" s="537"/>
      <c r="L372" s="537"/>
      <c r="M372" s="538">
        <f>IF(K372&gt;0,VLOOKUP(H372,'[5]Pob. Ext, Parroquial'!$B$8:$F$117,4,FALSE),0)</f>
        <v>0</v>
      </c>
      <c r="N372" s="539" t="s">
        <v>226</v>
      </c>
      <c r="O372" s="540" t="s">
        <v>418</v>
      </c>
      <c r="P372" s="540">
        <v>1.62</v>
      </c>
      <c r="Q372" s="637">
        <v>9000</v>
      </c>
      <c r="R372" s="540"/>
      <c r="S372" s="541">
        <v>41640</v>
      </c>
      <c r="T372" s="541">
        <v>41670</v>
      </c>
      <c r="U372" s="542" t="str">
        <f t="shared" si="44"/>
        <v>EJECUTADO</v>
      </c>
      <c r="V372" s="550">
        <f t="shared" si="48"/>
        <v>14580</v>
      </c>
      <c r="W372" s="543">
        <v>11880</v>
      </c>
      <c r="X372" s="543">
        <f t="shared" si="61"/>
        <v>4050</v>
      </c>
      <c r="Y372" s="544"/>
      <c r="Z372" s="544"/>
      <c r="AA372" s="1072"/>
      <c r="AB372" s="640"/>
      <c r="AC372" s="545" t="s">
        <v>417</v>
      </c>
      <c r="AD372" s="545" t="s">
        <v>178</v>
      </c>
      <c r="AE372" s="546" t="s">
        <v>179</v>
      </c>
      <c r="AF372" s="547">
        <v>2014</v>
      </c>
      <c r="AG372" s="657"/>
      <c r="AH372" s="639"/>
    </row>
    <row r="373" spans="1:34" s="94" customFormat="1" ht="50.1" hidden="1" customHeight="1">
      <c r="A373" s="1068"/>
      <c r="B373" s="1076"/>
      <c r="C373" s="635" t="s">
        <v>182</v>
      </c>
      <c r="D373" s="1091" t="s">
        <v>427</v>
      </c>
      <c r="E373" s="636" t="str">
        <f t="shared" si="67"/>
        <v>MANTENIMIENTO DE LAS VIAS DE LA PARROQUIA YANGANA, TRAMO YANGANA-PUENTE MASANAMACA, LONGITUD 26,00 KM</v>
      </c>
      <c r="F373" s="536" t="s">
        <v>415</v>
      </c>
      <c r="G373" s="536" t="str">
        <f>VLOOKUP(H373,'[5]Pob. Ext, Parroquial'!$B$9:$C$117,2,0)</f>
        <v>LOJA</v>
      </c>
      <c r="H373" s="536" t="s">
        <v>428</v>
      </c>
      <c r="I373" s="536" t="s">
        <v>173</v>
      </c>
      <c r="J373" s="536" t="s">
        <v>174</v>
      </c>
      <c r="K373" s="537">
        <v>26</v>
      </c>
      <c r="L373" s="537">
        <f>ROUNDUP(Q373/5.5/1000,2)</f>
        <v>29.1</v>
      </c>
      <c r="M373" s="538">
        <f>IF(K373&gt;0,VLOOKUP(H373,'[5]Pob. Ext, Parroquial'!$B$8:$F$117,4,FALSE),0)</f>
        <v>449</v>
      </c>
      <c r="N373" s="539" t="s">
        <v>282</v>
      </c>
      <c r="O373" s="540" t="s">
        <v>224</v>
      </c>
      <c r="P373" s="540">
        <v>0.35</v>
      </c>
      <c r="Q373" s="637">
        <v>160002</v>
      </c>
      <c r="R373" s="540"/>
      <c r="S373" s="541">
        <v>41640</v>
      </c>
      <c r="T373" s="541">
        <v>41698</v>
      </c>
      <c r="U373" s="542" t="str">
        <f t="shared" ref="U373:U465" si="70">IF(T373&lt;$G$4,"EJECUTADO","EN EJECUCION")</f>
        <v>EJECUTADO</v>
      </c>
      <c r="V373" s="550">
        <f t="shared" ref="V373:V459" si="71">ROUND(P373*Q373,2)</f>
        <v>56000.7</v>
      </c>
      <c r="W373" s="543">
        <v>40000.5</v>
      </c>
      <c r="X373" s="543">
        <f t="shared" si="61"/>
        <v>24000.299999999996</v>
      </c>
      <c r="Y373" s="544"/>
      <c r="Z373" s="544"/>
      <c r="AA373" s="1072">
        <f>SUM(V373:V376)</f>
        <v>104885.34000000001</v>
      </c>
      <c r="AB373" s="640"/>
      <c r="AC373" s="545" t="s">
        <v>417</v>
      </c>
      <c r="AD373" s="545" t="s">
        <v>178</v>
      </c>
      <c r="AE373" s="546" t="s">
        <v>187</v>
      </c>
      <c r="AF373" s="547">
        <v>2014</v>
      </c>
      <c r="AG373" s="657"/>
      <c r="AH373" s="639"/>
    </row>
    <row r="374" spans="1:34" s="94" customFormat="1" ht="50.1" hidden="1" customHeight="1">
      <c r="A374" s="1068"/>
      <c r="B374" s="1076"/>
      <c r="C374" s="635" t="s">
        <v>169</v>
      </c>
      <c r="D374" s="1092"/>
      <c r="E374" s="655" t="str">
        <f t="shared" ref="E374:E376" si="72">+E373</f>
        <v>MANTENIMIENTO DE LAS VIAS DE LA PARROQUIA YANGANA, TRAMO YANGANA-PUENTE MASANAMACA, LONGITUD 26,00 KM</v>
      </c>
      <c r="F374" s="536" t="s">
        <v>415</v>
      </c>
      <c r="G374" s="536" t="str">
        <f>VLOOKUP(H374,'[5]Pob. Ext, Parroquial'!$B$9:$C$117,2,0)</f>
        <v>LOJA</v>
      </c>
      <c r="H374" s="536" t="s">
        <v>428</v>
      </c>
      <c r="I374" s="536" t="s">
        <v>173</v>
      </c>
      <c r="J374" s="536" t="s">
        <v>174</v>
      </c>
      <c r="K374" s="537"/>
      <c r="L374" s="537">
        <f>+ROUND(Q374/5500/0.2,2)</f>
        <v>4.47</v>
      </c>
      <c r="M374" s="538">
        <f>IF(K374&gt;0,VLOOKUP(H374,'[5]Pob. Ext, Parroquial'!$B$8:$F$117,4,FALSE),0)</f>
        <v>0</v>
      </c>
      <c r="N374" s="539" t="s">
        <v>229</v>
      </c>
      <c r="O374" s="540" t="s">
        <v>418</v>
      </c>
      <c r="P374" s="540">
        <v>5.92</v>
      </c>
      <c r="Q374" s="637">
        <f>612+4308</f>
        <v>4920</v>
      </c>
      <c r="R374" s="540"/>
      <c r="S374" s="541">
        <v>41640</v>
      </c>
      <c r="T374" s="541">
        <v>41698</v>
      </c>
      <c r="U374" s="542" t="str">
        <f t="shared" si="70"/>
        <v>EJECUTADO</v>
      </c>
      <c r="V374" s="550">
        <f t="shared" si="71"/>
        <v>29126.400000000001</v>
      </c>
      <c r="W374" s="543">
        <v>25584</v>
      </c>
      <c r="X374" s="543">
        <f t="shared" si="61"/>
        <v>5313.6000000000022</v>
      </c>
      <c r="Y374" s="544"/>
      <c r="Z374" s="544"/>
      <c r="AA374" s="1072"/>
      <c r="AB374" s="640"/>
      <c r="AC374" s="545" t="s">
        <v>417</v>
      </c>
      <c r="AD374" s="545" t="s">
        <v>178</v>
      </c>
      <c r="AE374" s="546" t="s">
        <v>187</v>
      </c>
      <c r="AF374" s="547">
        <v>2014</v>
      </c>
      <c r="AG374" s="657"/>
      <c r="AH374" s="639"/>
    </row>
    <row r="375" spans="1:34" s="94" customFormat="1" ht="50.1" hidden="1" customHeight="1">
      <c r="A375" s="1068"/>
      <c r="B375" s="1076"/>
      <c r="C375" s="635" t="s">
        <v>169</v>
      </c>
      <c r="D375" s="1092"/>
      <c r="E375" s="655" t="str">
        <f t="shared" si="72"/>
        <v>MANTENIMIENTO DE LAS VIAS DE LA PARROQUIA YANGANA, TRAMO YANGANA-PUENTE MASANAMACA, LONGITUD 26,00 KM</v>
      </c>
      <c r="F375" s="536" t="s">
        <v>415</v>
      </c>
      <c r="G375" s="536" t="str">
        <f>VLOOKUP(H375,'[5]Pob. Ext, Parroquial'!$B$9:$C$117,2,0)</f>
        <v>LOJA</v>
      </c>
      <c r="H375" s="536" t="s">
        <v>428</v>
      </c>
      <c r="I375" s="536" t="s">
        <v>173</v>
      </c>
      <c r="J375" s="536" t="s">
        <v>174</v>
      </c>
      <c r="K375" s="537"/>
      <c r="L375" s="537"/>
      <c r="M375" s="538">
        <f>IF(K375&gt;0,VLOOKUP(H375,'[5]Pob. Ext, Parroquial'!$B$8:$F$117,4,FALSE),0)</f>
        <v>0</v>
      </c>
      <c r="N375" s="679" t="s">
        <v>419</v>
      </c>
      <c r="O375" s="540" t="s">
        <v>420</v>
      </c>
      <c r="P375" s="540">
        <v>0.3</v>
      </c>
      <c r="Q375" s="637">
        <f>3060+37140</f>
        <v>40200</v>
      </c>
      <c r="R375" s="540"/>
      <c r="S375" s="541">
        <v>41640</v>
      </c>
      <c r="T375" s="541">
        <v>41698</v>
      </c>
      <c r="U375" s="542" t="str">
        <f t="shared" si="70"/>
        <v>EJECUTADO</v>
      </c>
      <c r="V375" s="550">
        <f t="shared" si="71"/>
        <v>12060</v>
      </c>
      <c r="W375" s="543">
        <v>10050</v>
      </c>
      <c r="X375" s="543">
        <f t="shared" si="61"/>
        <v>3015</v>
      </c>
      <c r="Y375" s="544"/>
      <c r="Z375" s="544"/>
      <c r="AA375" s="1072"/>
      <c r="AB375" s="640"/>
      <c r="AC375" s="545" t="s">
        <v>417</v>
      </c>
      <c r="AD375" s="545" t="s">
        <v>178</v>
      </c>
      <c r="AE375" s="546" t="s">
        <v>187</v>
      </c>
      <c r="AF375" s="547">
        <v>2014</v>
      </c>
      <c r="AG375" s="657"/>
      <c r="AH375" s="639"/>
    </row>
    <row r="376" spans="1:34" s="94" customFormat="1" ht="50.1" hidden="1" customHeight="1">
      <c r="A376" s="1068"/>
      <c r="B376" s="1076"/>
      <c r="C376" s="635" t="s">
        <v>169</v>
      </c>
      <c r="D376" s="1093"/>
      <c r="E376" s="655" t="str">
        <f t="shared" si="72"/>
        <v>MANTENIMIENTO DE LAS VIAS DE LA PARROQUIA YANGANA, TRAMO YANGANA-PUENTE MASANAMACA, LONGITUD 26,00 KM</v>
      </c>
      <c r="F376" s="536" t="s">
        <v>415</v>
      </c>
      <c r="G376" s="536" t="str">
        <f>VLOOKUP(H376,'[5]Pob. Ext, Parroquial'!$B$9:$C$117,2,0)</f>
        <v>LOJA</v>
      </c>
      <c r="H376" s="536" t="s">
        <v>428</v>
      </c>
      <c r="I376" s="536" t="s">
        <v>173</v>
      </c>
      <c r="J376" s="536" t="s">
        <v>174</v>
      </c>
      <c r="K376" s="537"/>
      <c r="L376" s="537"/>
      <c r="M376" s="538">
        <f>IF(K376&gt;0,VLOOKUP(H376,'[5]Pob. Ext, Parroquial'!$B$8:$F$117,4,FALSE),0)</f>
        <v>0</v>
      </c>
      <c r="N376" s="679" t="s">
        <v>226</v>
      </c>
      <c r="O376" s="540" t="s">
        <v>418</v>
      </c>
      <c r="P376" s="540">
        <v>1.62</v>
      </c>
      <c r="Q376" s="637">
        <v>4752</v>
      </c>
      <c r="R376" s="540"/>
      <c r="S376" s="541">
        <v>41673</v>
      </c>
      <c r="T376" s="541">
        <v>41744</v>
      </c>
      <c r="U376" s="542" t="str">
        <f t="shared" si="70"/>
        <v>EJECUTADO</v>
      </c>
      <c r="V376" s="550">
        <f t="shared" si="71"/>
        <v>7698.24</v>
      </c>
      <c r="W376" s="543">
        <v>6272.64</v>
      </c>
      <c r="X376" s="543">
        <f t="shared" si="61"/>
        <v>2138.3999999999992</v>
      </c>
      <c r="Y376" s="544"/>
      <c r="Z376" s="544"/>
      <c r="AA376" s="1072"/>
      <c r="AB376" s="640"/>
      <c r="AC376" s="545" t="s">
        <v>417</v>
      </c>
      <c r="AD376" s="545" t="s">
        <v>178</v>
      </c>
      <c r="AE376" s="546" t="s">
        <v>187</v>
      </c>
      <c r="AF376" s="547">
        <v>2014</v>
      </c>
      <c r="AG376" s="657"/>
      <c r="AH376" s="639"/>
    </row>
    <row r="377" spans="1:34" s="94" customFormat="1" ht="84.6" hidden="1" customHeight="1">
      <c r="A377" s="1076"/>
      <c r="B377" s="1076"/>
      <c r="C377" s="635" t="s">
        <v>182</v>
      </c>
      <c r="D377" s="1091" t="s">
        <v>429</v>
      </c>
      <c r="E377" s="636" t="str">
        <f t="shared" si="67"/>
        <v>MEJORAMIENTO  DE LAS CALLES Y VIAS DE LOS BARRIOS PERIFERICOS DE LA CIUDAD DE LOJA, LONGITUD 180 KM CONVENIO NRO. 131-DPS-2013 APORTES GPL - GADMLOJA - VIALSUR.EP, Contrato original sie nro 582 $ 161 921.96  del 15 de agosto al 18 de enero del 2014, concluido 100 % y pagado.</v>
      </c>
      <c r="F377" s="536" t="s">
        <v>415</v>
      </c>
      <c r="G377" s="536" t="str">
        <f>VLOOKUP(H377,'[5]Pob. Ext, Parroquial'!$B$9:$C$117,2,0)</f>
        <v>LOJA</v>
      </c>
      <c r="H377" s="536" t="s">
        <v>430</v>
      </c>
      <c r="I377" s="536" t="s">
        <v>265</v>
      </c>
      <c r="J377" s="536" t="s">
        <v>174</v>
      </c>
      <c r="K377" s="537">
        <v>180</v>
      </c>
      <c r="L377" s="537"/>
      <c r="M377" s="538">
        <f>IF(K377&gt;0,VLOOKUP(H377,'[5]Pob. Ext, Parroquial'!$B$8:$F$117,4,FALSE),0)</f>
        <v>20662</v>
      </c>
      <c r="N377" s="539" t="s">
        <v>431</v>
      </c>
      <c r="O377" s="540" t="s">
        <v>418</v>
      </c>
      <c r="P377" s="540">
        <v>0.6</v>
      </c>
      <c r="Q377" s="540"/>
      <c r="R377" s="540"/>
      <c r="S377" s="541">
        <v>41640</v>
      </c>
      <c r="T377" s="541">
        <v>41670</v>
      </c>
      <c r="U377" s="542" t="str">
        <f t="shared" si="70"/>
        <v>EJECUTADO</v>
      </c>
      <c r="V377" s="550">
        <f t="shared" si="71"/>
        <v>0</v>
      </c>
      <c r="W377" s="543"/>
      <c r="X377" s="543">
        <f t="shared" si="61"/>
        <v>0</v>
      </c>
      <c r="Y377" s="680">
        <v>454123.94</v>
      </c>
      <c r="Z377" s="680">
        <v>45935.25</v>
      </c>
      <c r="AA377" s="1072">
        <f>SUM(V377:V381)</f>
        <v>241.06</v>
      </c>
      <c r="AB377" s="640"/>
      <c r="AC377" s="545" t="s">
        <v>417</v>
      </c>
      <c r="AD377" s="545" t="s">
        <v>178</v>
      </c>
      <c r="AE377" s="546" t="s">
        <v>179</v>
      </c>
      <c r="AF377" s="547">
        <v>2014</v>
      </c>
      <c r="AG377" s="657"/>
      <c r="AH377" s="639"/>
    </row>
    <row r="378" spans="1:34" s="94" customFormat="1" ht="88.9" hidden="1" customHeight="1">
      <c r="A378" s="1076"/>
      <c r="B378" s="1076"/>
      <c r="C378" s="635" t="s">
        <v>169</v>
      </c>
      <c r="D378" s="1092"/>
      <c r="E378" s="655" t="str">
        <f t="shared" ref="E378:E381" si="73">+E377</f>
        <v>MEJORAMIENTO  DE LAS CALLES Y VIAS DE LOS BARRIOS PERIFERICOS DE LA CIUDAD DE LOJA, LONGITUD 180 KM CONVENIO NRO. 131-DPS-2013 APORTES GPL - GADMLOJA - VIALSUR.EP, Contrato original sie nro 582 $ 161 921.96  del 15 de agosto al 18 de enero del 2014, concluido 100 % y pagado.</v>
      </c>
      <c r="F378" s="536" t="s">
        <v>415</v>
      </c>
      <c r="G378" s="536" t="str">
        <f>VLOOKUP(H378,'[5]Pob. Ext, Parroquial'!$B$9:$C$117,2,0)</f>
        <v>LOJA</v>
      </c>
      <c r="H378" s="536" t="s">
        <v>430</v>
      </c>
      <c r="I378" s="536" t="s">
        <v>265</v>
      </c>
      <c r="J378" s="536" t="s">
        <v>174</v>
      </c>
      <c r="K378" s="537"/>
      <c r="L378" s="537"/>
      <c r="M378" s="538">
        <f>IF(K378&gt;0,VLOOKUP(H378,'[5]Pob. Ext, Parroquial'!$B$8:$F$117,4,FALSE),0)</f>
        <v>0</v>
      </c>
      <c r="N378" s="539" t="s">
        <v>432</v>
      </c>
      <c r="O378" s="540" t="s">
        <v>418</v>
      </c>
      <c r="P378" s="540">
        <v>0.81</v>
      </c>
      <c r="Q378" s="681">
        <v>297.60000000000002</v>
      </c>
      <c r="R378" s="540"/>
      <c r="S378" s="541">
        <v>41640</v>
      </c>
      <c r="T378" s="541">
        <v>41698</v>
      </c>
      <c r="U378" s="542" t="str">
        <f t="shared" si="70"/>
        <v>EJECUTADO</v>
      </c>
      <c r="V378" s="550">
        <f t="shared" si="71"/>
        <v>241.06</v>
      </c>
      <c r="W378" s="543">
        <v>241.06</v>
      </c>
      <c r="X378" s="543">
        <f t="shared" si="61"/>
        <v>0</v>
      </c>
      <c r="Y378" s="680"/>
      <c r="Z378" s="680"/>
      <c r="AA378" s="1072"/>
      <c r="AB378" s="640"/>
      <c r="AC378" s="545" t="s">
        <v>417</v>
      </c>
      <c r="AD378" s="545" t="s">
        <v>178</v>
      </c>
      <c r="AE378" s="546" t="s">
        <v>187</v>
      </c>
      <c r="AF378" s="547">
        <v>2014</v>
      </c>
      <c r="AG378" s="657"/>
      <c r="AH378" s="639"/>
    </row>
    <row r="379" spans="1:34" s="94" customFormat="1" ht="50.1" hidden="1" customHeight="1">
      <c r="A379" s="1076"/>
      <c r="B379" s="1076"/>
      <c r="C379" s="635" t="s">
        <v>182</v>
      </c>
      <c r="D379" s="1092"/>
      <c r="E379" s="655" t="str">
        <f t="shared" si="73"/>
        <v>MEJORAMIENTO  DE LAS CALLES Y VIAS DE LOS BARRIOS PERIFERICOS DE LA CIUDAD DE LOJA, LONGITUD 180 KM CONVENIO NRO. 131-DPS-2013 APORTES GPL - GADMLOJA - VIALSUR.EP, Contrato original sie nro 582 $ 161 921.96  del 15 de agosto al 18 de enero del 2014, concluido 100 % y pagado.</v>
      </c>
      <c r="F379" s="536" t="s">
        <v>415</v>
      </c>
      <c r="G379" s="536" t="str">
        <f>VLOOKUP(H379,'[5]Pob. Ext, Parroquial'!$B$9:$C$117,2,0)</f>
        <v>LOJA</v>
      </c>
      <c r="H379" s="536" t="s">
        <v>430</v>
      </c>
      <c r="I379" s="536" t="s">
        <v>265</v>
      </c>
      <c r="J379" s="536" t="s">
        <v>174</v>
      </c>
      <c r="K379" s="537"/>
      <c r="L379" s="537"/>
      <c r="M379" s="538">
        <f>IF(K379&gt;0,VLOOKUP(H379,'[5]Pob. Ext, Parroquial'!$B$8:$F$117,4,FALSE),0)</f>
        <v>0</v>
      </c>
      <c r="N379" s="539" t="s">
        <v>433</v>
      </c>
      <c r="O379" s="540" t="s">
        <v>434</v>
      </c>
      <c r="P379" s="540">
        <v>45</v>
      </c>
      <c r="Q379" s="540"/>
      <c r="R379" s="540"/>
      <c r="S379" s="541">
        <v>41640</v>
      </c>
      <c r="T379" s="541">
        <v>41670</v>
      </c>
      <c r="U379" s="542" t="str">
        <f t="shared" si="70"/>
        <v>EJECUTADO</v>
      </c>
      <c r="V379" s="550">
        <f t="shared" si="71"/>
        <v>0</v>
      </c>
      <c r="W379" s="543"/>
      <c r="X379" s="543">
        <f t="shared" si="61"/>
        <v>0</v>
      </c>
      <c r="Y379" s="680"/>
      <c r="Z379" s="680"/>
      <c r="AA379" s="1072">
        <f>V379+Y379+Z379</f>
        <v>0</v>
      </c>
      <c r="AB379" s="640"/>
      <c r="AC379" s="545" t="s">
        <v>417</v>
      </c>
      <c r="AD379" s="545" t="s">
        <v>178</v>
      </c>
      <c r="AE379" s="546" t="s">
        <v>179</v>
      </c>
      <c r="AF379" s="547">
        <v>2014</v>
      </c>
      <c r="AG379" s="657"/>
      <c r="AH379" s="639"/>
    </row>
    <row r="380" spans="1:34" s="94" customFormat="1" ht="85.15" hidden="1" customHeight="1">
      <c r="A380" s="1076"/>
      <c r="B380" s="1076"/>
      <c r="C380" s="635" t="s">
        <v>182</v>
      </c>
      <c r="D380" s="1092"/>
      <c r="E380" s="655" t="str">
        <f t="shared" si="73"/>
        <v>MEJORAMIENTO  DE LAS CALLES Y VIAS DE LOS BARRIOS PERIFERICOS DE LA CIUDAD DE LOJA, LONGITUD 180 KM CONVENIO NRO. 131-DPS-2013 APORTES GPL - GADMLOJA - VIALSUR.EP, Contrato original sie nro 582 $ 161 921.96  del 15 de agosto al 18 de enero del 2014, concluido 100 % y pagado.</v>
      </c>
      <c r="F380" s="536" t="s">
        <v>415</v>
      </c>
      <c r="G380" s="536" t="str">
        <f>VLOOKUP(H380,'[5]Pob. Ext, Parroquial'!$B$9:$C$117,2,0)</f>
        <v>LOJA</v>
      </c>
      <c r="H380" s="536" t="s">
        <v>430</v>
      </c>
      <c r="I380" s="536" t="s">
        <v>265</v>
      </c>
      <c r="J380" s="536" t="s">
        <v>174</v>
      </c>
      <c r="K380" s="537"/>
      <c r="L380" s="537">
        <f>ROUNDUP(Q380/5.5/1000,2)</f>
        <v>0</v>
      </c>
      <c r="M380" s="538">
        <f>IF(K380&gt;0,VLOOKUP(H380,'[5]Pob. Ext, Parroquial'!$B$8:$F$117,4,FALSE),0)</f>
        <v>0</v>
      </c>
      <c r="N380" s="539" t="s">
        <v>183</v>
      </c>
      <c r="O380" s="540" t="s">
        <v>434</v>
      </c>
      <c r="P380" s="540">
        <v>50.6</v>
      </c>
      <c r="Q380" s="540"/>
      <c r="R380" s="540"/>
      <c r="S380" s="541">
        <v>41640</v>
      </c>
      <c r="T380" s="541">
        <v>41698</v>
      </c>
      <c r="U380" s="542" t="str">
        <f t="shared" si="70"/>
        <v>EJECUTADO</v>
      </c>
      <c r="V380" s="550">
        <f t="shared" si="71"/>
        <v>0</v>
      </c>
      <c r="W380" s="543"/>
      <c r="X380" s="543">
        <f t="shared" si="61"/>
        <v>0</v>
      </c>
      <c r="Y380" s="680"/>
      <c r="Z380" s="680"/>
      <c r="AA380" s="1072">
        <f>V380+Y380+Z380</f>
        <v>0</v>
      </c>
      <c r="AB380" s="640"/>
      <c r="AC380" s="545" t="s">
        <v>417</v>
      </c>
      <c r="AD380" s="545" t="s">
        <v>178</v>
      </c>
      <c r="AE380" s="546" t="s">
        <v>187</v>
      </c>
      <c r="AF380" s="547">
        <v>2014</v>
      </c>
      <c r="AG380" s="657"/>
      <c r="AH380" s="639"/>
    </row>
    <row r="381" spans="1:34" s="94" customFormat="1" ht="109.9" hidden="1" customHeight="1">
      <c r="A381" s="1076"/>
      <c r="B381" s="1076"/>
      <c r="C381" s="635" t="s">
        <v>196</v>
      </c>
      <c r="D381" s="1093"/>
      <c r="E381" s="655" t="str">
        <f t="shared" si="73"/>
        <v>MEJORAMIENTO  DE LAS CALLES Y VIAS DE LOS BARRIOS PERIFERICOS DE LA CIUDAD DE LOJA, LONGITUD 180 KM CONVENIO NRO. 131-DPS-2013 APORTES GPL - GADMLOJA - VIALSUR.EP, Contrato original sie nro 582 $ 161 921.96  del 15 de agosto al 18 de enero del 2014, concluido 100 % y pagado.</v>
      </c>
      <c r="F381" s="536" t="s">
        <v>415</v>
      </c>
      <c r="G381" s="536" t="str">
        <f>VLOOKUP(H381,'[5]Pob. Ext, Parroquial'!$B$9:$C$117,2,0)</f>
        <v>LOJA</v>
      </c>
      <c r="H381" s="536" t="s">
        <v>430</v>
      </c>
      <c r="I381" s="536" t="s">
        <v>265</v>
      </c>
      <c r="J381" s="536" t="s">
        <v>174</v>
      </c>
      <c r="K381" s="537"/>
      <c r="L381" s="537"/>
      <c r="M381" s="538">
        <f>IF(K381&gt;0,VLOOKUP(H381,'[5]Pob. Ext, Parroquial'!$B$8:$F$117,4,FALSE),0)</f>
        <v>0</v>
      </c>
      <c r="N381" s="539" t="s">
        <v>435</v>
      </c>
      <c r="O381" s="540" t="s">
        <v>436</v>
      </c>
      <c r="P381" s="540">
        <v>704.58</v>
      </c>
      <c r="Q381" s="540"/>
      <c r="R381" s="540"/>
      <c r="S381" s="541">
        <v>41640</v>
      </c>
      <c r="T381" s="541">
        <v>41670</v>
      </c>
      <c r="U381" s="542" t="str">
        <f t="shared" si="70"/>
        <v>EJECUTADO</v>
      </c>
      <c r="V381" s="550">
        <f t="shared" si="71"/>
        <v>0</v>
      </c>
      <c r="W381" s="543"/>
      <c r="X381" s="543">
        <f t="shared" si="61"/>
        <v>0</v>
      </c>
      <c r="Y381" s="680"/>
      <c r="Z381" s="680"/>
      <c r="AA381" s="1072">
        <f>V381+Y381+Z381</f>
        <v>0</v>
      </c>
      <c r="AB381" s="640"/>
      <c r="AC381" s="545" t="s">
        <v>417</v>
      </c>
      <c r="AD381" s="545" t="s">
        <v>178</v>
      </c>
      <c r="AE381" s="546" t="s">
        <v>179</v>
      </c>
      <c r="AF381" s="547">
        <v>2014</v>
      </c>
      <c r="AG381" s="657"/>
      <c r="AH381" s="639"/>
    </row>
    <row r="382" spans="1:34" s="94" customFormat="1" ht="101.25" hidden="1" customHeight="1">
      <c r="A382" s="641"/>
      <c r="B382" s="635"/>
      <c r="C382" s="635" t="s">
        <v>169</v>
      </c>
      <c r="D382" s="682" t="s">
        <v>437</v>
      </c>
      <c r="E382" s="636" t="str">
        <f t="shared" si="67"/>
        <v>MANTENTENIMIENTO DE CALLES Y VIAS DE LOS BARRIOS PERIFERICOS DE LA CIUDAD DE LOJA (CONTRATO CIA. JARAMILLO CONSTRUCTORA)</v>
      </c>
      <c r="F382" s="536" t="s">
        <v>415</v>
      </c>
      <c r="G382" s="536" t="str">
        <f>VLOOKUP(H382,'[5]Pob. Ext, Parroquial'!$B$9:$C$117,2,0)</f>
        <v>LOJA</v>
      </c>
      <c r="H382" s="536" t="s">
        <v>430</v>
      </c>
      <c r="I382" s="536" t="s">
        <v>270</v>
      </c>
      <c r="J382" s="536" t="s">
        <v>438</v>
      </c>
      <c r="K382" s="537"/>
      <c r="L382" s="537"/>
      <c r="M382" s="538">
        <f>IF(K382&gt;0,VLOOKUP(H382,'[5]Pob. Ext, Parroquial'!$B$8:$F$117,4,FALSE),0)</f>
        <v>0</v>
      </c>
      <c r="N382" s="539" t="s">
        <v>439</v>
      </c>
      <c r="O382" s="540" t="s">
        <v>440</v>
      </c>
      <c r="P382" s="540">
        <v>0.24</v>
      </c>
      <c r="Q382" s="681">
        <v>86140.05</v>
      </c>
      <c r="R382" s="540"/>
      <c r="S382" s="541">
        <v>41640</v>
      </c>
      <c r="T382" s="541">
        <v>41790</v>
      </c>
      <c r="U382" s="542" t="str">
        <f t="shared" si="70"/>
        <v>EJECUTADO</v>
      </c>
      <c r="V382" s="550">
        <f t="shared" si="71"/>
        <v>20673.61</v>
      </c>
      <c r="W382" s="543">
        <v>19764</v>
      </c>
      <c r="X382" s="543">
        <f t="shared" si="61"/>
        <v>1364.4150000000009</v>
      </c>
      <c r="Y382" s="544"/>
      <c r="Z382" s="544"/>
      <c r="AA382" s="643">
        <f>V382+Y382+Z382</f>
        <v>20673.61</v>
      </c>
      <c r="AB382" s="640"/>
      <c r="AC382" s="545" t="s">
        <v>417</v>
      </c>
      <c r="AD382" s="545" t="s">
        <v>178</v>
      </c>
      <c r="AE382" s="546" t="s">
        <v>179</v>
      </c>
      <c r="AF382" s="547">
        <v>2014</v>
      </c>
      <c r="AG382" s="657"/>
      <c r="AH382" s="639"/>
    </row>
    <row r="383" spans="1:34" s="94" customFormat="1" ht="108" hidden="1" customHeight="1">
      <c r="A383" s="683" t="s">
        <v>452</v>
      </c>
      <c r="B383" s="1083" t="str">
        <f>+U385</f>
        <v>EJECUTADO</v>
      </c>
      <c r="C383" s="635" t="s">
        <v>297</v>
      </c>
      <c r="D383" s="1091" t="s">
        <v>441</v>
      </c>
      <c r="E383" s="636" t="str">
        <f t="shared" si="67"/>
        <v>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</v>
      </c>
      <c r="F383" s="536" t="s">
        <v>415</v>
      </c>
      <c r="G383" s="536" t="str">
        <f>VLOOKUP(H383,'[5]Pob. Ext, Parroquial'!$B$9:$C$117,2,0)</f>
        <v>LOJA</v>
      </c>
      <c r="H383" s="536" t="s">
        <v>425</v>
      </c>
      <c r="I383" s="536" t="s">
        <v>270</v>
      </c>
      <c r="J383" s="536" t="s">
        <v>174</v>
      </c>
      <c r="K383" s="537">
        <v>4</v>
      </c>
      <c r="L383" s="537">
        <f>+ROUND(Q383/1.2/7200,2)</f>
        <v>6.25</v>
      </c>
      <c r="M383" s="538">
        <f>IF(K383&gt;0,VLOOKUP(H383,'[5]Pob. Ext, Parroquial'!$B$8:$F$117,4,FALSE),0)</f>
        <v>2611</v>
      </c>
      <c r="N383" s="684" t="s">
        <v>442</v>
      </c>
      <c r="O383" s="540" t="s">
        <v>443</v>
      </c>
      <c r="P383" s="540">
        <v>0.6</v>
      </c>
      <c r="Q383" s="681">
        <f>44000+10000</f>
        <v>54000</v>
      </c>
      <c r="R383" s="540"/>
      <c r="S383" s="541">
        <v>41640</v>
      </c>
      <c r="T383" s="541">
        <v>41759</v>
      </c>
      <c r="U383" s="542" t="str">
        <f t="shared" si="70"/>
        <v>EJECUTADO</v>
      </c>
      <c r="V383" s="550">
        <f t="shared" si="71"/>
        <v>32400</v>
      </c>
      <c r="W383" s="543">
        <v>32400</v>
      </c>
      <c r="X383" s="543">
        <f t="shared" si="61"/>
        <v>0</v>
      </c>
      <c r="Y383" s="544"/>
      <c r="Z383" s="544"/>
      <c r="AA383" s="1072">
        <f>SUM(V383:V388)</f>
        <v>280349.03999999998</v>
      </c>
      <c r="AB383" s="640"/>
      <c r="AC383" s="545" t="s">
        <v>417</v>
      </c>
      <c r="AD383" s="545" t="s">
        <v>178</v>
      </c>
      <c r="AE383" s="546" t="s">
        <v>187</v>
      </c>
      <c r="AF383" s="547">
        <v>2014</v>
      </c>
      <c r="AG383" s="657"/>
      <c r="AH383" s="639"/>
    </row>
    <row r="384" spans="1:34" s="94" customFormat="1" ht="108" hidden="1" customHeight="1">
      <c r="A384" s="685"/>
      <c r="B384" s="1084"/>
      <c r="C384" s="635" t="s">
        <v>191</v>
      </c>
      <c r="D384" s="1092"/>
      <c r="E384" s="655" t="str">
        <f t="shared" ref="E384:E388" si="74">+E383</f>
        <v>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</v>
      </c>
      <c r="F384" s="536" t="s">
        <v>415</v>
      </c>
      <c r="G384" s="536" t="str">
        <f>VLOOKUP(H384,'[5]Pob. Ext, Parroquial'!$B$9:$C$117,2,0)</f>
        <v>LOJA</v>
      </c>
      <c r="H384" s="536" t="s">
        <v>425</v>
      </c>
      <c r="I384" s="536" t="s">
        <v>270</v>
      </c>
      <c r="J384" s="536" t="s">
        <v>174</v>
      </c>
      <c r="K384" s="537"/>
      <c r="L384" s="537"/>
      <c r="M384" s="538">
        <f>IF(K384&gt;0,VLOOKUP(H384,'[5]Pob. Ext, Parroquial'!$B$8:$F$117,4,FALSE),0)</f>
        <v>0</v>
      </c>
      <c r="N384" s="684" t="s">
        <v>444</v>
      </c>
      <c r="O384" s="540" t="s">
        <v>176</v>
      </c>
      <c r="P384" s="540">
        <v>130.65</v>
      </c>
      <c r="Q384" s="637">
        <v>1127</v>
      </c>
      <c r="R384" s="540"/>
      <c r="S384" s="541">
        <v>41699</v>
      </c>
      <c r="T384" s="541">
        <v>41759</v>
      </c>
      <c r="U384" s="542" t="str">
        <f t="shared" si="70"/>
        <v>EJECUTADO</v>
      </c>
      <c r="V384" s="550">
        <f>ROUND(P384*Q384,2)</f>
        <v>147242.54999999999</v>
      </c>
      <c r="W384" s="543">
        <v>147242.54999999999</v>
      </c>
      <c r="X384" s="543">
        <f t="shared" si="61"/>
        <v>0</v>
      </c>
      <c r="Y384" s="544"/>
      <c r="Z384" s="544"/>
      <c r="AA384" s="1072"/>
      <c r="AB384" s="640"/>
      <c r="AC384" s="545" t="s">
        <v>417</v>
      </c>
      <c r="AD384" s="545" t="s">
        <v>178</v>
      </c>
      <c r="AE384" s="546" t="s">
        <v>187</v>
      </c>
      <c r="AF384" s="547">
        <v>2014</v>
      </c>
      <c r="AG384" s="657"/>
      <c r="AH384" s="639"/>
    </row>
    <row r="385" spans="1:34" s="94" customFormat="1" ht="108" hidden="1" customHeight="1">
      <c r="A385" s="685"/>
      <c r="B385" s="1084"/>
      <c r="C385" s="635" t="s">
        <v>196</v>
      </c>
      <c r="D385" s="1092"/>
      <c r="E385" s="655" t="str">
        <f t="shared" si="74"/>
        <v>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</v>
      </c>
      <c r="F385" s="536" t="s">
        <v>415</v>
      </c>
      <c r="G385" s="536" t="s">
        <v>430</v>
      </c>
      <c r="H385" s="536" t="s">
        <v>425</v>
      </c>
      <c r="I385" s="536" t="s">
        <v>270</v>
      </c>
      <c r="J385" s="536" t="s">
        <v>174</v>
      </c>
      <c r="K385" s="537"/>
      <c r="L385" s="537">
        <f>+ROUND(Q385/4/1000,2)</f>
        <v>2.94</v>
      </c>
      <c r="M385" s="538">
        <v>0</v>
      </c>
      <c r="N385" s="684" t="s">
        <v>445</v>
      </c>
      <c r="O385" s="540" t="s">
        <v>446</v>
      </c>
      <c r="P385" s="540">
        <v>0.49</v>
      </c>
      <c r="Q385" s="681">
        <v>11751</v>
      </c>
      <c r="R385" s="686"/>
      <c r="S385" s="541">
        <v>41791</v>
      </c>
      <c r="T385" s="541">
        <v>41851</v>
      </c>
      <c r="U385" s="542" t="str">
        <f t="shared" si="70"/>
        <v>EJECUTADO</v>
      </c>
      <c r="V385" s="550">
        <f>ROUND(P385*Q385,2)</f>
        <v>5757.99</v>
      </c>
      <c r="W385" s="543"/>
      <c r="X385" s="543">
        <f t="shared" si="61"/>
        <v>8636.9850000000006</v>
      </c>
      <c r="Y385" s="544"/>
      <c r="Z385" s="544"/>
      <c r="AA385" s="1072"/>
      <c r="AB385" s="640"/>
      <c r="AC385" s="545" t="s">
        <v>417</v>
      </c>
      <c r="AD385" s="545" t="s">
        <v>178</v>
      </c>
      <c r="AE385" s="546" t="s">
        <v>187</v>
      </c>
      <c r="AF385" s="547">
        <v>2014</v>
      </c>
      <c r="AG385" s="657"/>
      <c r="AH385" s="639"/>
    </row>
    <row r="386" spans="1:34" s="94" customFormat="1" ht="108" hidden="1" customHeight="1">
      <c r="A386" s="685"/>
      <c r="B386" s="1084"/>
      <c r="C386" s="635" t="s">
        <v>196</v>
      </c>
      <c r="D386" s="1092"/>
      <c r="E386" s="655" t="str">
        <f t="shared" si="74"/>
        <v>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</v>
      </c>
      <c r="F386" s="536" t="s">
        <v>415</v>
      </c>
      <c r="G386" s="536" t="s">
        <v>430</v>
      </c>
      <c r="H386" s="536" t="s">
        <v>425</v>
      </c>
      <c r="I386" s="536" t="s">
        <v>270</v>
      </c>
      <c r="J386" s="536" t="s">
        <v>174</v>
      </c>
      <c r="K386" s="537"/>
      <c r="L386" s="537"/>
      <c r="M386" s="538">
        <v>0</v>
      </c>
      <c r="N386" s="684" t="s">
        <v>447</v>
      </c>
      <c r="O386" s="540" t="s">
        <v>436</v>
      </c>
      <c r="P386" s="540">
        <v>8.33</v>
      </c>
      <c r="Q386" s="681">
        <v>450</v>
      </c>
      <c r="R386" s="686"/>
      <c r="S386" s="541">
        <v>41791</v>
      </c>
      <c r="T386" s="541">
        <v>41851</v>
      </c>
      <c r="U386" s="542" t="str">
        <f t="shared" si="70"/>
        <v>EJECUTADO</v>
      </c>
      <c r="V386" s="550">
        <f>ROUND(P386*Q386,2)</f>
        <v>3748.5</v>
      </c>
      <c r="W386" s="543"/>
      <c r="X386" s="543">
        <f t="shared" si="61"/>
        <v>5622.75</v>
      </c>
      <c r="Y386" s="544"/>
      <c r="Z386" s="544"/>
      <c r="AA386" s="1072"/>
      <c r="AB386" s="640"/>
      <c r="AC386" s="545" t="s">
        <v>417</v>
      </c>
      <c r="AD386" s="545" t="s">
        <v>178</v>
      </c>
      <c r="AE386" s="546" t="s">
        <v>187</v>
      </c>
      <c r="AF386" s="547">
        <v>2014</v>
      </c>
      <c r="AG386" s="657"/>
      <c r="AH386" s="639"/>
    </row>
    <row r="387" spans="1:34" s="94" customFormat="1" ht="108" hidden="1" customHeight="1">
      <c r="A387" s="685"/>
      <c r="B387" s="1084"/>
      <c r="C387" s="635" t="s">
        <v>196</v>
      </c>
      <c r="D387" s="1092"/>
      <c r="E387" s="655" t="str">
        <f t="shared" si="74"/>
        <v>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</v>
      </c>
      <c r="F387" s="536" t="s">
        <v>415</v>
      </c>
      <c r="G387" s="536" t="s">
        <v>430</v>
      </c>
      <c r="H387" s="536" t="s">
        <v>425</v>
      </c>
      <c r="I387" s="536" t="s">
        <v>270</v>
      </c>
      <c r="J387" s="536" t="s">
        <v>174</v>
      </c>
      <c r="K387" s="537"/>
      <c r="L387" s="537"/>
      <c r="M387" s="538">
        <v>0</v>
      </c>
      <c r="N387" s="684" t="s">
        <v>448</v>
      </c>
      <c r="O387" s="540" t="s">
        <v>436</v>
      </c>
      <c r="P387" s="540">
        <v>10</v>
      </c>
      <c r="Q387" s="681">
        <v>471</v>
      </c>
      <c r="R387" s="686"/>
      <c r="S387" s="541">
        <v>41791</v>
      </c>
      <c r="T387" s="541">
        <v>41851</v>
      </c>
      <c r="U387" s="542" t="str">
        <f t="shared" si="70"/>
        <v>EJECUTADO</v>
      </c>
      <c r="V387" s="550">
        <f>ROUND(P387*Q387,2)</f>
        <v>4710</v>
      </c>
      <c r="W387" s="543"/>
      <c r="X387" s="543">
        <f t="shared" si="61"/>
        <v>7065</v>
      </c>
      <c r="Y387" s="544"/>
      <c r="Z387" s="544"/>
      <c r="AA387" s="1072"/>
      <c r="AB387" s="640"/>
      <c r="AC387" s="545" t="s">
        <v>417</v>
      </c>
      <c r="AD387" s="545" t="s">
        <v>178</v>
      </c>
      <c r="AE387" s="546" t="s">
        <v>187</v>
      </c>
      <c r="AF387" s="547">
        <v>2014</v>
      </c>
      <c r="AG387" s="657"/>
      <c r="AH387" s="639"/>
    </row>
    <row r="388" spans="1:34" s="94" customFormat="1" ht="108" hidden="1" customHeight="1">
      <c r="A388" s="687"/>
      <c r="B388" s="1085"/>
      <c r="C388" s="635" t="s">
        <v>297</v>
      </c>
      <c r="D388" s="1093"/>
      <c r="E388" s="655" t="str">
        <f t="shared" si="74"/>
        <v>ASFALTADO DE LA VIA MALACATOS-YEE DE CEIBOPAMBA-TANQUE DE COLA (CONTRATO PRODICASAS), LONGITUD 4,00 KM. En ejecución, valores aproximados del presente año, falta planilla formal enero 2014, planillado hasta noviembre del 2013 $ 593 896 .76. Mas orden de trabajo Nro. 01 Planillado $ 51300</v>
      </c>
      <c r="F388" s="536" t="s">
        <v>415</v>
      </c>
      <c r="G388" s="536" t="str">
        <f>VLOOKUP(H388,'[5]Pob. Ext, Parroquial'!$B$9:$C$117,2,0)</f>
        <v>LOJA</v>
      </c>
      <c r="H388" s="536" t="s">
        <v>425</v>
      </c>
      <c r="I388" s="536" t="s">
        <v>270</v>
      </c>
      <c r="J388" s="536" t="s">
        <v>174</v>
      </c>
      <c r="K388" s="537"/>
      <c r="L388" s="537">
        <f>ROUND(Q388/7200,2)</f>
        <v>4.3099999999999996</v>
      </c>
      <c r="M388" s="538">
        <f>IF(K388&gt;0,VLOOKUP(H388,'[5]Pob. Ext, Parroquial'!$B$8:$F$117,4,FALSE),0)</f>
        <v>0</v>
      </c>
      <c r="N388" s="684" t="s">
        <v>311</v>
      </c>
      <c r="O388" s="540" t="s">
        <v>224</v>
      </c>
      <c r="P388" s="540">
        <v>2.79</v>
      </c>
      <c r="Q388" s="681">
        <f>15000+10000+6000</f>
        <v>31000</v>
      </c>
      <c r="R388" s="540"/>
      <c r="S388" s="541">
        <v>41640</v>
      </c>
      <c r="T388" s="541">
        <v>41759</v>
      </c>
      <c r="U388" s="542" t="str">
        <f t="shared" si="70"/>
        <v>EJECUTADO</v>
      </c>
      <c r="V388" s="550">
        <f t="shared" si="71"/>
        <v>86490</v>
      </c>
      <c r="W388" s="543">
        <v>86490</v>
      </c>
      <c r="X388" s="543">
        <f t="shared" si="61"/>
        <v>0</v>
      </c>
      <c r="Y388" s="544"/>
      <c r="Z388" s="544"/>
      <c r="AA388" s="1072"/>
      <c r="AB388" s="640"/>
      <c r="AC388" s="545" t="s">
        <v>417</v>
      </c>
      <c r="AD388" s="545" t="s">
        <v>178</v>
      </c>
      <c r="AE388" s="546" t="s">
        <v>187</v>
      </c>
      <c r="AF388" s="547">
        <v>2014</v>
      </c>
      <c r="AG388" s="657"/>
      <c r="AH388" s="639"/>
    </row>
    <row r="389" spans="1:34" s="94" customFormat="1" ht="132.75" hidden="1" customHeight="1">
      <c r="A389" s="641"/>
      <c r="B389" s="635"/>
      <c r="C389" s="635" t="s">
        <v>182</v>
      </c>
      <c r="D389" s="682" t="s">
        <v>449</v>
      </c>
      <c r="E389" s="636" t="str">
        <f t="shared" si="67"/>
        <v>MANTENIMIEMTO RUTINARIO VAL EN LOS CANTONES LOJA Y SARAGURO (CONTRATO SIE N° 822 SUSCRITO CON EL ING. MANUEL PICOITA), LONGITUD 200 KM; Resanteo de vía con motoniveladora en las vías de las parroquias Celén, Selva Alegre, Lluzhapa, Yuluc y Sumaipamba, cantón Saraguro</v>
      </c>
      <c r="F389" s="536" t="s">
        <v>415</v>
      </c>
      <c r="G389" s="536" t="str">
        <f>VLOOKUP(H389,'[5]Pob. Ext, Parroquial'!$B$9:$C$117,2,0)</f>
        <v>SARAGURO</v>
      </c>
      <c r="H389" s="539" t="s">
        <v>450</v>
      </c>
      <c r="I389" s="536" t="s">
        <v>270</v>
      </c>
      <c r="J389" s="536" t="s">
        <v>451</v>
      </c>
      <c r="K389" s="537">
        <v>100</v>
      </c>
      <c r="L389" s="537">
        <f>ROUNDUP(Q389/5.5/1000,2)</f>
        <v>49.98</v>
      </c>
      <c r="M389" s="538">
        <f>IF(K389&gt;0,VLOOKUP(H389,'[5]Pob. Ext, Parroquial'!$B$8:$F$117,4,FALSE),0)</f>
        <v>1258</v>
      </c>
      <c r="N389" s="539" t="s">
        <v>185</v>
      </c>
      <c r="O389" s="540" t="s">
        <v>224</v>
      </c>
      <c r="P389" s="540">
        <v>0.08</v>
      </c>
      <c r="Q389" s="688">
        <v>274850</v>
      </c>
      <c r="R389" s="540"/>
      <c r="S389" s="541">
        <v>41640</v>
      </c>
      <c r="T389" s="541">
        <v>41729</v>
      </c>
      <c r="U389" s="542" t="str">
        <f t="shared" si="70"/>
        <v>EJECUTADO</v>
      </c>
      <c r="V389" s="550">
        <f t="shared" si="71"/>
        <v>21988</v>
      </c>
      <c r="W389" s="543">
        <v>18715.580000000002</v>
      </c>
      <c r="X389" s="543">
        <f t="shared" si="61"/>
        <v>4908.6299999999974</v>
      </c>
      <c r="Y389" s="544"/>
      <c r="Z389" s="544"/>
      <c r="AA389" s="643">
        <f>V389+Y389+Z389</f>
        <v>21988</v>
      </c>
      <c r="AB389" s="640"/>
      <c r="AC389" s="545" t="s">
        <v>417</v>
      </c>
      <c r="AD389" s="545" t="s">
        <v>178</v>
      </c>
      <c r="AE389" s="546" t="s">
        <v>179</v>
      </c>
      <c r="AF389" s="547">
        <v>2014</v>
      </c>
      <c r="AG389" s="639"/>
      <c r="AH389" s="639"/>
    </row>
    <row r="390" spans="1:34" s="94" customFormat="1" ht="119.45" hidden="1" customHeight="1">
      <c r="A390" s="683" t="s">
        <v>493</v>
      </c>
      <c r="B390" s="645" t="str">
        <f>+U391</f>
        <v>EJECUTADO</v>
      </c>
      <c r="C390" s="635" t="s">
        <v>191</v>
      </c>
      <c r="D390" s="689" t="s">
        <v>453</v>
      </c>
      <c r="E390" s="636" t="str">
        <f t="shared" si="67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390" s="536" t="s">
        <v>415</v>
      </c>
      <c r="G390" s="536" t="str">
        <f>VLOOKUP(H390,'[5]Pob. Ext, Parroquial'!$B$9:$C$117,2,0)</f>
        <v>LOJA</v>
      </c>
      <c r="H390" s="690" t="s">
        <v>601</v>
      </c>
      <c r="I390" s="536" t="s">
        <v>270</v>
      </c>
      <c r="J390" s="536" t="s">
        <v>454</v>
      </c>
      <c r="K390" s="537"/>
      <c r="L390" s="537"/>
      <c r="M390" s="538">
        <f>IF(K390&gt;0,VLOOKUP(H390,'[5]Pob. Ext, Parroquial'!$B$8:$F$117,4,FALSE),0)</f>
        <v>0</v>
      </c>
      <c r="N390" s="539" t="s">
        <v>195</v>
      </c>
      <c r="O390" s="540" t="s">
        <v>176</v>
      </c>
      <c r="P390" s="540">
        <v>135.74</v>
      </c>
      <c r="Q390" s="681">
        <v>2094.2800000000002</v>
      </c>
      <c r="R390" s="540"/>
      <c r="S390" s="541">
        <v>41699</v>
      </c>
      <c r="T390" s="541">
        <v>41851</v>
      </c>
      <c r="U390" s="542" t="str">
        <f t="shared" si="70"/>
        <v>EJECUTADO</v>
      </c>
      <c r="V390" s="550">
        <f t="shared" si="71"/>
        <v>284277.57</v>
      </c>
      <c r="W390" s="543">
        <v>88583.92</v>
      </c>
      <c r="X390" s="543">
        <f t="shared" si="61"/>
        <v>293540.47500000003</v>
      </c>
      <c r="Y390" s="544"/>
      <c r="Z390" s="544"/>
      <c r="AA390" s="660">
        <f>SUBTOTAL(9,V390:V411)</f>
        <v>0</v>
      </c>
      <c r="AB390" s="640"/>
      <c r="AC390" s="545" t="s">
        <v>455</v>
      </c>
      <c r="AD390" s="545" t="s">
        <v>178</v>
      </c>
      <c r="AE390" s="546" t="s">
        <v>179</v>
      </c>
      <c r="AF390" s="547">
        <v>2014</v>
      </c>
      <c r="AG390" s="639"/>
      <c r="AH390" s="639"/>
    </row>
    <row r="391" spans="1:34" s="94" customFormat="1" ht="119.45" hidden="1" customHeight="1">
      <c r="A391" s="685"/>
      <c r="B391" s="648"/>
      <c r="C391" s="635" t="s">
        <v>191</v>
      </c>
      <c r="D391" s="691"/>
      <c r="E391" s="655" t="str">
        <f t="shared" ref="E391:E411" si="75">+E390</f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391" s="536" t="s">
        <v>415</v>
      </c>
      <c r="G391" s="536" t="str">
        <f>VLOOKUP(H391,'[5]Pob. Ext, Parroquial'!$B$9:$C$117,2,0)</f>
        <v>LOJA</v>
      </c>
      <c r="H391" s="690" t="s">
        <v>601</v>
      </c>
      <c r="I391" s="536" t="s">
        <v>270</v>
      </c>
      <c r="J391" s="536" t="s">
        <v>454</v>
      </c>
      <c r="K391" s="537"/>
      <c r="L391" s="537"/>
      <c r="M391" s="538">
        <f>IF(K391&gt;0,VLOOKUP(H391,'[5]Pob. Ext, Parroquial'!$B$8:$F$117,4,FALSE),0)</f>
        <v>0</v>
      </c>
      <c r="N391" s="539" t="s">
        <v>456</v>
      </c>
      <c r="O391" s="540" t="s">
        <v>176</v>
      </c>
      <c r="P391" s="540">
        <v>174.39</v>
      </c>
      <c r="Q391" s="681">
        <v>1916.28</v>
      </c>
      <c r="R391" s="540"/>
      <c r="S391" s="541">
        <v>41699</v>
      </c>
      <c r="T391" s="541">
        <v>41851</v>
      </c>
      <c r="U391" s="542" t="str">
        <f t="shared" si="70"/>
        <v>EJECUTADO</v>
      </c>
      <c r="V391" s="550">
        <f t="shared" si="71"/>
        <v>334180.07</v>
      </c>
      <c r="W391" s="543">
        <v>252849.8</v>
      </c>
      <c r="X391" s="543">
        <f t="shared" si="61"/>
        <v>121995.40500000003</v>
      </c>
      <c r="Y391" s="544"/>
      <c r="Z391" s="544"/>
      <c r="AA391" s="662"/>
      <c r="AB391" s="640"/>
      <c r="AC391" s="545" t="s">
        <v>455</v>
      </c>
      <c r="AD391" s="545" t="s">
        <v>178</v>
      </c>
      <c r="AE391" s="546" t="s">
        <v>179</v>
      </c>
      <c r="AF391" s="547">
        <v>2014</v>
      </c>
      <c r="AG391" s="639"/>
      <c r="AH391" s="639"/>
    </row>
    <row r="392" spans="1:34" s="94" customFormat="1" ht="119.45" hidden="1" customHeight="1">
      <c r="A392" s="685"/>
      <c r="B392" s="648"/>
      <c r="C392" s="635" t="s">
        <v>169</v>
      </c>
      <c r="D392" s="691"/>
      <c r="E392" s="655" t="str">
        <f t="shared" si="7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392" s="536" t="s">
        <v>415</v>
      </c>
      <c r="G392" s="536" t="str">
        <f>VLOOKUP(H392,'[5]Pob. Ext, Parroquial'!$B$9:$C$117,2,0)</f>
        <v>LOJA</v>
      </c>
      <c r="H392" s="690" t="s">
        <v>601</v>
      </c>
      <c r="I392" s="536" t="s">
        <v>270</v>
      </c>
      <c r="J392" s="536" t="s">
        <v>454</v>
      </c>
      <c r="K392" s="537"/>
      <c r="L392" s="537"/>
      <c r="M392" s="538">
        <f>IF(K392&gt;0,VLOOKUP(H392,'[5]Pob. Ext, Parroquial'!$B$8:$F$117,4,FALSE),0)</f>
        <v>0</v>
      </c>
      <c r="N392" s="539" t="s">
        <v>457</v>
      </c>
      <c r="O392" s="540" t="s">
        <v>176</v>
      </c>
      <c r="P392" s="540">
        <v>9.5</v>
      </c>
      <c r="Q392" s="681">
        <v>7489.95</v>
      </c>
      <c r="R392" s="540"/>
      <c r="S392" s="541">
        <v>41699</v>
      </c>
      <c r="T392" s="541">
        <v>41851</v>
      </c>
      <c r="U392" s="542" t="str">
        <f t="shared" si="70"/>
        <v>EJECUTADO</v>
      </c>
      <c r="V392" s="550">
        <f t="shared" si="71"/>
        <v>71154.53</v>
      </c>
      <c r="W392" s="543">
        <v>47158</v>
      </c>
      <c r="X392" s="543">
        <f t="shared" si="61"/>
        <v>35994.794999999998</v>
      </c>
      <c r="Y392" s="544"/>
      <c r="Z392" s="544"/>
      <c r="AA392" s="662"/>
      <c r="AB392" s="640"/>
      <c r="AC392" s="545" t="s">
        <v>455</v>
      </c>
      <c r="AD392" s="545" t="s">
        <v>178</v>
      </c>
      <c r="AE392" s="546" t="s">
        <v>179</v>
      </c>
      <c r="AF392" s="547">
        <v>2014</v>
      </c>
      <c r="AG392" s="639"/>
      <c r="AH392" s="639"/>
    </row>
    <row r="393" spans="1:34" s="94" customFormat="1" ht="119.45" hidden="1" customHeight="1">
      <c r="A393" s="685"/>
      <c r="B393" s="648"/>
      <c r="C393" s="635" t="s">
        <v>169</v>
      </c>
      <c r="D393" s="691"/>
      <c r="E393" s="655" t="str">
        <f t="shared" si="7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393" s="536" t="s">
        <v>415</v>
      </c>
      <c r="G393" s="536" t="str">
        <f>VLOOKUP(H393,'[5]Pob. Ext, Parroquial'!$B$9:$C$117,2,0)</f>
        <v>LOJA</v>
      </c>
      <c r="H393" s="690" t="s">
        <v>601</v>
      </c>
      <c r="I393" s="536" t="s">
        <v>270</v>
      </c>
      <c r="J393" s="536" t="s">
        <v>454</v>
      </c>
      <c r="K393" s="537"/>
      <c r="L393" s="537"/>
      <c r="M393" s="538">
        <f>IF(K393&gt;0,VLOOKUP(H393,'[5]Pob. Ext, Parroquial'!$B$8:$F$117,4,FALSE),0)</f>
        <v>0</v>
      </c>
      <c r="N393" s="667" t="s">
        <v>458</v>
      </c>
      <c r="O393" s="540" t="s">
        <v>176</v>
      </c>
      <c r="P393" s="540">
        <v>9.5</v>
      </c>
      <c r="Q393" s="688">
        <v>220.3</v>
      </c>
      <c r="R393" s="540"/>
      <c r="S393" s="541">
        <v>41699</v>
      </c>
      <c r="T393" s="541">
        <v>41851</v>
      </c>
      <c r="U393" s="542" t="str">
        <f t="shared" si="70"/>
        <v>EJECUTADO</v>
      </c>
      <c r="V393" s="550">
        <f t="shared" si="71"/>
        <v>2092.85</v>
      </c>
      <c r="W393" s="543">
        <v>1900</v>
      </c>
      <c r="X393" s="543">
        <f t="shared" si="61"/>
        <v>289.27499999999986</v>
      </c>
      <c r="Y393" s="544"/>
      <c r="Z393" s="544"/>
      <c r="AA393" s="662"/>
      <c r="AB393" s="640"/>
      <c r="AC393" s="545" t="s">
        <v>455</v>
      </c>
      <c r="AD393" s="545" t="s">
        <v>178</v>
      </c>
      <c r="AE393" s="546" t="s">
        <v>179</v>
      </c>
      <c r="AF393" s="547">
        <v>2014</v>
      </c>
      <c r="AG393" s="639"/>
      <c r="AH393" s="639"/>
    </row>
    <row r="394" spans="1:34" s="94" customFormat="1" ht="119.45" hidden="1" customHeight="1">
      <c r="A394" s="685"/>
      <c r="B394" s="648"/>
      <c r="C394" s="635" t="s">
        <v>169</v>
      </c>
      <c r="D394" s="691"/>
      <c r="E394" s="655" t="str">
        <f>+E393</f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394" s="536" t="s">
        <v>415</v>
      </c>
      <c r="G394" s="536" t="str">
        <f>VLOOKUP(H394,'[5]Pob. Ext, Parroquial'!$B$9:$C$117,2,0)</f>
        <v>LOJA</v>
      </c>
      <c r="H394" s="690" t="s">
        <v>601</v>
      </c>
      <c r="I394" s="536" t="s">
        <v>270</v>
      </c>
      <c r="J394" s="536" t="s">
        <v>454</v>
      </c>
      <c r="K394" s="537"/>
      <c r="L394" s="537"/>
      <c r="M394" s="538">
        <f>IF(K394&gt;0,VLOOKUP(H394,'[5]Pob. Ext, Parroquial'!$B$8:$F$117,4,FALSE),0)</f>
        <v>0</v>
      </c>
      <c r="N394" s="667" t="s">
        <v>459</v>
      </c>
      <c r="O394" s="540" t="s">
        <v>176</v>
      </c>
      <c r="P394" s="540">
        <v>6.44</v>
      </c>
      <c r="Q394" s="681">
        <v>1579.04</v>
      </c>
      <c r="R394" s="540"/>
      <c r="S394" s="541">
        <v>41730</v>
      </c>
      <c r="T394" s="541">
        <v>41790</v>
      </c>
      <c r="U394" s="542" t="str">
        <f t="shared" si="70"/>
        <v>EJECUTADO</v>
      </c>
      <c r="V394" s="550">
        <f t="shared" si="71"/>
        <v>10169.02</v>
      </c>
      <c r="W394" s="543">
        <v>4474.25</v>
      </c>
      <c r="X394" s="543">
        <f t="shared" si="61"/>
        <v>8542.1550000000007</v>
      </c>
      <c r="Y394" s="544"/>
      <c r="Z394" s="544"/>
      <c r="AA394" s="662"/>
      <c r="AB394" s="640"/>
      <c r="AC394" s="545" t="s">
        <v>455</v>
      </c>
      <c r="AD394" s="545" t="s">
        <v>178</v>
      </c>
      <c r="AE394" s="546" t="s">
        <v>179</v>
      </c>
      <c r="AF394" s="547">
        <v>2014</v>
      </c>
      <c r="AG394" s="639"/>
      <c r="AH394" s="639"/>
    </row>
    <row r="395" spans="1:34" s="94" customFormat="1" ht="119.45" hidden="1" customHeight="1">
      <c r="A395" s="685"/>
      <c r="B395" s="648"/>
      <c r="C395" s="635" t="s">
        <v>169</v>
      </c>
      <c r="D395" s="691"/>
      <c r="E395" s="655" t="str">
        <f>+E394</f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395" s="536" t="s">
        <v>415</v>
      </c>
      <c r="G395" s="536" t="str">
        <f>VLOOKUP(H395,'[5]Pob. Ext, Parroquial'!$B$9:$C$117,2,0)</f>
        <v>LOJA</v>
      </c>
      <c r="H395" s="690" t="s">
        <v>601</v>
      </c>
      <c r="I395" s="536" t="s">
        <v>270</v>
      </c>
      <c r="J395" s="536" t="s">
        <v>454</v>
      </c>
      <c r="K395" s="537"/>
      <c r="L395" s="537"/>
      <c r="M395" s="538">
        <f>IF(K395&gt;0,VLOOKUP(H395,'[5]Pob. Ext, Parroquial'!$B$8:$F$117,4,FALSE),0)</f>
        <v>0</v>
      </c>
      <c r="N395" s="692" t="s">
        <v>460</v>
      </c>
      <c r="O395" s="540" t="s">
        <v>461</v>
      </c>
      <c r="P395" s="540">
        <v>0.3</v>
      </c>
      <c r="Q395" s="681">
        <v>40912.31</v>
      </c>
      <c r="R395" s="540"/>
      <c r="S395" s="541">
        <v>41821</v>
      </c>
      <c r="T395" s="541">
        <v>41851</v>
      </c>
      <c r="U395" s="542" t="str">
        <f t="shared" si="70"/>
        <v>EJECUTADO</v>
      </c>
      <c r="V395" s="550">
        <f t="shared" si="71"/>
        <v>12273.69</v>
      </c>
      <c r="W395" s="543">
        <v>10545.77</v>
      </c>
      <c r="X395" s="543">
        <f t="shared" si="61"/>
        <v>2591.88</v>
      </c>
      <c r="Y395" s="544"/>
      <c r="Z395" s="544"/>
      <c r="AA395" s="662"/>
      <c r="AB395" s="640"/>
      <c r="AC395" s="545" t="s">
        <v>455</v>
      </c>
      <c r="AD395" s="545" t="s">
        <v>178</v>
      </c>
      <c r="AE395" s="546" t="s">
        <v>179</v>
      </c>
      <c r="AF395" s="547">
        <v>2014</v>
      </c>
      <c r="AG395" s="639"/>
      <c r="AH395" s="639"/>
    </row>
    <row r="396" spans="1:34" s="94" customFormat="1" ht="119.45" hidden="1" customHeight="1">
      <c r="A396" s="685"/>
      <c r="B396" s="648"/>
      <c r="C396" s="635" t="s">
        <v>169</v>
      </c>
      <c r="D396" s="691"/>
      <c r="E396" s="655" t="str">
        <f>+E395</f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396" s="536" t="s">
        <v>415</v>
      </c>
      <c r="G396" s="536" t="str">
        <f>VLOOKUP(H396,'[5]Pob. Ext, Parroquial'!$B$9:$C$117,2,0)</f>
        <v>LOJA</v>
      </c>
      <c r="H396" s="690" t="s">
        <v>601</v>
      </c>
      <c r="I396" s="536" t="s">
        <v>270</v>
      </c>
      <c r="J396" s="536" t="s">
        <v>454</v>
      </c>
      <c r="K396" s="537"/>
      <c r="L396" s="537"/>
      <c r="M396" s="538">
        <f>IF(K396&gt;0,VLOOKUP(H396,'[5]Pob. Ext, Parroquial'!$B$8:$F$117,4,FALSE),0)</f>
        <v>0</v>
      </c>
      <c r="N396" s="692" t="s">
        <v>1052</v>
      </c>
      <c r="O396" s="540" t="s">
        <v>466</v>
      </c>
      <c r="P396" s="540">
        <v>913.74</v>
      </c>
      <c r="Q396" s="681">
        <v>2</v>
      </c>
      <c r="R396" s="540"/>
      <c r="S396" s="541">
        <v>41883</v>
      </c>
      <c r="T396" s="541">
        <v>41912</v>
      </c>
      <c r="U396" s="542" t="str">
        <f t="shared" si="70"/>
        <v>EJECUTADO</v>
      </c>
      <c r="V396" s="550">
        <f t="shared" si="71"/>
        <v>1827.48</v>
      </c>
      <c r="W396" s="543">
        <v>10545.77</v>
      </c>
      <c r="X396" s="543">
        <f t="shared" si="61"/>
        <v>-13077.435000000001</v>
      </c>
      <c r="Y396" s="544"/>
      <c r="Z396" s="544"/>
      <c r="AA396" s="662"/>
      <c r="AB396" s="640"/>
      <c r="AC396" s="545" t="s">
        <v>455</v>
      </c>
      <c r="AD396" s="545" t="s">
        <v>178</v>
      </c>
      <c r="AE396" s="546" t="s">
        <v>179</v>
      </c>
      <c r="AF396" s="547">
        <v>2014</v>
      </c>
      <c r="AG396" s="639"/>
      <c r="AH396" s="639"/>
    </row>
    <row r="397" spans="1:34" s="94" customFormat="1" ht="119.45" hidden="1" customHeight="1">
      <c r="A397" s="685"/>
      <c r="B397" s="648"/>
      <c r="C397" s="635" t="s">
        <v>169</v>
      </c>
      <c r="D397" s="691"/>
      <c r="E397" s="655" t="str">
        <f t="shared" si="7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397" s="536" t="s">
        <v>415</v>
      </c>
      <c r="G397" s="536" t="str">
        <f>VLOOKUP(H397,'[5]Pob. Ext, Parroquial'!$B$9:$C$117,2,0)</f>
        <v>LOJA</v>
      </c>
      <c r="H397" s="690" t="s">
        <v>601</v>
      </c>
      <c r="I397" s="536" t="s">
        <v>270</v>
      </c>
      <c r="J397" s="536" t="s">
        <v>454</v>
      </c>
      <c r="K397" s="537"/>
      <c r="L397" s="537"/>
      <c r="M397" s="538">
        <f>IF(K397&gt;0,VLOOKUP(H397,'[5]Pob. Ext, Parroquial'!$B$8:$F$117,4,FALSE),0)</f>
        <v>0</v>
      </c>
      <c r="N397" s="667" t="s">
        <v>803</v>
      </c>
      <c r="O397" s="540" t="s">
        <v>184</v>
      </c>
      <c r="P397" s="540">
        <v>0.83</v>
      </c>
      <c r="Q397" s="681">
        <v>1122.57</v>
      </c>
      <c r="R397" s="540"/>
      <c r="S397" s="541">
        <v>41821</v>
      </c>
      <c r="T397" s="541">
        <v>41851</v>
      </c>
      <c r="U397" s="542" t="str">
        <f t="shared" si="70"/>
        <v>EJECUTADO</v>
      </c>
      <c r="V397" s="550">
        <f t="shared" si="71"/>
        <v>931.73</v>
      </c>
      <c r="W397" s="543"/>
      <c r="X397" s="543">
        <f t="shared" si="61"/>
        <v>1397.595</v>
      </c>
      <c r="Y397" s="544"/>
      <c r="Z397" s="544"/>
      <c r="AA397" s="662"/>
      <c r="AB397" s="640"/>
      <c r="AC397" s="545" t="s">
        <v>455</v>
      </c>
      <c r="AD397" s="545" t="s">
        <v>178</v>
      </c>
      <c r="AE397" s="546" t="s">
        <v>179</v>
      </c>
      <c r="AF397" s="547"/>
      <c r="AG397" s="639"/>
      <c r="AH397" s="639"/>
    </row>
    <row r="398" spans="1:34" s="94" customFormat="1" ht="119.45" hidden="1" customHeight="1">
      <c r="A398" s="685"/>
      <c r="B398" s="648"/>
      <c r="C398" s="635" t="s">
        <v>196</v>
      </c>
      <c r="D398" s="691"/>
      <c r="E398" s="655" t="str">
        <f t="shared" si="7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398" s="536" t="s">
        <v>415</v>
      </c>
      <c r="G398" s="536" t="str">
        <f>VLOOKUP(H398,'[5]Pob. Ext, Parroquial'!$B$9:$C$117,2,0)</f>
        <v>LOJA</v>
      </c>
      <c r="H398" s="690" t="s">
        <v>601</v>
      </c>
      <c r="I398" s="536" t="s">
        <v>270</v>
      </c>
      <c r="J398" s="536" t="s">
        <v>454</v>
      </c>
      <c r="K398" s="537"/>
      <c r="L398" s="537"/>
      <c r="M398" s="538">
        <f>IF(K398&gt;0,VLOOKUP(H398,'[5]Pob. Ext, Parroquial'!$B$8:$F$117,4,FALSE),0)</f>
        <v>0</v>
      </c>
      <c r="N398" s="667" t="s">
        <v>804</v>
      </c>
      <c r="O398" s="540" t="s">
        <v>184</v>
      </c>
      <c r="P398" s="540">
        <v>0.53</v>
      </c>
      <c r="Q398" s="681">
        <v>37814.230000000003</v>
      </c>
      <c r="R398" s="540"/>
      <c r="S398" s="541">
        <v>41883</v>
      </c>
      <c r="T398" s="541" t="s">
        <v>783</v>
      </c>
      <c r="U398" s="542" t="str">
        <f t="shared" si="70"/>
        <v>EN EJECUCION</v>
      </c>
      <c r="V398" s="550">
        <f t="shared" si="71"/>
        <v>20041.54</v>
      </c>
      <c r="W398" s="543"/>
      <c r="X398" s="543">
        <f t="shared" si="61"/>
        <v>30062.31</v>
      </c>
      <c r="Y398" s="544"/>
      <c r="Z398" s="544"/>
      <c r="AA398" s="662"/>
      <c r="AB398" s="640"/>
      <c r="AC398" s="545" t="s">
        <v>455</v>
      </c>
      <c r="AD398" s="545" t="s">
        <v>178</v>
      </c>
      <c r="AE398" s="546" t="s">
        <v>179</v>
      </c>
      <c r="AF398" s="547"/>
      <c r="AG398" s="639"/>
      <c r="AH398" s="639"/>
    </row>
    <row r="399" spans="1:34" s="94" customFormat="1" ht="119.45" hidden="1" customHeight="1">
      <c r="A399" s="687"/>
      <c r="B399" s="646"/>
      <c r="C399" s="635" t="s">
        <v>196</v>
      </c>
      <c r="D399" s="693"/>
      <c r="E399" s="655" t="str">
        <f>+E400</f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399" s="536" t="s">
        <v>415</v>
      </c>
      <c r="G399" s="536" t="str">
        <f>VLOOKUP(H399,'[5]Pob. Ext, Parroquial'!$B$9:$C$117,2,0)</f>
        <v>LOJA</v>
      </c>
      <c r="H399" s="690" t="s">
        <v>601</v>
      </c>
      <c r="I399" s="536" t="s">
        <v>270</v>
      </c>
      <c r="J399" s="536" t="s">
        <v>454</v>
      </c>
      <c r="K399" s="537"/>
      <c r="L399" s="537"/>
      <c r="M399" s="538">
        <f>IF(K399&gt;0,VLOOKUP(H399,'[5]Pob. Ext, Parroquial'!$B$8:$F$117,4,FALSE),0)</f>
        <v>0</v>
      </c>
      <c r="N399" s="667" t="s">
        <v>465</v>
      </c>
      <c r="O399" s="540" t="s">
        <v>466</v>
      </c>
      <c r="P399" s="540">
        <v>913.74</v>
      </c>
      <c r="Q399" s="681">
        <v>204</v>
      </c>
      <c r="R399" s="540"/>
      <c r="S399" s="541">
        <v>41730</v>
      </c>
      <c r="T399" s="541">
        <v>41759</v>
      </c>
      <c r="U399" s="542" t="str">
        <f>IF(T399&lt;$G$4,"EJECUTADO","EN EJECUCION")</f>
        <v>EJECUTADO</v>
      </c>
      <c r="V399" s="550">
        <f>ROUND(P399*Q399,2)</f>
        <v>186402.96</v>
      </c>
      <c r="W399" s="543">
        <f>+V399</f>
        <v>186402.96</v>
      </c>
      <c r="X399" s="543">
        <f>+(V399-W399)/3*4.5</f>
        <v>0</v>
      </c>
      <c r="Y399" s="544"/>
      <c r="Z399" s="544"/>
      <c r="AA399" s="664"/>
      <c r="AB399" s="640"/>
      <c r="AC399" s="545" t="s">
        <v>455</v>
      </c>
      <c r="AD399" s="545" t="s">
        <v>178</v>
      </c>
      <c r="AE399" s="546" t="s">
        <v>179</v>
      </c>
      <c r="AF399" s="547">
        <v>2014</v>
      </c>
      <c r="AG399" s="639"/>
      <c r="AH399" s="639"/>
    </row>
    <row r="400" spans="1:34" s="94" customFormat="1" ht="119.45" hidden="1" customHeight="1">
      <c r="A400" s="685"/>
      <c r="B400" s="648"/>
      <c r="C400" s="635" t="s">
        <v>191</v>
      </c>
      <c r="D400" s="691"/>
      <c r="E400" s="655" t="str">
        <f>+E401</f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400" s="536" t="s">
        <v>415</v>
      </c>
      <c r="G400" s="536" t="str">
        <f>VLOOKUP(H400,'[5]Pob. Ext, Parroquial'!$B$9:$C$117,2,0)</f>
        <v>LOJA</v>
      </c>
      <c r="H400" s="690" t="s">
        <v>601</v>
      </c>
      <c r="I400" s="536" t="s">
        <v>270</v>
      </c>
      <c r="J400" s="536" t="s">
        <v>454</v>
      </c>
      <c r="K400" s="537"/>
      <c r="L400" s="537"/>
      <c r="M400" s="538">
        <f>IF(K400&gt;0,VLOOKUP(H400,'[5]Pob. Ext, Parroquial'!$B$8:$F$117,4,FALSE),0)</f>
        <v>0</v>
      </c>
      <c r="N400" s="667" t="s">
        <v>463</v>
      </c>
      <c r="O400" s="540" t="s">
        <v>464</v>
      </c>
      <c r="P400" s="540">
        <v>2.5299999999999998</v>
      </c>
      <c r="Q400" s="681">
        <v>1002.5</v>
      </c>
      <c r="R400" s="540"/>
      <c r="S400" s="541">
        <v>41821</v>
      </c>
      <c r="T400" s="541">
        <v>41851</v>
      </c>
      <c r="U400" s="542" t="str">
        <f>IF(T400&lt;$G$4,"EJECUTADO","EN EJECUCION")</f>
        <v>EJECUTADO</v>
      </c>
      <c r="V400" s="550">
        <f>ROUND(P400*Q400,2)</f>
        <v>2536.33</v>
      </c>
      <c r="W400" s="543"/>
      <c r="X400" s="543">
        <f>+(V400-W400)/3*4.5</f>
        <v>3804.4949999999999</v>
      </c>
      <c r="Y400" s="544"/>
      <c r="Z400" s="544"/>
      <c r="AA400" s="662"/>
      <c r="AB400" s="640"/>
      <c r="AC400" s="545" t="s">
        <v>455</v>
      </c>
      <c r="AD400" s="545" t="s">
        <v>178</v>
      </c>
      <c r="AE400" s="546" t="s">
        <v>179</v>
      </c>
      <c r="AF400" s="547">
        <v>2014</v>
      </c>
      <c r="AG400" s="639"/>
      <c r="AH400" s="639"/>
    </row>
    <row r="401" spans="1:34" s="94" customFormat="1" ht="119.45" hidden="1" customHeight="1">
      <c r="A401" s="685"/>
      <c r="B401" s="648"/>
      <c r="C401" s="635" t="s">
        <v>191</v>
      </c>
      <c r="D401" s="691"/>
      <c r="E401" s="655" t="str">
        <f>+E395</f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401" s="536" t="s">
        <v>415</v>
      </c>
      <c r="G401" s="536" t="str">
        <f>VLOOKUP(H401,'[5]Pob. Ext, Parroquial'!$B$9:$C$117,2,0)</f>
        <v>LOJA</v>
      </c>
      <c r="H401" s="690" t="s">
        <v>601</v>
      </c>
      <c r="I401" s="536" t="s">
        <v>270</v>
      </c>
      <c r="J401" s="536" t="s">
        <v>454</v>
      </c>
      <c r="K401" s="537"/>
      <c r="L401" s="537"/>
      <c r="M401" s="538">
        <f>IF(K401&gt;0,VLOOKUP(H401,'[5]Pob. Ext, Parroquial'!$B$8:$F$117,4,FALSE),0)</f>
        <v>0</v>
      </c>
      <c r="N401" s="667" t="s">
        <v>462</v>
      </c>
      <c r="O401" s="540" t="s">
        <v>176</v>
      </c>
      <c r="P401" s="540">
        <v>194.99</v>
      </c>
      <c r="Q401" s="681">
        <v>24.47</v>
      </c>
      <c r="R401" s="540"/>
      <c r="S401" s="541">
        <v>41821</v>
      </c>
      <c r="T401" s="541">
        <v>41851</v>
      </c>
      <c r="U401" s="542" t="str">
        <f>IF(T401&lt;$G$4,"EJECUTADO","EN EJECUCION")</f>
        <v>EJECUTADO</v>
      </c>
      <c r="V401" s="550">
        <f>ROUND(P401*Q401,2)</f>
        <v>4771.41</v>
      </c>
      <c r="W401" s="543">
        <v>1827.48</v>
      </c>
      <c r="X401" s="543">
        <f>+(V401-W401)/3*4.5</f>
        <v>4415.8949999999995</v>
      </c>
      <c r="Y401" s="544"/>
      <c r="Z401" s="544"/>
      <c r="AA401" s="662"/>
      <c r="AB401" s="640"/>
      <c r="AC401" s="545" t="s">
        <v>455</v>
      </c>
      <c r="AD401" s="545" t="s">
        <v>178</v>
      </c>
      <c r="AE401" s="546" t="s">
        <v>179</v>
      </c>
      <c r="AF401" s="547">
        <v>2014</v>
      </c>
      <c r="AG401" s="639"/>
      <c r="AH401" s="639"/>
    </row>
    <row r="402" spans="1:34" s="94" customFormat="1" ht="119.45" hidden="1" customHeight="1">
      <c r="A402" s="685"/>
      <c r="B402" s="648"/>
      <c r="C402" s="635" t="s">
        <v>169</v>
      </c>
      <c r="D402" s="691"/>
      <c r="E402" s="655" t="str">
        <f t="shared" si="7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402" s="536" t="s">
        <v>415</v>
      </c>
      <c r="G402" s="536" t="str">
        <f>VLOOKUP(H402,'[5]Pob. Ext, Parroquial'!$B$9:$C$117,2,0)</f>
        <v>LOJA</v>
      </c>
      <c r="H402" s="690" t="s">
        <v>601</v>
      </c>
      <c r="I402" s="536" t="s">
        <v>270</v>
      </c>
      <c r="J402" s="536" t="s">
        <v>454</v>
      </c>
      <c r="K402" s="537"/>
      <c r="L402" s="537"/>
      <c r="M402" s="538">
        <f>IF(K402&gt;0,VLOOKUP(H402,'[5]Pob. Ext, Parroquial'!$B$8:$F$117,4,FALSE),0)</f>
        <v>0</v>
      </c>
      <c r="N402" s="667" t="s">
        <v>803</v>
      </c>
      <c r="O402" s="540" t="s">
        <v>805</v>
      </c>
      <c r="P402" s="540">
        <v>548.87</v>
      </c>
      <c r="Q402" s="681">
        <v>9.64</v>
      </c>
      <c r="R402" s="540"/>
      <c r="S402" s="541">
        <v>41821</v>
      </c>
      <c r="T402" s="541">
        <v>41851</v>
      </c>
      <c r="U402" s="542" t="str">
        <f t="shared" ref="U402:U411" si="76">IF(T402&lt;$G$4,"EJECUTADO","EN EJECUCION")</f>
        <v>EJECUTADO</v>
      </c>
      <c r="V402" s="550">
        <f t="shared" ref="V402:V411" si="77">ROUND(P402*Q402,2)</f>
        <v>5291.11</v>
      </c>
      <c r="W402" s="543"/>
      <c r="X402" s="543">
        <f t="shared" ref="X402:X408" si="78">+(V402-W402)/3*4.5</f>
        <v>7936.6649999999991</v>
      </c>
      <c r="Y402" s="544"/>
      <c r="Z402" s="544"/>
      <c r="AA402" s="662"/>
      <c r="AB402" s="640"/>
      <c r="AC402" s="545" t="s">
        <v>455</v>
      </c>
      <c r="AD402" s="545" t="s">
        <v>178</v>
      </c>
      <c r="AE402" s="546" t="s">
        <v>179</v>
      </c>
      <c r="AF402" s="547"/>
      <c r="AG402" s="639"/>
      <c r="AH402" s="639"/>
    </row>
    <row r="403" spans="1:34" s="94" customFormat="1" ht="119.45" hidden="1" customHeight="1">
      <c r="A403" s="685"/>
      <c r="B403" s="648"/>
      <c r="C403" s="635" t="s">
        <v>182</v>
      </c>
      <c r="D403" s="691"/>
      <c r="E403" s="655" t="str">
        <f t="shared" si="7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403" s="536" t="s">
        <v>415</v>
      </c>
      <c r="G403" s="536" t="str">
        <f>VLOOKUP(H403,'[5]Pob. Ext, Parroquial'!$B$9:$C$117,2,0)</f>
        <v>LOJA</v>
      </c>
      <c r="H403" s="690" t="s">
        <v>601</v>
      </c>
      <c r="I403" s="536" t="s">
        <v>270</v>
      </c>
      <c r="J403" s="536" t="s">
        <v>454</v>
      </c>
      <c r="K403" s="537"/>
      <c r="L403" s="537"/>
      <c r="M403" s="538">
        <f>IF(K403&gt;0,VLOOKUP(H403,'[5]Pob. Ext, Parroquial'!$B$8:$F$117,4,FALSE),0)</f>
        <v>0</v>
      </c>
      <c r="N403" s="667" t="s">
        <v>806</v>
      </c>
      <c r="O403" s="540" t="s">
        <v>807</v>
      </c>
      <c r="P403" s="540">
        <v>903</v>
      </c>
      <c r="Q403" s="681">
        <v>4.8600000000000003</v>
      </c>
      <c r="R403" s="540"/>
      <c r="S403" s="541">
        <v>41821</v>
      </c>
      <c r="T403" s="541">
        <v>41851</v>
      </c>
      <c r="U403" s="542" t="str">
        <f t="shared" si="76"/>
        <v>EJECUTADO</v>
      </c>
      <c r="V403" s="550">
        <f t="shared" si="77"/>
        <v>4388.58</v>
      </c>
      <c r="W403" s="543"/>
      <c r="X403" s="543">
        <f t="shared" si="78"/>
        <v>6582.87</v>
      </c>
      <c r="Y403" s="544"/>
      <c r="Z403" s="544"/>
      <c r="AA403" s="662"/>
      <c r="AB403" s="640"/>
      <c r="AC403" s="545"/>
      <c r="AD403" s="545"/>
      <c r="AE403" s="546"/>
      <c r="AF403" s="547"/>
      <c r="AG403" s="639"/>
      <c r="AH403" s="639"/>
    </row>
    <row r="404" spans="1:34" s="94" customFormat="1" ht="119.45" hidden="1" customHeight="1">
      <c r="A404" s="685"/>
      <c r="B404" s="648"/>
      <c r="C404" s="635" t="s">
        <v>191</v>
      </c>
      <c r="D404" s="691"/>
      <c r="E404" s="655" t="str">
        <f t="shared" si="7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404" s="536" t="s">
        <v>415</v>
      </c>
      <c r="G404" s="536" t="str">
        <f>VLOOKUP(H404,'[5]Pob. Ext, Parroquial'!$B$9:$C$117,2,0)</f>
        <v>LOJA</v>
      </c>
      <c r="H404" s="690" t="s">
        <v>601</v>
      </c>
      <c r="I404" s="536" t="s">
        <v>270</v>
      </c>
      <c r="J404" s="536" t="s">
        <v>454</v>
      </c>
      <c r="K404" s="537"/>
      <c r="L404" s="537"/>
      <c r="M404" s="538">
        <f>IF(K404&gt;0,VLOOKUP(H404,'[5]Pob. Ext, Parroquial'!$B$8:$F$117,4,FALSE),0)</f>
        <v>0</v>
      </c>
      <c r="N404" s="667" t="s">
        <v>463</v>
      </c>
      <c r="O404" s="540" t="s">
        <v>464</v>
      </c>
      <c r="P404" s="540">
        <v>2.23</v>
      </c>
      <c r="Q404" s="681">
        <v>3630.82</v>
      </c>
      <c r="R404" s="540"/>
      <c r="S404" s="541">
        <v>41821</v>
      </c>
      <c r="T404" s="541">
        <v>41851</v>
      </c>
      <c r="U404" s="542" t="str">
        <f t="shared" si="76"/>
        <v>EJECUTADO</v>
      </c>
      <c r="V404" s="550">
        <f t="shared" si="77"/>
        <v>8096.73</v>
      </c>
      <c r="W404" s="543"/>
      <c r="X404" s="543">
        <f t="shared" si="78"/>
        <v>12145.094999999999</v>
      </c>
      <c r="Y404" s="544"/>
      <c r="Z404" s="544"/>
      <c r="AA404" s="662"/>
      <c r="AB404" s="640"/>
      <c r="AC404" s="545"/>
      <c r="AD404" s="545"/>
      <c r="AE404" s="546"/>
      <c r="AF404" s="547"/>
      <c r="AG404" s="639"/>
      <c r="AH404" s="639"/>
    </row>
    <row r="405" spans="1:34" s="94" customFormat="1" ht="119.45" hidden="1" customHeight="1">
      <c r="A405" s="685"/>
      <c r="B405" s="648"/>
      <c r="C405" s="635" t="s">
        <v>182</v>
      </c>
      <c r="D405" s="691"/>
      <c r="E405" s="655" t="str">
        <f>+E391</f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405" s="536" t="s">
        <v>415</v>
      </c>
      <c r="G405" s="536" t="str">
        <f>VLOOKUP(H405,'[5]Pob. Ext, Parroquial'!$B$9:$C$117,2,0)</f>
        <v>LOJA</v>
      </c>
      <c r="H405" s="690" t="s">
        <v>601</v>
      </c>
      <c r="I405" s="536" t="s">
        <v>270</v>
      </c>
      <c r="J405" s="536" t="s">
        <v>454</v>
      </c>
      <c r="K405" s="537"/>
      <c r="L405" s="537"/>
      <c r="M405" s="538">
        <f>IF(K405&gt;0,VLOOKUP(H405,'[5]Pob. Ext, Parroquial'!$B$8:$F$117,4,FALSE),0)</f>
        <v>0</v>
      </c>
      <c r="N405" s="539" t="s">
        <v>808</v>
      </c>
      <c r="O405" s="540" t="s">
        <v>176</v>
      </c>
      <c r="P405" s="540">
        <v>1.62</v>
      </c>
      <c r="Q405" s="681">
        <v>133.94999999999999</v>
      </c>
      <c r="R405" s="540"/>
      <c r="S405" s="541">
        <v>41699</v>
      </c>
      <c r="T405" s="541">
        <v>41851</v>
      </c>
      <c r="U405" s="542" t="str">
        <f t="shared" si="76"/>
        <v>EJECUTADO</v>
      </c>
      <c r="V405" s="550">
        <f t="shared" si="77"/>
        <v>217</v>
      </c>
      <c r="W405" s="543">
        <v>252849.8</v>
      </c>
      <c r="X405" s="543">
        <f t="shared" si="78"/>
        <v>-378949.2</v>
      </c>
      <c r="Y405" s="544"/>
      <c r="Z405" s="544"/>
      <c r="AA405" s="662"/>
      <c r="AB405" s="640"/>
      <c r="AC405" s="545" t="s">
        <v>455</v>
      </c>
      <c r="AD405" s="545" t="s">
        <v>178</v>
      </c>
      <c r="AE405" s="546" t="s">
        <v>179</v>
      </c>
      <c r="AF405" s="547">
        <v>2014</v>
      </c>
      <c r="AG405" s="639"/>
      <c r="AH405" s="639"/>
    </row>
    <row r="406" spans="1:34" s="94" customFormat="1" ht="119.45" hidden="1" customHeight="1">
      <c r="A406" s="685"/>
      <c r="B406" s="648"/>
      <c r="C406" s="635" t="s">
        <v>169</v>
      </c>
      <c r="D406" s="691"/>
      <c r="E406" s="655" t="str">
        <f t="shared" si="7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406" s="536" t="s">
        <v>415</v>
      </c>
      <c r="G406" s="536" t="str">
        <f>VLOOKUP(H406,'[5]Pob. Ext, Parroquial'!$B$9:$C$117,2,0)</f>
        <v>LOJA</v>
      </c>
      <c r="H406" s="690" t="s">
        <v>601</v>
      </c>
      <c r="I406" s="536" t="s">
        <v>270</v>
      </c>
      <c r="J406" s="536" t="s">
        <v>454</v>
      </c>
      <c r="K406" s="537"/>
      <c r="L406" s="537"/>
      <c r="M406" s="538">
        <f>IF(K406&gt;0,VLOOKUP(H406,'[5]Pob. Ext, Parroquial'!$B$8:$F$117,4,FALSE),0)</f>
        <v>0</v>
      </c>
      <c r="N406" s="539" t="s">
        <v>809</v>
      </c>
      <c r="O406" s="540" t="s">
        <v>176</v>
      </c>
      <c r="P406" s="540">
        <v>8.11</v>
      </c>
      <c r="Q406" s="688">
        <v>22</v>
      </c>
      <c r="R406" s="540"/>
      <c r="S406" s="541">
        <v>41699</v>
      </c>
      <c r="T406" s="541">
        <v>41851</v>
      </c>
      <c r="U406" s="542" t="str">
        <f t="shared" si="76"/>
        <v>EJECUTADO</v>
      </c>
      <c r="V406" s="550">
        <f t="shared" si="77"/>
        <v>178.42</v>
      </c>
      <c r="W406" s="543">
        <v>252849.8</v>
      </c>
      <c r="X406" s="543">
        <f t="shared" si="78"/>
        <v>-379007.06999999995</v>
      </c>
      <c r="Y406" s="544"/>
      <c r="Z406" s="544"/>
      <c r="AA406" s="662"/>
      <c r="AB406" s="640"/>
      <c r="AC406" s="545" t="s">
        <v>455</v>
      </c>
      <c r="AD406" s="545" t="s">
        <v>178</v>
      </c>
      <c r="AE406" s="546" t="s">
        <v>179</v>
      </c>
      <c r="AF406" s="547"/>
      <c r="AG406" s="639"/>
      <c r="AH406" s="639"/>
    </row>
    <row r="407" spans="1:34" s="94" customFormat="1" ht="119.45" hidden="1" customHeight="1">
      <c r="A407" s="685"/>
      <c r="B407" s="648"/>
      <c r="C407" s="635" t="s">
        <v>169</v>
      </c>
      <c r="D407" s="691"/>
      <c r="E407" s="655" t="str">
        <f t="shared" si="7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407" s="536" t="s">
        <v>415</v>
      </c>
      <c r="G407" s="536" t="str">
        <f>VLOOKUP(H407,'[5]Pob. Ext, Parroquial'!$B$9:$C$117,2,0)</f>
        <v>LOJA</v>
      </c>
      <c r="H407" s="690" t="s">
        <v>601</v>
      </c>
      <c r="I407" s="536" t="s">
        <v>270</v>
      </c>
      <c r="J407" s="536" t="s">
        <v>454</v>
      </c>
      <c r="K407" s="537"/>
      <c r="L407" s="537"/>
      <c r="M407" s="538">
        <f>IF(K407&gt;0,VLOOKUP(H407,'[5]Pob. Ext, Parroquial'!$B$8:$F$117,4,FALSE),0)</f>
        <v>0</v>
      </c>
      <c r="N407" s="539" t="s">
        <v>810</v>
      </c>
      <c r="O407" s="540" t="s">
        <v>176</v>
      </c>
      <c r="P407" s="540">
        <v>9.9600000000000009</v>
      </c>
      <c r="Q407" s="688">
        <v>119.31</v>
      </c>
      <c r="R407" s="540"/>
      <c r="S407" s="541">
        <v>41699</v>
      </c>
      <c r="T407" s="541">
        <v>41851</v>
      </c>
      <c r="U407" s="542" t="str">
        <f t="shared" si="76"/>
        <v>EJECUTADO</v>
      </c>
      <c r="V407" s="550">
        <f t="shared" si="77"/>
        <v>1188.33</v>
      </c>
      <c r="W407" s="543">
        <v>252849.8</v>
      </c>
      <c r="X407" s="543">
        <f t="shared" si="78"/>
        <v>-377492.20499999996</v>
      </c>
      <c r="Y407" s="544"/>
      <c r="Z407" s="544"/>
      <c r="AA407" s="662"/>
      <c r="AB407" s="640"/>
      <c r="AC407" s="545" t="s">
        <v>455</v>
      </c>
      <c r="AD407" s="545" t="s">
        <v>178</v>
      </c>
      <c r="AE407" s="546" t="s">
        <v>179</v>
      </c>
      <c r="AF407" s="547"/>
      <c r="AG407" s="639"/>
      <c r="AH407" s="639"/>
    </row>
    <row r="408" spans="1:34" s="94" customFormat="1" ht="119.45" hidden="1" customHeight="1">
      <c r="A408" s="685"/>
      <c r="B408" s="648"/>
      <c r="C408" s="635" t="s">
        <v>191</v>
      </c>
      <c r="D408" s="691"/>
      <c r="E408" s="655" t="str">
        <f t="shared" si="7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408" s="536" t="s">
        <v>415</v>
      </c>
      <c r="G408" s="536" t="str">
        <f>VLOOKUP(H408,'[5]Pob. Ext, Parroquial'!$B$9:$C$117,2,0)</f>
        <v>LOJA</v>
      </c>
      <c r="H408" s="690" t="s">
        <v>601</v>
      </c>
      <c r="I408" s="536" t="s">
        <v>270</v>
      </c>
      <c r="J408" s="536" t="s">
        <v>454</v>
      </c>
      <c r="K408" s="537"/>
      <c r="L408" s="537"/>
      <c r="M408" s="538">
        <f>IF(K408&gt;0,VLOOKUP(H408,'[5]Pob. Ext, Parroquial'!$B$8:$F$117,4,FALSE),0)</f>
        <v>0</v>
      </c>
      <c r="N408" s="539" t="s">
        <v>811</v>
      </c>
      <c r="O408" s="540" t="s">
        <v>176</v>
      </c>
      <c r="P408" s="540">
        <v>198.68</v>
      </c>
      <c r="Q408" s="688">
        <v>21.71</v>
      </c>
      <c r="R408" s="540"/>
      <c r="S408" s="541">
        <v>41699</v>
      </c>
      <c r="T408" s="541">
        <v>41851</v>
      </c>
      <c r="U408" s="542" t="str">
        <f t="shared" si="76"/>
        <v>EJECUTADO</v>
      </c>
      <c r="V408" s="550">
        <f t="shared" si="77"/>
        <v>4313.34</v>
      </c>
      <c r="W408" s="543">
        <v>252849.8</v>
      </c>
      <c r="X408" s="543">
        <f t="shared" si="78"/>
        <v>-372804.69</v>
      </c>
      <c r="Y408" s="544"/>
      <c r="Z408" s="544"/>
      <c r="AA408" s="662"/>
      <c r="AB408" s="640"/>
      <c r="AC408" s="545"/>
      <c r="AD408" s="545"/>
      <c r="AE408" s="546"/>
      <c r="AF408" s="547"/>
      <c r="AG408" s="639"/>
      <c r="AH408" s="639"/>
    </row>
    <row r="409" spans="1:34" s="94" customFormat="1" ht="119.45" hidden="1" customHeight="1">
      <c r="A409" s="685"/>
      <c r="B409" s="648"/>
      <c r="C409" s="635" t="s">
        <v>169</v>
      </c>
      <c r="D409" s="691"/>
      <c r="E409" s="655" t="str">
        <f t="shared" si="7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409" s="536" t="s">
        <v>415</v>
      </c>
      <c r="G409" s="536" t="str">
        <f>VLOOKUP(H409,'[5]Pob. Ext, Parroquial'!$B$9:$C$117,2,0)</f>
        <v>LOJA</v>
      </c>
      <c r="H409" s="690" t="s">
        <v>601</v>
      </c>
      <c r="I409" s="536" t="s">
        <v>270</v>
      </c>
      <c r="J409" s="536" t="s">
        <v>454</v>
      </c>
      <c r="K409" s="537"/>
      <c r="L409" s="537"/>
      <c r="M409" s="538">
        <f>IF(K409&gt;0,VLOOKUP(H409,'[5]Pob. Ext, Parroquial'!$B$8:$F$117,4,FALSE),0)</f>
        <v>0</v>
      </c>
      <c r="N409" s="667" t="s">
        <v>1053</v>
      </c>
      <c r="O409" s="540" t="s">
        <v>446</v>
      </c>
      <c r="P409" s="540">
        <v>6.07</v>
      </c>
      <c r="Q409" s="688">
        <v>3</v>
      </c>
      <c r="R409" s="540"/>
      <c r="S409" s="541">
        <v>41883</v>
      </c>
      <c r="T409" s="541" t="s">
        <v>783</v>
      </c>
      <c r="U409" s="542" t="str">
        <f t="shared" si="76"/>
        <v>EN EJECUCION</v>
      </c>
      <c r="V409" s="550">
        <f t="shared" si="77"/>
        <v>18.21</v>
      </c>
      <c r="W409" s="543"/>
      <c r="X409" s="543"/>
      <c r="Y409" s="544"/>
      <c r="Z409" s="544"/>
      <c r="AA409" s="662"/>
      <c r="AB409" s="640"/>
      <c r="AC409" s="545" t="s">
        <v>455</v>
      </c>
      <c r="AD409" s="545" t="s">
        <v>178</v>
      </c>
      <c r="AE409" s="546" t="s">
        <v>179</v>
      </c>
      <c r="AF409" s="547"/>
      <c r="AG409" s="639"/>
      <c r="AH409" s="639"/>
    </row>
    <row r="410" spans="1:34" s="94" customFormat="1" ht="119.45" hidden="1" customHeight="1">
      <c r="A410" s="685"/>
      <c r="B410" s="648"/>
      <c r="C410" s="635" t="s">
        <v>169</v>
      </c>
      <c r="D410" s="691"/>
      <c r="E410" s="655" t="str">
        <f t="shared" si="7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410" s="536" t="s">
        <v>415</v>
      </c>
      <c r="G410" s="536" t="str">
        <f>VLOOKUP(H410,'[5]Pob. Ext, Parroquial'!$B$9:$C$117,2,0)</f>
        <v>LOJA</v>
      </c>
      <c r="H410" s="690" t="s">
        <v>601</v>
      </c>
      <c r="I410" s="536" t="s">
        <v>270</v>
      </c>
      <c r="J410" s="536" t="s">
        <v>454</v>
      </c>
      <c r="K410" s="537"/>
      <c r="L410" s="537"/>
      <c r="M410" s="538">
        <f>IF(K410&gt;0,VLOOKUP(H410,'[5]Pob. Ext, Parroquial'!$B$8:$F$117,4,FALSE),0)</f>
        <v>0</v>
      </c>
      <c r="N410" s="667" t="s">
        <v>1054</v>
      </c>
      <c r="O410" s="540" t="s">
        <v>1055</v>
      </c>
      <c r="P410" s="540">
        <v>0.23</v>
      </c>
      <c r="Q410" s="688">
        <v>656.36</v>
      </c>
      <c r="R410" s="540"/>
      <c r="S410" s="541">
        <v>41883</v>
      </c>
      <c r="T410" s="541" t="s">
        <v>783</v>
      </c>
      <c r="U410" s="542" t="str">
        <f t="shared" si="76"/>
        <v>EN EJECUCION</v>
      </c>
      <c r="V410" s="550">
        <f t="shared" si="77"/>
        <v>150.96</v>
      </c>
      <c r="W410" s="543"/>
      <c r="X410" s="543"/>
      <c r="Y410" s="544"/>
      <c r="Z410" s="544"/>
      <c r="AA410" s="662"/>
      <c r="AB410" s="640"/>
      <c r="AC410" s="545" t="s">
        <v>455</v>
      </c>
      <c r="AD410" s="545" t="s">
        <v>178</v>
      </c>
      <c r="AE410" s="546" t="s">
        <v>179</v>
      </c>
      <c r="AF410" s="547"/>
      <c r="AG410" s="639"/>
      <c r="AH410" s="639"/>
    </row>
    <row r="411" spans="1:34" s="94" customFormat="1" ht="119.45" hidden="1" customHeight="1">
      <c r="A411" s="685"/>
      <c r="B411" s="648"/>
      <c r="C411" s="635" t="s">
        <v>169</v>
      </c>
      <c r="D411" s="691"/>
      <c r="E411" s="655" t="str">
        <f t="shared" si="75"/>
        <v>TERMINACION PROYECTO VIAL VILCABAMBA-LINDEROS-MOYOCOCHA (OBRAS DE ARTE Y SEÑALIZACION, CONTRATISTA ING. MAXIMO CASTRO), fecha de suscripción contrato 5 de febrero del 2014, entrega el anticipo 7 de marzo del 2014 40 % del monto del contrato.</v>
      </c>
      <c r="F411" s="536" t="s">
        <v>415</v>
      </c>
      <c r="G411" s="536" t="str">
        <f>VLOOKUP(H411,'[5]Pob. Ext, Parroquial'!$B$9:$C$117,2,0)</f>
        <v>LOJA</v>
      </c>
      <c r="H411" s="690" t="s">
        <v>601</v>
      </c>
      <c r="I411" s="536" t="s">
        <v>270</v>
      </c>
      <c r="J411" s="536" t="s">
        <v>454</v>
      </c>
      <c r="K411" s="537"/>
      <c r="L411" s="537"/>
      <c r="M411" s="538">
        <f>IF(K411&gt;0,VLOOKUP(H411,'[5]Pob. Ext, Parroquial'!$B$8:$F$117,4,FALSE),0)</f>
        <v>0</v>
      </c>
      <c r="N411" s="667" t="s">
        <v>1056</v>
      </c>
      <c r="O411" s="540" t="s">
        <v>1055</v>
      </c>
      <c r="P411" s="540">
        <v>0.22</v>
      </c>
      <c r="Q411" s="688">
        <v>152.49</v>
      </c>
      <c r="R411" s="540"/>
      <c r="S411" s="541">
        <v>41883</v>
      </c>
      <c r="T411" s="541" t="s">
        <v>783</v>
      </c>
      <c r="U411" s="542" t="str">
        <f t="shared" si="76"/>
        <v>EN EJECUCION</v>
      </c>
      <c r="V411" s="550">
        <f t="shared" si="77"/>
        <v>33.549999999999997</v>
      </c>
      <c r="W411" s="543"/>
      <c r="X411" s="543"/>
      <c r="Y411" s="544"/>
      <c r="Z411" s="544"/>
      <c r="AA411" s="662"/>
      <c r="AB411" s="640"/>
      <c r="AC411" s="545" t="s">
        <v>455</v>
      </c>
      <c r="AD411" s="545" t="s">
        <v>178</v>
      </c>
      <c r="AE411" s="546" t="s">
        <v>179</v>
      </c>
      <c r="AF411" s="547"/>
      <c r="AG411" s="639"/>
      <c r="AH411" s="639"/>
    </row>
    <row r="412" spans="1:34" s="94" customFormat="1" ht="50.1" hidden="1" customHeight="1">
      <c r="A412" s="1068"/>
      <c r="B412" s="1076"/>
      <c r="C412" s="635" t="s">
        <v>182</v>
      </c>
      <c r="D412" s="1091" t="s">
        <v>467</v>
      </c>
      <c r="E412" s="636" t="str">
        <f t="shared" si="67"/>
        <v>MANTENIMIENTO DE LA VIA SELVA ALEGRE-LLUZHAPA-SUMAIPAMBA L= 40 km.</v>
      </c>
      <c r="F412" s="536" t="s">
        <v>415</v>
      </c>
      <c r="G412" s="536" t="str">
        <f>VLOOKUP(H412,'[5]Pob. Ext, Parroquial'!$B$9:$C$117,2,0)</f>
        <v>SARAGURO</v>
      </c>
      <c r="H412" s="536" t="s">
        <v>468</v>
      </c>
      <c r="I412" s="536" t="s">
        <v>173</v>
      </c>
      <c r="J412" s="536" t="s">
        <v>174</v>
      </c>
      <c r="K412" s="537"/>
      <c r="L412" s="537"/>
      <c r="M412" s="538">
        <f>IF(K412&gt;0,VLOOKUP(H412,'[5]Pob. Ext, Parroquial'!$B$8:$F$117,4,FALSE),0)</f>
        <v>0</v>
      </c>
      <c r="N412" s="539" t="s">
        <v>469</v>
      </c>
      <c r="O412" s="540" t="s">
        <v>418</v>
      </c>
      <c r="P412" s="540">
        <v>1.46</v>
      </c>
      <c r="Q412" s="688">
        <v>9960</v>
      </c>
      <c r="R412" s="540"/>
      <c r="S412" s="541">
        <v>41699</v>
      </c>
      <c r="T412" s="541">
        <v>41759</v>
      </c>
      <c r="U412" s="542" t="str">
        <f t="shared" si="70"/>
        <v>EJECUTADO</v>
      </c>
      <c r="V412" s="550">
        <f t="shared" si="71"/>
        <v>14541.6</v>
      </c>
      <c r="W412" s="543">
        <v>10278.719999999999</v>
      </c>
      <c r="X412" s="543">
        <f t="shared" si="61"/>
        <v>6394.3200000000015</v>
      </c>
      <c r="Y412" s="544"/>
      <c r="Z412" s="544"/>
      <c r="AA412" s="1072">
        <f>SUBTOTAL(9,V412:V413)</f>
        <v>0</v>
      </c>
      <c r="AB412" s="640"/>
      <c r="AC412" s="545" t="s">
        <v>417</v>
      </c>
      <c r="AD412" s="545" t="s">
        <v>178</v>
      </c>
      <c r="AE412" s="546" t="s">
        <v>179</v>
      </c>
      <c r="AF412" s="547">
        <v>2014</v>
      </c>
      <c r="AG412" s="639"/>
      <c r="AH412" s="639"/>
    </row>
    <row r="413" spans="1:34" s="94" customFormat="1" ht="50.1" hidden="1" customHeight="1">
      <c r="A413" s="1068"/>
      <c r="B413" s="1076"/>
      <c r="C413" s="635" t="s">
        <v>182</v>
      </c>
      <c r="D413" s="1093"/>
      <c r="E413" s="655" t="str">
        <f t="shared" ref="E413" si="79">+E412</f>
        <v>MANTENIMIENTO DE LA VIA SELVA ALEGRE-LLUZHAPA-SUMAIPAMBA L= 40 km.</v>
      </c>
      <c r="F413" s="536" t="s">
        <v>415</v>
      </c>
      <c r="G413" s="536" t="str">
        <f>VLOOKUP(H413,'[5]Pob. Ext, Parroquial'!$B$9:$C$117,2,0)</f>
        <v>SARAGURO</v>
      </c>
      <c r="H413" s="536" t="s">
        <v>468</v>
      </c>
      <c r="I413" s="536" t="s">
        <v>173</v>
      </c>
      <c r="J413" s="536" t="s">
        <v>174</v>
      </c>
      <c r="K413" s="537"/>
      <c r="L413" s="537"/>
      <c r="M413" s="538">
        <f>IF(K413&gt;0,VLOOKUP(H413,'[5]Pob. Ext, Parroquial'!$B$8:$F$117,4,FALSE),0)</f>
        <v>0</v>
      </c>
      <c r="N413" s="539" t="s">
        <v>470</v>
      </c>
      <c r="O413" s="540" t="s">
        <v>418</v>
      </c>
      <c r="P413" s="540">
        <v>9.9600000000000009</v>
      </c>
      <c r="Q413" s="688">
        <v>800</v>
      </c>
      <c r="R413" s="540"/>
      <c r="S413" s="541">
        <v>41699</v>
      </c>
      <c r="T413" s="541">
        <v>41759</v>
      </c>
      <c r="U413" s="542" t="str">
        <f t="shared" si="70"/>
        <v>EJECUTADO</v>
      </c>
      <c r="V413" s="550">
        <f t="shared" si="71"/>
        <v>7968</v>
      </c>
      <c r="W413" s="543">
        <v>6064</v>
      </c>
      <c r="X413" s="543">
        <f t="shared" si="61"/>
        <v>2856</v>
      </c>
      <c r="Y413" s="544"/>
      <c r="Z413" s="544"/>
      <c r="AA413" s="1072"/>
      <c r="AB413" s="640"/>
      <c r="AC413" s="545" t="s">
        <v>417</v>
      </c>
      <c r="AD413" s="545" t="s">
        <v>178</v>
      </c>
      <c r="AE413" s="546" t="s">
        <v>179</v>
      </c>
      <c r="AF413" s="547">
        <v>2014</v>
      </c>
      <c r="AG413" s="639"/>
      <c r="AH413" s="639"/>
    </row>
    <row r="414" spans="1:34" s="94" customFormat="1" ht="50.1" hidden="1" customHeight="1">
      <c r="A414" s="641"/>
      <c r="B414" s="635"/>
      <c r="C414" s="635" t="s">
        <v>182</v>
      </c>
      <c r="D414" s="682" t="s">
        <v>471</v>
      </c>
      <c r="E414" s="636" t="str">
        <f t="shared" si="67"/>
        <v>MANTENIMIENTO DE LA VIA EL CISNE - GUALEL - CHUQUIRIBAMBA  L=22 km.</v>
      </c>
      <c r="F414" s="536" t="s">
        <v>415</v>
      </c>
      <c r="G414" s="536" t="str">
        <f>VLOOKUP(H414,'[5]Pob. Ext, Parroquial'!$B$9:$C$117,2,0)</f>
        <v>LOJA</v>
      </c>
      <c r="H414" s="536" t="s">
        <v>430</v>
      </c>
      <c r="I414" s="536" t="s">
        <v>173</v>
      </c>
      <c r="J414" s="536" t="s">
        <v>174</v>
      </c>
      <c r="K414" s="537"/>
      <c r="L414" s="537"/>
      <c r="M414" s="538">
        <f>IF(K414&gt;0,VLOOKUP(H414,'[5]Pob. Ext, Parroquial'!$B$8:$F$117,4,FALSE),0)</f>
        <v>0</v>
      </c>
      <c r="N414" s="539" t="s">
        <v>469</v>
      </c>
      <c r="O414" s="540" t="s">
        <v>418</v>
      </c>
      <c r="P414" s="540">
        <v>1.46</v>
      </c>
      <c r="Q414" s="688">
        <v>14400</v>
      </c>
      <c r="R414" s="540"/>
      <c r="S414" s="541">
        <v>41699</v>
      </c>
      <c r="T414" s="541">
        <v>41729</v>
      </c>
      <c r="U414" s="542" t="str">
        <f t="shared" si="70"/>
        <v>EJECUTADO</v>
      </c>
      <c r="V414" s="550">
        <f t="shared" si="71"/>
        <v>21024</v>
      </c>
      <c r="W414" s="543">
        <v>14832</v>
      </c>
      <c r="X414" s="543">
        <f t="shared" si="61"/>
        <v>9288</v>
      </c>
      <c r="Y414" s="544"/>
      <c r="Z414" s="544"/>
      <c r="AA414" s="643">
        <f>V414+Y414+Z414</f>
        <v>21024</v>
      </c>
      <c r="AB414" s="640"/>
      <c r="AC414" s="545" t="s">
        <v>417</v>
      </c>
      <c r="AD414" s="545" t="s">
        <v>178</v>
      </c>
      <c r="AE414" s="546" t="s">
        <v>179</v>
      </c>
      <c r="AF414" s="547">
        <v>2014</v>
      </c>
      <c r="AG414" s="639"/>
      <c r="AH414" s="639"/>
    </row>
    <row r="415" spans="1:34" s="94" customFormat="1" ht="50.1" hidden="1" customHeight="1">
      <c r="A415" s="683"/>
      <c r="B415" s="645"/>
      <c r="C415" s="635" t="s">
        <v>182</v>
      </c>
      <c r="D415" s="1091" t="s">
        <v>472</v>
      </c>
      <c r="E415" s="636" t="str">
        <f t="shared" si="67"/>
        <v>MANTENIMIENTO DE LA VÍA EL CISNE - AMBOCAS L=24 km.</v>
      </c>
      <c r="F415" s="536" t="s">
        <v>415</v>
      </c>
      <c r="G415" s="536" t="str">
        <f>VLOOKUP(H415,'[5]Pob. Ext, Parroquial'!$B$9:$C$117,2,0)</f>
        <v>LOJA</v>
      </c>
      <c r="H415" s="536" t="s">
        <v>430</v>
      </c>
      <c r="I415" s="536" t="s">
        <v>173</v>
      </c>
      <c r="J415" s="536" t="s">
        <v>174</v>
      </c>
      <c r="K415" s="537"/>
      <c r="L415" s="537"/>
      <c r="M415" s="538">
        <f>IF(K415&gt;0,VLOOKUP(H415,'[5]Pob. Ext, Parroquial'!$B$8:$F$117,4,FALSE),0)</f>
        <v>0</v>
      </c>
      <c r="N415" s="539" t="s">
        <v>469</v>
      </c>
      <c r="O415" s="540" t="s">
        <v>418</v>
      </c>
      <c r="P415" s="540">
        <v>1.46</v>
      </c>
      <c r="Q415" s="688">
        <v>5000</v>
      </c>
      <c r="R415" s="540"/>
      <c r="S415" s="541">
        <v>41699</v>
      </c>
      <c r="T415" s="541">
        <v>41759</v>
      </c>
      <c r="U415" s="542" t="str">
        <f t="shared" si="70"/>
        <v>EJECUTADO</v>
      </c>
      <c r="V415" s="550">
        <f>ROUND(P415*Q415,2)</f>
        <v>7300</v>
      </c>
      <c r="W415" s="543">
        <v>5150</v>
      </c>
      <c r="X415" s="543">
        <f t="shared" si="61"/>
        <v>3225</v>
      </c>
      <c r="Y415" s="544"/>
      <c r="Z415" s="544"/>
      <c r="AA415" s="660">
        <f>SUBTOTAL(9,X415:X416)</f>
        <v>0</v>
      </c>
      <c r="AB415" s="640"/>
      <c r="AC415" s="545" t="s">
        <v>417</v>
      </c>
      <c r="AD415" s="545" t="s">
        <v>178</v>
      </c>
      <c r="AE415" s="546" t="s">
        <v>179</v>
      </c>
      <c r="AF415" s="547">
        <v>2014</v>
      </c>
      <c r="AG415" s="639"/>
      <c r="AH415" s="639"/>
    </row>
    <row r="416" spans="1:34" s="94" customFormat="1" ht="50.1" hidden="1" customHeight="1">
      <c r="A416" s="685"/>
      <c r="B416" s="648"/>
      <c r="C416" s="635" t="s">
        <v>182</v>
      </c>
      <c r="D416" s="1092"/>
      <c r="E416" s="655" t="str">
        <f t="shared" ref="E416:E445" si="80">+E415</f>
        <v>MANTENIMIENTO DE LA VÍA EL CISNE - AMBOCAS L=24 km.</v>
      </c>
      <c r="F416" s="536" t="s">
        <v>415</v>
      </c>
      <c r="G416" s="536" t="str">
        <f>VLOOKUP(H416,'[5]Pob. Ext, Parroquial'!$B$9:$C$117,2,0)</f>
        <v>LOJA</v>
      </c>
      <c r="H416" s="536" t="s">
        <v>430</v>
      </c>
      <c r="I416" s="536" t="s">
        <v>173</v>
      </c>
      <c r="J416" s="536" t="s">
        <v>174</v>
      </c>
      <c r="K416" s="537"/>
      <c r="L416" s="537"/>
      <c r="M416" s="538">
        <f>IF(K416&gt;0,VLOOKUP(H416,'[5]Pob. Ext, Parroquial'!$B$8:$F$117,4,FALSE),0)</f>
        <v>0</v>
      </c>
      <c r="N416" s="539" t="s">
        <v>473</v>
      </c>
      <c r="O416" s="540" t="s">
        <v>418</v>
      </c>
      <c r="P416" s="540">
        <v>8.11</v>
      </c>
      <c r="Q416" s="688">
        <v>540</v>
      </c>
      <c r="R416" s="540"/>
      <c r="S416" s="541">
        <v>41730</v>
      </c>
      <c r="T416" s="541">
        <v>41759</v>
      </c>
      <c r="U416" s="542" t="str">
        <f t="shared" si="70"/>
        <v>EJECUTADO</v>
      </c>
      <c r="V416" s="550">
        <f t="shared" ref="V416:V444" si="81">ROUND(P416*Q416,2)</f>
        <v>4379.3999999999996</v>
      </c>
      <c r="W416" s="543">
        <v>4093.2</v>
      </c>
      <c r="X416" s="543">
        <f t="shared" si="61"/>
        <v>429.29999999999973</v>
      </c>
      <c r="Y416" s="544"/>
      <c r="Z416" s="544"/>
      <c r="AA416" s="662"/>
      <c r="AB416" s="640"/>
      <c r="AC416" s="545" t="s">
        <v>417</v>
      </c>
      <c r="AD416" s="545" t="s">
        <v>178</v>
      </c>
      <c r="AE416" s="546" t="s">
        <v>179</v>
      </c>
      <c r="AF416" s="547">
        <v>2014</v>
      </c>
      <c r="AG416" s="639"/>
      <c r="AH416" s="639"/>
    </row>
    <row r="417" spans="1:34" s="94" customFormat="1" ht="50.1" hidden="1" customHeight="1">
      <c r="A417" s="683"/>
      <c r="B417" s="645"/>
      <c r="C417" s="635" t="s">
        <v>182</v>
      </c>
      <c r="D417" s="1091" t="s">
        <v>475</v>
      </c>
      <c r="E417" s="636" t="str">
        <f>+D417</f>
        <v xml:space="preserve">MANTENIMIENTO DE VIAS DE PARROQUIA MALACATOS SAN FRANCISCO BAJO - SAN FRANCISCOALTO-BELEN </v>
      </c>
      <c r="F417" s="536" t="s">
        <v>415</v>
      </c>
      <c r="G417" s="536" t="str">
        <f>VLOOKUP(H417,'[5]Pob. Ext, Parroquial'!$B$9:$C$117,2,0)</f>
        <v>LOJA</v>
      </c>
      <c r="H417" s="536" t="s">
        <v>430</v>
      </c>
      <c r="I417" s="536" t="s">
        <v>173</v>
      </c>
      <c r="J417" s="536" t="s">
        <v>174</v>
      </c>
      <c r="K417" s="537">
        <v>5.8</v>
      </c>
      <c r="L417" s="537">
        <f>ROUNDUP(Q417/5.5/1000,2)</f>
        <v>9.6</v>
      </c>
      <c r="M417" s="538">
        <f>IF(K417&gt;0,VLOOKUP(H417,'[5]Pob. Ext, Parroquial'!$B$8:$F$117,4,FALSE),0)</f>
        <v>20662</v>
      </c>
      <c r="N417" s="539" t="s">
        <v>282</v>
      </c>
      <c r="O417" s="540" t="s">
        <v>224</v>
      </c>
      <c r="P417" s="540">
        <v>0.35</v>
      </c>
      <c r="Q417" s="688">
        <v>52800</v>
      </c>
      <c r="R417" s="540"/>
      <c r="S417" s="541">
        <v>41699</v>
      </c>
      <c r="T417" s="541">
        <v>41759</v>
      </c>
      <c r="U417" s="542" t="str">
        <f t="shared" si="70"/>
        <v>EJECUTADO</v>
      </c>
      <c r="V417" s="550">
        <f t="shared" si="81"/>
        <v>18480</v>
      </c>
      <c r="W417" s="694">
        <v>13200</v>
      </c>
      <c r="X417" s="543">
        <f t="shared" si="61"/>
        <v>7920</v>
      </c>
      <c r="Y417" s="544"/>
      <c r="Z417" s="544"/>
      <c r="AA417" s="1080">
        <f>SUM(V417:V420)</f>
        <v>49678.079999999994</v>
      </c>
      <c r="AB417" s="640"/>
      <c r="AC417" s="545" t="s">
        <v>417</v>
      </c>
      <c r="AD417" s="545" t="s">
        <v>178</v>
      </c>
      <c r="AE417" s="546" t="s">
        <v>179</v>
      </c>
      <c r="AF417" s="547">
        <v>2014</v>
      </c>
      <c r="AG417" s="639"/>
      <c r="AH417" s="639"/>
    </row>
    <row r="418" spans="1:34" s="94" customFormat="1" ht="50.1" hidden="1" customHeight="1">
      <c r="A418" s="685"/>
      <c r="B418" s="648"/>
      <c r="C418" s="635" t="s">
        <v>169</v>
      </c>
      <c r="D418" s="1092"/>
      <c r="E418" s="655" t="str">
        <f t="shared" ref="E418:E420" si="82">+E417</f>
        <v xml:space="preserve">MANTENIMIENTO DE VIAS DE PARROQUIA MALACATOS SAN FRANCISCO BAJO - SAN FRANCISCOALTO-BELEN </v>
      </c>
      <c r="F418" s="536" t="s">
        <v>415</v>
      </c>
      <c r="G418" s="536" t="str">
        <f>VLOOKUP(H418,'[5]Pob. Ext, Parroquial'!$B$9:$C$117,2,0)</f>
        <v>LOJA</v>
      </c>
      <c r="H418" s="536" t="s">
        <v>430</v>
      </c>
      <c r="I418" s="536" t="s">
        <v>173</v>
      </c>
      <c r="J418" s="536" t="s">
        <v>174</v>
      </c>
      <c r="K418" s="537"/>
      <c r="L418" s="537">
        <f>+ROUND(Q418/5500/0.2,2)</f>
        <v>3.27</v>
      </c>
      <c r="M418" s="538">
        <f>IF(K418&gt;0,VLOOKUP(H418,'[5]Pob. Ext, Parroquial'!$B$8:$F$117,4,FALSE),0)</f>
        <v>0</v>
      </c>
      <c r="N418" s="539" t="s">
        <v>229</v>
      </c>
      <c r="O418" s="540" t="s">
        <v>418</v>
      </c>
      <c r="P418" s="540">
        <v>5.92</v>
      </c>
      <c r="Q418" s="688">
        <v>3600</v>
      </c>
      <c r="R418" s="540"/>
      <c r="S418" s="541">
        <v>41699</v>
      </c>
      <c r="T418" s="541">
        <v>41759</v>
      </c>
      <c r="U418" s="542" t="str">
        <f t="shared" si="70"/>
        <v>EJECUTADO</v>
      </c>
      <c r="V418" s="550">
        <f t="shared" si="81"/>
        <v>21312</v>
      </c>
      <c r="W418" s="694">
        <v>18720</v>
      </c>
      <c r="X418" s="543">
        <f t="shared" si="61"/>
        <v>3888</v>
      </c>
      <c r="Y418" s="544"/>
      <c r="Z418" s="544"/>
      <c r="AA418" s="1081"/>
      <c r="AB418" s="640"/>
      <c r="AC418" s="545" t="s">
        <v>417</v>
      </c>
      <c r="AD418" s="545" t="s">
        <v>178</v>
      </c>
      <c r="AE418" s="546" t="s">
        <v>179</v>
      </c>
      <c r="AF418" s="547">
        <v>2014</v>
      </c>
      <c r="AG418" s="639"/>
      <c r="AH418" s="639"/>
    </row>
    <row r="419" spans="1:34" s="94" customFormat="1" ht="50.1" hidden="1" customHeight="1">
      <c r="A419" s="685"/>
      <c r="B419" s="648"/>
      <c r="C419" s="635" t="s">
        <v>169</v>
      </c>
      <c r="D419" s="1092"/>
      <c r="E419" s="655" t="str">
        <f t="shared" si="82"/>
        <v xml:space="preserve">MANTENIMIENTO DE VIAS DE PARROQUIA MALACATOS SAN FRANCISCO BAJO - SAN FRANCISCOALTO-BELEN </v>
      </c>
      <c r="F419" s="536" t="s">
        <v>415</v>
      </c>
      <c r="G419" s="536" t="str">
        <f>VLOOKUP(H419,'[5]Pob. Ext, Parroquial'!$B$9:$C$117,2,0)</f>
        <v>LOJA</v>
      </c>
      <c r="H419" s="536" t="s">
        <v>430</v>
      </c>
      <c r="I419" s="536" t="s">
        <v>173</v>
      </c>
      <c r="J419" s="536" t="s">
        <v>174</v>
      </c>
      <c r="K419" s="537"/>
      <c r="L419" s="537"/>
      <c r="M419" s="538">
        <f>IF(K419&gt;0,VLOOKUP(H419,'[5]Pob. Ext, Parroquial'!$B$8:$F$117,4,FALSE),0)</f>
        <v>0</v>
      </c>
      <c r="N419" s="539" t="s">
        <v>470</v>
      </c>
      <c r="O419" s="540" t="s">
        <v>418</v>
      </c>
      <c r="P419" s="540">
        <v>9.9600000000000009</v>
      </c>
      <c r="Q419" s="688">
        <v>588</v>
      </c>
      <c r="R419" s="540"/>
      <c r="S419" s="541">
        <v>41699</v>
      </c>
      <c r="T419" s="541">
        <v>41729</v>
      </c>
      <c r="U419" s="542" t="str">
        <f t="shared" si="70"/>
        <v>EJECUTADO</v>
      </c>
      <c r="V419" s="550">
        <f t="shared" si="81"/>
        <v>5856.48</v>
      </c>
      <c r="W419" s="694">
        <v>4457.04</v>
      </c>
      <c r="X419" s="543">
        <f t="shared" si="61"/>
        <v>2099.1599999999994</v>
      </c>
      <c r="Y419" s="544"/>
      <c r="Z419" s="544"/>
      <c r="AA419" s="1081"/>
      <c r="AB419" s="640"/>
      <c r="AC419" s="545" t="s">
        <v>417</v>
      </c>
      <c r="AD419" s="545" t="s">
        <v>178</v>
      </c>
      <c r="AE419" s="546" t="s">
        <v>179</v>
      </c>
      <c r="AF419" s="547">
        <v>2014</v>
      </c>
      <c r="AG419" s="639"/>
      <c r="AH419" s="639"/>
    </row>
    <row r="420" spans="1:34" s="94" customFormat="1" ht="50.1" hidden="1" customHeight="1">
      <c r="A420" s="687"/>
      <c r="B420" s="646"/>
      <c r="C420" s="635" t="s">
        <v>169</v>
      </c>
      <c r="D420" s="1093"/>
      <c r="E420" s="655" t="str">
        <f t="shared" si="82"/>
        <v xml:space="preserve">MANTENIMIENTO DE VIAS DE PARROQUIA MALACATOS SAN FRANCISCO BAJO - SAN FRANCISCOALTO-BELEN </v>
      </c>
      <c r="F420" s="536" t="s">
        <v>415</v>
      </c>
      <c r="G420" s="536" t="str">
        <f>VLOOKUP(H420,'[5]Pob. Ext, Parroquial'!$B$9:$C$117,2,0)</f>
        <v>LOJA</v>
      </c>
      <c r="H420" s="536" t="s">
        <v>430</v>
      </c>
      <c r="I420" s="536" t="s">
        <v>173</v>
      </c>
      <c r="J420" s="536" t="s">
        <v>174</v>
      </c>
      <c r="K420" s="537"/>
      <c r="L420" s="537"/>
      <c r="M420" s="538">
        <f>IF(K420&gt;0,VLOOKUP(H420,'[5]Pob. Ext, Parroquial'!$B$8:$F$117,4,FALSE),0)</f>
        <v>0</v>
      </c>
      <c r="N420" s="695" t="s">
        <v>439</v>
      </c>
      <c r="O420" s="540" t="s">
        <v>420</v>
      </c>
      <c r="P420" s="540">
        <v>0.3</v>
      </c>
      <c r="Q420" s="688">
        <v>13432</v>
      </c>
      <c r="R420" s="540"/>
      <c r="S420" s="541">
        <v>41699</v>
      </c>
      <c r="T420" s="541">
        <v>41759</v>
      </c>
      <c r="U420" s="542" t="str">
        <f t="shared" si="70"/>
        <v>EJECUTADO</v>
      </c>
      <c r="V420" s="550">
        <f t="shared" si="81"/>
        <v>4029.6</v>
      </c>
      <c r="W420" s="694">
        <v>3223.68</v>
      </c>
      <c r="X420" s="543">
        <f t="shared" si="61"/>
        <v>1208.8800000000001</v>
      </c>
      <c r="Y420" s="544"/>
      <c r="Z420" s="544"/>
      <c r="AA420" s="1082"/>
      <c r="AB420" s="640"/>
      <c r="AC420" s="545" t="s">
        <v>417</v>
      </c>
      <c r="AD420" s="545" t="s">
        <v>178</v>
      </c>
      <c r="AE420" s="546" t="s">
        <v>179</v>
      </c>
      <c r="AF420" s="547">
        <v>2014</v>
      </c>
      <c r="AG420" s="639"/>
      <c r="AH420" s="639"/>
    </row>
    <row r="421" spans="1:34" s="94" customFormat="1" ht="50.1" hidden="1" customHeight="1">
      <c r="A421" s="1068"/>
      <c r="B421" s="1076"/>
      <c r="C421" s="635" t="s">
        <v>182</v>
      </c>
      <c r="D421" s="1091" t="s">
        <v>476</v>
      </c>
      <c r="E421" s="636" t="str">
        <f>+D421</f>
        <v>MANTENIMIENTO DE LA VIA VILLONACO-TAQUIL-CHANTACO-CHUQUIRIBAMBA  L=40 KM.</v>
      </c>
      <c r="F421" s="536" t="s">
        <v>415</v>
      </c>
      <c r="G421" s="536" t="str">
        <f>VLOOKUP(H421,'[5]Pob. Ext, Parroquial'!$B$9:$C$117,2,0)</f>
        <v>LOJA</v>
      </c>
      <c r="H421" s="536" t="s">
        <v>477</v>
      </c>
      <c r="I421" s="536" t="s">
        <v>173</v>
      </c>
      <c r="J421" s="536" t="s">
        <v>174</v>
      </c>
      <c r="K421" s="537">
        <v>10.63</v>
      </c>
      <c r="L421" s="537">
        <f>ROUNDUP(Q421/5.5/1000,2)</f>
        <v>47.6</v>
      </c>
      <c r="M421" s="538">
        <f>IF(K421&gt;0,VLOOKUP(H421,'[5]Pob. Ext, Parroquial'!$B$8:$F$117,4,FALSE),0)</f>
        <v>2613</v>
      </c>
      <c r="N421" s="539" t="s">
        <v>282</v>
      </c>
      <c r="O421" s="540" t="s">
        <v>224</v>
      </c>
      <c r="P421" s="540">
        <v>0.35</v>
      </c>
      <c r="Q421" s="688">
        <v>261800</v>
      </c>
      <c r="R421" s="540"/>
      <c r="S421" s="541">
        <v>41699</v>
      </c>
      <c r="T421" s="541">
        <v>41820</v>
      </c>
      <c r="U421" s="542" t="str">
        <f t="shared" si="70"/>
        <v>EJECUTADO</v>
      </c>
      <c r="V421" s="550">
        <f t="shared" si="81"/>
        <v>91630</v>
      </c>
      <c r="W421" s="543">
        <v>39002.5</v>
      </c>
      <c r="X421" s="543">
        <f t="shared" si="61"/>
        <v>78941.25</v>
      </c>
      <c r="Y421" s="544"/>
      <c r="Z421" s="544"/>
      <c r="AA421" s="1072">
        <f>SUM(V421:V425)</f>
        <v>218197.27000000002</v>
      </c>
      <c r="AB421" s="640"/>
      <c r="AC421" s="545" t="s">
        <v>417</v>
      </c>
      <c r="AD421" s="545" t="s">
        <v>178</v>
      </c>
      <c r="AE421" s="546" t="s">
        <v>179</v>
      </c>
      <c r="AF421" s="547">
        <v>2014</v>
      </c>
      <c r="AG421" s="639"/>
      <c r="AH421" s="639"/>
    </row>
    <row r="422" spans="1:34" s="94" customFormat="1" ht="50.1" hidden="1" customHeight="1">
      <c r="A422" s="1068"/>
      <c r="B422" s="1076"/>
      <c r="C422" s="635" t="s">
        <v>169</v>
      </c>
      <c r="D422" s="1092"/>
      <c r="E422" s="655" t="str">
        <f t="shared" ref="E422:E425" si="83">+E421</f>
        <v>MANTENIMIENTO DE LA VIA VILLONACO-TAQUIL-CHANTACO-CHUQUIRIBAMBA  L=40 KM.</v>
      </c>
      <c r="F422" s="536" t="s">
        <v>415</v>
      </c>
      <c r="G422" s="536" t="str">
        <f>VLOOKUP(H422,'[5]Pob. Ext, Parroquial'!$B$9:$C$117,2,0)</f>
        <v>LOJA</v>
      </c>
      <c r="H422" s="536" t="s">
        <v>478</v>
      </c>
      <c r="I422" s="536" t="s">
        <v>173</v>
      </c>
      <c r="J422" s="536" t="s">
        <v>174</v>
      </c>
      <c r="K422" s="537">
        <v>10.63</v>
      </c>
      <c r="L422" s="537">
        <f>+ROUND(Q422/5500/0.2,2)</f>
        <v>14.87</v>
      </c>
      <c r="M422" s="538">
        <f>IF(K422&gt;0,VLOOKUP(H422,'[5]Pob. Ext, Parroquial'!$B$8:$F$117,4,FALSE),0)</f>
        <v>696</v>
      </c>
      <c r="N422" s="539" t="s">
        <v>479</v>
      </c>
      <c r="O422" s="540" t="s">
        <v>418</v>
      </c>
      <c r="P422" s="540">
        <v>5.92</v>
      </c>
      <c r="Q422" s="688">
        <v>16356</v>
      </c>
      <c r="R422" s="540"/>
      <c r="S422" s="541">
        <v>41699</v>
      </c>
      <c r="T422" s="541">
        <v>41820</v>
      </c>
      <c r="U422" s="542" t="str">
        <f t="shared" si="70"/>
        <v>EJECUTADO</v>
      </c>
      <c r="V422" s="550">
        <f t="shared" si="81"/>
        <v>96827.520000000004</v>
      </c>
      <c r="W422" s="543">
        <v>43898.400000000001</v>
      </c>
      <c r="X422" s="543">
        <f t="shared" si="61"/>
        <v>79393.680000000008</v>
      </c>
      <c r="Y422" s="544"/>
      <c r="Z422" s="544"/>
      <c r="AA422" s="1072"/>
      <c r="AB422" s="640"/>
      <c r="AC422" s="545" t="s">
        <v>417</v>
      </c>
      <c r="AD422" s="545" t="s">
        <v>178</v>
      </c>
      <c r="AE422" s="546" t="s">
        <v>179</v>
      </c>
      <c r="AF422" s="547">
        <v>2014</v>
      </c>
      <c r="AG422" s="639"/>
      <c r="AH422" s="639"/>
    </row>
    <row r="423" spans="1:34" s="94" customFormat="1" ht="50.1" hidden="1" customHeight="1">
      <c r="A423" s="1068"/>
      <c r="B423" s="1076"/>
      <c r="C423" s="635" t="s">
        <v>169</v>
      </c>
      <c r="D423" s="1092"/>
      <c r="E423" s="655" t="str">
        <f t="shared" si="83"/>
        <v>MANTENIMIENTO DE LA VIA VILLONACO-TAQUIL-CHANTACO-CHUQUIRIBAMBA  L=40 KM.</v>
      </c>
      <c r="F423" s="536" t="s">
        <v>415</v>
      </c>
      <c r="G423" s="536" t="str">
        <f>VLOOKUP(H423,'[5]Pob. Ext, Parroquial'!$B$9:$C$117,2,0)</f>
        <v>LOJA</v>
      </c>
      <c r="H423" s="536" t="s">
        <v>480</v>
      </c>
      <c r="I423" s="536" t="s">
        <v>173</v>
      </c>
      <c r="J423" s="536" t="s">
        <v>174</v>
      </c>
      <c r="K423" s="537">
        <v>10.63</v>
      </c>
      <c r="L423" s="537"/>
      <c r="M423" s="538">
        <f>IF(K423&gt;0,VLOOKUP(H423,'[5]Pob. Ext, Parroquial'!$B$8:$F$117,4,FALSE),0)</f>
        <v>1446</v>
      </c>
      <c r="N423" s="539" t="s">
        <v>439</v>
      </c>
      <c r="O423" s="540" t="s">
        <v>420</v>
      </c>
      <c r="P423" s="540">
        <v>0.3</v>
      </c>
      <c r="Q423" s="688">
        <v>57760</v>
      </c>
      <c r="R423" s="540"/>
      <c r="S423" s="541">
        <v>41699</v>
      </c>
      <c r="T423" s="541">
        <v>41820</v>
      </c>
      <c r="U423" s="542" t="str">
        <f t="shared" si="70"/>
        <v>EJECUTADO</v>
      </c>
      <c r="V423" s="550">
        <f t="shared" si="81"/>
        <v>17328</v>
      </c>
      <c r="W423" s="543">
        <v>4564.32</v>
      </c>
      <c r="X423" s="543">
        <f t="shared" si="61"/>
        <v>19145.52</v>
      </c>
      <c r="Y423" s="544"/>
      <c r="Z423" s="544"/>
      <c r="AA423" s="1072"/>
      <c r="AB423" s="640"/>
      <c r="AC423" s="545" t="s">
        <v>417</v>
      </c>
      <c r="AD423" s="545" t="s">
        <v>178</v>
      </c>
      <c r="AE423" s="546" t="s">
        <v>179</v>
      </c>
      <c r="AF423" s="547">
        <v>2014</v>
      </c>
      <c r="AG423" s="639"/>
      <c r="AH423" s="639"/>
    </row>
    <row r="424" spans="1:34" s="94" customFormat="1" ht="50.1" hidden="1" customHeight="1">
      <c r="A424" s="1068"/>
      <c r="B424" s="1076"/>
      <c r="C424" s="635" t="s">
        <v>169</v>
      </c>
      <c r="D424" s="1092"/>
      <c r="E424" s="655" t="str">
        <f t="shared" si="83"/>
        <v>MANTENIMIENTO DE LA VIA VILLONACO-TAQUIL-CHANTACO-CHUQUIRIBAMBA  L=40 KM.</v>
      </c>
      <c r="F424" s="536" t="s">
        <v>415</v>
      </c>
      <c r="G424" s="536" t="str">
        <f>VLOOKUP(H424,'[5]Pob. Ext, Parroquial'!$B$9:$C$117,2,0)</f>
        <v>LOJA</v>
      </c>
      <c r="H424" s="536" t="s">
        <v>480</v>
      </c>
      <c r="I424" s="536" t="s">
        <v>173</v>
      </c>
      <c r="J424" s="536" t="s">
        <v>174</v>
      </c>
      <c r="K424" s="537"/>
      <c r="L424" s="537"/>
      <c r="M424" s="538"/>
      <c r="N424" s="539" t="s">
        <v>470</v>
      </c>
      <c r="O424" s="540" t="s">
        <v>418</v>
      </c>
      <c r="P424" s="540">
        <v>9.9600000000000009</v>
      </c>
      <c r="Q424" s="688">
        <v>400</v>
      </c>
      <c r="R424" s="540"/>
      <c r="S424" s="541">
        <v>41730</v>
      </c>
      <c r="T424" s="541">
        <v>41759</v>
      </c>
      <c r="U424" s="542" t="str">
        <f t="shared" si="70"/>
        <v>EJECUTADO</v>
      </c>
      <c r="V424" s="550">
        <f t="shared" si="81"/>
        <v>3984</v>
      </c>
      <c r="W424" s="543">
        <v>3032</v>
      </c>
      <c r="X424" s="543">
        <f t="shared" si="61"/>
        <v>1428</v>
      </c>
      <c r="Y424" s="544"/>
      <c r="Z424" s="544"/>
      <c r="AA424" s="1072"/>
      <c r="AB424" s="640"/>
      <c r="AC424" s="545" t="s">
        <v>417</v>
      </c>
      <c r="AD424" s="545" t="s">
        <v>178</v>
      </c>
      <c r="AE424" s="546" t="s">
        <v>179</v>
      </c>
      <c r="AF424" s="547">
        <v>2014</v>
      </c>
      <c r="AG424" s="639"/>
      <c r="AH424" s="639"/>
    </row>
    <row r="425" spans="1:34" s="94" customFormat="1" ht="50.1" hidden="1" customHeight="1">
      <c r="A425" s="1068"/>
      <c r="B425" s="1076"/>
      <c r="C425" s="635" t="s">
        <v>353</v>
      </c>
      <c r="D425" s="1093"/>
      <c r="E425" s="655" t="str">
        <f t="shared" si="83"/>
        <v>MANTENIMIENTO DE LA VIA VILLONACO-TAQUIL-CHANTACO-CHUQUIRIBAMBA  L=40 KM.</v>
      </c>
      <c r="F425" s="536" t="s">
        <v>415</v>
      </c>
      <c r="G425" s="536" t="str">
        <f>VLOOKUP(H425,'[5]Pob. Ext, Parroquial'!$B$9:$C$117,2,0)</f>
        <v>LOJA</v>
      </c>
      <c r="H425" s="536" t="s">
        <v>480</v>
      </c>
      <c r="I425" s="536" t="s">
        <v>173</v>
      </c>
      <c r="J425" s="536" t="s">
        <v>174</v>
      </c>
      <c r="K425" s="537"/>
      <c r="L425" s="537"/>
      <c r="M425" s="538"/>
      <c r="N425" s="539" t="s">
        <v>481</v>
      </c>
      <c r="O425" s="540" t="s">
        <v>482</v>
      </c>
      <c r="P425" s="540">
        <v>561.85</v>
      </c>
      <c r="Q425" s="688">
        <v>15</v>
      </c>
      <c r="R425" s="540"/>
      <c r="S425" s="541">
        <v>41730</v>
      </c>
      <c r="T425" s="541">
        <v>41759</v>
      </c>
      <c r="U425" s="542" t="str">
        <f t="shared" si="70"/>
        <v>EJECUTADO</v>
      </c>
      <c r="V425" s="550">
        <f t="shared" si="81"/>
        <v>8427.75</v>
      </c>
      <c r="W425" s="543">
        <v>8427.75</v>
      </c>
      <c r="X425" s="543">
        <f t="shared" si="61"/>
        <v>0</v>
      </c>
      <c r="Y425" s="544"/>
      <c r="Z425" s="544"/>
      <c r="AA425" s="1072"/>
      <c r="AB425" s="640"/>
      <c r="AC425" s="545" t="s">
        <v>417</v>
      </c>
      <c r="AD425" s="545" t="s">
        <v>178</v>
      </c>
      <c r="AE425" s="546" t="s">
        <v>179</v>
      </c>
      <c r="AF425" s="547">
        <v>2014</v>
      </c>
      <c r="AG425" s="639"/>
      <c r="AH425" s="639"/>
    </row>
    <row r="426" spans="1:34" s="94" customFormat="1" ht="50.1" hidden="1" customHeight="1">
      <c r="A426" s="1068"/>
      <c r="B426" s="1076"/>
      <c r="C426" s="635" t="s">
        <v>169</v>
      </c>
      <c r="D426" s="1091" t="s">
        <v>483</v>
      </c>
      <c r="E426" s="636" t="str">
        <f>+D426</f>
        <v>REHABILITACION DE LA VIA LOS MANGOS - CHAQUIRCUÑA L = 7.5 KM</v>
      </c>
      <c r="F426" s="536" t="s">
        <v>415</v>
      </c>
      <c r="G426" s="536" t="str">
        <f>VLOOKUP(H426,'[5]Pob. Ext, Parroquial'!$B$9:$C$117,2,0)</f>
        <v>LOJA</v>
      </c>
      <c r="H426" s="536" t="s">
        <v>484</v>
      </c>
      <c r="I426" s="536" t="s">
        <v>173</v>
      </c>
      <c r="J426" s="536" t="s">
        <v>174</v>
      </c>
      <c r="K426" s="537">
        <v>7.5</v>
      </c>
      <c r="L426" s="537"/>
      <c r="M426" s="538">
        <f>IF(K426&gt;0,VLOOKUP(H426,'[5]Pob. Ext, Parroquial'!$B$8:$F$117,4,FALSE),0)</f>
        <v>589</v>
      </c>
      <c r="N426" s="539" t="s">
        <v>485</v>
      </c>
      <c r="O426" s="540" t="s">
        <v>418</v>
      </c>
      <c r="P426" s="540">
        <v>36.880000000000003</v>
      </c>
      <c r="Q426" s="688">
        <v>700</v>
      </c>
      <c r="R426" s="540"/>
      <c r="S426" s="541">
        <v>41730</v>
      </c>
      <c r="T426" s="541">
        <v>41759</v>
      </c>
      <c r="U426" s="542" t="str">
        <f t="shared" si="70"/>
        <v>EJECUTADO</v>
      </c>
      <c r="V426" s="550">
        <f t="shared" si="81"/>
        <v>25816</v>
      </c>
      <c r="W426" s="543">
        <v>25816</v>
      </c>
      <c r="X426" s="543">
        <f t="shared" si="61"/>
        <v>0</v>
      </c>
      <c r="Y426" s="544"/>
      <c r="Z426" s="544"/>
      <c r="AA426" s="1072">
        <f>SUM(V426:V428)</f>
        <v>68928</v>
      </c>
      <c r="AB426" s="640"/>
      <c r="AC426" s="545" t="s">
        <v>417</v>
      </c>
      <c r="AD426" s="545" t="s">
        <v>178</v>
      </c>
      <c r="AE426" s="546" t="s">
        <v>179</v>
      </c>
      <c r="AF426" s="547">
        <v>2014</v>
      </c>
      <c r="AG426" s="639"/>
      <c r="AH426" s="639"/>
    </row>
    <row r="427" spans="1:34" s="94" customFormat="1" ht="50.1" hidden="1" customHeight="1">
      <c r="A427" s="1068"/>
      <c r="B427" s="1076"/>
      <c r="C427" s="635" t="s">
        <v>169</v>
      </c>
      <c r="D427" s="1092"/>
      <c r="E427" s="655" t="str">
        <f t="shared" ref="E427:E428" si="84">+E426</f>
        <v>REHABILITACION DE LA VIA LOS MANGOS - CHAQUIRCUÑA L = 7.5 KM</v>
      </c>
      <c r="F427" s="536" t="s">
        <v>415</v>
      </c>
      <c r="G427" s="536" t="str">
        <f>VLOOKUP(H427,'[5]Pob. Ext, Parroquial'!$B$9:$C$117,2,0)</f>
        <v>LOJA</v>
      </c>
      <c r="H427" s="536" t="s">
        <v>484</v>
      </c>
      <c r="I427" s="536" t="s">
        <v>173</v>
      </c>
      <c r="J427" s="536" t="s">
        <v>174</v>
      </c>
      <c r="K427" s="537"/>
      <c r="L427" s="537"/>
      <c r="M427" s="538">
        <f>IF(K427&gt;0,VLOOKUP(H427,'[5]Pob. Ext, Parroquial'!$B$8:$F$117,4,FALSE),0)</f>
        <v>0</v>
      </c>
      <c r="N427" s="539" t="s">
        <v>470</v>
      </c>
      <c r="O427" s="540" t="s">
        <v>418</v>
      </c>
      <c r="P427" s="540">
        <v>9.9600000000000009</v>
      </c>
      <c r="Q427" s="688">
        <v>3200</v>
      </c>
      <c r="R427" s="540"/>
      <c r="S427" s="541">
        <v>41730</v>
      </c>
      <c r="T427" s="541">
        <v>41759</v>
      </c>
      <c r="U427" s="542" t="str">
        <f t="shared" si="70"/>
        <v>EJECUTADO</v>
      </c>
      <c r="V427" s="550">
        <f t="shared" si="81"/>
        <v>31872</v>
      </c>
      <c r="W427" s="543">
        <v>24256</v>
      </c>
      <c r="X427" s="543">
        <f t="shared" si="61"/>
        <v>11424</v>
      </c>
      <c r="Y427" s="544"/>
      <c r="Z427" s="544"/>
      <c r="AA427" s="1072"/>
      <c r="AB427" s="640"/>
      <c r="AC427" s="545" t="s">
        <v>417</v>
      </c>
      <c r="AD427" s="545" t="s">
        <v>178</v>
      </c>
      <c r="AE427" s="546" t="s">
        <v>179</v>
      </c>
      <c r="AF427" s="547">
        <v>2014</v>
      </c>
      <c r="AG427" s="639"/>
      <c r="AH427" s="639"/>
    </row>
    <row r="428" spans="1:34" s="94" customFormat="1" ht="50.1" hidden="1" customHeight="1">
      <c r="A428" s="1068"/>
      <c r="B428" s="1076"/>
      <c r="C428" s="635" t="s">
        <v>182</v>
      </c>
      <c r="D428" s="1093"/>
      <c r="E428" s="655" t="str">
        <f t="shared" si="84"/>
        <v>REHABILITACION DE LA VIA LOS MANGOS - CHAQUIRCUÑA L = 7.5 KM</v>
      </c>
      <c r="F428" s="536" t="s">
        <v>415</v>
      </c>
      <c r="G428" s="536" t="str">
        <f>VLOOKUP(H428,'[5]Pob. Ext, Parroquial'!$B$9:$C$117,2,0)</f>
        <v>LOJA</v>
      </c>
      <c r="H428" s="536" t="s">
        <v>484</v>
      </c>
      <c r="I428" s="536" t="s">
        <v>173</v>
      </c>
      <c r="J428" s="536" t="s">
        <v>174</v>
      </c>
      <c r="K428" s="537"/>
      <c r="L428" s="537"/>
      <c r="M428" s="538">
        <f>IF(K428&gt;0,VLOOKUP(H428,'[5]Pob. Ext, Parroquial'!$B$8:$F$117,4,FALSE),0)</f>
        <v>0</v>
      </c>
      <c r="N428" s="539" t="s">
        <v>486</v>
      </c>
      <c r="O428" s="540" t="s">
        <v>176</v>
      </c>
      <c r="P428" s="540">
        <v>2.81</v>
      </c>
      <c r="Q428" s="688">
        <v>4000</v>
      </c>
      <c r="R428" s="540"/>
      <c r="S428" s="541">
        <v>41730</v>
      </c>
      <c r="T428" s="541">
        <v>41759</v>
      </c>
      <c r="U428" s="542" t="str">
        <f t="shared" si="70"/>
        <v>EJECUTADO</v>
      </c>
      <c r="V428" s="550">
        <f t="shared" si="81"/>
        <v>11240</v>
      </c>
      <c r="W428" s="543">
        <v>11240</v>
      </c>
      <c r="X428" s="543">
        <f t="shared" si="61"/>
        <v>0</v>
      </c>
      <c r="Y428" s="544"/>
      <c r="Z428" s="544"/>
      <c r="AA428" s="1072"/>
      <c r="AB428" s="640"/>
      <c r="AC428" s="545" t="s">
        <v>417</v>
      </c>
      <c r="AD428" s="545" t="s">
        <v>178</v>
      </c>
      <c r="AE428" s="546" t="s">
        <v>179</v>
      </c>
      <c r="AF428" s="547">
        <v>2014</v>
      </c>
      <c r="AG428" s="639"/>
      <c r="AH428" s="639"/>
    </row>
    <row r="429" spans="1:34" s="94" customFormat="1" ht="50.1" hidden="1" customHeight="1">
      <c r="A429" s="1068"/>
      <c r="B429" s="1076"/>
      <c r="C429" s="635" t="s">
        <v>182</v>
      </c>
      <c r="D429" s="1069" t="s">
        <v>497</v>
      </c>
      <c r="E429" s="636" t="str">
        <f>+D429</f>
        <v>MANTENIMIENTO DE LA VIA SOLAMAR - JIMBILLA L= 17.00 KM.</v>
      </c>
      <c r="F429" s="536" t="s">
        <v>415</v>
      </c>
      <c r="G429" s="536" t="str">
        <f>VLOOKUP(H429,'[5]Pob. Ext, Parroquial'!$B$9:$C$117,2,0)</f>
        <v>LOJA</v>
      </c>
      <c r="H429" s="670" t="s">
        <v>498</v>
      </c>
      <c r="I429" s="536" t="s">
        <v>173</v>
      </c>
      <c r="J429" s="536" t="s">
        <v>174</v>
      </c>
      <c r="K429" s="537">
        <v>17</v>
      </c>
      <c r="L429" s="537"/>
      <c r="M429" s="538">
        <f>IF(K429&gt;0,VLOOKUP(H429,'[5]Pob. Ext, Parroquial'!$B$8:$F$117,4,FALSE),0)</f>
        <v>539</v>
      </c>
      <c r="N429" s="539" t="s">
        <v>282</v>
      </c>
      <c r="O429" s="540" t="s">
        <v>184</v>
      </c>
      <c r="P429" s="540">
        <v>0.35</v>
      </c>
      <c r="Q429" s="688">
        <v>20000</v>
      </c>
      <c r="R429" s="540"/>
      <c r="S429" s="541">
        <v>41644</v>
      </c>
      <c r="T429" s="541">
        <v>41790</v>
      </c>
      <c r="U429" s="542" t="str">
        <f t="shared" si="70"/>
        <v>EJECUTADO</v>
      </c>
      <c r="V429" s="550">
        <f t="shared" si="81"/>
        <v>7000</v>
      </c>
      <c r="W429" s="543"/>
      <c r="X429" s="543">
        <f t="shared" si="61"/>
        <v>10500</v>
      </c>
      <c r="Y429" s="544"/>
      <c r="Z429" s="544"/>
      <c r="AA429" s="643">
        <f>V429+Y429+Z429</f>
        <v>7000</v>
      </c>
      <c r="AB429" s="640"/>
      <c r="AC429" s="545" t="s">
        <v>417</v>
      </c>
      <c r="AD429" s="545" t="s">
        <v>178</v>
      </c>
      <c r="AE429" s="546" t="s">
        <v>179</v>
      </c>
      <c r="AF429" s="547">
        <v>2014</v>
      </c>
      <c r="AG429" s="639"/>
      <c r="AH429" s="639"/>
    </row>
    <row r="430" spans="1:34" s="94" customFormat="1" ht="50.1" hidden="1" customHeight="1">
      <c r="A430" s="1068"/>
      <c r="B430" s="1076"/>
      <c r="C430" s="635" t="s">
        <v>182</v>
      </c>
      <c r="D430" s="1071"/>
      <c r="E430" s="655" t="str">
        <f t="shared" ref="E430" si="85">+E429</f>
        <v>MANTENIMIENTO DE LA VIA SOLAMAR - JIMBILLA L= 17.00 KM.</v>
      </c>
      <c r="F430" s="536" t="s">
        <v>415</v>
      </c>
      <c r="G430" s="536" t="str">
        <f>VLOOKUP(H430,'[5]Pob. Ext, Parroquial'!$B$9:$C$117,2,0)</f>
        <v>LOJA</v>
      </c>
      <c r="H430" s="670" t="s">
        <v>498</v>
      </c>
      <c r="I430" s="536" t="s">
        <v>173</v>
      </c>
      <c r="J430" s="536" t="s">
        <v>174</v>
      </c>
      <c r="K430" s="537"/>
      <c r="L430" s="537">
        <f>ROUNDUP(Q430/5.5/1000,2)</f>
        <v>6.9999999999999993E-2</v>
      </c>
      <c r="M430" s="538">
        <f>IF(K430&gt;0,VLOOKUP(H430,'[5]Pob. Ext, Parroquial'!$B$8:$F$117,4,FALSE),0)</f>
        <v>0</v>
      </c>
      <c r="N430" s="539" t="s">
        <v>489</v>
      </c>
      <c r="O430" s="540" t="s">
        <v>184</v>
      </c>
      <c r="P430" s="540">
        <v>0.35</v>
      </c>
      <c r="Q430" s="688">
        <v>336</v>
      </c>
      <c r="R430" s="540"/>
      <c r="S430" s="541">
        <v>41730</v>
      </c>
      <c r="T430" s="541">
        <v>41759</v>
      </c>
      <c r="U430" s="542" t="str">
        <f t="shared" si="70"/>
        <v>EJECUTADO</v>
      </c>
      <c r="V430" s="550">
        <f t="shared" si="81"/>
        <v>117.6</v>
      </c>
      <c r="W430" s="543"/>
      <c r="X430" s="543">
        <f t="shared" si="61"/>
        <v>176.39999999999998</v>
      </c>
      <c r="Y430" s="544"/>
      <c r="Z430" s="544"/>
      <c r="AA430" s="643">
        <f>V430+Y430+Z430</f>
        <v>117.6</v>
      </c>
      <c r="AB430" s="640"/>
      <c r="AC430" s="545" t="s">
        <v>417</v>
      </c>
      <c r="AD430" s="545" t="s">
        <v>178</v>
      </c>
      <c r="AE430" s="546" t="s">
        <v>179</v>
      </c>
      <c r="AF430" s="547">
        <v>2014</v>
      </c>
      <c r="AG430" s="639"/>
      <c r="AH430" s="639"/>
    </row>
    <row r="431" spans="1:34" s="94" customFormat="1" ht="50.1" hidden="1" customHeight="1">
      <c r="A431" s="641"/>
      <c r="B431" s="635"/>
      <c r="C431" s="635" t="s">
        <v>182</v>
      </c>
      <c r="D431" s="635" t="s">
        <v>499</v>
      </c>
      <c r="E431" s="636" t="str">
        <f>+D431</f>
        <v>MANTENIMIENTO DEL CADE</v>
      </c>
      <c r="F431" s="536" t="s">
        <v>415</v>
      </c>
      <c r="G431" s="536" t="str">
        <f>VLOOKUP(H431,'[5]Pob. Ext, Parroquial'!$B$9:$C$117,2,0)</f>
        <v>LOJA</v>
      </c>
      <c r="H431" s="536" t="s">
        <v>430</v>
      </c>
      <c r="I431" s="536" t="s">
        <v>173</v>
      </c>
      <c r="J431" s="536" t="s">
        <v>174</v>
      </c>
      <c r="K431" s="537"/>
      <c r="L431" s="537"/>
      <c r="M431" s="538">
        <f>IF(K431&gt;0,VLOOKUP(H431,'[5]Pob. Ext, Parroquial'!$B$8:$F$117,4,FALSE),0)</f>
        <v>0</v>
      </c>
      <c r="N431" s="539" t="s">
        <v>486</v>
      </c>
      <c r="O431" s="540" t="s">
        <v>176</v>
      </c>
      <c r="P431" s="540">
        <v>1.46</v>
      </c>
      <c r="Q431" s="688">
        <v>246</v>
      </c>
      <c r="R431" s="540"/>
      <c r="S431" s="541">
        <v>41730</v>
      </c>
      <c r="T431" s="541">
        <v>41759</v>
      </c>
      <c r="U431" s="542" t="str">
        <f t="shared" si="70"/>
        <v>EJECUTADO</v>
      </c>
      <c r="V431" s="550">
        <f t="shared" si="81"/>
        <v>359.16</v>
      </c>
      <c r="W431" s="543"/>
      <c r="X431" s="543">
        <f t="shared" si="61"/>
        <v>538.74</v>
      </c>
      <c r="Y431" s="544"/>
      <c r="Z431" s="544"/>
      <c r="AA431" s="643">
        <f>V431+Y431+Z431</f>
        <v>359.16</v>
      </c>
      <c r="AB431" s="640"/>
      <c r="AC431" s="545" t="s">
        <v>417</v>
      </c>
      <c r="AD431" s="545" t="s">
        <v>178</v>
      </c>
      <c r="AE431" s="546" t="s">
        <v>179</v>
      </c>
      <c r="AF431" s="547">
        <v>2014</v>
      </c>
      <c r="AG431" s="639"/>
      <c r="AH431" s="639"/>
    </row>
    <row r="432" spans="1:34" s="94" customFormat="1" ht="50.1" hidden="1" customHeight="1">
      <c r="A432" s="641"/>
      <c r="B432" s="654"/>
      <c r="C432" s="635" t="s">
        <v>182</v>
      </c>
      <c r="D432" s="1091" t="s">
        <v>487</v>
      </c>
      <c r="E432" s="636" t="str">
        <f>+D432</f>
        <v>MANTENIMIENTO DE LA VIA SAUCES NORTE SOLAMAR - SAN LUCAS</v>
      </c>
      <c r="F432" s="536" t="s">
        <v>415</v>
      </c>
      <c r="G432" s="536" t="str">
        <f>VLOOKUP(H432,'[5]Pob. Ext, Parroquial'!$B$9:$C$117,2,0)</f>
        <v>LOJA</v>
      </c>
      <c r="H432" s="536" t="s">
        <v>488</v>
      </c>
      <c r="I432" s="536" t="s">
        <v>173</v>
      </c>
      <c r="J432" s="536" t="s">
        <v>174</v>
      </c>
      <c r="K432" s="537">
        <v>32</v>
      </c>
      <c r="L432" s="537">
        <f>ROUNDUP(Q432/5.5/1000,2)</f>
        <v>7.42</v>
      </c>
      <c r="M432" s="538">
        <f>IF(K432&gt;0,VLOOKUP(H432,'[5]Pob. Ext, Parroquial'!$B$8:$F$117,4,FALSE),0)</f>
        <v>288</v>
      </c>
      <c r="N432" s="539" t="s">
        <v>489</v>
      </c>
      <c r="O432" s="540" t="s">
        <v>184</v>
      </c>
      <c r="P432" s="540">
        <v>0.35</v>
      </c>
      <c r="Q432" s="688">
        <v>40800</v>
      </c>
      <c r="R432" s="540"/>
      <c r="S432" s="541">
        <v>41791</v>
      </c>
      <c r="T432" s="541">
        <v>41820</v>
      </c>
      <c r="U432" s="542" t="str">
        <f t="shared" si="70"/>
        <v>EJECUTADO</v>
      </c>
      <c r="V432" s="550">
        <f t="shared" si="81"/>
        <v>14280</v>
      </c>
      <c r="W432" s="543"/>
      <c r="X432" s="543">
        <f t="shared" si="61"/>
        <v>21420</v>
      </c>
      <c r="Y432" s="544"/>
      <c r="Z432" s="544"/>
      <c r="AA432" s="1072">
        <f>SUM(V432:V434)</f>
        <v>21885</v>
      </c>
      <c r="AB432" s="640"/>
      <c r="AC432" s="545" t="s">
        <v>417</v>
      </c>
      <c r="AD432" s="545" t="s">
        <v>178</v>
      </c>
      <c r="AE432" s="546" t="s">
        <v>179</v>
      </c>
      <c r="AF432" s="547">
        <v>2014</v>
      </c>
      <c r="AG432" s="639"/>
      <c r="AH432" s="639"/>
    </row>
    <row r="433" spans="1:34" s="94" customFormat="1" ht="50.1" hidden="1" customHeight="1">
      <c r="A433" s="641"/>
      <c r="B433" s="635"/>
      <c r="C433" s="635" t="s">
        <v>182</v>
      </c>
      <c r="D433" s="1092"/>
      <c r="E433" s="655" t="str">
        <f t="shared" ref="E433:E434" si="86">+E432</f>
        <v>MANTENIMIENTO DE LA VIA SAUCES NORTE SOLAMAR - SAN LUCAS</v>
      </c>
      <c r="F433" s="536" t="s">
        <v>415</v>
      </c>
      <c r="G433" s="536" t="str">
        <f>VLOOKUP(H433,'[5]Pob. Ext, Parroquial'!$B$9:$C$117,2,0)</f>
        <v>LOJA</v>
      </c>
      <c r="H433" s="536" t="s">
        <v>488</v>
      </c>
      <c r="I433" s="536" t="s">
        <v>173</v>
      </c>
      <c r="J433" s="536" t="s">
        <v>174</v>
      </c>
      <c r="K433" s="537"/>
      <c r="L433" s="537"/>
      <c r="M433" s="538">
        <f>IF(K433&gt;0,VLOOKUP(H433,'[5]Pob. Ext, Parroquial'!$B$8:$F$117,4,FALSE),0)</f>
        <v>0</v>
      </c>
      <c r="N433" s="539" t="s">
        <v>490</v>
      </c>
      <c r="O433" s="540" t="s">
        <v>418</v>
      </c>
      <c r="P433" s="540">
        <v>0.6</v>
      </c>
      <c r="Q433" s="688">
        <v>720</v>
      </c>
      <c r="R433" s="540"/>
      <c r="S433" s="541">
        <v>41791</v>
      </c>
      <c r="T433" s="541">
        <v>41820</v>
      </c>
      <c r="U433" s="542" t="str">
        <f t="shared" si="70"/>
        <v>EJECUTADO</v>
      </c>
      <c r="V433" s="550">
        <f t="shared" si="81"/>
        <v>432</v>
      </c>
      <c r="W433" s="543"/>
      <c r="X433" s="543">
        <f t="shared" si="61"/>
        <v>648</v>
      </c>
      <c r="Y433" s="544"/>
      <c r="Z433" s="544"/>
      <c r="AA433" s="1072"/>
      <c r="AB433" s="640"/>
      <c r="AC433" s="545" t="s">
        <v>417</v>
      </c>
      <c r="AD433" s="545" t="s">
        <v>178</v>
      </c>
      <c r="AE433" s="546" t="s">
        <v>179</v>
      </c>
      <c r="AF433" s="547">
        <v>2014</v>
      </c>
      <c r="AG433" s="639"/>
      <c r="AH433" s="639"/>
    </row>
    <row r="434" spans="1:34" s="94" customFormat="1" ht="50.1" hidden="1" customHeight="1">
      <c r="A434" s="641"/>
      <c r="B434" s="635"/>
      <c r="C434" s="635" t="s">
        <v>169</v>
      </c>
      <c r="D434" s="1093"/>
      <c r="E434" s="655" t="str">
        <f t="shared" si="86"/>
        <v>MANTENIMIENTO DE LA VIA SAUCES NORTE SOLAMAR - SAN LUCAS</v>
      </c>
      <c r="F434" s="536" t="s">
        <v>415</v>
      </c>
      <c r="G434" s="536" t="str">
        <f>VLOOKUP(H434,'[5]Pob. Ext, Parroquial'!$B$9:$C$117,2,0)</f>
        <v>LOJA</v>
      </c>
      <c r="H434" s="536" t="s">
        <v>488</v>
      </c>
      <c r="I434" s="536" t="s">
        <v>173</v>
      </c>
      <c r="J434" s="536" t="s">
        <v>174</v>
      </c>
      <c r="K434" s="537"/>
      <c r="L434" s="537"/>
      <c r="M434" s="538">
        <f>IF(K434&gt;0,VLOOKUP(H434,'[5]Pob. Ext, Parroquial'!$B$8:$F$117,4,FALSE),0)</f>
        <v>0</v>
      </c>
      <c r="N434" s="539" t="s">
        <v>491</v>
      </c>
      <c r="O434" s="540" t="s">
        <v>176</v>
      </c>
      <c r="P434" s="540">
        <v>7.97</v>
      </c>
      <c r="Q434" s="688">
        <v>900</v>
      </c>
      <c r="R434" s="540"/>
      <c r="S434" s="541">
        <v>41791</v>
      </c>
      <c r="T434" s="541">
        <v>41820</v>
      </c>
      <c r="U434" s="542" t="str">
        <f t="shared" si="70"/>
        <v>EJECUTADO</v>
      </c>
      <c r="V434" s="550">
        <f t="shared" si="81"/>
        <v>7173</v>
      </c>
      <c r="W434" s="543"/>
      <c r="X434" s="543">
        <f t="shared" si="61"/>
        <v>10759.5</v>
      </c>
      <c r="Y434" s="544"/>
      <c r="Z434" s="544"/>
      <c r="AA434" s="1072"/>
      <c r="AB434" s="640"/>
      <c r="AC434" s="545" t="s">
        <v>417</v>
      </c>
      <c r="AD434" s="545" t="s">
        <v>178</v>
      </c>
      <c r="AE434" s="546" t="s">
        <v>179</v>
      </c>
      <c r="AF434" s="547">
        <v>2014</v>
      </c>
      <c r="AG434" s="639"/>
      <c r="AH434" s="639"/>
    </row>
    <row r="435" spans="1:34" s="94" customFormat="1" ht="50.1" hidden="1" customHeight="1">
      <c r="A435" s="641"/>
      <c r="B435" s="654"/>
      <c r="C435" s="635" t="s">
        <v>182</v>
      </c>
      <c r="D435" s="635" t="s">
        <v>492</v>
      </c>
      <c r="E435" s="636" t="str">
        <f>+D435</f>
        <v>ENCAUSAMIENTO DE QUEBRADA PICUMINE (BARRIO TUMIANUMA)</v>
      </c>
      <c r="F435" s="536" t="s">
        <v>415</v>
      </c>
      <c r="G435" s="536" t="str">
        <f>VLOOKUP(H435,'[5]Pob. Ext, Parroquial'!$B$9:$C$117,2,0)</f>
        <v>LOJA</v>
      </c>
      <c r="H435" s="536" t="s">
        <v>430</v>
      </c>
      <c r="I435" s="536" t="s">
        <v>173</v>
      </c>
      <c r="J435" s="536" t="s">
        <v>174</v>
      </c>
      <c r="K435" s="537"/>
      <c r="L435" s="537"/>
      <c r="M435" s="538">
        <f>IF(K435&gt;0,VLOOKUP(H435,'[5]Pob. Ext, Parroquial'!$B$8:$F$117,4,FALSE),0)</f>
        <v>0</v>
      </c>
      <c r="N435" s="539" t="s">
        <v>486</v>
      </c>
      <c r="O435" s="540" t="s">
        <v>176</v>
      </c>
      <c r="P435" s="540">
        <v>2.81</v>
      </c>
      <c r="Q435" s="688">
        <v>7200</v>
      </c>
      <c r="R435" s="540"/>
      <c r="S435" s="541">
        <v>41791</v>
      </c>
      <c r="T435" s="541">
        <v>41820</v>
      </c>
      <c r="U435" s="542" t="str">
        <f t="shared" si="70"/>
        <v>EJECUTADO</v>
      </c>
      <c r="V435" s="550">
        <f t="shared" si="81"/>
        <v>20232</v>
      </c>
      <c r="W435" s="543"/>
      <c r="X435" s="543">
        <f t="shared" si="61"/>
        <v>30348</v>
      </c>
      <c r="Y435" s="544"/>
      <c r="Z435" s="544"/>
      <c r="AA435" s="643">
        <f t="shared" ref="AA435:AA443" si="87">V435+Y435+Z435</f>
        <v>20232</v>
      </c>
      <c r="AB435" s="640"/>
      <c r="AC435" s="545" t="s">
        <v>417</v>
      </c>
      <c r="AD435" s="545" t="s">
        <v>178</v>
      </c>
      <c r="AE435" s="546" t="s">
        <v>179</v>
      </c>
      <c r="AF435" s="547">
        <v>2014</v>
      </c>
      <c r="AG435" s="639"/>
      <c r="AH435" s="639"/>
    </row>
    <row r="436" spans="1:34" s="94" customFormat="1" ht="50.1" hidden="1" customHeight="1">
      <c r="A436" s="641" t="s">
        <v>540</v>
      </c>
      <c r="B436" s="654" t="str">
        <f>+U436</f>
        <v>EJECUTADO</v>
      </c>
      <c r="C436" s="635" t="s">
        <v>182</v>
      </c>
      <c r="D436" s="1069" t="s">
        <v>494</v>
      </c>
      <c r="E436" s="636" t="str">
        <f>+D436</f>
        <v>MANTENIMIENTO DE LA VIA SELVA ALEGRE - TENTA</v>
      </c>
      <c r="F436" s="536" t="s">
        <v>415</v>
      </c>
      <c r="G436" s="536" t="str">
        <f>VLOOKUP(H436,'[5]Pob. Ext, Parroquial'!$B$9:$C$117,2,0)</f>
        <v>SARAGURO</v>
      </c>
      <c r="H436" s="536" t="s">
        <v>646</v>
      </c>
      <c r="I436" s="536" t="s">
        <v>173</v>
      </c>
      <c r="J436" s="536" t="s">
        <v>174</v>
      </c>
      <c r="K436" s="537"/>
      <c r="L436" s="537"/>
      <c r="M436" s="538">
        <f>IF(K436&gt;0,VLOOKUP(H436,'[5]Pob. Ext, Parroquial'!$B$8:$F$117,4,FALSE),0)</f>
        <v>0</v>
      </c>
      <c r="N436" s="539" t="s">
        <v>489</v>
      </c>
      <c r="O436" s="540" t="s">
        <v>184</v>
      </c>
      <c r="P436" s="540">
        <v>0.35</v>
      </c>
      <c r="Q436" s="688">
        <v>48000</v>
      </c>
      <c r="R436" s="540"/>
      <c r="S436" s="541">
        <v>41821</v>
      </c>
      <c r="T436" s="541">
        <v>41851</v>
      </c>
      <c r="U436" s="542" t="str">
        <f t="shared" si="70"/>
        <v>EJECUTADO</v>
      </c>
      <c r="V436" s="550">
        <f t="shared" si="81"/>
        <v>16800</v>
      </c>
      <c r="W436" s="543"/>
      <c r="X436" s="543">
        <f t="shared" si="61"/>
        <v>25200</v>
      </c>
      <c r="Y436" s="544"/>
      <c r="Z436" s="544"/>
      <c r="AA436" s="643">
        <f t="shared" si="87"/>
        <v>16800</v>
      </c>
      <c r="AB436" s="640"/>
      <c r="AC436" s="545" t="s">
        <v>417</v>
      </c>
      <c r="AD436" s="545" t="s">
        <v>178</v>
      </c>
      <c r="AE436" s="546" t="s">
        <v>179</v>
      </c>
      <c r="AF436" s="547">
        <v>2014</v>
      </c>
      <c r="AG436" s="639"/>
      <c r="AH436" s="639"/>
    </row>
    <row r="437" spans="1:34" s="94" customFormat="1" ht="50.1" hidden="1" customHeight="1">
      <c r="A437" s="641"/>
      <c r="B437" s="654"/>
      <c r="C437" s="635" t="s">
        <v>182</v>
      </c>
      <c r="D437" s="1070"/>
      <c r="E437" s="655" t="str">
        <f t="shared" ref="E437:E443" si="88">+E436</f>
        <v>MANTENIMIENTO DE LA VIA SELVA ALEGRE - TENTA</v>
      </c>
      <c r="F437" s="536" t="s">
        <v>415</v>
      </c>
      <c r="G437" s="536" t="str">
        <f>VLOOKUP(H437,'[5]Pob. Ext, Parroquial'!$B$9:$C$117,2,0)</f>
        <v>SARAGURO</v>
      </c>
      <c r="H437" s="536" t="s">
        <v>646</v>
      </c>
      <c r="I437" s="536" t="s">
        <v>173</v>
      </c>
      <c r="J437" s="536" t="s">
        <v>174</v>
      </c>
      <c r="K437" s="537"/>
      <c r="L437" s="537"/>
      <c r="M437" s="538">
        <f>IF(K437&gt;0,VLOOKUP(H437,'[5]Pob. Ext, Parroquial'!$B$8:$F$117,4,FALSE),0)</f>
        <v>0</v>
      </c>
      <c r="N437" s="539" t="s">
        <v>490</v>
      </c>
      <c r="O437" s="540" t="s">
        <v>176</v>
      </c>
      <c r="P437" s="540">
        <v>0.6</v>
      </c>
      <c r="Q437" s="688">
        <v>2000</v>
      </c>
      <c r="R437" s="540"/>
      <c r="S437" s="541">
        <v>41821</v>
      </c>
      <c r="T437" s="541">
        <v>41851</v>
      </c>
      <c r="U437" s="542" t="str">
        <f t="shared" si="70"/>
        <v>EJECUTADO</v>
      </c>
      <c r="V437" s="550">
        <f t="shared" si="81"/>
        <v>1200</v>
      </c>
      <c r="W437" s="543"/>
      <c r="X437" s="543">
        <f t="shared" si="61"/>
        <v>1800</v>
      </c>
      <c r="Y437" s="544"/>
      <c r="Z437" s="544"/>
      <c r="AA437" s="643">
        <f t="shared" si="87"/>
        <v>1200</v>
      </c>
      <c r="AB437" s="640"/>
      <c r="AC437" s="545" t="s">
        <v>417</v>
      </c>
      <c r="AD437" s="545" t="s">
        <v>178</v>
      </c>
      <c r="AE437" s="546" t="s">
        <v>179</v>
      </c>
      <c r="AF437" s="547">
        <v>2014</v>
      </c>
      <c r="AG437" s="639"/>
      <c r="AH437" s="639"/>
    </row>
    <row r="438" spans="1:34" s="94" customFormat="1" ht="50.1" hidden="1" customHeight="1">
      <c r="A438" s="641"/>
      <c r="B438" s="654"/>
      <c r="C438" s="635" t="s">
        <v>169</v>
      </c>
      <c r="D438" s="1070"/>
      <c r="E438" s="655" t="str">
        <f t="shared" si="88"/>
        <v>MANTENIMIENTO DE LA VIA SELVA ALEGRE - TENTA</v>
      </c>
      <c r="F438" s="536" t="s">
        <v>415</v>
      </c>
      <c r="G438" s="536" t="str">
        <f>VLOOKUP(H438,'[5]Pob. Ext, Parroquial'!$B$9:$C$117,2,0)</f>
        <v>SARAGURO</v>
      </c>
      <c r="H438" s="536" t="s">
        <v>646</v>
      </c>
      <c r="I438" s="536" t="s">
        <v>173</v>
      </c>
      <c r="J438" s="536" t="s">
        <v>174</v>
      </c>
      <c r="K438" s="537"/>
      <c r="L438" s="537"/>
      <c r="M438" s="538">
        <f>IF(K438&gt;0,VLOOKUP(H438,'[5]Pob. Ext, Parroquial'!$B$8:$F$117,4,FALSE),0)</f>
        <v>0</v>
      </c>
      <c r="N438" s="539" t="s">
        <v>495</v>
      </c>
      <c r="O438" s="540" t="s">
        <v>176</v>
      </c>
      <c r="P438" s="540">
        <v>5.92</v>
      </c>
      <c r="Q438" s="688">
        <v>1899</v>
      </c>
      <c r="R438" s="540"/>
      <c r="S438" s="541">
        <v>41821</v>
      </c>
      <c r="T438" s="541">
        <v>41851</v>
      </c>
      <c r="U438" s="542" t="str">
        <f t="shared" si="70"/>
        <v>EJECUTADO</v>
      </c>
      <c r="V438" s="550">
        <f t="shared" si="81"/>
        <v>11242.08</v>
      </c>
      <c r="W438" s="543"/>
      <c r="X438" s="543">
        <f t="shared" si="61"/>
        <v>16863.12</v>
      </c>
      <c r="Y438" s="544"/>
      <c r="Z438" s="544"/>
      <c r="AA438" s="643">
        <f t="shared" si="87"/>
        <v>11242.08</v>
      </c>
      <c r="AB438" s="640"/>
      <c r="AC438" s="545" t="s">
        <v>417</v>
      </c>
      <c r="AD438" s="545" t="s">
        <v>178</v>
      </c>
      <c r="AE438" s="546" t="s">
        <v>179</v>
      </c>
      <c r="AF438" s="547">
        <v>2014</v>
      </c>
      <c r="AG438" s="639"/>
      <c r="AH438" s="639"/>
    </row>
    <row r="439" spans="1:34" s="94" customFormat="1" ht="50.1" hidden="1" customHeight="1">
      <c r="A439" s="641"/>
      <c r="B439" s="654"/>
      <c r="C439" s="635" t="s">
        <v>169</v>
      </c>
      <c r="D439" s="1071"/>
      <c r="E439" s="655" t="str">
        <f t="shared" si="88"/>
        <v>MANTENIMIENTO DE LA VIA SELVA ALEGRE - TENTA</v>
      </c>
      <c r="F439" s="536" t="s">
        <v>415</v>
      </c>
      <c r="G439" s="536" t="str">
        <f>VLOOKUP(H439,'[5]Pob. Ext, Parroquial'!$B$9:$C$117,2,0)</f>
        <v>SARAGURO</v>
      </c>
      <c r="H439" s="536" t="s">
        <v>646</v>
      </c>
      <c r="I439" s="536" t="s">
        <v>173</v>
      </c>
      <c r="J439" s="536" t="s">
        <v>174</v>
      </c>
      <c r="K439" s="537"/>
      <c r="L439" s="537"/>
      <c r="M439" s="538">
        <f>IF(K439&gt;0,VLOOKUP(H439,'[5]Pob. Ext, Parroquial'!$B$8:$F$117,4,FALSE),0)</f>
        <v>0</v>
      </c>
      <c r="N439" s="539" t="s">
        <v>496</v>
      </c>
      <c r="O439" s="540" t="s">
        <v>461</v>
      </c>
      <c r="P439" s="540">
        <v>0.3</v>
      </c>
      <c r="Q439" s="688">
        <v>27535</v>
      </c>
      <c r="R439" s="540"/>
      <c r="S439" s="541">
        <v>41821</v>
      </c>
      <c r="T439" s="541">
        <v>41851</v>
      </c>
      <c r="U439" s="542" t="str">
        <f t="shared" si="70"/>
        <v>EJECUTADO</v>
      </c>
      <c r="V439" s="550">
        <f t="shared" si="81"/>
        <v>8260.5</v>
      </c>
      <c r="W439" s="543"/>
      <c r="X439" s="543">
        <f t="shared" si="61"/>
        <v>12390.75</v>
      </c>
      <c r="Y439" s="544"/>
      <c r="Z439" s="544"/>
      <c r="AA439" s="643">
        <f t="shared" si="87"/>
        <v>8260.5</v>
      </c>
      <c r="AB439" s="640"/>
      <c r="AC439" s="545" t="s">
        <v>417</v>
      </c>
      <c r="AD439" s="545" t="s">
        <v>178</v>
      </c>
      <c r="AE439" s="546" t="s">
        <v>179</v>
      </c>
      <c r="AF439" s="547">
        <v>2014</v>
      </c>
      <c r="AG439" s="639"/>
      <c r="AH439" s="639"/>
    </row>
    <row r="440" spans="1:34" s="94" customFormat="1" ht="50.1" hidden="1" customHeight="1">
      <c r="A440" s="641" t="s">
        <v>540</v>
      </c>
      <c r="B440" s="654" t="str">
        <f>+U440</f>
        <v>EJECUTADO</v>
      </c>
      <c r="C440" s="635" t="s">
        <v>182</v>
      </c>
      <c r="D440" s="1069" t="s">
        <v>1057</v>
      </c>
      <c r="E440" s="636" t="str">
        <f>+D440</f>
        <v>MANTENIMIENTO DE LA VIA TENTA - SELVA ALEGRE</v>
      </c>
      <c r="F440" s="536" t="s">
        <v>415</v>
      </c>
      <c r="G440" s="536" t="str">
        <f>VLOOKUP(H440,'[5]Pob. Ext, Parroquial'!$B$9:$C$117,2,0)</f>
        <v>SARAGURO</v>
      </c>
      <c r="H440" s="536" t="s">
        <v>649</v>
      </c>
      <c r="I440" s="536" t="s">
        <v>173</v>
      </c>
      <c r="J440" s="536" t="s">
        <v>174</v>
      </c>
      <c r="K440" s="537"/>
      <c r="L440" s="537"/>
      <c r="M440" s="538">
        <f>IF(K440&gt;0,VLOOKUP(H440,'[5]Pob. Ext, Parroquial'!$B$8:$F$117,4,FALSE),0)</f>
        <v>0</v>
      </c>
      <c r="N440" s="539" t="s">
        <v>489</v>
      </c>
      <c r="O440" s="540" t="s">
        <v>184</v>
      </c>
      <c r="P440" s="540">
        <v>0.35</v>
      </c>
      <c r="Q440" s="688">
        <v>114000</v>
      </c>
      <c r="R440" s="540"/>
      <c r="S440" s="541">
        <v>41883</v>
      </c>
      <c r="T440" s="541">
        <v>41912</v>
      </c>
      <c r="U440" s="542" t="str">
        <f t="shared" si="70"/>
        <v>EJECUTADO</v>
      </c>
      <c r="V440" s="550">
        <f t="shared" si="81"/>
        <v>39900</v>
      </c>
      <c r="W440" s="543"/>
      <c r="X440" s="543">
        <f t="shared" si="61"/>
        <v>59850</v>
      </c>
      <c r="Y440" s="544"/>
      <c r="Z440" s="544"/>
      <c r="AA440" s="643">
        <f t="shared" si="87"/>
        <v>39900</v>
      </c>
      <c r="AB440" s="640"/>
      <c r="AC440" s="545" t="s">
        <v>417</v>
      </c>
      <c r="AD440" s="545" t="s">
        <v>178</v>
      </c>
      <c r="AE440" s="546" t="s">
        <v>179</v>
      </c>
      <c r="AF440" s="547">
        <v>2014</v>
      </c>
      <c r="AG440" s="639"/>
      <c r="AH440" s="639"/>
    </row>
    <row r="441" spans="1:34" s="94" customFormat="1" ht="50.1" hidden="1" customHeight="1">
      <c r="A441" s="641"/>
      <c r="B441" s="654"/>
      <c r="C441" s="635" t="s">
        <v>182</v>
      </c>
      <c r="D441" s="1070"/>
      <c r="E441" s="655" t="str">
        <f t="shared" si="88"/>
        <v>MANTENIMIENTO DE LA VIA TENTA - SELVA ALEGRE</v>
      </c>
      <c r="F441" s="536" t="s">
        <v>415</v>
      </c>
      <c r="G441" s="536" t="str">
        <f>VLOOKUP(H441,'[5]Pob. Ext, Parroquial'!$B$9:$C$117,2,0)</f>
        <v>SARAGURO</v>
      </c>
      <c r="H441" s="536" t="s">
        <v>649</v>
      </c>
      <c r="I441" s="536" t="s">
        <v>173</v>
      </c>
      <c r="J441" s="536" t="s">
        <v>174</v>
      </c>
      <c r="K441" s="537"/>
      <c r="L441" s="537"/>
      <c r="M441" s="538">
        <f>IF(K441&gt;0,VLOOKUP(H441,'[5]Pob. Ext, Parroquial'!$B$8:$F$117,4,FALSE),0)</f>
        <v>0</v>
      </c>
      <c r="N441" s="539" t="s">
        <v>490</v>
      </c>
      <c r="O441" s="540" t="s">
        <v>176</v>
      </c>
      <c r="P441" s="540">
        <v>0.6</v>
      </c>
      <c r="Q441" s="688">
        <v>1902</v>
      </c>
      <c r="R441" s="540"/>
      <c r="S441" s="541">
        <v>41883</v>
      </c>
      <c r="T441" s="541">
        <v>41912</v>
      </c>
      <c r="U441" s="542" t="str">
        <f t="shared" si="70"/>
        <v>EJECUTADO</v>
      </c>
      <c r="V441" s="550">
        <f t="shared" si="81"/>
        <v>1141.2</v>
      </c>
      <c r="W441" s="543"/>
      <c r="X441" s="543">
        <f t="shared" si="61"/>
        <v>1711.8000000000002</v>
      </c>
      <c r="Y441" s="544"/>
      <c r="Z441" s="544"/>
      <c r="AA441" s="643">
        <f t="shared" si="87"/>
        <v>1141.2</v>
      </c>
      <c r="AB441" s="640"/>
      <c r="AC441" s="545" t="s">
        <v>417</v>
      </c>
      <c r="AD441" s="545" t="s">
        <v>178</v>
      </c>
      <c r="AE441" s="546" t="s">
        <v>179</v>
      </c>
      <c r="AF441" s="547">
        <v>2014</v>
      </c>
      <c r="AG441" s="639"/>
      <c r="AH441" s="639"/>
    </row>
    <row r="442" spans="1:34" s="94" customFormat="1" ht="50.1" hidden="1" customHeight="1">
      <c r="A442" s="641"/>
      <c r="B442" s="654"/>
      <c r="C442" s="635" t="s">
        <v>169</v>
      </c>
      <c r="D442" s="1070"/>
      <c r="E442" s="655" t="str">
        <f t="shared" si="88"/>
        <v>MANTENIMIENTO DE LA VIA TENTA - SELVA ALEGRE</v>
      </c>
      <c r="F442" s="536" t="s">
        <v>415</v>
      </c>
      <c r="G442" s="536" t="str">
        <f>VLOOKUP(H442,'[5]Pob. Ext, Parroquial'!$B$9:$C$117,2,0)</f>
        <v>SARAGURO</v>
      </c>
      <c r="H442" s="536" t="s">
        <v>649</v>
      </c>
      <c r="I442" s="536" t="s">
        <v>173</v>
      </c>
      <c r="J442" s="536" t="s">
        <v>174</v>
      </c>
      <c r="K442" s="537"/>
      <c r="L442" s="537"/>
      <c r="M442" s="538">
        <f>IF(K442&gt;0,VLOOKUP(H442,'[5]Pob. Ext, Parroquial'!$B$8:$F$117,4,FALSE),0)</f>
        <v>0</v>
      </c>
      <c r="N442" s="539" t="s">
        <v>495</v>
      </c>
      <c r="O442" s="540" t="s">
        <v>176</v>
      </c>
      <c r="P442" s="540">
        <v>5.92</v>
      </c>
      <c r="Q442" s="688">
        <v>2100</v>
      </c>
      <c r="R442" s="540"/>
      <c r="S442" s="541">
        <v>41883</v>
      </c>
      <c r="T442" s="541">
        <v>41912</v>
      </c>
      <c r="U442" s="542" t="str">
        <f t="shared" si="70"/>
        <v>EJECUTADO</v>
      </c>
      <c r="V442" s="550">
        <f t="shared" si="81"/>
        <v>12432</v>
      </c>
      <c r="W442" s="543"/>
      <c r="X442" s="543">
        <f t="shared" si="61"/>
        <v>18648</v>
      </c>
      <c r="Y442" s="544"/>
      <c r="Z442" s="544"/>
      <c r="AA442" s="643">
        <f t="shared" si="87"/>
        <v>12432</v>
      </c>
      <c r="AB442" s="640"/>
      <c r="AC442" s="545" t="s">
        <v>417</v>
      </c>
      <c r="AD442" s="545" t="s">
        <v>178</v>
      </c>
      <c r="AE442" s="546" t="s">
        <v>179</v>
      </c>
      <c r="AF442" s="547">
        <v>2014</v>
      </c>
      <c r="AG442" s="639"/>
      <c r="AH442" s="639"/>
    </row>
    <row r="443" spans="1:34" s="94" customFormat="1" ht="50.1" hidden="1" customHeight="1">
      <c r="A443" s="641"/>
      <c r="B443" s="654"/>
      <c r="C443" s="635" t="s">
        <v>169</v>
      </c>
      <c r="D443" s="1071"/>
      <c r="E443" s="655" t="str">
        <f t="shared" si="88"/>
        <v>MANTENIMIENTO DE LA VIA TENTA - SELVA ALEGRE</v>
      </c>
      <c r="F443" s="536" t="s">
        <v>415</v>
      </c>
      <c r="G443" s="536" t="str">
        <f>VLOOKUP(H443,'[5]Pob. Ext, Parroquial'!$B$9:$C$117,2,0)</f>
        <v>SARAGURO</v>
      </c>
      <c r="H443" s="536" t="s">
        <v>649</v>
      </c>
      <c r="I443" s="536" t="s">
        <v>173</v>
      </c>
      <c r="J443" s="536" t="s">
        <v>174</v>
      </c>
      <c r="K443" s="537"/>
      <c r="L443" s="537"/>
      <c r="M443" s="538">
        <f>IF(K443&gt;0,VLOOKUP(H443,'[5]Pob. Ext, Parroquial'!$B$8:$F$117,4,FALSE),0)</f>
        <v>0</v>
      </c>
      <c r="N443" s="539" t="s">
        <v>496</v>
      </c>
      <c r="O443" s="540" t="s">
        <v>461</v>
      </c>
      <c r="P443" s="540">
        <v>0.3</v>
      </c>
      <c r="Q443" s="688">
        <v>33600</v>
      </c>
      <c r="R443" s="540"/>
      <c r="S443" s="541">
        <v>41883</v>
      </c>
      <c r="T443" s="541">
        <v>41912</v>
      </c>
      <c r="U443" s="542" t="str">
        <f t="shared" si="70"/>
        <v>EJECUTADO</v>
      </c>
      <c r="V443" s="550">
        <f t="shared" si="81"/>
        <v>10080</v>
      </c>
      <c r="W443" s="543"/>
      <c r="X443" s="543">
        <f t="shared" si="61"/>
        <v>15120</v>
      </c>
      <c r="Y443" s="544"/>
      <c r="Z443" s="544"/>
      <c r="AA443" s="643">
        <f t="shared" si="87"/>
        <v>10080</v>
      </c>
      <c r="AB443" s="640"/>
      <c r="AC443" s="545" t="s">
        <v>417</v>
      </c>
      <c r="AD443" s="545" t="s">
        <v>178</v>
      </c>
      <c r="AE443" s="546" t="s">
        <v>179</v>
      </c>
      <c r="AF443" s="547">
        <v>2014</v>
      </c>
      <c r="AG443" s="639"/>
      <c r="AH443" s="639"/>
    </row>
    <row r="444" spans="1:34" s="94" customFormat="1" ht="50.1" hidden="1" customHeight="1">
      <c r="A444" s="685"/>
      <c r="B444" s="648"/>
      <c r="C444" s="635" t="s">
        <v>182</v>
      </c>
      <c r="D444" s="1091" t="s">
        <v>472</v>
      </c>
      <c r="E444" s="655" t="str">
        <f>+E416</f>
        <v>MANTENIMIENTO DE LA VÍA EL CISNE - AMBOCAS L=24 km.</v>
      </c>
      <c r="F444" s="536" t="s">
        <v>415</v>
      </c>
      <c r="G444" s="536" t="str">
        <f>VLOOKUP(H444,'[5]Pob. Ext, Parroquial'!$B$9:$C$117,2,0)</f>
        <v>LOJA</v>
      </c>
      <c r="H444" s="536" t="s">
        <v>484</v>
      </c>
      <c r="I444" s="536" t="s">
        <v>173</v>
      </c>
      <c r="J444" s="536" t="s">
        <v>174</v>
      </c>
      <c r="K444" s="537"/>
      <c r="L444" s="537"/>
      <c r="M444" s="538">
        <f>IF(K444&gt;0,VLOOKUP(H444,'[5]Pob. Ext, Parroquial'!$B$8:$F$117,4,FALSE),0)</f>
        <v>0</v>
      </c>
      <c r="N444" s="539" t="s">
        <v>536</v>
      </c>
      <c r="O444" s="540" t="s">
        <v>184</v>
      </c>
      <c r="P444" s="540">
        <v>0.08</v>
      </c>
      <c r="Q444" s="688">
        <v>42000</v>
      </c>
      <c r="R444" s="540"/>
      <c r="S444" s="541">
        <v>41883</v>
      </c>
      <c r="T444" s="541">
        <v>41912</v>
      </c>
      <c r="U444" s="542" t="str">
        <f t="shared" si="70"/>
        <v>EJECUTADO</v>
      </c>
      <c r="V444" s="550">
        <f t="shared" si="81"/>
        <v>3360</v>
      </c>
      <c r="W444" s="543"/>
      <c r="X444" s="543">
        <f t="shared" si="61"/>
        <v>5040</v>
      </c>
      <c r="Y444" s="544"/>
      <c r="Z444" s="544"/>
      <c r="AA444" s="662"/>
      <c r="AB444" s="640"/>
      <c r="AC444" s="545" t="s">
        <v>417</v>
      </c>
      <c r="AD444" s="545" t="s">
        <v>178</v>
      </c>
      <c r="AE444" s="546" t="s">
        <v>179</v>
      </c>
      <c r="AF444" s="547">
        <v>2014</v>
      </c>
      <c r="AG444" s="639"/>
      <c r="AH444" s="639"/>
    </row>
    <row r="445" spans="1:34" s="94" customFormat="1" ht="50.1" hidden="1" customHeight="1">
      <c r="A445" s="687"/>
      <c r="B445" s="646"/>
      <c r="C445" s="635" t="s">
        <v>182</v>
      </c>
      <c r="D445" s="1092"/>
      <c r="E445" s="655" t="str">
        <f t="shared" si="80"/>
        <v>MANTENIMIENTO DE LA VÍA EL CISNE - AMBOCAS L=24 km.</v>
      </c>
      <c r="F445" s="536" t="s">
        <v>415</v>
      </c>
      <c r="G445" s="536" t="str">
        <f>VLOOKUP(H445,'[5]Pob. Ext, Parroquial'!$B$9:$C$117,2,0)</f>
        <v>LOJA</v>
      </c>
      <c r="H445" s="536" t="s">
        <v>484</v>
      </c>
      <c r="I445" s="536" t="s">
        <v>173</v>
      </c>
      <c r="J445" s="536" t="s">
        <v>174</v>
      </c>
      <c r="K445" s="537"/>
      <c r="L445" s="537"/>
      <c r="M445" s="538">
        <f>IF(K445&gt;0,VLOOKUP(H445,'[5]Pob. Ext, Parroquial'!$B$8:$F$117,4,FALSE),0)</f>
        <v>0</v>
      </c>
      <c r="N445" s="539" t="s">
        <v>537</v>
      </c>
      <c r="O445" s="540" t="s">
        <v>184</v>
      </c>
      <c r="P445" s="540">
        <v>0.12</v>
      </c>
      <c r="Q445" s="688">
        <v>6000</v>
      </c>
      <c r="R445" s="540"/>
      <c r="S445" s="541">
        <v>41883</v>
      </c>
      <c r="T445" s="541">
        <v>41912</v>
      </c>
      <c r="U445" s="542" t="str">
        <f t="shared" si="70"/>
        <v>EJECUTADO</v>
      </c>
      <c r="V445" s="550">
        <f t="shared" si="71"/>
        <v>720</v>
      </c>
      <c r="W445" s="543"/>
      <c r="X445" s="543">
        <f t="shared" si="61"/>
        <v>1080</v>
      </c>
      <c r="Y445" s="544"/>
      <c r="Z445" s="544"/>
      <c r="AA445" s="664"/>
      <c r="AB445" s="640"/>
      <c r="AC445" s="545" t="s">
        <v>417</v>
      </c>
      <c r="AD445" s="545" t="s">
        <v>178</v>
      </c>
      <c r="AE445" s="546" t="s">
        <v>179</v>
      </c>
      <c r="AF445" s="547">
        <v>2014</v>
      </c>
      <c r="AG445" s="639"/>
      <c r="AH445" s="639"/>
    </row>
    <row r="446" spans="1:34" s="94" customFormat="1" ht="50.1" hidden="1" customHeight="1">
      <c r="A446" s="641"/>
      <c r="B446" s="635"/>
      <c r="C446" s="635" t="s">
        <v>182</v>
      </c>
      <c r="D446" s="682" t="s">
        <v>1058</v>
      </c>
      <c r="E446" s="636" t="str">
        <f t="shared" si="67"/>
        <v>RESANTEO DE LA VIA TUMIANUMA QUINARA</v>
      </c>
      <c r="F446" s="536" t="s">
        <v>415</v>
      </c>
      <c r="G446" s="536" t="str">
        <f>VLOOKUP(H446,'[5]Pob. Ext, Parroquial'!$B$9:$C$117,2,0)</f>
        <v>LOJA</v>
      </c>
      <c r="H446" s="536" t="s">
        <v>598</v>
      </c>
      <c r="I446" s="536" t="s">
        <v>173</v>
      </c>
      <c r="J446" s="536" t="s">
        <v>174</v>
      </c>
      <c r="K446" s="537"/>
      <c r="L446" s="537"/>
      <c r="M446" s="538">
        <f>IF(K446&gt;0,VLOOKUP(H446,'[5]Pob. Ext, Parroquial'!$B$8:$F$117,4,FALSE),0)</f>
        <v>0</v>
      </c>
      <c r="N446" s="539" t="s">
        <v>536</v>
      </c>
      <c r="O446" s="540" t="s">
        <v>184</v>
      </c>
      <c r="P446" s="540">
        <v>0.08</v>
      </c>
      <c r="Q446" s="688">
        <v>25000</v>
      </c>
      <c r="R446" s="540"/>
      <c r="S446" s="541">
        <v>41883</v>
      </c>
      <c r="T446" s="541">
        <v>41912</v>
      </c>
      <c r="U446" s="542" t="str">
        <f t="shared" si="70"/>
        <v>EJECUTADO</v>
      </c>
      <c r="V446" s="696">
        <f t="shared" si="71"/>
        <v>2000</v>
      </c>
      <c r="W446" s="543">
        <v>889.92</v>
      </c>
      <c r="X446" s="543">
        <f t="shared" si="61"/>
        <v>1665.12</v>
      </c>
      <c r="Y446" s="544"/>
      <c r="Z446" s="544"/>
      <c r="AA446" s="643">
        <f>V446+Y446+Z446</f>
        <v>2000</v>
      </c>
      <c r="AB446" s="640"/>
      <c r="AC446" s="545" t="s">
        <v>417</v>
      </c>
      <c r="AD446" s="545" t="s">
        <v>178</v>
      </c>
      <c r="AE446" s="546" t="s">
        <v>179</v>
      </c>
      <c r="AF446" s="547">
        <v>2014</v>
      </c>
      <c r="AG446" s="639"/>
      <c r="AH446" s="639"/>
    </row>
    <row r="447" spans="1:34" s="94" customFormat="1" ht="50.1" hidden="1" customHeight="1">
      <c r="A447" s="641" t="s">
        <v>541</v>
      </c>
      <c r="B447" s="654" t="str">
        <f>+U447</f>
        <v>EJECUTADO</v>
      </c>
      <c r="C447" s="635" t="s">
        <v>182</v>
      </c>
      <c r="D447" s="645" t="s">
        <v>1059</v>
      </c>
      <c r="E447" s="636" t="str">
        <f>+D447</f>
        <v>ADECUACION DEL COLEGIO LA SALLE</v>
      </c>
      <c r="F447" s="536" t="s">
        <v>415</v>
      </c>
      <c r="G447" s="536" t="str">
        <f>VLOOKUP(H447,'[5]Pob. Ext, Parroquial'!$B$9:$C$117,2,0)</f>
        <v>LOJA</v>
      </c>
      <c r="H447" s="536" t="s">
        <v>430</v>
      </c>
      <c r="I447" s="536" t="s">
        <v>173</v>
      </c>
      <c r="J447" s="536" t="s">
        <v>174</v>
      </c>
      <c r="K447" s="537"/>
      <c r="L447" s="537"/>
      <c r="M447" s="538">
        <f>IF(K447&gt;0,VLOOKUP(H447,'[5]Pob. Ext, Parroquial'!$B$8:$F$117,4,FALSE),0)</f>
        <v>0</v>
      </c>
      <c r="N447" s="539" t="s">
        <v>536</v>
      </c>
      <c r="O447" s="540" t="s">
        <v>184</v>
      </c>
      <c r="P447" s="540">
        <v>0.08</v>
      </c>
      <c r="Q447" s="540">
        <v>8000</v>
      </c>
      <c r="R447" s="540"/>
      <c r="S447" s="541">
        <v>41883</v>
      </c>
      <c r="T447" s="541">
        <v>41912</v>
      </c>
      <c r="U447" s="542" t="str">
        <f t="shared" si="70"/>
        <v>EJECUTADO</v>
      </c>
      <c r="V447" s="550">
        <f t="shared" si="71"/>
        <v>640</v>
      </c>
      <c r="W447" s="543"/>
      <c r="X447" s="543">
        <f t="shared" ref="X447:X478" si="89">+(V447-W447)/3*4.5</f>
        <v>960</v>
      </c>
      <c r="Y447" s="544"/>
      <c r="Z447" s="544"/>
      <c r="AA447" s="643">
        <f t="shared" ref="AA447:AA451" si="90">V447+Y447+Z447</f>
        <v>640</v>
      </c>
      <c r="AB447" s="640"/>
      <c r="AC447" s="545" t="s">
        <v>417</v>
      </c>
      <c r="AD447" s="545" t="s">
        <v>178</v>
      </c>
      <c r="AE447" s="546" t="s">
        <v>179</v>
      </c>
      <c r="AF447" s="547">
        <v>2014</v>
      </c>
      <c r="AG447" s="639"/>
      <c r="AH447" s="639"/>
    </row>
    <row r="448" spans="1:34" s="94" customFormat="1" ht="50.1" hidden="1" customHeight="1">
      <c r="A448" s="641"/>
      <c r="B448" s="654"/>
      <c r="C448" s="635" t="s">
        <v>182</v>
      </c>
      <c r="D448" s="648"/>
      <c r="E448" s="655" t="str">
        <f>+E447</f>
        <v>ADECUACION DEL COLEGIO LA SALLE</v>
      </c>
      <c r="F448" s="536" t="s">
        <v>415</v>
      </c>
      <c r="G448" s="536" t="str">
        <f>VLOOKUP(H448,'[5]Pob. Ext, Parroquial'!$B$9:$C$117,2,0)</f>
        <v>LOJA</v>
      </c>
      <c r="H448" s="536" t="s">
        <v>430</v>
      </c>
      <c r="I448" s="536" t="s">
        <v>173</v>
      </c>
      <c r="J448" s="536" t="s">
        <v>174</v>
      </c>
      <c r="K448" s="537"/>
      <c r="L448" s="537"/>
      <c r="M448" s="538">
        <f>IF(K448&gt;0,VLOOKUP(H448,'[5]Pob. Ext, Parroquial'!$B$8:$F$117,4,FALSE),0)</f>
        <v>0</v>
      </c>
      <c r="N448" s="539" t="s">
        <v>490</v>
      </c>
      <c r="O448" s="540" t="s">
        <v>176</v>
      </c>
      <c r="P448" s="540">
        <v>0.6</v>
      </c>
      <c r="Q448" s="540">
        <v>600</v>
      </c>
      <c r="R448" s="540"/>
      <c r="S448" s="541">
        <v>41883</v>
      </c>
      <c r="T448" s="541">
        <v>41912</v>
      </c>
      <c r="U448" s="542" t="str">
        <f t="shared" si="70"/>
        <v>EJECUTADO</v>
      </c>
      <c r="V448" s="550">
        <f t="shared" si="71"/>
        <v>360</v>
      </c>
      <c r="W448" s="543"/>
      <c r="X448" s="543">
        <f t="shared" si="89"/>
        <v>540</v>
      </c>
      <c r="Y448" s="544"/>
      <c r="Z448" s="544"/>
      <c r="AA448" s="643">
        <f t="shared" si="90"/>
        <v>360</v>
      </c>
      <c r="AB448" s="640"/>
      <c r="AC448" s="545" t="s">
        <v>417</v>
      </c>
      <c r="AD448" s="545" t="s">
        <v>178</v>
      </c>
      <c r="AE448" s="546" t="s">
        <v>179</v>
      </c>
      <c r="AF448" s="547">
        <v>2014</v>
      </c>
      <c r="AG448" s="639"/>
      <c r="AH448" s="639"/>
    </row>
    <row r="449" spans="1:42" s="94" customFormat="1" ht="50.1" hidden="1" customHeight="1">
      <c r="A449" s="641"/>
      <c r="B449" s="654"/>
      <c r="C449" s="635" t="s">
        <v>169</v>
      </c>
      <c r="D449" s="648"/>
      <c r="E449" s="655" t="str">
        <f>+E448</f>
        <v>ADECUACION DEL COLEGIO LA SALLE</v>
      </c>
      <c r="F449" s="536" t="s">
        <v>415</v>
      </c>
      <c r="G449" s="536" t="str">
        <f>VLOOKUP(H449,'[5]Pob. Ext, Parroquial'!$B$9:$C$117,2,0)</f>
        <v>LOJA</v>
      </c>
      <c r="H449" s="536" t="s">
        <v>430</v>
      </c>
      <c r="I449" s="536" t="s">
        <v>173</v>
      </c>
      <c r="J449" s="536" t="s">
        <v>174</v>
      </c>
      <c r="K449" s="537"/>
      <c r="L449" s="537"/>
      <c r="M449" s="538">
        <f>IF(K449&gt;0,VLOOKUP(H449,'[5]Pob. Ext, Parroquial'!$B$8:$F$117,4,FALSE),0)</f>
        <v>0</v>
      </c>
      <c r="N449" s="539" t="s">
        <v>496</v>
      </c>
      <c r="O449" s="540" t="s">
        <v>461</v>
      </c>
      <c r="P449" s="540">
        <v>0.3</v>
      </c>
      <c r="Q449" s="540">
        <v>4800</v>
      </c>
      <c r="R449" s="540"/>
      <c r="S449" s="541">
        <v>41883</v>
      </c>
      <c r="T449" s="541">
        <v>41912</v>
      </c>
      <c r="U449" s="542" t="str">
        <f t="shared" si="70"/>
        <v>EJECUTADO</v>
      </c>
      <c r="V449" s="550">
        <f t="shared" si="71"/>
        <v>1440</v>
      </c>
      <c r="W449" s="543"/>
      <c r="X449" s="543">
        <f t="shared" si="89"/>
        <v>2160</v>
      </c>
      <c r="Y449" s="544"/>
      <c r="Z449" s="544"/>
      <c r="AA449" s="643">
        <f t="shared" si="90"/>
        <v>1440</v>
      </c>
      <c r="AB449" s="640"/>
      <c r="AC449" s="545" t="s">
        <v>417</v>
      </c>
      <c r="AD449" s="545" t="s">
        <v>178</v>
      </c>
      <c r="AE449" s="546" t="s">
        <v>179</v>
      </c>
      <c r="AF449" s="547">
        <v>2014</v>
      </c>
      <c r="AG449" s="639"/>
      <c r="AH449" s="639"/>
    </row>
    <row r="450" spans="1:42" s="94" customFormat="1" ht="50.1" hidden="1" customHeight="1">
      <c r="A450" s="641"/>
      <c r="B450" s="654"/>
      <c r="C450" s="635" t="s">
        <v>169</v>
      </c>
      <c r="D450" s="646" t="s">
        <v>1060</v>
      </c>
      <c r="E450" s="655" t="str">
        <f>+D450</f>
        <v>VIA JIMBILLA LA CHONTA</v>
      </c>
      <c r="F450" s="536" t="s">
        <v>415</v>
      </c>
      <c r="G450" s="536" t="str">
        <f>VLOOKUP(H450,'[5]Pob. Ext, Parroquial'!$B$9:$C$117,2,0)</f>
        <v>LOJA</v>
      </c>
      <c r="H450" s="536" t="s">
        <v>498</v>
      </c>
      <c r="I450" s="536" t="s">
        <v>173</v>
      </c>
      <c r="J450" s="536" t="s">
        <v>174</v>
      </c>
      <c r="K450" s="537"/>
      <c r="L450" s="537"/>
      <c r="M450" s="538">
        <f>IF(K450&gt;0,VLOOKUP(H450,'[5]Pob. Ext, Parroquial'!$B$8:$F$117,4,FALSE),0)</f>
        <v>0</v>
      </c>
      <c r="N450" s="539" t="s">
        <v>1061</v>
      </c>
      <c r="O450" s="540" t="s">
        <v>184</v>
      </c>
      <c r="P450" s="540">
        <v>0.12</v>
      </c>
      <c r="Q450" s="540">
        <v>42000</v>
      </c>
      <c r="R450" s="540"/>
      <c r="S450" s="541">
        <v>41821</v>
      </c>
      <c r="T450" s="541">
        <v>41851</v>
      </c>
      <c r="U450" s="542" t="str">
        <f t="shared" si="70"/>
        <v>EJECUTADO</v>
      </c>
      <c r="V450" s="550">
        <f t="shared" si="71"/>
        <v>5040</v>
      </c>
      <c r="W450" s="543"/>
      <c r="X450" s="543">
        <f t="shared" si="89"/>
        <v>7560</v>
      </c>
      <c r="Y450" s="544"/>
      <c r="Z450" s="544"/>
      <c r="AA450" s="643">
        <f t="shared" si="90"/>
        <v>5040</v>
      </c>
      <c r="AB450" s="640"/>
      <c r="AC450" s="545" t="s">
        <v>417</v>
      </c>
      <c r="AD450" s="545" t="s">
        <v>178</v>
      </c>
      <c r="AE450" s="546" t="s">
        <v>179</v>
      </c>
      <c r="AF450" s="547">
        <v>2014</v>
      </c>
      <c r="AG450" s="639"/>
      <c r="AH450" s="639"/>
    </row>
    <row r="451" spans="1:42" s="94" customFormat="1" ht="50.1" hidden="1" customHeight="1">
      <c r="A451" s="641"/>
      <c r="B451" s="654"/>
      <c r="C451" s="635" t="s">
        <v>169</v>
      </c>
      <c r="D451" s="646"/>
      <c r="E451" s="655" t="str">
        <f>+E450</f>
        <v>VIA JIMBILLA LA CHONTA</v>
      </c>
      <c r="F451" s="536" t="s">
        <v>415</v>
      </c>
      <c r="G451" s="536" t="str">
        <f>VLOOKUP(H451,'[5]Pob. Ext, Parroquial'!$B$9:$C$117,2,0)</f>
        <v>LOJA</v>
      </c>
      <c r="H451" s="536" t="s">
        <v>498</v>
      </c>
      <c r="I451" s="536" t="s">
        <v>173</v>
      </c>
      <c r="J451" s="536" t="s">
        <v>174</v>
      </c>
      <c r="K451" s="537"/>
      <c r="L451" s="537"/>
      <c r="M451" s="538">
        <f>IF(K451&gt;0,VLOOKUP(H451,'[5]Pob. Ext, Parroquial'!$B$8:$F$117,4,FALSE),0)</f>
        <v>0</v>
      </c>
      <c r="N451" s="539" t="s">
        <v>469</v>
      </c>
      <c r="O451" s="540" t="s">
        <v>418</v>
      </c>
      <c r="P451" s="540">
        <v>1.46</v>
      </c>
      <c r="Q451" s="540">
        <v>3000</v>
      </c>
      <c r="R451" s="540"/>
      <c r="S451" s="541">
        <v>41821</v>
      </c>
      <c r="T451" s="541">
        <v>41851</v>
      </c>
      <c r="U451" s="542" t="str">
        <f t="shared" si="70"/>
        <v>EJECUTADO</v>
      </c>
      <c r="V451" s="550">
        <f t="shared" si="71"/>
        <v>4380</v>
      </c>
      <c r="W451" s="543"/>
      <c r="X451" s="543">
        <f t="shared" si="89"/>
        <v>6570</v>
      </c>
      <c r="Y451" s="544"/>
      <c r="Z451" s="544"/>
      <c r="AA451" s="643">
        <f t="shared" si="90"/>
        <v>4380</v>
      </c>
      <c r="AB451" s="640"/>
      <c r="AC451" s="545" t="s">
        <v>417</v>
      </c>
      <c r="AD451" s="545" t="s">
        <v>178</v>
      </c>
      <c r="AE451" s="546" t="s">
        <v>179</v>
      </c>
      <c r="AF451" s="547">
        <v>2014</v>
      </c>
      <c r="AG451" s="639"/>
      <c r="AH451" s="639"/>
    </row>
    <row r="452" spans="1:42" s="94" customFormat="1" ht="50.1" customHeight="1">
      <c r="A452" s="1068" t="s">
        <v>493</v>
      </c>
      <c r="B452" s="1076" t="s">
        <v>187</v>
      </c>
      <c r="C452" s="635" t="s">
        <v>169</v>
      </c>
      <c r="D452" s="1091" t="s">
        <v>500</v>
      </c>
      <c r="E452" s="636" t="str">
        <f t="shared" ref="E452" si="91">+D452</f>
        <v>MEJORAMIENTO A NIVEL DE DOBLE TRATAMIENTO SUPERFICIAL BITUMINOSO DE LA VIA SARAGURO TENTA L= 6.17 KM.ABSC (4+044.69 - 10+210.55) CONVENIO NRO.120 - DPS -2013 GPL - VIALSUR.EP</v>
      </c>
      <c r="F452" s="536" t="s">
        <v>501</v>
      </c>
      <c r="G452" s="536" t="str">
        <f>VLOOKUP(H452,'[5]Pob. Ext, Parroquial'!$B$9:$C$117,2,0)</f>
        <v>SARAGURO</v>
      </c>
      <c r="H452" s="536" t="s">
        <v>468</v>
      </c>
      <c r="I452" s="536" t="s">
        <v>265</v>
      </c>
      <c r="J452" s="536" t="s">
        <v>502</v>
      </c>
      <c r="K452" s="537">
        <v>6.17</v>
      </c>
      <c r="L452" s="537"/>
      <c r="M452" s="538">
        <f>IF(K452&gt;0,VLOOKUP(H452,'[5]Pob. Ext, Parroquial'!$B$8:$F$117,4,FALSE),0)</f>
        <v>17667</v>
      </c>
      <c r="N452" s="539" t="s">
        <v>503</v>
      </c>
      <c r="O452" s="540" t="s">
        <v>504</v>
      </c>
      <c r="P452" s="540">
        <v>705.7</v>
      </c>
      <c r="Q452" s="540">
        <v>4.5599999999999996</v>
      </c>
      <c r="R452" s="540"/>
      <c r="S452" s="541">
        <v>41548</v>
      </c>
      <c r="T452" s="541">
        <v>41670</v>
      </c>
      <c r="U452" s="542" t="str">
        <f t="shared" si="70"/>
        <v>EJECUTADO</v>
      </c>
      <c r="V452" s="543">
        <f t="shared" si="71"/>
        <v>3217.99</v>
      </c>
      <c r="W452" s="543">
        <v>3217.99</v>
      </c>
      <c r="X452" s="543">
        <f t="shared" si="89"/>
        <v>0</v>
      </c>
      <c r="Y452" s="544"/>
      <c r="Z452" s="544"/>
      <c r="AA452" s="1072">
        <f>SUM(V452:V478)</f>
        <v>456264.82</v>
      </c>
      <c r="AB452" s="640"/>
      <c r="AC452" s="545" t="s">
        <v>505</v>
      </c>
      <c r="AD452" s="545" t="s">
        <v>178</v>
      </c>
      <c r="AE452" s="546" t="s">
        <v>179</v>
      </c>
      <c r="AF452" s="547">
        <v>2014</v>
      </c>
      <c r="AG452" s="639"/>
      <c r="AH452" s="639"/>
    </row>
    <row r="453" spans="1:42" s="94" customFormat="1" ht="50.1" customHeight="1">
      <c r="A453" s="1068"/>
      <c r="B453" s="1076"/>
      <c r="C453" s="635" t="s">
        <v>182</v>
      </c>
      <c r="D453" s="1092"/>
      <c r="E453" s="655" t="str">
        <f t="shared" ref="E453:E478" si="92">+E452</f>
        <v>MEJORAMIENTO A NIVEL DE DOBLE TRATAMIENTO SUPERFICIAL BITUMINOSO DE LA VIA SARAGURO TENTA L= 6.17 KM.ABSC (4+044.69 - 10+210.55) CONVENIO NRO.120 - DPS -2013 GPL - VIALSUR.EP</v>
      </c>
      <c r="F453" s="536" t="s">
        <v>501</v>
      </c>
      <c r="G453" s="536" t="str">
        <f>VLOOKUP(H453,'[5]Pob. Ext, Parroquial'!$B$9:$C$117,2,0)</f>
        <v>SARAGURO</v>
      </c>
      <c r="H453" s="536" t="s">
        <v>468</v>
      </c>
      <c r="I453" s="536" t="s">
        <v>265</v>
      </c>
      <c r="J453" s="536" t="s">
        <v>502</v>
      </c>
      <c r="K453" s="537"/>
      <c r="L453" s="537"/>
      <c r="M453" s="538">
        <f>IF(K453&gt;0,VLOOKUP(H453,'[5]Pob. Ext, Parroquial'!$B$8:$F$117,4,FALSE),0)</f>
        <v>0</v>
      </c>
      <c r="N453" s="539" t="s">
        <v>506</v>
      </c>
      <c r="O453" s="540" t="s">
        <v>277</v>
      </c>
      <c r="P453" s="540">
        <v>1744.8</v>
      </c>
      <c r="Q453" s="540">
        <v>1.73</v>
      </c>
      <c r="R453" s="540"/>
      <c r="S453" s="541">
        <v>41548</v>
      </c>
      <c r="T453" s="541">
        <v>41670</v>
      </c>
      <c r="U453" s="542" t="str">
        <f t="shared" si="70"/>
        <v>EJECUTADO</v>
      </c>
      <c r="V453" s="543">
        <f t="shared" si="71"/>
        <v>3018.5</v>
      </c>
      <c r="W453" s="543">
        <v>3018.5</v>
      </c>
      <c r="X453" s="543">
        <f t="shared" si="89"/>
        <v>0</v>
      </c>
      <c r="Y453" s="544"/>
      <c r="Z453" s="544"/>
      <c r="AA453" s="1072"/>
      <c r="AB453" s="640"/>
      <c r="AC453" s="545" t="s">
        <v>505</v>
      </c>
      <c r="AD453" s="545" t="s">
        <v>178</v>
      </c>
      <c r="AE453" s="546" t="s">
        <v>179</v>
      </c>
      <c r="AF453" s="547">
        <v>2014</v>
      </c>
      <c r="AG453" s="639"/>
      <c r="AH453" s="639"/>
    </row>
    <row r="454" spans="1:42" s="94" customFormat="1" ht="50.1" customHeight="1">
      <c r="A454" s="1068"/>
      <c r="B454" s="1076"/>
      <c r="C454" s="635" t="s">
        <v>169</v>
      </c>
      <c r="D454" s="1092"/>
      <c r="E454" s="655" t="str">
        <f t="shared" si="92"/>
        <v>MEJORAMIENTO A NIVEL DE DOBLE TRATAMIENTO SUPERFICIAL BITUMINOSO DE LA VIA SARAGURO TENTA L= 6.17 KM.ABSC (4+044.69 - 10+210.55) CONVENIO NRO.120 - DPS -2013 GPL - VIALSUR.EP</v>
      </c>
      <c r="F454" s="536" t="s">
        <v>501</v>
      </c>
      <c r="G454" s="536" t="str">
        <f>VLOOKUP(H454,'[5]Pob. Ext, Parroquial'!$B$9:$C$117,2,0)</f>
        <v>SARAGURO</v>
      </c>
      <c r="H454" s="536" t="s">
        <v>468</v>
      </c>
      <c r="I454" s="536" t="s">
        <v>265</v>
      </c>
      <c r="J454" s="536" t="s">
        <v>502</v>
      </c>
      <c r="K454" s="537"/>
      <c r="L454" s="537"/>
      <c r="M454" s="538">
        <f>IF(K454&gt;0,VLOOKUP(H454,'[5]Pob. Ext, Parroquial'!$B$8:$F$117,4,FALSE),0)</f>
        <v>0</v>
      </c>
      <c r="N454" s="539" t="s">
        <v>507</v>
      </c>
      <c r="O454" s="540" t="s">
        <v>508</v>
      </c>
      <c r="P454" s="540">
        <v>6.86</v>
      </c>
      <c r="Q454" s="540">
        <v>25</v>
      </c>
      <c r="R454" s="540"/>
      <c r="S454" s="541">
        <v>41548</v>
      </c>
      <c r="T454" s="541">
        <v>41670</v>
      </c>
      <c r="U454" s="542" t="str">
        <f t="shared" si="70"/>
        <v>EJECUTADO</v>
      </c>
      <c r="V454" s="543">
        <f t="shared" si="71"/>
        <v>171.5</v>
      </c>
      <c r="W454" s="543">
        <v>171.5</v>
      </c>
      <c r="X454" s="543">
        <f t="shared" si="89"/>
        <v>0</v>
      </c>
      <c r="Y454" s="544"/>
      <c r="Z454" s="544"/>
      <c r="AA454" s="1072"/>
      <c r="AB454" s="640"/>
      <c r="AC454" s="545" t="s">
        <v>505</v>
      </c>
      <c r="AD454" s="545" t="s">
        <v>178</v>
      </c>
      <c r="AE454" s="546" t="s">
        <v>179</v>
      </c>
      <c r="AF454" s="547">
        <v>2014</v>
      </c>
      <c r="AG454" s="639"/>
      <c r="AH454" s="639"/>
    </row>
    <row r="455" spans="1:42" s="94" customFormat="1" ht="50.1" customHeight="1">
      <c r="A455" s="1068"/>
      <c r="B455" s="1076"/>
      <c r="C455" s="635" t="s">
        <v>169</v>
      </c>
      <c r="D455" s="1092"/>
      <c r="E455" s="655" t="str">
        <f t="shared" si="92"/>
        <v>MEJORAMIENTO A NIVEL DE DOBLE TRATAMIENTO SUPERFICIAL BITUMINOSO DE LA VIA SARAGURO TENTA L= 6.17 KM.ABSC (4+044.69 - 10+210.55) CONVENIO NRO.120 - DPS -2013 GPL - VIALSUR.EP</v>
      </c>
      <c r="F455" s="536" t="s">
        <v>501</v>
      </c>
      <c r="G455" s="536" t="str">
        <f>VLOOKUP(H455,'[5]Pob. Ext, Parroquial'!$B$9:$C$117,2,0)</f>
        <v>SARAGURO</v>
      </c>
      <c r="H455" s="536" t="s">
        <v>468</v>
      </c>
      <c r="I455" s="536" t="s">
        <v>265</v>
      </c>
      <c r="J455" s="536" t="s">
        <v>502</v>
      </c>
      <c r="K455" s="537"/>
      <c r="L455" s="537"/>
      <c r="M455" s="538">
        <f>IF(K455&gt;0,VLOOKUP(H455,'[5]Pob. Ext, Parroquial'!$B$8:$F$117,4,FALSE),0)</f>
        <v>0</v>
      </c>
      <c r="N455" s="539" t="s">
        <v>509</v>
      </c>
      <c r="O455" s="540" t="s">
        <v>510</v>
      </c>
      <c r="P455" s="540">
        <v>41.84</v>
      </c>
      <c r="Q455" s="540">
        <v>2.2200000000000002</v>
      </c>
      <c r="R455" s="540"/>
      <c r="S455" s="541">
        <v>41548</v>
      </c>
      <c r="T455" s="541">
        <v>41670</v>
      </c>
      <c r="U455" s="542" t="str">
        <f t="shared" si="70"/>
        <v>EJECUTADO</v>
      </c>
      <c r="V455" s="543">
        <f t="shared" si="71"/>
        <v>92.88</v>
      </c>
      <c r="W455" s="543">
        <v>92.88</v>
      </c>
      <c r="X455" s="543">
        <f t="shared" si="89"/>
        <v>0</v>
      </c>
      <c r="Y455" s="544"/>
      <c r="Z455" s="544"/>
      <c r="AA455" s="1072"/>
      <c r="AB455" s="640"/>
      <c r="AC455" s="545" t="s">
        <v>505</v>
      </c>
      <c r="AD455" s="545" t="s">
        <v>178</v>
      </c>
      <c r="AE455" s="546" t="s">
        <v>179</v>
      </c>
      <c r="AF455" s="547">
        <v>2014</v>
      </c>
      <c r="AG455" s="639"/>
      <c r="AH455" s="639"/>
    </row>
    <row r="456" spans="1:42" s="94" customFormat="1" ht="50.1" customHeight="1">
      <c r="A456" s="1068"/>
      <c r="B456" s="1076"/>
      <c r="C456" s="635" t="s">
        <v>169</v>
      </c>
      <c r="D456" s="1092"/>
      <c r="E456" s="655" t="str">
        <f t="shared" si="92"/>
        <v>MEJORAMIENTO A NIVEL DE DOBLE TRATAMIENTO SUPERFICIAL BITUMINOSO DE LA VIA SARAGURO TENTA L= 6.17 KM.ABSC (4+044.69 - 10+210.55) CONVENIO NRO.120 - DPS -2013 GPL - VIALSUR.EP</v>
      </c>
      <c r="F456" s="536" t="s">
        <v>501</v>
      </c>
      <c r="G456" s="536" t="str">
        <f>VLOOKUP(H456,'[5]Pob. Ext, Parroquial'!$B$9:$C$117,2,0)</f>
        <v>SARAGURO</v>
      </c>
      <c r="H456" s="536" t="s">
        <v>468</v>
      </c>
      <c r="I456" s="536" t="s">
        <v>265</v>
      </c>
      <c r="J456" s="536" t="s">
        <v>502</v>
      </c>
      <c r="K456" s="537"/>
      <c r="L456" s="537"/>
      <c r="M456" s="538">
        <f>IF(K456&gt;0,VLOOKUP(H456,'[5]Pob. Ext, Parroquial'!$B$8:$F$117,4,FALSE),0)</f>
        <v>0</v>
      </c>
      <c r="N456" s="539" t="s">
        <v>511</v>
      </c>
      <c r="O456" s="540" t="s">
        <v>510</v>
      </c>
      <c r="P456" s="540">
        <v>1.58</v>
      </c>
      <c r="Q456" s="540">
        <v>34437.360000000001</v>
      </c>
      <c r="R456" s="540"/>
      <c r="S456" s="541">
        <v>41548</v>
      </c>
      <c r="T456" s="541">
        <v>41790</v>
      </c>
      <c r="U456" s="542" t="str">
        <f t="shared" si="70"/>
        <v>EJECUTADO</v>
      </c>
      <c r="V456" s="543">
        <f t="shared" si="71"/>
        <v>54411.03</v>
      </c>
      <c r="W456" s="543">
        <v>54411.03</v>
      </c>
      <c r="X456" s="543">
        <f t="shared" si="89"/>
        <v>0</v>
      </c>
      <c r="Y456" s="544"/>
      <c r="Z456" s="544"/>
      <c r="AA456" s="1072"/>
      <c r="AB456" s="640"/>
      <c r="AC456" s="545" t="s">
        <v>505</v>
      </c>
      <c r="AD456" s="545" t="s">
        <v>178</v>
      </c>
      <c r="AE456" s="546" t="s">
        <v>179</v>
      </c>
      <c r="AF456" s="547">
        <v>2014</v>
      </c>
      <c r="AG456" s="639"/>
      <c r="AH456" s="639"/>
      <c r="AP456" s="96" t="s">
        <v>240</v>
      </c>
    </row>
    <row r="457" spans="1:42" s="94" customFormat="1" ht="50.1" customHeight="1">
      <c r="A457" s="1068"/>
      <c r="B457" s="1076"/>
      <c r="C457" s="635" t="s">
        <v>169</v>
      </c>
      <c r="D457" s="1092"/>
      <c r="E457" s="655" t="str">
        <f t="shared" si="92"/>
        <v>MEJORAMIENTO A NIVEL DE DOBLE TRATAMIENTO SUPERFICIAL BITUMINOSO DE LA VIA SARAGURO TENTA L= 6.17 KM.ABSC (4+044.69 - 10+210.55) CONVENIO NRO.120 - DPS -2013 GPL - VIALSUR.EP</v>
      </c>
      <c r="F457" s="536" t="s">
        <v>501</v>
      </c>
      <c r="G457" s="536" t="str">
        <f>VLOOKUP(H457,'[5]Pob. Ext, Parroquial'!$B$9:$C$117,2,0)</f>
        <v>SARAGURO</v>
      </c>
      <c r="H457" s="536" t="s">
        <v>468</v>
      </c>
      <c r="I457" s="536" t="s">
        <v>265</v>
      </c>
      <c r="J457" s="536" t="s">
        <v>502</v>
      </c>
      <c r="K457" s="537"/>
      <c r="L457" s="537"/>
      <c r="M457" s="538">
        <f>IF(K457&gt;0,VLOOKUP(H457,'[5]Pob. Ext, Parroquial'!$B$8:$F$117,4,FALSE),0)</f>
        <v>0</v>
      </c>
      <c r="N457" s="539" t="s">
        <v>512</v>
      </c>
      <c r="O457" s="540" t="s">
        <v>510</v>
      </c>
      <c r="P457" s="540">
        <v>6.78</v>
      </c>
      <c r="Q457" s="540">
        <v>7667.69</v>
      </c>
      <c r="R457" s="540"/>
      <c r="S457" s="541">
        <v>41548</v>
      </c>
      <c r="T457" s="541">
        <v>41790</v>
      </c>
      <c r="U457" s="542" t="str">
        <f t="shared" si="70"/>
        <v>EJECUTADO</v>
      </c>
      <c r="V457" s="543">
        <f t="shared" si="71"/>
        <v>51986.94</v>
      </c>
      <c r="W457" s="543">
        <v>51986.94</v>
      </c>
      <c r="X457" s="543">
        <f t="shared" si="89"/>
        <v>0</v>
      </c>
      <c r="Y457" s="544"/>
      <c r="Z457" s="544"/>
      <c r="AA457" s="1072"/>
      <c r="AB457" s="640"/>
      <c r="AC457" s="545" t="s">
        <v>505</v>
      </c>
      <c r="AD457" s="545" t="s">
        <v>178</v>
      </c>
      <c r="AE457" s="546" t="s">
        <v>187</v>
      </c>
      <c r="AF457" s="547">
        <v>2014</v>
      </c>
      <c r="AG457" s="639"/>
      <c r="AH457" s="639"/>
      <c r="AP457" s="97" t="s">
        <v>242</v>
      </c>
    </row>
    <row r="458" spans="1:42" s="94" customFormat="1" ht="50.1" customHeight="1">
      <c r="A458" s="1068"/>
      <c r="B458" s="1076"/>
      <c r="C458" s="635" t="s">
        <v>182</v>
      </c>
      <c r="D458" s="1092"/>
      <c r="E458" s="655" t="str">
        <f t="shared" si="92"/>
        <v>MEJORAMIENTO A NIVEL DE DOBLE TRATAMIENTO SUPERFICIAL BITUMINOSO DE LA VIA SARAGURO TENTA L= 6.17 KM.ABSC (4+044.69 - 10+210.55) CONVENIO NRO.120 - DPS -2013 GPL - VIALSUR.EP</v>
      </c>
      <c r="F458" s="536" t="s">
        <v>501</v>
      </c>
      <c r="G458" s="536" t="str">
        <f>VLOOKUP(H458,'[5]Pob. Ext, Parroquial'!$B$9:$C$117,2,0)</f>
        <v>SARAGURO</v>
      </c>
      <c r="H458" s="536" t="s">
        <v>468</v>
      </c>
      <c r="I458" s="536" t="s">
        <v>265</v>
      </c>
      <c r="J458" s="536" t="s">
        <v>502</v>
      </c>
      <c r="K458" s="537"/>
      <c r="L458" s="537">
        <f>ROUNDUP(Q458/5.5/1000,2)</f>
        <v>4.0199999999999996</v>
      </c>
      <c r="M458" s="538">
        <f>IF(K458&gt;0,VLOOKUP(H458,'[5]Pob. Ext, Parroquial'!$B$8:$F$117,4,FALSE),0)</f>
        <v>0</v>
      </c>
      <c r="N458" s="539" t="s">
        <v>282</v>
      </c>
      <c r="O458" s="540" t="s">
        <v>513</v>
      </c>
      <c r="P458" s="540">
        <v>0.35</v>
      </c>
      <c r="Q458" s="540">
        <v>22084.34</v>
      </c>
      <c r="R458" s="540"/>
      <c r="S458" s="541">
        <v>41548</v>
      </c>
      <c r="T458" s="541">
        <v>41759</v>
      </c>
      <c r="U458" s="542" t="str">
        <f t="shared" si="70"/>
        <v>EJECUTADO</v>
      </c>
      <c r="V458" s="543">
        <f t="shared" si="71"/>
        <v>7729.52</v>
      </c>
      <c r="W458" s="543">
        <v>7729.52</v>
      </c>
      <c r="X458" s="543">
        <f t="shared" si="89"/>
        <v>0</v>
      </c>
      <c r="Y458" s="544"/>
      <c r="Z458" s="544"/>
      <c r="AA458" s="1072"/>
      <c r="AB458" s="640"/>
      <c r="AC458" s="545" t="s">
        <v>505</v>
      </c>
      <c r="AD458" s="545" t="s">
        <v>178</v>
      </c>
      <c r="AE458" s="546" t="s">
        <v>187</v>
      </c>
      <c r="AF458" s="547">
        <v>2014</v>
      </c>
      <c r="AG458" s="639"/>
      <c r="AH458" s="639"/>
      <c r="AP458" s="97" t="s">
        <v>246</v>
      </c>
    </row>
    <row r="459" spans="1:42" s="94" customFormat="1" ht="50.1" customHeight="1">
      <c r="A459" s="1068"/>
      <c r="B459" s="1076"/>
      <c r="C459" s="635" t="s">
        <v>182</v>
      </c>
      <c r="D459" s="1092"/>
      <c r="E459" s="655" t="str">
        <f t="shared" si="92"/>
        <v>MEJORAMIENTO A NIVEL DE DOBLE TRATAMIENTO SUPERFICIAL BITUMINOSO DE LA VIA SARAGURO TENTA L= 6.17 KM.ABSC (4+044.69 - 10+210.55) CONVENIO NRO.120 - DPS -2013 GPL - VIALSUR.EP</v>
      </c>
      <c r="F459" s="536" t="s">
        <v>501</v>
      </c>
      <c r="G459" s="536" t="str">
        <f>VLOOKUP(H459,'[5]Pob. Ext, Parroquial'!$B$9:$C$117,2,0)</f>
        <v>SARAGURO</v>
      </c>
      <c r="H459" s="536" t="s">
        <v>468</v>
      </c>
      <c r="I459" s="536" t="s">
        <v>265</v>
      </c>
      <c r="J459" s="536" t="s">
        <v>502</v>
      </c>
      <c r="K459" s="537"/>
      <c r="L459" s="537"/>
      <c r="M459" s="538">
        <f>IF(K459&gt;0,VLOOKUP(H459,'[5]Pob. Ext, Parroquial'!$B$8:$F$117,4,FALSE),0)</f>
        <v>0</v>
      </c>
      <c r="N459" s="539" t="s">
        <v>514</v>
      </c>
      <c r="O459" s="540" t="s">
        <v>513</v>
      </c>
      <c r="P459" s="540">
        <v>1.46</v>
      </c>
      <c r="Q459" s="540">
        <v>1425.55</v>
      </c>
      <c r="R459" s="540"/>
      <c r="S459" s="541">
        <v>41699</v>
      </c>
      <c r="T459" s="541">
        <v>41759</v>
      </c>
      <c r="U459" s="542" t="str">
        <f t="shared" si="70"/>
        <v>EJECUTADO</v>
      </c>
      <c r="V459" s="543">
        <f t="shared" si="71"/>
        <v>2081.3000000000002</v>
      </c>
      <c r="W459" s="543">
        <v>2067.0500000000002</v>
      </c>
      <c r="X459" s="543">
        <f t="shared" si="89"/>
        <v>21.375</v>
      </c>
      <c r="Y459" s="544"/>
      <c r="Z459" s="544"/>
      <c r="AA459" s="1072"/>
      <c r="AB459" s="640"/>
      <c r="AC459" s="545" t="s">
        <v>505</v>
      </c>
      <c r="AD459" s="545" t="s">
        <v>178</v>
      </c>
      <c r="AE459" s="546" t="s">
        <v>187</v>
      </c>
      <c r="AF459" s="547">
        <v>2014</v>
      </c>
      <c r="AG459" s="639"/>
      <c r="AH459" s="639"/>
      <c r="AP459" s="97" t="s">
        <v>249</v>
      </c>
    </row>
    <row r="460" spans="1:42" s="94" customFormat="1" ht="50.1" customHeight="1">
      <c r="A460" s="1068"/>
      <c r="B460" s="1076"/>
      <c r="C460" s="635" t="s">
        <v>169</v>
      </c>
      <c r="D460" s="1092"/>
      <c r="E460" s="655" t="str">
        <f t="shared" si="92"/>
        <v>MEJORAMIENTO A NIVEL DE DOBLE TRATAMIENTO SUPERFICIAL BITUMINOSO DE LA VIA SARAGURO TENTA L= 6.17 KM.ABSC (4+044.69 - 10+210.55) CONVENIO NRO.120 - DPS -2013 GPL - VIALSUR.EP</v>
      </c>
      <c r="F460" s="536" t="s">
        <v>501</v>
      </c>
      <c r="G460" s="536" t="str">
        <f>VLOOKUP(H460,'[5]Pob. Ext, Parroquial'!$B$9:$C$117,2,0)</f>
        <v>SARAGURO</v>
      </c>
      <c r="H460" s="536" t="s">
        <v>468</v>
      </c>
      <c r="I460" s="536" t="s">
        <v>265</v>
      </c>
      <c r="J460" s="536" t="s">
        <v>502</v>
      </c>
      <c r="K460" s="537"/>
      <c r="L460" s="537"/>
      <c r="M460" s="538">
        <f>IF(K460&gt;0,VLOOKUP(H460,'[5]Pob. Ext, Parroquial'!$B$8:$F$117,4,FALSE),0)</f>
        <v>0</v>
      </c>
      <c r="N460" s="539" t="s">
        <v>515</v>
      </c>
      <c r="O460" s="540" t="s">
        <v>516</v>
      </c>
      <c r="P460" s="540">
        <v>0.3</v>
      </c>
      <c r="Q460" s="540">
        <v>95128.94</v>
      </c>
      <c r="R460" s="540"/>
      <c r="S460" s="541">
        <v>41548</v>
      </c>
      <c r="T460" s="541">
        <v>41759</v>
      </c>
      <c r="U460" s="542" t="str">
        <f t="shared" si="70"/>
        <v>EJECUTADO</v>
      </c>
      <c r="V460" s="543">
        <f t="shared" ref="V460:V478" si="93">ROUND(P460*Q460,2)</f>
        <v>28538.68</v>
      </c>
      <c r="W460" s="543">
        <v>28538.68</v>
      </c>
      <c r="X460" s="543">
        <f t="shared" si="89"/>
        <v>0</v>
      </c>
      <c r="Y460" s="544"/>
      <c r="Z460" s="544"/>
      <c r="AA460" s="1072"/>
      <c r="AB460" s="640"/>
      <c r="AC460" s="545" t="s">
        <v>505</v>
      </c>
      <c r="AD460" s="545" t="s">
        <v>178</v>
      </c>
      <c r="AE460" s="546" t="s">
        <v>187</v>
      </c>
      <c r="AF460" s="547">
        <v>2014</v>
      </c>
      <c r="AG460" s="639"/>
      <c r="AH460" s="639"/>
    </row>
    <row r="461" spans="1:42" s="94" customFormat="1" ht="50.1" customHeight="1">
      <c r="A461" s="1068"/>
      <c r="B461" s="1076"/>
      <c r="C461" s="635" t="s">
        <v>169</v>
      </c>
      <c r="D461" s="1092"/>
      <c r="E461" s="655" t="str">
        <f t="shared" si="92"/>
        <v>MEJORAMIENTO A NIVEL DE DOBLE TRATAMIENTO SUPERFICIAL BITUMINOSO DE LA VIA SARAGURO TENTA L= 6.17 KM.ABSC (4+044.69 - 10+210.55) CONVENIO NRO.120 - DPS -2013 GPL - VIALSUR.EP</v>
      </c>
      <c r="F461" s="536" t="s">
        <v>501</v>
      </c>
      <c r="G461" s="536" t="str">
        <f>VLOOKUP(H461,'[5]Pob. Ext, Parroquial'!$B$9:$C$117,2,0)</f>
        <v>SARAGURO</v>
      </c>
      <c r="H461" s="536" t="s">
        <v>468</v>
      </c>
      <c r="I461" s="536" t="s">
        <v>265</v>
      </c>
      <c r="J461" s="536" t="s">
        <v>502</v>
      </c>
      <c r="K461" s="537"/>
      <c r="L461" s="537"/>
      <c r="M461" s="538">
        <f>IF(K461&gt;0,VLOOKUP(H461,'[5]Pob. Ext, Parroquial'!$B$8:$F$117,4,FALSE),0)</f>
        <v>0</v>
      </c>
      <c r="N461" s="539" t="s">
        <v>517</v>
      </c>
      <c r="O461" s="540" t="s">
        <v>510</v>
      </c>
      <c r="P461" s="540">
        <v>1.1599999999999999</v>
      </c>
      <c r="Q461" s="540">
        <v>1020</v>
      </c>
      <c r="R461" s="540"/>
      <c r="S461" s="541">
        <v>41548</v>
      </c>
      <c r="T461" s="541">
        <v>41670</v>
      </c>
      <c r="U461" s="542" t="str">
        <f t="shared" si="70"/>
        <v>EJECUTADO</v>
      </c>
      <c r="V461" s="543">
        <f t="shared" si="93"/>
        <v>1183.2</v>
      </c>
      <c r="W461" s="543">
        <v>1183.2</v>
      </c>
      <c r="X461" s="543">
        <f t="shared" si="89"/>
        <v>0</v>
      </c>
      <c r="Y461" s="544"/>
      <c r="Z461" s="544"/>
      <c r="AA461" s="1072"/>
      <c r="AB461" s="640"/>
      <c r="AC461" s="545" t="s">
        <v>505</v>
      </c>
      <c r="AD461" s="545" t="s">
        <v>178</v>
      </c>
      <c r="AE461" s="546" t="s">
        <v>179</v>
      </c>
      <c r="AF461" s="547">
        <v>2014</v>
      </c>
      <c r="AG461" s="639"/>
      <c r="AH461" s="639"/>
    </row>
    <row r="462" spans="1:42" s="94" customFormat="1" ht="50.1" customHeight="1">
      <c r="A462" s="1068"/>
      <c r="B462" s="1076"/>
      <c r="C462" s="635" t="s">
        <v>169</v>
      </c>
      <c r="D462" s="1092"/>
      <c r="E462" s="655" t="str">
        <f t="shared" si="92"/>
        <v>MEJORAMIENTO A NIVEL DE DOBLE TRATAMIENTO SUPERFICIAL BITUMINOSO DE LA VIA SARAGURO TENTA L= 6.17 KM.ABSC (4+044.69 - 10+210.55) CONVENIO NRO.120 - DPS -2013 GPL - VIALSUR.EP</v>
      </c>
      <c r="F462" s="536" t="s">
        <v>501</v>
      </c>
      <c r="G462" s="536" t="str">
        <f>VLOOKUP(H462,'[5]Pob. Ext, Parroquial'!$B$9:$C$117,2,0)</f>
        <v>SARAGURO</v>
      </c>
      <c r="H462" s="536" t="s">
        <v>468</v>
      </c>
      <c r="I462" s="536" t="s">
        <v>265</v>
      </c>
      <c r="J462" s="536" t="s">
        <v>502</v>
      </c>
      <c r="K462" s="537"/>
      <c r="L462" s="537"/>
      <c r="M462" s="538">
        <f>IF(K462&gt;0,VLOOKUP(H462,'[5]Pob. Ext, Parroquial'!$B$8:$F$117,4,FALSE),0)</f>
        <v>0</v>
      </c>
      <c r="N462" s="539" t="s">
        <v>518</v>
      </c>
      <c r="O462" s="540" t="s">
        <v>516</v>
      </c>
      <c r="P462" s="540">
        <v>0.3</v>
      </c>
      <c r="Q462" s="540">
        <f>216187.77</f>
        <v>216187.77</v>
      </c>
      <c r="R462" s="540"/>
      <c r="S462" s="541">
        <v>41548</v>
      </c>
      <c r="T462" s="541">
        <v>41759</v>
      </c>
      <c r="U462" s="542" t="str">
        <f t="shared" si="70"/>
        <v>EJECUTADO</v>
      </c>
      <c r="V462" s="543">
        <f t="shared" si="93"/>
        <v>64856.33</v>
      </c>
      <c r="W462" s="543">
        <v>64856.33</v>
      </c>
      <c r="X462" s="543">
        <f t="shared" si="89"/>
        <v>0</v>
      </c>
      <c r="Y462" s="544"/>
      <c r="Z462" s="544"/>
      <c r="AA462" s="1072"/>
      <c r="AB462" s="640"/>
      <c r="AC462" s="545" t="s">
        <v>505</v>
      </c>
      <c r="AD462" s="545" t="s">
        <v>178</v>
      </c>
      <c r="AE462" s="546" t="s">
        <v>187</v>
      </c>
      <c r="AF462" s="547">
        <v>2014</v>
      </c>
      <c r="AG462" s="639"/>
      <c r="AH462" s="639"/>
    </row>
    <row r="463" spans="1:42" s="94" customFormat="1" ht="50.1" customHeight="1">
      <c r="A463" s="1068"/>
      <c r="B463" s="1076"/>
      <c r="C463" s="635" t="s">
        <v>169</v>
      </c>
      <c r="D463" s="1092"/>
      <c r="E463" s="655" t="str">
        <f t="shared" si="92"/>
        <v>MEJORAMIENTO A NIVEL DE DOBLE TRATAMIENTO SUPERFICIAL BITUMINOSO DE LA VIA SARAGURO TENTA L= 6.17 KM.ABSC (4+044.69 - 10+210.55) CONVENIO NRO.120 - DPS -2013 GPL - VIALSUR.EP</v>
      </c>
      <c r="F463" s="536" t="s">
        <v>501</v>
      </c>
      <c r="G463" s="536" t="str">
        <f>VLOOKUP(H463,'[5]Pob. Ext, Parroquial'!$B$9:$C$117,2,0)</f>
        <v>SARAGURO</v>
      </c>
      <c r="H463" s="536" t="s">
        <v>468</v>
      </c>
      <c r="I463" s="536" t="s">
        <v>265</v>
      </c>
      <c r="J463" s="536" t="s">
        <v>502</v>
      </c>
      <c r="K463" s="537"/>
      <c r="L463" s="537">
        <f>+ROUND(Q463/5500/0.2,2)</f>
        <v>8.66</v>
      </c>
      <c r="M463" s="538">
        <f>IF(K463&gt;0,VLOOKUP(H463,'[5]Pob. Ext, Parroquial'!$B$8:$F$117,4,FALSE),0)</f>
        <v>0</v>
      </c>
      <c r="N463" s="539" t="s">
        <v>229</v>
      </c>
      <c r="O463" s="540" t="s">
        <v>510</v>
      </c>
      <c r="P463" s="540">
        <v>5.88</v>
      </c>
      <c r="Q463" s="540">
        <f>9523.29</f>
        <v>9523.2900000000009</v>
      </c>
      <c r="R463" s="540"/>
      <c r="S463" s="541">
        <v>41548</v>
      </c>
      <c r="T463" s="541">
        <v>41759</v>
      </c>
      <c r="U463" s="542" t="str">
        <f t="shared" si="70"/>
        <v>EJECUTADO</v>
      </c>
      <c r="V463" s="543">
        <f t="shared" si="93"/>
        <v>55996.95</v>
      </c>
      <c r="W463" s="543">
        <v>55996.95</v>
      </c>
      <c r="X463" s="543">
        <f t="shared" si="89"/>
        <v>0</v>
      </c>
      <c r="Y463" s="544"/>
      <c r="Z463" s="544"/>
      <c r="AA463" s="1072"/>
      <c r="AB463" s="640"/>
      <c r="AC463" s="545" t="s">
        <v>505</v>
      </c>
      <c r="AD463" s="545" t="s">
        <v>178</v>
      </c>
      <c r="AE463" s="546" t="s">
        <v>187</v>
      </c>
      <c r="AF463" s="547">
        <v>2014</v>
      </c>
      <c r="AG463" s="639"/>
      <c r="AH463" s="639"/>
    </row>
    <row r="464" spans="1:42" s="94" customFormat="1" ht="50.1" customHeight="1">
      <c r="A464" s="1068"/>
      <c r="B464" s="1076"/>
      <c r="C464" s="635" t="s">
        <v>169</v>
      </c>
      <c r="D464" s="1092"/>
      <c r="E464" s="655" t="str">
        <f t="shared" si="92"/>
        <v>MEJORAMIENTO A NIVEL DE DOBLE TRATAMIENTO SUPERFICIAL BITUMINOSO DE LA VIA SARAGURO TENTA L= 6.17 KM.ABSC (4+044.69 - 10+210.55) CONVENIO NRO.120 - DPS -2013 GPL - VIALSUR.EP</v>
      </c>
      <c r="F464" s="536" t="s">
        <v>501</v>
      </c>
      <c r="G464" s="536" t="str">
        <f>VLOOKUP(H464,'[5]Pob. Ext, Parroquial'!$B$9:$C$117,2,0)</f>
        <v>SARAGURO</v>
      </c>
      <c r="H464" s="536" t="s">
        <v>468</v>
      </c>
      <c r="I464" s="536" t="s">
        <v>265</v>
      </c>
      <c r="J464" s="536" t="s">
        <v>502</v>
      </c>
      <c r="K464" s="537"/>
      <c r="L464" s="537"/>
      <c r="M464" s="538">
        <f>IF(K464&gt;0,VLOOKUP(H464,'[5]Pob. Ext, Parroquial'!$B$8:$F$117,4,FALSE),0)</f>
        <v>0</v>
      </c>
      <c r="N464" s="539" t="s">
        <v>519</v>
      </c>
      <c r="O464" s="540" t="s">
        <v>510</v>
      </c>
      <c r="P464" s="540">
        <v>9.32</v>
      </c>
      <c r="Q464" s="540">
        <v>3525</v>
      </c>
      <c r="R464" s="540"/>
      <c r="S464" s="541">
        <v>41548</v>
      </c>
      <c r="T464" s="541">
        <v>41759</v>
      </c>
      <c r="U464" s="542" t="str">
        <f t="shared" si="70"/>
        <v>EJECUTADO</v>
      </c>
      <c r="V464" s="543">
        <f t="shared" si="93"/>
        <v>32853</v>
      </c>
      <c r="W464" s="543">
        <v>32853</v>
      </c>
      <c r="X464" s="543">
        <f t="shared" si="89"/>
        <v>0</v>
      </c>
      <c r="Y464" s="544"/>
      <c r="Z464" s="544"/>
      <c r="AA464" s="1072"/>
      <c r="AB464" s="640"/>
      <c r="AC464" s="545" t="s">
        <v>505</v>
      </c>
      <c r="AD464" s="545" t="s">
        <v>178</v>
      </c>
      <c r="AE464" s="546" t="s">
        <v>179</v>
      </c>
      <c r="AF464" s="547">
        <v>2014</v>
      </c>
      <c r="AG464" s="639"/>
      <c r="AH464" s="639"/>
    </row>
    <row r="465" spans="1:34" s="94" customFormat="1" ht="50.1" customHeight="1">
      <c r="A465" s="1068"/>
      <c r="B465" s="1076"/>
      <c r="C465" s="635" t="s">
        <v>297</v>
      </c>
      <c r="D465" s="1092"/>
      <c r="E465" s="655" t="str">
        <f t="shared" si="92"/>
        <v>MEJORAMIENTO A NIVEL DE DOBLE TRATAMIENTO SUPERFICIAL BITUMINOSO DE LA VIA SARAGURO TENTA L= 6.17 KM.ABSC (4+044.69 - 10+210.55) CONVENIO NRO.120 - DPS -2013 GPL - VIALSUR.EP</v>
      </c>
      <c r="F465" s="536" t="s">
        <v>501</v>
      </c>
      <c r="G465" s="536" t="str">
        <f>VLOOKUP(H465,'[5]Pob. Ext, Parroquial'!$B$9:$C$117,2,0)</f>
        <v>SARAGURO</v>
      </c>
      <c r="H465" s="536" t="s">
        <v>468</v>
      </c>
      <c r="I465" s="536" t="s">
        <v>265</v>
      </c>
      <c r="J465" s="536" t="s">
        <v>502</v>
      </c>
      <c r="K465" s="537"/>
      <c r="L465" s="537"/>
      <c r="M465" s="538">
        <f>IF(K465&gt;0,VLOOKUP(H465,'[5]Pob. Ext, Parroquial'!$B$8:$F$117,4,FALSE),0)</f>
        <v>0</v>
      </c>
      <c r="N465" s="539" t="s">
        <v>520</v>
      </c>
      <c r="O465" s="540" t="s">
        <v>510</v>
      </c>
      <c r="P465" s="540">
        <v>19.100000000000001</v>
      </c>
      <c r="Q465" s="540">
        <f>1225.36</f>
        <v>1225.3599999999999</v>
      </c>
      <c r="R465" s="540"/>
      <c r="S465" s="541">
        <v>41548</v>
      </c>
      <c r="T465" s="541">
        <v>41759</v>
      </c>
      <c r="U465" s="542" t="str">
        <f t="shared" si="70"/>
        <v>EJECUTADO</v>
      </c>
      <c r="V465" s="543">
        <f t="shared" si="93"/>
        <v>23404.38</v>
      </c>
      <c r="W465" s="543">
        <v>23404.38</v>
      </c>
      <c r="X465" s="543"/>
      <c r="Y465" s="544"/>
      <c r="Z465" s="544"/>
      <c r="AA465" s="1072"/>
      <c r="AB465" s="640"/>
      <c r="AC465" s="545" t="s">
        <v>505</v>
      </c>
      <c r="AD465" s="545" t="s">
        <v>178</v>
      </c>
      <c r="AE465" s="546" t="s">
        <v>179</v>
      </c>
      <c r="AF465" s="547">
        <v>2014</v>
      </c>
      <c r="AG465" s="639"/>
      <c r="AH465" s="639"/>
    </row>
    <row r="466" spans="1:34" s="94" customFormat="1" ht="50.1" customHeight="1">
      <c r="A466" s="1068"/>
      <c r="B466" s="1076"/>
      <c r="C466" s="635" t="s">
        <v>182</v>
      </c>
      <c r="D466" s="1092"/>
      <c r="E466" s="655" t="str">
        <f t="shared" si="92"/>
        <v>MEJORAMIENTO A NIVEL DE DOBLE TRATAMIENTO SUPERFICIAL BITUMINOSO DE LA VIA SARAGURO TENTA L= 6.17 KM.ABSC (4+044.69 - 10+210.55) CONVENIO NRO.120 - DPS -2013 GPL - VIALSUR.EP</v>
      </c>
      <c r="F466" s="536" t="s">
        <v>501</v>
      </c>
      <c r="G466" s="536" t="str">
        <f>VLOOKUP(H466,'[5]Pob. Ext, Parroquial'!$B$9:$C$117,2,0)</f>
        <v>SARAGURO</v>
      </c>
      <c r="H466" s="536" t="s">
        <v>468</v>
      </c>
      <c r="I466" s="536" t="s">
        <v>265</v>
      </c>
      <c r="J466" s="536" t="s">
        <v>502</v>
      </c>
      <c r="K466" s="537"/>
      <c r="L466" s="537"/>
      <c r="M466" s="538">
        <f>IF(K466&gt;0,VLOOKUP(H466,'[5]Pob. Ext, Parroquial'!$B$8:$F$117,4,FALSE),0)</f>
        <v>0</v>
      </c>
      <c r="N466" s="539" t="s">
        <v>521</v>
      </c>
      <c r="O466" s="540" t="s">
        <v>510</v>
      </c>
      <c r="P466" s="540">
        <v>10.87</v>
      </c>
      <c r="Q466" s="540">
        <v>36.85</v>
      </c>
      <c r="R466" s="540"/>
      <c r="S466" s="541">
        <v>41548</v>
      </c>
      <c r="T466" s="541">
        <v>41729</v>
      </c>
      <c r="U466" s="542" t="str">
        <f t="shared" ref="U466:U478" si="94">IF(T466&lt;$G$4,"EJECUTADO","EN EJECUCION")</f>
        <v>EJECUTADO</v>
      </c>
      <c r="V466" s="543">
        <f t="shared" si="93"/>
        <v>400.56</v>
      </c>
      <c r="W466" s="543">
        <v>400.56</v>
      </c>
      <c r="X466" s="543">
        <f t="shared" si="89"/>
        <v>0</v>
      </c>
      <c r="Y466" s="544"/>
      <c r="Z466" s="544"/>
      <c r="AA466" s="1072"/>
      <c r="AB466" s="640"/>
      <c r="AC466" s="545" t="s">
        <v>505</v>
      </c>
      <c r="AD466" s="545" t="s">
        <v>178</v>
      </c>
      <c r="AE466" s="546" t="s">
        <v>179</v>
      </c>
      <c r="AF466" s="547">
        <v>2014</v>
      </c>
      <c r="AG466" s="639"/>
      <c r="AH466" s="639"/>
    </row>
    <row r="467" spans="1:34" s="94" customFormat="1" ht="50.1" customHeight="1">
      <c r="A467" s="1068"/>
      <c r="B467" s="1076"/>
      <c r="C467" s="635" t="s">
        <v>169</v>
      </c>
      <c r="D467" s="1092"/>
      <c r="E467" s="655" t="str">
        <f t="shared" si="92"/>
        <v>MEJORAMIENTO A NIVEL DE DOBLE TRATAMIENTO SUPERFICIAL BITUMINOSO DE LA VIA SARAGURO TENTA L= 6.17 KM.ABSC (4+044.69 - 10+210.55) CONVENIO NRO.120 - DPS -2013 GPL - VIALSUR.EP</v>
      </c>
      <c r="F467" s="536" t="s">
        <v>501</v>
      </c>
      <c r="G467" s="536" t="str">
        <f>VLOOKUP(H467,'[5]Pob. Ext, Parroquial'!$B$9:$C$117,2,0)</f>
        <v>SARAGURO</v>
      </c>
      <c r="H467" s="536" t="s">
        <v>468</v>
      </c>
      <c r="I467" s="536" t="s">
        <v>265</v>
      </c>
      <c r="J467" s="536" t="s">
        <v>502</v>
      </c>
      <c r="K467" s="537"/>
      <c r="L467" s="537"/>
      <c r="M467" s="538">
        <f>IF(K467&gt;0,VLOOKUP(H467,'[5]Pob. Ext, Parroquial'!$B$8:$F$117,4,FALSE),0)</f>
        <v>0</v>
      </c>
      <c r="N467" s="539" t="s">
        <v>522</v>
      </c>
      <c r="O467" s="540" t="s">
        <v>510</v>
      </c>
      <c r="P467" s="540">
        <v>1.57</v>
      </c>
      <c r="Q467" s="540">
        <v>486.62</v>
      </c>
      <c r="R467" s="540"/>
      <c r="S467" s="541">
        <v>41548</v>
      </c>
      <c r="T467" s="541">
        <v>41759</v>
      </c>
      <c r="U467" s="542" t="str">
        <f t="shared" si="94"/>
        <v>EJECUTADO</v>
      </c>
      <c r="V467" s="543">
        <f t="shared" si="93"/>
        <v>763.99</v>
      </c>
      <c r="W467" s="543">
        <v>763.99</v>
      </c>
      <c r="X467" s="543">
        <f t="shared" si="89"/>
        <v>0</v>
      </c>
      <c r="Y467" s="544"/>
      <c r="Z467" s="544"/>
      <c r="AA467" s="1072"/>
      <c r="AB467" s="640"/>
      <c r="AC467" s="545" t="s">
        <v>505</v>
      </c>
      <c r="AD467" s="545" t="s">
        <v>178</v>
      </c>
      <c r="AE467" s="546" t="s">
        <v>179</v>
      </c>
      <c r="AF467" s="547">
        <v>2014</v>
      </c>
      <c r="AG467" s="639"/>
      <c r="AH467" s="639"/>
    </row>
    <row r="468" spans="1:34" s="94" customFormat="1" ht="50.1" customHeight="1">
      <c r="A468" s="1068"/>
      <c r="B468" s="1076"/>
      <c r="C468" s="635" t="s">
        <v>169</v>
      </c>
      <c r="D468" s="1092"/>
      <c r="E468" s="655" t="str">
        <f t="shared" si="92"/>
        <v>MEJORAMIENTO A NIVEL DE DOBLE TRATAMIENTO SUPERFICIAL BITUMINOSO DE LA VIA SARAGURO TENTA L= 6.17 KM.ABSC (4+044.69 - 10+210.55) CONVENIO NRO.120 - DPS -2013 GPL - VIALSUR.EP</v>
      </c>
      <c r="F468" s="536" t="s">
        <v>501</v>
      </c>
      <c r="G468" s="536" t="str">
        <f>VLOOKUP(H468,'[5]Pob. Ext, Parroquial'!$B$9:$C$117,2,0)</f>
        <v>SARAGURO</v>
      </c>
      <c r="H468" s="536" t="s">
        <v>468</v>
      </c>
      <c r="I468" s="536" t="s">
        <v>265</v>
      </c>
      <c r="J468" s="536" t="s">
        <v>502</v>
      </c>
      <c r="K468" s="537"/>
      <c r="L468" s="537"/>
      <c r="M468" s="538">
        <f>IF(K468&gt;0,VLOOKUP(H468,'[5]Pob. Ext, Parroquial'!$B$8:$F$117,4,FALSE),0)</f>
        <v>0</v>
      </c>
      <c r="N468" s="539" t="s">
        <v>523</v>
      </c>
      <c r="O468" s="540" t="s">
        <v>510</v>
      </c>
      <c r="P468" s="540">
        <v>1.73</v>
      </c>
      <c r="Q468" s="540">
        <v>432</v>
      </c>
      <c r="R468" s="540"/>
      <c r="S468" s="541">
        <v>41548</v>
      </c>
      <c r="T468" s="541">
        <v>41759</v>
      </c>
      <c r="U468" s="542" t="str">
        <f t="shared" si="94"/>
        <v>EJECUTADO</v>
      </c>
      <c r="V468" s="543">
        <f t="shared" si="93"/>
        <v>747.36</v>
      </c>
      <c r="W468" s="543">
        <v>747.36</v>
      </c>
      <c r="X468" s="543">
        <f t="shared" si="89"/>
        <v>0</v>
      </c>
      <c r="Y468" s="544"/>
      <c r="Z468" s="544"/>
      <c r="AA468" s="1072"/>
      <c r="AB468" s="640"/>
      <c r="AC468" s="545" t="s">
        <v>505</v>
      </c>
      <c r="AD468" s="545" t="s">
        <v>178</v>
      </c>
      <c r="AE468" s="546" t="s">
        <v>179</v>
      </c>
      <c r="AF468" s="547">
        <v>2014</v>
      </c>
      <c r="AG468" s="639"/>
      <c r="AH468" s="639"/>
    </row>
    <row r="469" spans="1:34" s="94" customFormat="1" ht="50.1" customHeight="1">
      <c r="A469" s="1068"/>
      <c r="B469" s="1076"/>
      <c r="C469" s="635" t="s">
        <v>353</v>
      </c>
      <c r="D469" s="1092"/>
      <c r="E469" s="655" t="str">
        <f t="shared" si="92"/>
        <v>MEJORAMIENTO A NIVEL DE DOBLE TRATAMIENTO SUPERFICIAL BITUMINOSO DE LA VIA SARAGURO TENTA L= 6.17 KM.ABSC (4+044.69 - 10+210.55) CONVENIO NRO.120 - DPS -2013 GPL - VIALSUR.EP</v>
      </c>
      <c r="F469" s="536" t="s">
        <v>501</v>
      </c>
      <c r="G469" s="536" t="str">
        <f>VLOOKUP(H469,'[5]Pob. Ext, Parroquial'!$B$9:$C$117,2,0)</f>
        <v>SARAGURO</v>
      </c>
      <c r="H469" s="536" t="s">
        <v>468</v>
      </c>
      <c r="I469" s="536" t="s">
        <v>265</v>
      </c>
      <c r="J469" s="536" t="s">
        <v>502</v>
      </c>
      <c r="K469" s="537"/>
      <c r="L469" s="537"/>
      <c r="M469" s="538">
        <f>IF(K469&gt;0,VLOOKUP(H469,'[5]Pob. Ext, Parroquial'!$B$8:$F$117,4,FALSE),0)</f>
        <v>0</v>
      </c>
      <c r="N469" s="539" t="s">
        <v>524</v>
      </c>
      <c r="O469" s="540" t="s">
        <v>482</v>
      </c>
      <c r="P469" s="540">
        <v>208.57</v>
      </c>
      <c r="Q469" s="540">
        <v>33.36</v>
      </c>
      <c r="R469" s="540"/>
      <c r="S469" s="541">
        <v>41365</v>
      </c>
      <c r="T469" s="541">
        <v>41759</v>
      </c>
      <c r="U469" s="542" t="str">
        <f t="shared" si="94"/>
        <v>EJECUTADO</v>
      </c>
      <c r="V469" s="543">
        <f>ROUND(P469*Q469,2)</f>
        <v>6957.9</v>
      </c>
      <c r="W469" s="543">
        <v>6892.84</v>
      </c>
      <c r="X469" s="543">
        <f t="shared" si="89"/>
        <v>97.589999999999236</v>
      </c>
      <c r="Y469" s="544"/>
      <c r="Z469" s="544"/>
      <c r="AA469" s="1072"/>
      <c r="AB469" s="640"/>
      <c r="AC469" s="545" t="s">
        <v>505</v>
      </c>
      <c r="AD469" s="545" t="s">
        <v>178</v>
      </c>
      <c r="AE469" s="546" t="s">
        <v>179</v>
      </c>
      <c r="AF469" s="547">
        <v>2014</v>
      </c>
      <c r="AG469" s="639"/>
      <c r="AH469" s="639"/>
    </row>
    <row r="470" spans="1:34" s="94" customFormat="1" ht="50.1" customHeight="1">
      <c r="A470" s="1068"/>
      <c r="B470" s="1076"/>
      <c r="C470" s="635" t="s">
        <v>353</v>
      </c>
      <c r="D470" s="1092"/>
      <c r="E470" s="655" t="str">
        <f t="shared" si="92"/>
        <v>MEJORAMIENTO A NIVEL DE DOBLE TRATAMIENTO SUPERFICIAL BITUMINOSO DE LA VIA SARAGURO TENTA L= 6.17 KM.ABSC (4+044.69 - 10+210.55) CONVENIO NRO.120 - DPS -2013 GPL - VIALSUR.EP</v>
      </c>
      <c r="F470" s="536" t="s">
        <v>501</v>
      </c>
      <c r="G470" s="536" t="str">
        <f>VLOOKUP(H470,'[5]Pob. Ext, Parroquial'!$B$9:$C$117,2,0)</f>
        <v>SARAGURO</v>
      </c>
      <c r="H470" s="536" t="s">
        <v>468</v>
      </c>
      <c r="I470" s="536" t="s">
        <v>265</v>
      </c>
      <c r="J470" s="536" t="s">
        <v>502</v>
      </c>
      <c r="K470" s="537"/>
      <c r="L470" s="537"/>
      <c r="M470" s="538">
        <f>IF(K470&gt;0,VLOOKUP(H470,'[5]Pob. Ext, Parroquial'!$B$8:$F$117,4,FALSE),0)</f>
        <v>0</v>
      </c>
      <c r="N470" s="539" t="s">
        <v>525</v>
      </c>
      <c r="O470" s="540" t="s">
        <v>508</v>
      </c>
      <c r="P470" s="540">
        <v>19.16</v>
      </c>
      <c r="Q470" s="540">
        <v>279.12</v>
      </c>
      <c r="R470" s="540"/>
      <c r="S470" s="541">
        <v>41548</v>
      </c>
      <c r="T470" s="541">
        <v>41759</v>
      </c>
      <c r="U470" s="542" t="str">
        <f t="shared" si="94"/>
        <v>EJECUTADO</v>
      </c>
      <c r="V470" s="543">
        <f t="shared" si="93"/>
        <v>5347.94</v>
      </c>
      <c r="W470" s="543">
        <v>5347.94</v>
      </c>
      <c r="X470" s="543">
        <f t="shared" si="89"/>
        <v>0</v>
      </c>
      <c r="Y470" s="544"/>
      <c r="Z470" s="544"/>
      <c r="AA470" s="1072"/>
      <c r="AB470" s="640"/>
      <c r="AC470" s="545" t="s">
        <v>505</v>
      </c>
      <c r="AD470" s="545" t="s">
        <v>178</v>
      </c>
      <c r="AE470" s="546" t="s">
        <v>179</v>
      </c>
      <c r="AF470" s="547">
        <v>2014</v>
      </c>
      <c r="AG470" s="639"/>
      <c r="AH470" s="639"/>
    </row>
    <row r="471" spans="1:34" s="94" customFormat="1" ht="50.1" customHeight="1">
      <c r="A471" s="1068"/>
      <c r="B471" s="1076"/>
      <c r="C471" s="635" t="s">
        <v>169</v>
      </c>
      <c r="D471" s="1092"/>
      <c r="E471" s="655" t="str">
        <f t="shared" si="92"/>
        <v>MEJORAMIENTO A NIVEL DE DOBLE TRATAMIENTO SUPERFICIAL BITUMINOSO DE LA VIA SARAGURO TENTA L= 6.17 KM.ABSC (4+044.69 - 10+210.55) CONVENIO NRO.120 - DPS -2013 GPL - VIALSUR.EP</v>
      </c>
      <c r="F471" s="536" t="s">
        <v>501</v>
      </c>
      <c r="G471" s="536" t="str">
        <f>VLOOKUP(H471,'[5]Pob. Ext, Parroquial'!$B$9:$C$117,2,0)</f>
        <v>SARAGURO</v>
      </c>
      <c r="H471" s="536" t="s">
        <v>468</v>
      </c>
      <c r="I471" s="536" t="s">
        <v>265</v>
      </c>
      <c r="J471" s="536" t="s">
        <v>502</v>
      </c>
      <c r="K471" s="537"/>
      <c r="L471" s="537"/>
      <c r="M471" s="538">
        <f>IF(K471&gt;0,VLOOKUP(H471,'[5]Pob. Ext, Parroquial'!$B$8:$F$117,4,FALSE),0)</f>
        <v>0</v>
      </c>
      <c r="N471" s="539" t="s">
        <v>526</v>
      </c>
      <c r="O471" s="540" t="s">
        <v>513</v>
      </c>
      <c r="P471" s="540">
        <v>1.91</v>
      </c>
      <c r="Q471" s="540">
        <v>1116.48</v>
      </c>
      <c r="R471" s="540"/>
      <c r="S471" s="541">
        <v>41548</v>
      </c>
      <c r="T471" s="541">
        <v>41759</v>
      </c>
      <c r="U471" s="542" t="str">
        <f t="shared" si="94"/>
        <v>EJECUTADO</v>
      </c>
      <c r="V471" s="543">
        <f t="shared" si="93"/>
        <v>2132.48</v>
      </c>
      <c r="W471" s="543">
        <v>2132.48</v>
      </c>
      <c r="X471" s="543">
        <f t="shared" si="89"/>
        <v>0</v>
      </c>
      <c r="Y471" s="544"/>
      <c r="Z471" s="544"/>
      <c r="AA471" s="1072"/>
      <c r="AB471" s="640"/>
      <c r="AC471" s="545" t="s">
        <v>505</v>
      </c>
      <c r="AD471" s="545" t="s">
        <v>178</v>
      </c>
      <c r="AE471" s="546" t="s">
        <v>179</v>
      </c>
      <c r="AF471" s="547">
        <v>2014</v>
      </c>
      <c r="AG471" s="639"/>
      <c r="AH471" s="639"/>
    </row>
    <row r="472" spans="1:34" s="94" customFormat="1" ht="50.1" customHeight="1">
      <c r="A472" s="1068"/>
      <c r="B472" s="1076"/>
      <c r="C472" s="635" t="s">
        <v>169</v>
      </c>
      <c r="D472" s="1092"/>
      <c r="E472" s="655" t="str">
        <f t="shared" si="92"/>
        <v>MEJORAMIENTO A NIVEL DE DOBLE TRATAMIENTO SUPERFICIAL BITUMINOSO DE LA VIA SARAGURO TENTA L= 6.17 KM.ABSC (4+044.69 - 10+210.55) CONVENIO NRO.120 - DPS -2013 GPL - VIALSUR.EP</v>
      </c>
      <c r="F472" s="536" t="s">
        <v>501</v>
      </c>
      <c r="G472" s="536" t="str">
        <f>VLOOKUP(H472,'[5]Pob. Ext, Parroquial'!$B$9:$C$117,2,0)</f>
        <v>SARAGURO</v>
      </c>
      <c r="H472" s="536" t="s">
        <v>468</v>
      </c>
      <c r="I472" s="536" t="s">
        <v>265</v>
      </c>
      <c r="J472" s="536" t="s">
        <v>502</v>
      </c>
      <c r="K472" s="537"/>
      <c r="L472" s="537"/>
      <c r="M472" s="538">
        <f>IF(K472&gt;0,VLOOKUP(H472,'[5]Pob. Ext, Parroquial'!$B$8:$F$117,4,FALSE),0)</f>
        <v>0</v>
      </c>
      <c r="N472" s="539" t="s">
        <v>527</v>
      </c>
      <c r="O472" s="540" t="s">
        <v>510</v>
      </c>
      <c r="P472" s="540">
        <v>8.1999999999999993</v>
      </c>
      <c r="Q472" s="540">
        <v>325</v>
      </c>
      <c r="R472" s="540"/>
      <c r="S472" s="541">
        <v>41548</v>
      </c>
      <c r="T472" s="541">
        <v>41759</v>
      </c>
      <c r="U472" s="542" t="str">
        <f t="shared" si="94"/>
        <v>EJECUTADO</v>
      </c>
      <c r="V472" s="543">
        <f t="shared" si="93"/>
        <v>2665</v>
      </c>
      <c r="W472" s="543">
        <v>2665</v>
      </c>
      <c r="X472" s="543">
        <f t="shared" si="89"/>
        <v>0</v>
      </c>
      <c r="Y472" s="544"/>
      <c r="Z472" s="544"/>
      <c r="AA472" s="1072"/>
      <c r="AB472" s="640"/>
      <c r="AC472" s="545" t="s">
        <v>505</v>
      </c>
      <c r="AD472" s="545" t="s">
        <v>178</v>
      </c>
      <c r="AE472" s="546" t="s">
        <v>179</v>
      </c>
      <c r="AF472" s="547">
        <v>2014</v>
      </c>
      <c r="AG472" s="639"/>
      <c r="AH472" s="639"/>
    </row>
    <row r="473" spans="1:34" s="94" customFormat="1" ht="50.1" customHeight="1">
      <c r="A473" s="1068"/>
      <c r="B473" s="1076"/>
      <c r="C473" s="635" t="s">
        <v>169</v>
      </c>
      <c r="D473" s="1092"/>
      <c r="E473" s="655" t="str">
        <f t="shared" si="92"/>
        <v>MEJORAMIENTO A NIVEL DE DOBLE TRATAMIENTO SUPERFICIAL BITUMINOSO DE LA VIA SARAGURO TENTA L= 6.17 KM.ABSC (4+044.69 - 10+210.55) CONVENIO NRO.120 - DPS -2013 GPL - VIALSUR.EP</v>
      </c>
      <c r="F473" s="536" t="s">
        <v>501</v>
      </c>
      <c r="G473" s="536" t="str">
        <f>VLOOKUP(H473,'[5]Pob. Ext, Parroquial'!$B$9:$C$117,2,0)</f>
        <v>SARAGURO</v>
      </c>
      <c r="H473" s="536" t="s">
        <v>468</v>
      </c>
      <c r="I473" s="536" t="s">
        <v>265</v>
      </c>
      <c r="J473" s="536" t="s">
        <v>502</v>
      </c>
      <c r="K473" s="537"/>
      <c r="L473" s="537"/>
      <c r="M473" s="538">
        <f>IF(K473&gt;0,VLOOKUP(H473,'[5]Pob. Ext, Parroquial'!$B$8:$F$117,4,FALSE),0)</f>
        <v>0</v>
      </c>
      <c r="N473" s="539" t="s">
        <v>518</v>
      </c>
      <c r="O473" s="540" t="s">
        <v>516</v>
      </c>
      <c r="P473" s="540">
        <v>0.3</v>
      </c>
      <c r="Q473" s="540">
        <v>22750</v>
      </c>
      <c r="R473" s="540"/>
      <c r="S473" s="541">
        <v>41548</v>
      </c>
      <c r="T473" s="541">
        <v>41759</v>
      </c>
      <c r="U473" s="542" t="str">
        <f t="shared" si="94"/>
        <v>EJECUTADO</v>
      </c>
      <c r="V473" s="543">
        <f t="shared" si="93"/>
        <v>6825</v>
      </c>
      <c r="W473" s="543">
        <v>6825</v>
      </c>
      <c r="X473" s="543">
        <f t="shared" si="89"/>
        <v>0</v>
      </c>
      <c r="Y473" s="544"/>
      <c r="Z473" s="544"/>
      <c r="AA473" s="1072"/>
      <c r="AB473" s="640"/>
      <c r="AC473" s="545" t="s">
        <v>505</v>
      </c>
      <c r="AD473" s="545" t="s">
        <v>178</v>
      </c>
      <c r="AE473" s="546" t="s">
        <v>179</v>
      </c>
      <c r="AF473" s="547">
        <v>2014</v>
      </c>
      <c r="AG473" s="639"/>
      <c r="AH473" s="639"/>
    </row>
    <row r="474" spans="1:34" s="94" customFormat="1" ht="50.1" customHeight="1">
      <c r="A474" s="1068"/>
      <c r="B474" s="1076"/>
      <c r="C474" s="635" t="s">
        <v>182</v>
      </c>
      <c r="D474" s="1092"/>
      <c r="E474" s="655" t="str">
        <f t="shared" si="92"/>
        <v>MEJORAMIENTO A NIVEL DE DOBLE TRATAMIENTO SUPERFICIAL BITUMINOSO DE LA VIA SARAGURO TENTA L= 6.17 KM.ABSC (4+044.69 - 10+210.55) CONVENIO NRO.120 - DPS -2013 GPL - VIALSUR.EP</v>
      </c>
      <c r="F474" s="536" t="s">
        <v>501</v>
      </c>
      <c r="G474" s="536" t="str">
        <f>VLOOKUP(H474,'[5]Pob. Ext, Parroquial'!$B$9:$C$117,2,0)</f>
        <v>SARAGURO</v>
      </c>
      <c r="H474" s="536" t="s">
        <v>468</v>
      </c>
      <c r="I474" s="536" t="s">
        <v>265</v>
      </c>
      <c r="J474" s="536" t="s">
        <v>502</v>
      </c>
      <c r="K474" s="537"/>
      <c r="L474" s="537"/>
      <c r="M474" s="538">
        <f>IF(K474&gt;0,VLOOKUP(H474,'[5]Pob. Ext, Parroquial'!$B$8:$F$117,4,FALSE),0)</f>
        <v>0</v>
      </c>
      <c r="N474" s="539" t="s">
        <v>528</v>
      </c>
      <c r="O474" s="540" t="s">
        <v>529</v>
      </c>
      <c r="P474" s="540">
        <v>1040.57</v>
      </c>
      <c r="Q474" s="540">
        <v>1</v>
      </c>
      <c r="R474" s="540"/>
      <c r="S474" s="541">
        <v>41548</v>
      </c>
      <c r="T474" s="541">
        <v>41670</v>
      </c>
      <c r="U474" s="542" t="str">
        <f t="shared" si="94"/>
        <v>EJECUTADO</v>
      </c>
      <c r="V474" s="543">
        <f t="shared" si="93"/>
        <v>1040.57</v>
      </c>
      <c r="W474" s="543">
        <v>1040.57</v>
      </c>
      <c r="X474" s="543">
        <f t="shared" si="89"/>
        <v>0</v>
      </c>
      <c r="Y474" s="544"/>
      <c r="Z474" s="544"/>
      <c r="AA474" s="1072"/>
      <c r="AB474" s="640"/>
      <c r="AC474" s="545" t="s">
        <v>505</v>
      </c>
      <c r="AD474" s="545" t="s">
        <v>178</v>
      </c>
      <c r="AE474" s="546" t="s">
        <v>179</v>
      </c>
      <c r="AF474" s="547">
        <v>2014</v>
      </c>
      <c r="AG474" s="639"/>
      <c r="AH474" s="639"/>
    </row>
    <row r="475" spans="1:34" s="94" customFormat="1" ht="50.1" customHeight="1">
      <c r="A475" s="1068"/>
      <c r="B475" s="1076"/>
      <c r="C475" s="635" t="s">
        <v>182</v>
      </c>
      <c r="D475" s="1092"/>
      <c r="E475" s="655" t="str">
        <f t="shared" si="92"/>
        <v>MEJORAMIENTO A NIVEL DE DOBLE TRATAMIENTO SUPERFICIAL BITUMINOSO DE LA VIA SARAGURO TENTA L= 6.17 KM.ABSC (4+044.69 - 10+210.55) CONVENIO NRO.120 - DPS -2013 GPL - VIALSUR.EP</v>
      </c>
      <c r="F475" s="536" t="s">
        <v>501</v>
      </c>
      <c r="G475" s="536" t="str">
        <f>VLOOKUP(H475,'[5]Pob. Ext, Parroquial'!$B$9:$C$117,2,0)</f>
        <v>SARAGURO</v>
      </c>
      <c r="H475" s="536" t="s">
        <v>468</v>
      </c>
      <c r="I475" s="536" t="s">
        <v>265</v>
      </c>
      <c r="J475" s="536" t="s">
        <v>502</v>
      </c>
      <c r="K475" s="537"/>
      <c r="L475" s="537"/>
      <c r="M475" s="538">
        <f>IF(K475&gt;0,VLOOKUP(H475,'[5]Pob. Ext, Parroquial'!$B$8:$F$117,4,FALSE),0)</f>
        <v>0</v>
      </c>
      <c r="N475" s="539" t="s">
        <v>530</v>
      </c>
      <c r="O475" s="540" t="s">
        <v>529</v>
      </c>
      <c r="P475" s="540">
        <v>664.56</v>
      </c>
      <c r="Q475" s="540">
        <v>2</v>
      </c>
      <c r="R475" s="540"/>
      <c r="S475" s="541">
        <v>41548</v>
      </c>
      <c r="T475" s="541">
        <v>41670</v>
      </c>
      <c r="U475" s="542" t="str">
        <f t="shared" si="94"/>
        <v>EJECUTADO</v>
      </c>
      <c r="V475" s="543">
        <f t="shared" si="93"/>
        <v>1329.12</v>
      </c>
      <c r="W475" s="543">
        <v>1329.12</v>
      </c>
      <c r="X475" s="543">
        <f t="shared" si="89"/>
        <v>0</v>
      </c>
      <c r="Y475" s="544"/>
      <c r="Z475" s="544"/>
      <c r="AA475" s="1072"/>
      <c r="AB475" s="640"/>
      <c r="AC475" s="545" t="s">
        <v>505</v>
      </c>
      <c r="AD475" s="545" t="s">
        <v>178</v>
      </c>
      <c r="AE475" s="546" t="s">
        <v>179</v>
      </c>
      <c r="AF475" s="547">
        <v>2014</v>
      </c>
      <c r="AG475" s="639"/>
      <c r="AH475" s="639"/>
    </row>
    <row r="476" spans="1:34" s="94" customFormat="1" ht="50.1" customHeight="1">
      <c r="A476" s="1068"/>
      <c r="B476" s="1076"/>
      <c r="C476" s="635" t="s">
        <v>182</v>
      </c>
      <c r="D476" s="1092"/>
      <c r="E476" s="655" t="str">
        <f t="shared" si="92"/>
        <v>MEJORAMIENTO A NIVEL DE DOBLE TRATAMIENTO SUPERFICIAL BITUMINOSO DE LA VIA SARAGURO TENTA L= 6.17 KM.ABSC (4+044.69 - 10+210.55) CONVENIO NRO.120 - DPS -2013 GPL - VIALSUR.EP</v>
      </c>
      <c r="F476" s="536" t="s">
        <v>501</v>
      </c>
      <c r="G476" s="536" t="str">
        <f>VLOOKUP(H476,'[5]Pob. Ext, Parroquial'!$B$9:$C$117,2,0)</f>
        <v>SARAGURO</v>
      </c>
      <c r="H476" s="536" t="s">
        <v>468</v>
      </c>
      <c r="I476" s="536" t="s">
        <v>265</v>
      </c>
      <c r="J476" s="536" t="s">
        <v>502</v>
      </c>
      <c r="K476" s="537"/>
      <c r="L476" s="537"/>
      <c r="M476" s="538">
        <f>IF(K476&gt;0,VLOOKUP(H476,'[5]Pob. Ext, Parroquial'!$B$8:$F$117,4,FALSE),0)</f>
        <v>0</v>
      </c>
      <c r="N476" s="539" t="s">
        <v>360</v>
      </c>
      <c r="O476" s="540" t="s">
        <v>510</v>
      </c>
      <c r="P476" s="540">
        <v>0.42</v>
      </c>
      <c r="Q476" s="540">
        <v>38791.11</v>
      </c>
      <c r="R476" s="540"/>
      <c r="S476" s="541">
        <v>41548</v>
      </c>
      <c r="T476" s="541">
        <v>41759</v>
      </c>
      <c r="U476" s="542" t="str">
        <f t="shared" si="94"/>
        <v>EJECUTADO</v>
      </c>
      <c r="V476" s="543">
        <f t="shared" si="93"/>
        <v>16292.27</v>
      </c>
      <c r="W476" s="543">
        <v>16292.27</v>
      </c>
      <c r="X476" s="543">
        <f t="shared" si="89"/>
        <v>0</v>
      </c>
      <c r="Y476" s="544"/>
      <c r="Z476" s="544"/>
      <c r="AA476" s="1072"/>
      <c r="AB476" s="640"/>
      <c r="AC476" s="545" t="s">
        <v>505</v>
      </c>
      <c r="AD476" s="545" t="s">
        <v>178</v>
      </c>
      <c r="AE476" s="546" t="s">
        <v>187</v>
      </c>
      <c r="AF476" s="547">
        <v>2014</v>
      </c>
      <c r="AG476" s="639"/>
      <c r="AH476" s="639"/>
    </row>
    <row r="477" spans="1:34" s="94" customFormat="1" ht="50.1" customHeight="1">
      <c r="A477" s="1068"/>
      <c r="B477" s="1076"/>
      <c r="C477" s="635" t="s">
        <v>169</v>
      </c>
      <c r="D477" s="1092"/>
      <c r="E477" s="655" t="str">
        <f t="shared" si="92"/>
        <v>MEJORAMIENTO A NIVEL DE DOBLE TRATAMIENTO SUPERFICIAL BITUMINOSO DE LA VIA SARAGURO TENTA L= 6.17 KM.ABSC (4+044.69 - 10+210.55) CONVENIO NRO.120 - DPS -2013 GPL - VIALSUR.EP</v>
      </c>
      <c r="F477" s="536" t="s">
        <v>501</v>
      </c>
      <c r="G477" s="536" t="str">
        <f>VLOOKUP(H477,'[5]Pob. Ext, Parroquial'!$B$9:$C$117,2,0)</f>
        <v>SARAGURO</v>
      </c>
      <c r="H477" s="536" t="s">
        <v>468</v>
      </c>
      <c r="I477" s="536" t="s">
        <v>265</v>
      </c>
      <c r="J477" s="536" t="s">
        <v>502</v>
      </c>
      <c r="K477" s="537"/>
      <c r="L477" s="537"/>
      <c r="M477" s="538">
        <f>IF(K477&gt;0,VLOOKUP(H477,'[5]Pob. Ext, Parroquial'!$B$8:$F$117,4,FALSE),0)</f>
        <v>0</v>
      </c>
      <c r="N477" s="539" t="s">
        <v>531</v>
      </c>
      <c r="O477" s="540" t="s">
        <v>532</v>
      </c>
      <c r="P477" s="540">
        <v>78920.429999999993</v>
      </c>
      <c r="Q477" s="540">
        <v>1</v>
      </c>
      <c r="R477" s="540"/>
      <c r="S477" s="541">
        <v>41548</v>
      </c>
      <c r="T477" s="541">
        <v>41670</v>
      </c>
      <c r="U477" s="542" t="str">
        <f t="shared" si="94"/>
        <v>EJECUTADO</v>
      </c>
      <c r="V477" s="543">
        <f>ROUND(P477*Q477,2)</f>
        <v>78920.429999999993</v>
      </c>
      <c r="W477" s="543">
        <v>78920.429999999993</v>
      </c>
      <c r="X477" s="543">
        <f t="shared" si="89"/>
        <v>0</v>
      </c>
      <c r="Y477" s="544"/>
      <c r="Z477" s="544"/>
      <c r="AA477" s="1072"/>
      <c r="AB477" s="640"/>
      <c r="AC477" s="545" t="s">
        <v>505</v>
      </c>
      <c r="AD477" s="545" t="s">
        <v>178</v>
      </c>
      <c r="AE477" s="546" t="s">
        <v>179</v>
      </c>
      <c r="AF477" s="547">
        <v>2014</v>
      </c>
      <c r="AG477" s="639"/>
      <c r="AH477" s="639"/>
    </row>
    <row r="478" spans="1:34" s="94" customFormat="1" ht="50.1" customHeight="1" thickBot="1">
      <c r="A478" s="1094"/>
      <c r="B478" s="1095"/>
      <c r="C478" s="697" t="s">
        <v>182</v>
      </c>
      <c r="D478" s="1096"/>
      <c r="E478" s="655" t="str">
        <f t="shared" si="92"/>
        <v>MEJORAMIENTO A NIVEL DE DOBLE TRATAMIENTO SUPERFICIAL BITUMINOSO DE LA VIA SARAGURO TENTA L= 6.17 KM.ABSC (4+044.69 - 10+210.55) CONVENIO NRO.120 - DPS -2013 GPL - VIALSUR.EP</v>
      </c>
      <c r="F478" s="698" t="s">
        <v>501</v>
      </c>
      <c r="G478" s="698" t="str">
        <f>VLOOKUP(H478,'[5]Pob. Ext, Parroquial'!$B$9:$C$117,2,0)</f>
        <v>SARAGURO</v>
      </c>
      <c r="H478" s="698" t="s">
        <v>468</v>
      </c>
      <c r="I478" s="698" t="s">
        <v>265</v>
      </c>
      <c r="J478" s="698" t="s">
        <v>502</v>
      </c>
      <c r="K478" s="699"/>
      <c r="L478" s="699"/>
      <c r="M478" s="700">
        <f>IF(K478&gt;0,VLOOKUP(H478,'[5]Pob. Ext, Parroquial'!$B$8:$F$117,4,FALSE),0)</f>
        <v>0</v>
      </c>
      <c r="N478" s="701" t="s">
        <v>533</v>
      </c>
      <c r="O478" s="540" t="s">
        <v>529</v>
      </c>
      <c r="P478" s="540">
        <v>300</v>
      </c>
      <c r="Q478" s="540">
        <v>11</v>
      </c>
      <c r="R478" s="540"/>
      <c r="S478" s="541">
        <v>41548</v>
      </c>
      <c r="T478" s="541">
        <v>41670</v>
      </c>
      <c r="U478" s="702" t="str">
        <f t="shared" si="94"/>
        <v>EJECUTADO</v>
      </c>
      <c r="V478" s="543">
        <f t="shared" si="93"/>
        <v>3300</v>
      </c>
      <c r="W478" s="543">
        <v>3300</v>
      </c>
      <c r="X478" s="543">
        <f t="shared" si="89"/>
        <v>0</v>
      </c>
      <c r="Y478" s="703"/>
      <c r="Z478" s="703"/>
      <c r="AA478" s="1097"/>
      <c r="AB478" s="640"/>
      <c r="AC478" s="545" t="s">
        <v>505</v>
      </c>
      <c r="AD478" s="545" t="s">
        <v>178</v>
      </c>
      <c r="AE478" s="546" t="s">
        <v>179</v>
      </c>
      <c r="AF478" s="547">
        <v>2014</v>
      </c>
      <c r="AG478" s="639"/>
      <c r="AH478" s="639"/>
    </row>
    <row r="479" spans="1:34" s="92" customFormat="1" ht="24" thickTop="1">
      <c r="A479" s="103"/>
      <c r="B479" s="98"/>
      <c r="C479" s="98"/>
      <c r="D479" s="98"/>
      <c r="E479" s="529"/>
      <c r="F479" s="98"/>
      <c r="G479" s="98"/>
      <c r="H479" s="98"/>
      <c r="I479" s="98"/>
      <c r="J479" s="98"/>
      <c r="K479" s="98"/>
      <c r="L479" s="98"/>
      <c r="M479" s="98"/>
      <c r="N479" s="98"/>
      <c r="O479" s="99"/>
      <c r="P479" s="99"/>
      <c r="Q479" s="99"/>
      <c r="R479" s="100"/>
      <c r="S479" s="100"/>
      <c r="T479" s="98"/>
      <c r="U479" s="98"/>
      <c r="V479" s="98"/>
      <c r="W479" s="98"/>
      <c r="X479" s="98"/>
      <c r="Y479" s="100"/>
      <c r="Z479" s="100"/>
      <c r="AA479" s="101"/>
      <c r="AF479" s="102"/>
    </row>
    <row r="480" spans="1:34" s="92" customFormat="1">
      <c r="A480" s="103"/>
      <c r="B480" s="98"/>
      <c r="C480" s="98"/>
      <c r="D480" s="98"/>
      <c r="E480" s="529"/>
      <c r="F480" s="98"/>
      <c r="G480" s="98"/>
      <c r="H480" s="98"/>
      <c r="I480" s="704" t="s">
        <v>534</v>
      </c>
      <c r="J480" s="98"/>
      <c r="K480" s="705">
        <f>SUBTOTAL(9,K11:K478)</f>
        <v>6.17</v>
      </c>
      <c r="L480" s="706">
        <v>42.2</v>
      </c>
      <c r="M480" s="707">
        <f>SUBTOTAL(9,M11:M478)</f>
        <v>17667</v>
      </c>
      <c r="N480" s="98"/>
      <c r="O480" s="99"/>
      <c r="P480" s="99"/>
      <c r="Q480" s="107"/>
      <c r="R480" s="100"/>
      <c r="S480" s="100"/>
      <c r="T480" s="98"/>
      <c r="U480" s="108"/>
      <c r="V480" s="109">
        <f>SUBTOTAL(9,V9:V478)</f>
        <v>456264.82</v>
      </c>
      <c r="W480" s="109">
        <f>SUBTOTAL(9,W9:W478)</f>
        <v>456185.51</v>
      </c>
      <c r="X480" s="109">
        <f>SUBTOTAL(9,X9:X478)</f>
        <v>118.96499999999924</v>
      </c>
      <c r="Y480" s="100"/>
      <c r="Z480" s="100"/>
      <c r="AA480" s="110">
        <f>SUM(AA11:AA478)</f>
        <v>4709023.7700000005</v>
      </c>
      <c r="AF480" s="102"/>
      <c r="AG480" s="1053">
        <f>SUBTOTAL(9,V11:V478)</f>
        <v>456264.82</v>
      </c>
      <c r="AH480" s="1053"/>
    </row>
    <row r="481" spans="1:32" s="92" customFormat="1">
      <c r="A481" s="201"/>
      <c r="B481" s="202"/>
      <c r="E481" s="530"/>
      <c r="O481" s="532"/>
      <c r="P481" s="532"/>
      <c r="Q481" s="532"/>
      <c r="R481" s="111"/>
      <c r="S481" s="111"/>
      <c r="Y481" s="111"/>
      <c r="Z481" s="111"/>
      <c r="AA481" s="112"/>
      <c r="AF481" s="102"/>
    </row>
    <row r="482" spans="1:32" s="92" customFormat="1">
      <c r="A482" s="201"/>
      <c r="B482" s="202"/>
      <c r="E482" s="530"/>
      <c r="O482" s="532"/>
      <c r="P482" s="532"/>
      <c r="Q482" s="532"/>
      <c r="R482" s="111"/>
      <c r="S482" s="111"/>
      <c r="Y482" s="111"/>
      <c r="Z482" s="111"/>
      <c r="AA482" s="112"/>
      <c r="AF482" s="102"/>
    </row>
    <row r="483" spans="1:32" s="92" customFormat="1">
      <c r="A483" s="201"/>
      <c r="B483" s="202"/>
      <c r="E483" s="530"/>
      <c r="O483" s="532"/>
      <c r="P483" s="532"/>
      <c r="Q483" s="532"/>
      <c r="R483" s="111"/>
      <c r="S483" s="111"/>
      <c r="Y483" s="111"/>
      <c r="Z483" s="111"/>
      <c r="AA483" s="112"/>
      <c r="AF483" s="102"/>
    </row>
    <row r="484" spans="1:32" s="92" customFormat="1">
      <c r="A484" s="201"/>
      <c r="B484" s="202"/>
      <c r="E484" s="530"/>
      <c r="O484" s="532"/>
      <c r="P484" s="532"/>
      <c r="Q484" s="532"/>
      <c r="R484" s="111"/>
      <c r="S484" s="111"/>
      <c r="Y484" s="111"/>
      <c r="Z484" s="111"/>
      <c r="AA484" s="112"/>
      <c r="AF484" s="102"/>
    </row>
    <row r="485" spans="1:32" s="92" customFormat="1">
      <c r="A485" s="201"/>
      <c r="B485" s="202"/>
      <c r="E485" s="530"/>
      <c r="O485" s="532"/>
      <c r="P485" s="532"/>
      <c r="Q485" s="532"/>
      <c r="R485" s="111"/>
      <c r="S485" s="111"/>
      <c r="Y485" s="111"/>
      <c r="Z485" s="111"/>
      <c r="AA485" s="112"/>
      <c r="AF485" s="102"/>
    </row>
    <row r="486" spans="1:32" s="92" customFormat="1">
      <c r="A486" s="201"/>
      <c r="B486" s="202"/>
      <c r="E486" s="530"/>
      <c r="O486" s="532"/>
      <c r="P486" s="532"/>
      <c r="Q486" s="532"/>
      <c r="R486" s="111"/>
      <c r="S486" s="111"/>
      <c r="Y486" s="111"/>
      <c r="Z486" s="111"/>
      <c r="AA486" s="112"/>
      <c r="AF486" s="102"/>
    </row>
    <row r="487" spans="1:32" s="92" customFormat="1">
      <c r="A487" s="201"/>
      <c r="B487" s="202"/>
      <c r="E487" s="530"/>
      <c r="O487" s="532"/>
      <c r="P487" s="532"/>
      <c r="Q487" s="532"/>
      <c r="R487" s="111"/>
      <c r="S487" s="111"/>
      <c r="Y487" s="111"/>
      <c r="Z487" s="111"/>
      <c r="AA487" s="112"/>
      <c r="AF487" s="102"/>
    </row>
    <row r="488" spans="1:32" s="92" customFormat="1">
      <c r="A488" s="201"/>
      <c r="B488" s="202"/>
      <c r="E488" s="530"/>
      <c r="O488" s="532"/>
      <c r="P488" s="532"/>
      <c r="Q488" s="532"/>
      <c r="R488" s="111"/>
      <c r="S488" s="111"/>
      <c r="Y488" s="111"/>
      <c r="Z488" s="111"/>
      <c r="AA488" s="112"/>
      <c r="AF488" s="102"/>
    </row>
    <row r="489" spans="1:32" s="92" customFormat="1">
      <c r="A489" s="201"/>
      <c r="B489" s="202"/>
      <c r="E489" s="530"/>
      <c r="O489" s="532"/>
      <c r="P489" s="532"/>
      <c r="Q489" s="532"/>
      <c r="R489" s="111"/>
      <c r="S489" s="111"/>
      <c r="Y489" s="111"/>
      <c r="Z489" s="111"/>
      <c r="AA489" s="112"/>
      <c r="AF489" s="102"/>
    </row>
    <row r="490" spans="1:32" s="92" customFormat="1">
      <c r="A490" s="201"/>
      <c r="B490" s="202"/>
      <c r="E490" s="530"/>
      <c r="O490" s="532"/>
      <c r="P490" s="532"/>
      <c r="Q490" s="532"/>
      <c r="R490" s="111"/>
      <c r="S490" s="111"/>
      <c r="Y490" s="111"/>
      <c r="Z490" s="111"/>
      <c r="AA490" s="112"/>
      <c r="AF490" s="102"/>
    </row>
    <row r="491" spans="1:32" s="92" customFormat="1">
      <c r="A491" s="201"/>
      <c r="B491" s="202"/>
      <c r="E491" s="530"/>
      <c r="O491" s="532"/>
      <c r="P491" s="532"/>
      <c r="Q491" s="532"/>
      <c r="R491" s="111"/>
      <c r="S491" s="111"/>
      <c r="Y491" s="111"/>
      <c r="Z491" s="111"/>
      <c r="AA491" s="112"/>
      <c r="AF491" s="102"/>
    </row>
    <row r="492" spans="1:32" s="92" customFormat="1">
      <c r="A492" s="201"/>
      <c r="B492" s="202"/>
      <c r="E492" s="530"/>
      <c r="O492" s="532"/>
      <c r="P492" s="532"/>
      <c r="Q492" s="532"/>
      <c r="R492" s="111"/>
      <c r="S492" s="111"/>
      <c r="Y492" s="111"/>
      <c r="Z492" s="111"/>
      <c r="AA492" s="112"/>
      <c r="AF492" s="102"/>
    </row>
    <row r="493" spans="1:32" s="92" customFormat="1">
      <c r="A493" s="201"/>
      <c r="B493" s="202"/>
      <c r="E493" s="530"/>
      <c r="O493" s="532"/>
      <c r="P493" s="532"/>
      <c r="Q493" s="532"/>
      <c r="R493" s="111"/>
      <c r="S493" s="111"/>
      <c r="Y493" s="111"/>
      <c r="Z493" s="111"/>
      <c r="AA493" s="112"/>
      <c r="AF493" s="102"/>
    </row>
    <row r="494" spans="1:32" s="92" customFormat="1">
      <c r="A494" s="201"/>
      <c r="B494" s="202"/>
      <c r="E494" s="530"/>
      <c r="O494" s="532"/>
      <c r="P494" s="532"/>
      <c r="Q494" s="532"/>
      <c r="R494" s="111"/>
      <c r="S494" s="111"/>
      <c r="Y494" s="111"/>
      <c r="Z494" s="111"/>
      <c r="AA494" s="112"/>
      <c r="AF494" s="102"/>
    </row>
    <row r="495" spans="1:32" s="92" customFormat="1">
      <c r="A495" s="201"/>
      <c r="B495" s="202"/>
      <c r="E495" s="530"/>
      <c r="O495" s="532"/>
      <c r="P495" s="532"/>
      <c r="Q495" s="532"/>
      <c r="R495" s="111"/>
      <c r="S495" s="111"/>
      <c r="Y495" s="111"/>
      <c r="Z495" s="111"/>
      <c r="AA495" s="112"/>
      <c r="AF495" s="102"/>
    </row>
    <row r="496" spans="1:32" s="92" customFormat="1">
      <c r="A496" s="201"/>
      <c r="B496" s="202"/>
      <c r="E496" s="530"/>
      <c r="O496" s="532"/>
      <c r="P496" s="532"/>
      <c r="Q496" s="532"/>
      <c r="R496" s="111"/>
      <c r="S496" s="111"/>
      <c r="Y496" s="111"/>
      <c r="Z496" s="111"/>
      <c r="AA496" s="112"/>
      <c r="AF496" s="102"/>
    </row>
    <row r="497" spans="1:32" s="92" customFormat="1">
      <c r="A497" s="201"/>
      <c r="B497" s="202"/>
      <c r="E497" s="530"/>
      <c r="O497" s="532"/>
      <c r="P497" s="532"/>
      <c r="Q497" s="532"/>
      <c r="R497" s="111"/>
      <c r="S497" s="111"/>
      <c r="Y497" s="111"/>
      <c r="Z497" s="111"/>
      <c r="AA497" s="112"/>
      <c r="AF497" s="102"/>
    </row>
    <row r="498" spans="1:32" s="92" customFormat="1">
      <c r="A498" s="201"/>
      <c r="B498" s="202"/>
      <c r="E498" s="530"/>
      <c r="O498" s="532"/>
      <c r="P498" s="532"/>
      <c r="Q498" s="532"/>
      <c r="R498" s="111"/>
      <c r="S498" s="111"/>
      <c r="Y498" s="111"/>
      <c r="Z498" s="111"/>
      <c r="AA498" s="112"/>
      <c r="AF498" s="102"/>
    </row>
    <row r="499" spans="1:32" s="92" customFormat="1">
      <c r="A499" s="201"/>
      <c r="B499" s="202"/>
      <c r="E499" s="530"/>
      <c r="O499" s="532"/>
      <c r="P499" s="532"/>
      <c r="Q499" s="532"/>
      <c r="R499" s="111"/>
      <c r="S499" s="111"/>
      <c r="Y499" s="111"/>
      <c r="Z499" s="111"/>
      <c r="AA499" s="112"/>
      <c r="AF499" s="102"/>
    </row>
    <row r="500" spans="1:32">
      <c r="M500" s="92"/>
      <c r="N500" s="92"/>
      <c r="O500" s="532"/>
      <c r="P500" s="532"/>
      <c r="Q500" s="532"/>
      <c r="R500" s="111"/>
      <c r="S500" s="111"/>
      <c r="T500" s="92"/>
      <c r="U500" s="92"/>
      <c r="V500" s="92"/>
      <c r="W500" s="92"/>
      <c r="X500" s="92"/>
      <c r="Y500" s="111"/>
      <c r="Z500" s="111"/>
      <c r="AA500" s="112"/>
      <c r="AB500" s="92"/>
      <c r="AC500" s="92"/>
      <c r="AD500" s="92"/>
      <c r="AE500" s="92"/>
      <c r="AF500" s="102"/>
    </row>
    <row r="501" spans="1:32">
      <c r="M501" s="92"/>
      <c r="N501" s="92"/>
      <c r="O501" s="532"/>
      <c r="P501" s="532"/>
      <c r="Q501" s="532"/>
      <c r="R501" s="111"/>
      <c r="S501" s="111"/>
      <c r="T501" s="92"/>
      <c r="U501" s="92"/>
      <c r="V501" s="92"/>
      <c r="W501" s="92"/>
      <c r="X501" s="92"/>
      <c r="Y501" s="111"/>
      <c r="Z501" s="111"/>
      <c r="AA501" s="112"/>
      <c r="AB501" s="92"/>
      <c r="AC501" s="92"/>
      <c r="AD501" s="92"/>
      <c r="AE501" s="92"/>
      <c r="AF501" s="102"/>
    </row>
    <row r="502" spans="1:32">
      <c r="M502" s="92"/>
      <c r="N502" s="92"/>
      <c r="O502" s="532"/>
      <c r="P502" s="532"/>
      <c r="Q502" s="532"/>
      <c r="R502" s="111"/>
      <c r="S502" s="111"/>
      <c r="T502" s="92"/>
      <c r="U502" s="92"/>
      <c r="V502" s="92"/>
      <c r="W502" s="92"/>
      <c r="X502" s="92"/>
      <c r="Y502" s="111"/>
      <c r="Z502" s="111"/>
      <c r="AA502" s="112"/>
      <c r="AB502" s="92"/>
      <c r="AC502" s="92"/>
      <c r="AD502" s="92"/>
      <c r="AE502" s="92"/>
      <c r="AF502" s="102"/>
    </row>
    <row r="503" spans="1:32">
      <c r="M503" s="92"/>
      <c r="N503" s="92"/>
      <c r="O503" s="532"/>
      <c r="P503" s="532"/>
      <c r="Q503" s="532"/>
      <c r="R503" s="111"/>
      <c r="S503" s="111"/>
      <c r="T503" s="92"/>
      <c r="U503" s="92"/>
      <c r="V503" s="92"/>
      <c r="W503" s="92"/>
      <c r="X503" s="92"/>
      <c r="Y503" s="111"/>
      <c r="Z503" s="111"/>
      <c r="AA503" s="112"/>
      <c r="AB503" s="92"/>
      <c r="AC503" s="92"/>
      <c r="AD503" s="92"/>
      <c r="AE503" s="92"/>
      <c r="AF503" s="102"/>
    </row>
    <row r="504" spans="1:32">
      <c r="M504" s="92"/>
      <c r="N504" s="92"/>
      <c r="O504" s="532"/>
      <c r="P504" s="532"/>
      <c r="Q504" s="532"/>
      <c r="R504" s="111"/>
      <c r="S504" s="111"/>
      <c r="T504" s="92"/>
      <c r="U504" s="92"/>
      <c r="V504" s="92"/>
      <c r="W504" s="92"/>
      <c r="X504" s="92"/>
      <c r="Y504" s="111"/>
      <c r="Z504" s="111"/>
      <c r="AA504" s="112"/>
      <c r="AB504" s="92"/>
      <c r="AC504" s="92"/>
      <c r="AD504" s="92"/>
      <c r="AE504" s="92"/>
      <c r="AF504" s="102"/>
    </row>
    <row r="505" spans="1:32">
      <c r="M505" s="92"/>
      <c r="N505" s="92"/>
      <c r="O505" s="532"/>
      <c r="P505" s="532"/>
      <c r="Q505" s="532"/>
      <c r="R505" s="111"/>
      <c r="S505" s="111"/>
      <c r="T505" s="92"/>
      <c r="U505" s="92"/>
      <c r="V505" s="92"/>
      <c r="W505" s="92"/>
      <c r="X505" s="92"/>
      <c r="Y505" s="111"/>
      <c r="Z505" s="111"/>
      <c r="AA505" s="112"/>
      <c r="AB505" s="92"/>
      <c r="AC505" s="92"/>
      <c r="AD505" s="92"/>
      <c r="AE505" s="92"/>
      <c r="AF505" s="102"/>
    </row>
    <row r="506" spans="1:32">
      <c r="M506" s="92"/>
      <c r="N506" s="92"/>
      <c r="O506" s="532"/>
      <c r="P506" s="532"/>
      <c r="Q506" s="532"/>
      <c r="R506" s="111"/>
      <c r="S506" s="111"/>
      <c r="T506" s="92"/>
      <c r="U506" s="92"/>
      <c r="V506" s="92"/>
      <c r="W506" s="92"/>
      <c r="X506" s="92"/>
      <c r="Y506" s="111"/>
      <c r="Z506" s="111"/>
      <c r="AA506" s="112"/>
      <c r="AB506" s="92"/>
      <c r="AC506" s="92"/>
      <c r="AD506" s="92"/>
      <c r="AE506" s="92"/>
      <c r="AF506" s="102"/>
    </row>
    <row r="507" spans="1:32">
      <c r="M507" s="92"/>
      <c r="N507" s="92"/>
      <c r="O507" s="532"/>
      <c r="P507" s="532"/>
      <c r="Q507" s="532"/>
      <c r="R507" s="111"/>
      <c r="S507" s="111"/>
      <c r="T507" s="92"/>
      <c r="U507" s="92"/>
      <c r="V507" s="92"/>
      <c r="W507" s="92"/>
      <c r="X507" s="92"/>
      <c r="Y507" s="111"/>
      <c r="Z507" s="111"/>
      <c r="AA507" s="112"/>
      <c r="AB507" s="92"/>
      <c r="AC507" s="92"/>
      <c r="AD507" s="92"/>
      <c r="AE507" s="92"/>
      <c r="AF507" s="102"/>
    </row>
    <row r="508" spans="1:32">
      <c r="M508" s="92"/>
      <c r="N508" s="92"/>
      <c r="O508" s="532"/>
      <c r="P508" s="532"/>
      <c r="Q508" s="532"/>
      <c r="R508" s="111"/>
      <c r="S508" s="111"/>
      <c r="T508" s="92"/>
      <c r="U508" s="92"/>
      <c r="V508" s="92"/>
      <c r="W508" s="92"/>
      <c r="X508" s="92"/>
      <c r="Y508" s="111"/>
      <c r="Z508" s="111"/>
      <c r="AA508" s="112"/>
      <c r="AB508" s="92"/>
      <c r="AC508" s="92"/>
      <c r="AD508" s="92"/>
      <c r="AE508" s="92"/>
      <c r="AF508" s="102"/>
    </row>
  </sheetData>
  <sheetProtection selectLockedCells="1" selectUnlockedCells="1"/>
  <autoFilter ref="A10:AA478">
    <filterColumn colId="5">
      <filters>
        <filter val="ZONA4 - ST"/>
      </filters>
    </filterColumn>
  </autoFilter>
  <mergeCells count="225">
    <mergeCell ref="AG480:AH480"/>
    <mergeCell ref="D432:D434"/>
    <mergeCell ref="AA432:AA434"/>
    <mergeCell ref="D436:D439"/>
    <mergeCell ref="D440:D443"/>
    <mergeCell ref="D444:D445"/>
    <mergeCell ref="A452:A478"/>
    <mergeCell ref="B452:B478"/>
    <mergeCell ref="D452:D478"/>
    <mergeCell ref="AA452:AA478"/>
    <mergeCell ref="A426:A428"/>
    <mergeCell ref="B426:B428"/>
    <mergeCell ref="D426:D428"/>
    <mergeCell ref="AA426:AA428"/>
    <mergeCell ref="A429:A430"/>
    <mergeCell ref="B429:B430"/>
    <mergeCell ref="D429:D430"/>
    <mergeCell ref="D415:D416"/>
    <mergeCell ref="D417:D420"/>
    <mergeCell ref="AA417:AA420"/>
    <mergeCell ref="A421:A425"/>
    <mergeCell ref="B421:B425"/>
    <mergeCell ref="D421:D425"/>
    <mergeCell ref="AA421:AA425"/>
    <mergeCell ref="B383:B388"/>
    <mergeCell ref="D383:D388"/>
    <mergeCell ref="AA383:AA388"/>
    <mergeCell ref="A412:A413"/>
    <mergeCell ref="B412:B413"/>
    <mergeCell ref="D412:D413"/>
    <mergeCell ref="AA412:AA413"/>
    <mergeCell ref="A373:A376"/>
    <mergeCell ref="B373:B376"/>
    <mergeCell ref="D373:D376"/>
    <mergeCell ref="AA373:AA376"/>
    <mergeCell ref="A377:A381"/>
    <mergeCell ref="B377:B381"/>
    <mergeCell ref="D377:D381"/>
    <mergeCell ref="AA377:AA381"/>
    <mergeCell ref="A368:A370"/>
    <mergeCell ref="B368:B370"/>
    <mergeCell ref="D368:D370"/>
    <mergeCell ref="AA368:AA370"/>
    <mergeCell ref="A371:A372"/>
    <mergeCell ref="B371:B372"/>
    <mergeCell ref="D371:D372"/>
    <mergeCell ref="AA371:AA372"/>
    <mergeCell ref="A362:A365"/>
    <mergeCell ref="B362:B365"/>
    <mergeCell ref="D362:D365"/>
    <mergeCell ref="AA362:AA365"/>
    <mergeCell ref="A366:A367"/>
    <mergeCell ref="B366:B367"/>
    <mergeCell ref="D366:D367"/>
    <mergeCell ref="AA366:AA367"/>
    <mergeCell ref="A346:A350"/>
    <mergeCell ref="B346:B350"/>
    <mergeCell ref="D346:D350"/>
    <mergeCell ref="AA346:AA350"/>
    <mergeCell ref="A351:A356"/>
    <mergeCell ref="B351:B356"/>
    <mergeCell ref="D351:D356"/>
    <mergeCell ref="AA351:AA356"/>
    <mergeCell ref="A340:A341"/>
    <mergeCell ref="D340:D341"/>
    <mergeCell ref="AA340:AA341"/>
    <mergeCell ref="A343:A345"/>
    <mergeCell ref="B343:B345"/>
    <mergeCell ref="D343:D345"/>
    <mergeCell ref="AA343:AA345"/>
    <mergeCell ref="A329:A335"/>
    <mergeCell ref="B329:B335"/>
    <mergeCell ref="D329:D335"/>
    <mergeCell ref="AA329:AA331"/>
    <mergeCell ref="A336:A337"/>
    <mergeCell ref="B336:B337"/>
    <mergeCell ref="AA336:AA337"/>
    <mergeCell ref="A320:A325"/>
    <mergeCell ref="D320:D325"/>
    <mergeCell ref="AA320:AA325"/>
    <mergeCell ref="A326:A328"/>
    <mergeCell ref="B326:B328"/>
    <mergeCell ref="D326:D328"/>
    <mergeCell ref="AA326:AA328"/>
    <mergeCell ref="A274:A277"/>
    <mergeCell ref="B274:B277"/>
    <mergeCell ref="D274:D277"/>
    <mergeCell ref="AA274:AA277"/>
    <mergeCell ref="D279:D287"/>
    <mergeCell ref="Y279:Y287"/>
    <mergeCell ref="A266:A271"/>
    <mergeCell ref="B266:B271"/>
    <mergeCell ref="D266:D271"/>
    <mergeCell ref="AA266:AA271"/>
    <mergeCell ref="A272:A273"/>
    <mergeCell ref="B272:B273"/>
    <mergeCell ref="D272:D273"/>
    <mergeCell ref="AA272:AA273"/>
    <mergeCell ref="D251:D258"/>
    <mergeCell ref="AA251:AA258"/>
    <mergeCell ref="A260:A265"/>
    <mergeCell ref="B260:B265"/>
    <mergeCell ref="D260:D265"/>
    <mergeCell ref="AA260:AA265"/>
    <mergeCell ref="D246:D247"/>
    <mergeCell ref="AA246:AA247"/>
    <mergeCell ref="A248:A250"/>
    <mergeCell ref="B248:B250"/>
    <mergeCell ref="D248:D250"/>
    <mergeCell ref="AA248:AA250"/>
    <mergeCell ref="D240:D241"/>
    <mergeCell ref="AA240:AA241"/>
    <mergeCell ref="A242:A245"/>
    <mergeCell ref="B242:B245"/>
    <mergeCell ref="D242:D245"/>
    <mergeCell ref="AA242:AA245"/>
    <mergeCell ref="A220:A227"/>
    <mergeCell ref="B220:B227"/>
    <mergeCell ref="D220:D227"/>
    <mergeCell ref="AA220:AA227"/>
    <mergeCell ref="A228:A238"/>
    <mergeCell ref="B228:B238"/>
    <mergeCell ref="D228:D238"/>
    <mergeCell ref="AA228:AA238"/>
    <mergeCell ref="D212:D213"/>
    <mergeCell ref="AA212:AA213"/>
    <mergeCell ref="D215:D216"/>
    <mergeCell ref="AA215:AA216"/>
    <mergeCell ref="A217:A219"/>
    <mergeCell ref="D217:D219"/>
    <mergeCell ref="AA217:AA219"/>
    <mergeCell ref="D199:D200"/>
    <mergeCell ref="AA199:AA200"/>
    <mergeCell ref="A203:A211"/>
    <mergeCell ref="B203:B211"/>
    <mergeCell ref="D203:D211"/>
    <mergeCell ref="AA203:AA211"/>
    <mergeCell ref="A187:A192"/>
    <mergeCell ref="B187:B192"/>
    <mergeCell ref="D187:D192"/>
    <mergeCell ref="AA187:AA192"/>
    <mergeCell ref="A193:A198"/>
    <mergeCell ref="B193:B198"/>
    <mergeCell ref="D193:D198"/>
    <mergeCell ref="A172:A180"/>
    <mergeCell ref="B172:B180"/>
    <mergeCell ref="D172:D180"/>
    <mergeCell ref="AA172:AA180"/>
    <mergeCell ref="A181:A186"/>
    <mergeCell ref="B181:B186"/>
    <mergeCell ref="D181:D186"/>
    <mergeCell ref="AA181:AA186"/>
    <mergeCell ref="A136:A144"/>
    <mergeCell ref="D136:D144"/>
    <mergeCell ref="AA136:AA144"/>
    <mergeCell ref="A145:A153"/>
    <mergeCell ref="A154:A162"/>
    <mergeCell ref="A163:A171"/>
    <mergeCell ref="D163:D171"/>
    <mergeCell ref="AA163:AA171"/>
    <mergeCell ref="D104:D107"/>
    <mergeCell ref="AA104:AA107"/>
    <mergeCell ref="D108:D111"/>
    <mergeCell ref="AA108:AA111"/>
    <mergeCell ref="A112:A120"/>
    <mergeCell ref="D112:D120"/>
    <mergeCell ref="AA112:AA120"/>
    <mergeCell ref="A88:A94"/>
    <mergeCell ref="D88:D94"/>
    <mergeCell ref="AA88:AA94"/>
    <mergeCell ref="D95:D98"/>
    <mergeCell ref="AA95:AA98"/>
    <mergeCell ref="D100:D103"/>
    <mergeCell ref="AA100:AA103"/>
    <mergeCell ref="A83:A84"/>
    <mergeCell ref="D83:D84"/>
    <mergeCell ref="AA83:AA84"/>
    <mergeCell ref="A85:A86"/>
    <mergeCell ref="D85:D86"/>
    <mergeCell ref="AA85:AA86"/>
    <mergeCell ref="A76:A78"/>
    <mergeCell ref="D76:D78"/>
    <mergeCell ref="AA76:AA78"/>
    <mergeCell ref="A79:A82"/>
    <mergeCell ref="D79:D82"/>
    <mergeCell ref="AA79:AA82"/>
    <mergeCell ref="D67:D69"/>
    <mergeCell ref="AA67:AA69"/>
    <mergeCell ref="D70:D72"/>
    <mergeCell ref="AA70:AA72"/>
    <mergeCell ref="D73:D75"/>
    <mergeCell ref="AA73:AA75"/>
    <mergeCell ref="A55:A57"/>
    <mergeCell ref="D55:D57"/>
    <mergeCell ref="AA55:AA57"/>
    <mergeCell ref="D58:D60"/>
    <mergeCell ref="AA58:AA60"/>
    <mergeCell ref="D64:D66"/>
    <mergeCell ref="AA64:AA66"/>
    <mergeCell ref="D41:D42"/>
    <mergeCell ref="D43:D44"/>
    <mergeCell ref="D45:D46"/>
    <mergeCell ref="D47:D48"/>
    <mergeCell ref="D49:D50"/>
    <mergeCell ref="D51:D52"/>
    <mergeCell ref="A33:A34"/>
    <mergeCell ref="D33:D34"/>
    <mergeCell ref="A35:A36"/>
    <mergeCell ref="D35:D36"/>
    <mergeCell ref="AD9:AF9"/>
    <mergeCell ref="A11:A14"/>
    <mergeCell ref="D11:D14"/>
    <mergeCell ref="AA11:AA14"/>
    <mergeCell ref="A15:A17"/>
    <mergeCell ref="D15:D17"/>
    <mergeCell ref="AA15:AA17"/>
    <mergeCell ref="G4:H4"/>
    <mergeCell ref="B6:B8"/>
    <mergeCell ref="A9:C9"/>
    <mergeCell ref="I9:K9"/>
    <mergeCell ref="S9:T9"/>
    <mergeCell ref="V9:Z9"/>
    <mergeCell ref="A18:A22"/>
    <mergeCell ref="D18:D22"/>
    <mergeCell ref="AA18:AA22"/>
  </mergeCells>
  <conditionalFormatting sqref="C11"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:T44 S292:T294 S306:T307 S320:T331 S296:T297 S333:T359 S53:T63 S76:T121 S361:T395 S399:T401 S412:T439 S451:T478 S136:T278">
    <cfRule type="cellIs" dxfId="665" priority="77" operator="between">
      <formula>41760</formula>
      <formula>41912</formula>
    </cfRule>
  </conditionalFormatting>
  <conditionalFormatting sqref="X11:X44 X320:X359 X53:X63 X76:X121 X361:X395 X399:X401 X412:X439 X444:X449 X451:X478 X136:X278">
    <cfRule type="cellIs" dxfId="664" priority="76" operator="lessThan">
      <formula>0</formula>
    </cfRule>
  </conditionalFormatting>
  <conditionalFormatting sqref="S127:T135">
    <cfRule type="cellIs" dxfId="663" priority="75" operator="between">
      <formula>41760</formula>
      <formula>41912</formula>
    </cfRule>
  </conditionalFormatting>
  <conditionalFormatting sqref="X127:X135">
    <cfRule type="cellIs" dxfId="662" priority="74" operator="lessThan">
      <formula>0</formula>
    </cfRule>
  </conditionalFormatting>
  <conditionalFormatting sqref="S332:T332">
    <cfRule type="cellIs" dxfId="661" priority="73" operator="between">
      <formula>41760</formula>
      <formula>41912</formula>
    </cfRule>
  </conditionalFormatting>
  <conditionalFormatting sqref="S360:T360">
    <cfRule type="cellIs" dxfId="660" priority="72" operator="between">
      <formula>41760</formula>
      <formula>41912</formula>
    </cfRule>
  </conditionalFormatting>
  <conditionalFormatting sqref="S279:T287">
    <cfRule type="cellIs" dxfId="659" priority="71" operator="between">
      <formula>41760</formula>
      <formula>41912</formula>
    </cfRule>
  </conditionalFormatting>
  <conditionalFormatting sqref="S291:T291">
    <cfRule type="cellIs" dxfId="658" priority="67" operator="between">
      <formula>41760</formula>
      <formula>41912</formula>
    </cfRule>
  </conditionalFormatting>
  <conditionalFormatting sqref="S288:T288">
    <cfRule type="cellIs" dxfId="657" priority="70" operator="between">
      <formula>41760</formula>
      <formula>41912</formula>
    </cfRule>
  </conditionalFormatting>
  <conditionalFormatting sqref="S289:T289">
    <cfRule type="cellIs" dxfId="656" priority="69" operator="between">
      <formula>41760</formula>
      <formula>41912</formula>
    </cfRule>
  </conditionalFormatting>
  <conditionalFormatting sqref="S290:T290">
    <cfRule type="cellIs" dxfId="655" priority="68" operator="between">
      <formula>41760</formula>
      <formula>41912</formula>
    </cfRule>
  </conditionalFormatting>
  <conditionalFormatting sqref="S305:T305">
    <cfRule type="cellIs" dxfId="654" priority="64" operator="between">
      <formula>41760</formula>
      <formula>41912</formula>
    </cfRule>
  </conditionalFormatting>
  <conditionalFormatting sqref="S298:T300 S302:T303">
    <cfRule type="cellIs" dxfId="653" priority="66" operator="between">
      <formula>41760</formula>
      <formula>41912</formula>
    </cfRule>
  </conditionalFormatting>
  <conditionalFormatting sqref="S304:T304">
    <cfRule type="cellIs" dxfId="652" priority="65" operator="between">
      <formula>41760</formula>
      <formula>41912</formula>
    </cfRule>
  </conditionalFormatting>
  <conditionalFormatting sqref="S308:T308">
    <cfRule type="cellIs" dxfId="651" priority="63" operator="between">
      <formula>41760</formula>
      <formula>41912</formula>
    </cfRule>
  </conditionalFormatting>
  <conditionalFormatting sqref="S311:T312">
    <cfRule type="cellIs" dxfId="650" priority="62" operator="between">
      <formula>41760</formula>
      <formula>41912</formula>
    </cfRule>
  </conditionalFormatting>
  <conditionalFormatting sqref="S310:T310">
    <cfRule type="cellIs" dxfId="649" priority="60" operator="between">
      <formula>41760</formula>
      <formula>41912</formula>
    </cfRule>
  </conditionalFormatting>
  <conditionalFormatting sqref="S309:T309">
    <cfRule type="cellIs" dxfId="648" priority="61" operator="between">
      <formula>41760</formula>
      <formula>41912</formula>
    </cfRule>
  </conditionalFormatting>
  <conditionalFormatting sqref="S313:T313">
    <cfRule type="cellIs" dxfId="647" priority="59" operator="between">
      <formula>41760</formula>
      <formula>41912</formula>
    </cfRule>
  </conditionalFormatting>
  <conditionalFormatting sqref="S316:T317">
    <cfRule type="cellIs" dxfId="646" priority="58" operator="between">
      <formula>41760</formula>
      <formula>41912</formula>
    </cfRule>
  </conditionalFormatting>
  <conditionalFormatting sqref="S315:T315">
    <cfRule type="cellIs" dxfId="645" priority="56" operator="between">
      <formula>41760</formula>
      <formula>41912</formula>
    </cfRule>
  </conditionalFormatting>
  <conditionalFormatting sqref="S314:T314">
    <cfRule type="cellIs" dxfId="644" priority="57" operator="between">
      <formula>41760</formula>
      <formula>41912</formula>
    </cfRule>
  </conditionalFormatting>
  <conditionalFormatting sqref="S319:T319">
    <cfRule type="cellIs" dxfId="643" priority="55" operator="between">
      <formula>41760</formula>
      <formula>41912</formula>
    </cfRule>
  </conditionalFormatting>
  <conditionalFormatting sqref="S318:T318">
    <cfRule type="cellIs" dxfId="642" priority="54" operator="between">
      <formula>41760</formula>
      <formula>41912</formula>
    </cfRule>
  </conditionalFormatting>
  <conditionalFormatting sqref="S295:T295">
    <cfRule type="cellIs" dxfId="641" priority="53" operator="between">
      <formula>41760</formula>
      <formula>41912</formula>
    </cfRule>
  </conditionalFormatting>
  <conditionalFormatting sqref="S301:T301">
    <cfRule type="cellIs" dxfId="640" priority="52" operator="between">
      <formula>41760</formula>
      <formula>41912</formula>
    </cfRule>
  </conditionalFormatting>
  <conditionalFormatting sqref="X45:X46">
    <cfRule type="cellIs" dxfId="639" priority="50" operator="lessThan">
      <formula>0</formula>
    </cfRule>
  </conditionalFormatting>
  <conditionalFormatting sqref="S45:T46">
    <cfRule type="cellIs" dxfId="638" priority="51" operator="between">
      <formula>41760</formula>
      <formula>41912</formula>
    </cfRule>
  </conditionalFormatting>
  <conditionalFormatting sqref="X47:X48">
    <cfRule type="cellIs" dxfId="637" priority="48" operator="lessThan">
      <formula>0</formula>
    </cfRule>
  </conditionalFormatting>
  <conditionalFormatting sqref="X49:X50">
    <cfRule type="cellIs" dxfId="636" priority="46" operator="lessThan">
      <formula>0</formula>
    </cfRule>
  </conditionalFormatting>
  <conditionalFormatting sqref="S47:T48">
    <cfRule type="cellIs" dxfId="635" priority="49" operator="between">
      <formula>41760</formula>
      <formula>41912</formula>
    </cfRule>
  </conditionalFormatting>
  <conditionalFormatting sqref="X51:X52">
    <cfRule type="cellIs" dxfId="634" priority="44" operator="lessThan">
      <formula>0</formula>
    </cfRule>
  </conditionalFormatting>
  <conditionalFormatting sqref="S49:T50">
    <cfRule type="cellIs" dxfId="633" priority="47" operator="between">
      <formula>41760</formula>
      <formula>41912</formula>
    </cfRule>
  </conditionalFormatting>
  <conditionalFormatting sqref="X64:X66">
    <cfRule type="cellIs" dxfId="632" priority="42" operator="lessThan">
      <formula>0</formula>
    </cfRule>
  </conditionalFormatting>
  <conditionalFormatting sqref="S51:T52">
    <cfRule type="cellIs" dxfId="631" priority="45" operator="between">
      <formula>41760</formula>
      <formula>41912</formula>
    </cfRule>
  </conditionalFormatting>
  <conditionalFormatting sqref="S64:T66">
    <cfRule type="cellIs" dxfId="630" priority="43" operator="between">
      <formula>41760</formula>
      <formula>41912</formula>
    </cfRule>
  </conditionalFormatting>
  <conditionalFormatting sqref="X67:X69">
    <cfRule type="cellIs" dxfId="629" priority="40" operator="lessThan">
      <formula>0</formula>
    </cfRule>
  </conditionalFormatting>
  <conditionalFormatting sqref="S67:T69">
    <cfRule type="cellIs" dxfId="628" priority="41" operator="between">
      <formula>41760</formula>
      <formula>41912</formula>
    </cfRule>
  </conditionalFormatting>
  <conditionalFormatting sqref="X73:X75">
    <cfRule type="cellIs" dxfId="627" priority="36" operator="lessThan">
      <formula>0</formula>
    </cfRule>
  </conditionalFormatting>
  <conditionalFormatting sqref="S45:T75">
    <cfRule type="cellIs" dxfId="626" priority="37" operator="between">
      <formula>41760</formula>
      <formula>41912</formula>
    </cfRule>
  </conditionalFormatting>
  <conditionalFormatting sqref="X70:X72">
    <cfRule type="cellIs" dxfId="625" priority="38" operator="lessThan">
      <formula>0</formula>
    </cfRule>
  </conditionalFormatting>
  <conditionalFormatting sqref="S70:T72">
    <cfRule type="cellIs" dxfId="624" priority="39" operator="between">
      <formula>41760</formula>
      <formula>41912</formula>
    </cfRule>
  </conditionalFormatting>
  <conditionalFormatting sqref="X398">
    <cfRule type="cellIs" dxfId="623" priority="35" operator="lessThan">
      <formula>0</formula>
    </cfRule>
  </conditionalFormatting>
  <conditionalFormatting sqref="S397:T397">
    <cfRule type="cellIs" dxfId="622" priority="34" operator="between">
      <formula>41760</formula>
      <formula>41912</formula>
    </cfRule>
  </conditionalFormatting>
  <conditionalFormatting sqref="X397">
    <cfRule type="cellIs" dxfId="621" priority="33" operator="lessThan">
      <formula>0</formula>
    </cfRule>
  </conditionalFormatting>
  <conditionalFormatting sqref="S402:T402">
    <cfRule type="cellIs" dxfId="620" priority="32" operator="between">
      <formula>41760</formula>
      <formula>41912</formula>
    </cfRule>
  </conditionalFormatting>
  <conditionalFormatting sqref="X402">
    <cfRule type="cellIs" dxfId="619" priority="31" operator="lessThan">
      <formula>0</formula>
    </cfRule>
  </conditionalFormatting>
  <conditionalFormatting sqref="S403:T403">
    <cfRule type="cellIs" dxfId="618" priority="30" operator="between">
      <formula>41760</formula>
      <formula>41912</formula>
    </cfRule>
  </conditionalFormatting>
  <conditionalFormatting sqref="X403">
    <cfRule type="cellIs" dxfId="617" priority="29" operator="lessThan">
      <formula>0</formula>
    </cfRule>
  </conditionalFormatting>
  <conditionalFormatting sqref="S404:T404">
    <cfRule type="cellIs" dxfId="616" priority="28" operator="between">
      <formula>41760</formula>
      <formula>41912</formula>
    </cfRule>
  </conditionalFormatting>
  <conditionalFormatting sqref="X404">
    <cfRule type="cellIs" dxfId="615" priority="27" operator="lessThan">
      <formula>0</formula>
    </cfRule>
  </conditionalFormatting>
  <conditionalFormatting sqref="S405:T405">
    <cfRule type="cellIs" dxfId="614" priority="26" operator="between">
      <formula>41760</formula>
      <formula>41912</formula>
    </cfRule>
  </conditionalFormatting>
  <conditionalFormatting sqref="X405">
    <cfRule type="cellIs" dxfId="613" priority="25" operator="lessThan">
      <formula>0</formula>
    </cfRule>
  </conditionalFormatting>
  <conditionalFormatting sqref="S406:T406">
    <cfRule type="cellIs" dxfId="612" priority="24" operator="between">
      <formula>41760</formula>
      <formula>41912</formula>
    </cfRule>
  </conditionalFormatting>
  <conditionalFormatting sqref="X406">
    <cfRule type="cellIs" dxfId="611" priority="23" operator="lessThan">
      <formula>0</formula>
    </cfRule>
  </conditionalFormatting>
  <conditionalFormatting sqref="S407:T407">
    <cfRule type="cellIs" dxfId="610" priority="22" operator="between">
      <formula>41760</formula>
      <formula>41912</formula>
    </cfRule>
  </conditionalFormatting>
  <conditionalFormatting sqref="X407">
    <cfRule type="cellIs" dxfId="609" priority="21" operator="lessThan">
      <formula>0</formula>
    </cfRule>
  </conditionalFormatting>
  <conditionalFormatting sqref="S408:T408">
    <cfRule type="cellIs" dxfId="608" priority="20" operator="between">
      <formula>41760</formula>
      <formula>41912</formula>
    </cfRule>
  </conditionalFormatting>
  <conditionalFormatting sqref="X408">
    <cfRule type="cellIs" dxfId="607" priority="19" operator="lessThan">
      <formula>0</formula>
    </cfRule>
  </conditionalFormatting>
  <conditionalFormatting sqref="S398:T398">
    <cfRule type="cellIs" dxfId="606" priority="18" operator="between">
      <formula>41760</formula>
      <formula>41912</formula>
    </cfRule>
  </conditionalFormatting>
  <conditionalFormatting sqref="S396:T396">
    <cfRule type="cellIs" dxfId="605" priority="17" operator="between">
      <formula>41760</formula>
      <formula>41912</formula>
    </cfRule>
  </conditionalFormatting>
  <conditionalFormatting sqref="X396">
    <cfRule type="cellIs" dxfId="604" priority="16" operator="lessThan">
      <formula>0</formula>
    </cfRule>
  </conditionalFormatting>
  <conditionalFormatting sqref="S409:T409">
    <cfRule type="cellIs" dxfId="603" priority="15" operator="between">
      <formula>41760</formula>
      <formula>41912</formula>
    </cfRule>
  </conditionalFormatting>
  <conditionalFormatting sqref="X409">
    <cfRule type="cellIs" dxfId="602" priority="14" operator="lessThan">
      <formula>0</formula>
    </cfRule>
  </conditionalFormatting>
  <conditionalFormatting sqref="S410:T410">
    <cfRule type="cellIs" dxfId="601" priority="13" operator="between">
      <formula>41760</formula>
      <formula>41912</formula>
    </cfRule>
  </conditionalFormatting>
  <conditionalFormatting sqref="X410">
    <cfRule type="cellIs" dxfId="600" priority="12" operator="lessThan">
      <formula>0</formula>
    </cfRule>
  </conditionalFormatting>
  <conditionalFormatting sqref="S411:T411">
    <cfRule type="cellIs" dxfId="599" priority="11" operator="between">
      <formula>41760</formula>
      <formula>41912</formula>
    </cfRule>
  </conditionalFormatting>
  <conditionalFormatting sqref="X411">
    <cfRule type="cellIs" dxfId="598" priority="10" operator="lessThan">
      <formula>0</formula>
    </cfRule>
  </conditionalFormatting>
  <conditionalFormatting sqref="S440:T443">
    <cfRule type="cellIs" dxfId="597" priority="9" operator="between">
      <formula>41760</formula>
      <formula>41912</formula>
    </cfRule>
  </conditionalFormatting>
  <conditionalFormatting sqref="X440:X443">
    <cfRule type="cellIs" dxfId="596" priority="8" operator="lessThan">
      <formula>0</formula>
    </cfRule>
  </conditionalFormatting>
  <conditionalFormatting sqref="S444:T449">
    <cfRule type="cellIs" dxfId="595" priority="7" operator="between">
      <formula>41760</formula>
      <formula>41912</formula>
    </cfRule>
  </conditionalFormatting>
  <conditionalFormatting sqref="S450:T450">
    <cfRule type="cellIs" dxfId="594" priority="6" operator="between">
      <formula>41760</formula>
      <formula>41912</formula>
    </cfRule>
  </conditionalFormatting>
  <conditionalFormatting sqref="X450">
    <cfRule type="cellIs" dxfId="593" priority="5" operator="lessThan">
      <formula>0</formula>
    </cfRule>
  </conditionalFormatting>
  <conditionalFormatting sqref="S122:T125">
    <cfRule type="cellIs" dxfId="592" priority="4" operator="between">
      <formula>41760</formula>
      <formula>41912</formula>
    </cfRule>
  </conditionalFormatting>
  <conditionalFormatting sqref="X122:X125">
    <cfRule type="cellIs" dxfId="591" priority="3" operator="lessThan">
      <formula>0</formula>
    </cfRule>
  </conditionalFormatting>
  <conditionalFormatting sqref="S126:T126">
    <cfRule type="cellIs" dxfId="590" priority="2" operator="between">
      <formula>41760</formula>
      <formula>41912</formula>
    </cfRule>
  </conditionalFormatting>
  <conditionalFormatting sqref="X126">
    <cfRule type="cellIs" dxfId="589" priority="1" operator="lessThan">
      <formula>0</formula>
    </cfRule>
  </conditionalFormatting>
  <pageMargins left="0.25" right="0" top="0.5" bottom="0.5" header="0.3" footer="0.3"/>
  <pageSetup paperSize="9" scale="25" firstPageNumber="0" fitToHeight="0" orientation="landscape" horizontalDpi="300" verticalDpi="300" r:id="rId1"/>
  <headerFooter alignWithMargins="0">
    <oddFooter>&amp;F&amp;RPágina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T26"/>
  <sheetViews>
    <sheetView topLeftCell="A13" zoomScale="70" zoomScaleNormal="70" workbookViewId="0">
      <selection activeCell="C3" sqref="C3"/>
    </sheetView>
  </sheetViews>
  <sheetFormatPr baseColWidth="10" defaultColWidth="11.5703125" defaultRowHeight="15"/>
  <cols>
    <col min="1" max="1" width="11.5703125" style="723"/>
    <col min="2" max="2" width="16.85546875" style="723" customWidth="1"/>
    <col min="3" max="3" width="14.85546875" style="723" customWidth="1"/>
    <col min="4" max="4" width="15.28515625" style="723" customWidth="1"/>
    <col min="5" max="5" width="15.7109375" style="723" customWidth="1"/>
    <col min="6" max="6" width="10.28515625" style="723" customWidth="1"/>
    <col min="7" max="7" width="16.28515625" style="723" customWidth="1"/>
    <col min="8" max="11" width="11.5703125" style="723"/>
    <col min="12" max="14" width="13.7109375" style="723" customWidth="1"/>
    <col min="15" max="15" width="10" style="723" hidden="1" customWidth="1"/>
    <col min="16" max="16" width="14.28515625" style="723" hidden="1" customWidth="1"/>
    <col min="17" max="20" width="0" style="723" hidden="1" customWidth="1"/>
    <col min="21" max="16384" width="11.5703125" style="723"/>
  </cols>
  <sheetData>
    <row r="2" spans="1:20" ht="45">
      <c r="B2" s="756" t="s">
        <v>1081</v>
      </c>
      <c r="C2" s="725"/>
      <c r="D2" s="725"/>
      <c r="E2" s="725"/>
      <c r="F2" s="507" t="s">
        <v>1101</v>
      </c>
      <c r="G2" s="724">
        <v>1707368.9000000001</v>
      </c>
    </row>
    <row r="3" spans="1:20" s="722" customFormat="1" ht="45">
      <c r="A3" s="506" t="s">
        <v>1121</v>
      </c>
      <c r="B3" s="506" t="s">
        <v>1062</v>
      </c>
      <c r="C3" s="506" t="s">
        <v>1063</v>
      </c>
      <c r="D3" s="506" t="s">
        <v>1064</v>
      </c>
      <c r="E3" s="506" t="s">
        <v>1065</v>
      </c>
      <c r="F3" s="506" t="s">
        <v>1066</v>
      </c>
      <c r="G3" s="507" t="s">
        <v>1067</v>
      </c>
      <c r="H3" s="507" t="s">
        <v>1119</v>
      </c>
      <c r="I3" s="507" t="s">
        <v>1120</v>
      </c>
      <c r="J3" s="507" t="s">
        <v>1068</v>
      </c>
      <c r="K3" s="507" t="s">
        <v>1118</v>
      </c>
      <c r="L3" s="507" t="s">
        <v>1069</v>
      </c>
      <c r="M3" s="507" t="s">
        <v>725</v>
      </c>
      <c r="N3" s="507" t="s">
        <v>9</v>
      </c>
      <c r="O3" s="508" t="s">
        <v>1070</v>
      </c>
      <c r="P3" s="507" t="s">
        <v>1071</v>
      </c>
      <c r="Q3" s="507" t="s">
        <v>1072</v>
      </c>
      <c r="R3" s="507" t="s">
        <v>1073</v>
      </c>
      <c r="S3" s="507" t="s">
        <v>1123</v>
      </c>
      <c r="T3" s="507" t="s">
        <v>1124</v>
      </c>
    </row>
    <row r="4" spans="1:20">
      <c r="A4" s="1108" t="s">
        <v>174</v>
      </c>
      <c r="B4" s="725" t="s">
        <v>1074</v>
      </c>
      <c r="C4" s="725">
        <v>600</v>
      </c>
      <c r="D4" s="725">
        <v>0.4</v>
      </c>
      <c r="E4" s="725">
        <v>8.4</v>
      </c>
      <c r="F4" s="725">
        <f>+E4*D4*C4</f>
        <v>2016.0000000000002</v>
      </c>
      <c r="G4" s="725">
        <v>1.3</v>
      </c>
      <c r="H4" s="725">
        <f>+F4*G4</f>
        <v>2620.8000000000002</v>
      </c>
      <c r="I4" s="725">
        <v>20.2</v>
      </c>
      <c r="J4" s="726">
        <f>+I4*H4</f>
        <v>52940.160000000003</v>
      </c>
      <c r="K4" s="725">
        <v>0.3</v>
      </c>
      <c r="L4" s="727">
        <f>+K4*J4</f>
        <v>15882.048000000001</v>
      </c>
      <c r="M4" s="1098">
        <f>SUM(L4:L5)</f>
        <v>31292.351999999999</v>
      </c>
      <c r="N4" s="1098">
        <f>SUM(M4:M10)</f>
        <v>464529.06000000006</v>
      </c>
      <c r="O4" s="725">
        <f>+H4/12</f>
        <v>218.4</v>
      </c>
      <c r="P4" s="725">
        <f>9+6</f>
        <v>15</v>
      </c>
      <c r="Q4" s="725">
        <f>+O4/P4</f>
        <v>14.56</v>
      </c>
      <c r="R4" s="725">
        <v>5</v>
      </c>
      <c r="S4" s="725">
        <f>+Q4/R4</f>
        <v>2.9119999999999999</v>
      </c>
      <c r="T4" s="725">
        <v>3</v>
      </c>
    </row>
    <row r="5" spans="1:20">
      <c r="A5" s="1108"/>
      <c r="B5" s="725" t="s">
        <v>1074</v>
      </c>
      <c r="C5" s="725">
        <v>600</v>
      </c>
      <c r="D5" s="725">
        <v>0.4</v>
      </c>
      <c r="E5" s="725">
        <v>8.4</v>
      </c>
      <c r="F5" s="725">
        <f>+E5*D5*C5</f>
        <v>2016.0000000000002</v>
      </c>
      <c r="G5" s="725">
        <v>1.3</v>
      </c>
      <c r="H5" s="726">
        <f>+F5*G5</f>
        <v>2620.8000000000002</v>
      </c>
      <c r="I5" s="725"/>
      <c r="J5" s="725"/>
      <c r="K5" s="725">
        <v>5.88</v>
      </c>
      <c r="L5" s="727">
        <f>+K5*H5</f>
        <v>15410.304</v>
      </c>
      <c r="M5" s="1100"/>
      <c r="N5" s="1099"/>
      <c r="O5" s="725"/>
      <c r="P5" s="725"/>
      <c r="Q5" s="725"/>
      <c r="R5" s="725"/>
      <c r="S5" s="725"/>
      <c r="T5" s="725"/>
    </row>
    <row r="6" spans="1:20">
      <c r="A6" s="1108"/>
      <c r="B6" s="725" t="s">
        <v>1075</v>
      </c>
      <c r="C6" s="725">
        <f>(6.17-2.3)*1000</f>
        <v>3870</v>
      </c>
      <c r="D6" s="725">
        <v>0.25</v>
      </c>
      <c r="E6" s="725">
        <v>7.2</v>
      </c>
      <c r="F6" s="725">
        <f>+E6*D6*C6</f>
        <v>6966</v>
      </c>
      <c r="G6" s="725">
        <v>1.3</v>
      </c>
      <c r="H6" s="725">
        <f>+F6*G6</f>
        <v>9055.8000000000011</v>
      </c>
      <c r="I6" s="725">
        <v>20.2</v>
      </c>
      <c r="J6" s="726">
        <f>+I6*H6</f>
        <v>182927.16</v>
      </c>
      <c r="K6" s="725">
        <v>0.3</v>
      </c>
      <c r="L6" s="727">
        <f>+K6*J6</f>
        <v>54878.148000000001</v>
      </c>
      <c r="M6" s="1098">
        <f>SUM(L6:L8)</f>
        <v>235994.14800000004</v>
      </c>
      <c r="N6" s="1099"/>
      <c r="O6" s="725">
        <f>+H6/12</f>
        <v>754.65000000000009</v>
      </c>
      <c r="P6" s="725">
        <v>20</v>
      </c>
      <c r="Q6" s="725">
        <f>+O6/P6</f>
        <v>37.732500000000002</v>
      </c>
      <c r="R6" s="725">
        <v>5</v>
      </c>
      <c r="S6" s="725">
        <f>+Q6/R6</f>
        <v>7.5465</v>
      </c>
      <c r="T6" s="725">
        <v>8</v>
      </c>
    </row>
    <row r="7" spans="1:20">
      <c r="A7" s="1108"/>
      <c r="B7" s="725" t="s">
        <v>1075</v>
      </c>
      <c r="C7" s="725">
        <f>(6.17-2.3)*1000</f>
        <v>3870</v>
      </c>
      <c r="D7" s="725">
        <v>0.25</v>
      </c>
      <c r="E7" s="725">
        <v>7.2</v>
      </c>
      <c r="F7" s="725">
        <f>+E7*D7*C7</f>
        <v>6966</v>
      </c>
      <c r="G7" s="725">
        <v>1.3</v>
      </c>
      <c r="H7" s="725">
        <f>+F7*G7</f>
        <v>9055.8000000000011</v>
      </c>
      <c r="I7" s="725">
        <v>3</v>
      </c>
      <c r="J7" s="726">
        <f>+I7*H7</f>
        <v>27167.4</v>
      </c>
      <c r="K7" s="725">
        <v>0.3</v>
      </c>
      <c r="L7" s="727">
        <f>+K7*J7</f>
        <v>8150.22</v>
      </c>
      <c r="M7" s="1099"/>
      <c r="N7" s="1099"/>
      <c r="O7" s="725">
        <f>+H7/12</f>
        <v>754.65000000000009</v>
      </c>
      <c r="P7" s="725">
        <v>20</v>
      </c>
      <c r="Q7" s="725">
        <f>+O7/P7</f>
        <v>37.732500000000002</v>
      </c>
      <c r="R7" s="725">
        <v>8</v>
      </c>
      <c r="S7" s="725">
        <f>+Q7/R7</f>
        <v>4.7165625000000002</v>
      </c>
      <c r="T7" s="725">
        <v>5</v>
      </c>
    </row>
    <row r="8" spans="1:20">
      <c r="A8" s="1108"/>
      <c r="B8" s="725" t="s">
        <v>1075</v>
      </c>
      <c r="C8" s="725">
        <f>(6.17-2.3)*1000</f>
        <v>3870</v>
      </c>
      <c r="D8" s="725">
        <v>0.25</v>
      </c>
      <c r="E8" s="725">
        <v>7.2</v>
      </c>
      <c r="F8" s="725">
        <f>+E8*D8*C8</f>
        <v>6966</v>
      </c>
      <c r="G8" s="725">
        <v>1.3</v>
      </c>
      <c r="H8" s="726">
        <f>+F8*G8</f>
        <v>9055.8000000000011</v>
      </c>
      <c r="I8" s="725"/>
      <c r="J8" s="725"/>
      <c r="K8" s="725">
        <v>19.100000000000001</v>
      </c>
      <c r="L8" s="727">
        <f>+K8*H8</f>
        <v>172965.78000000003</v>
      </c>
      <c r="M8" s="1100"/>
      <c r="N8" s="1099"/>
      <c r="O8" s="725"/>
      <c r="P8" s="725"/>
      <c r="Q8" s="725"/>
      <c r="R8" s="725"/>
      <c r="S8" s="725"/>
      <c r="T8" s="725"/>
    </row>
    <row r="9" spans="1:20">
      <c r="A9" s="1108"/>
      <c r="B9" s="725" t="s">
        <v>1076</v>
      </c>
      <c r="C9" s="725">
        <v>6.17</v>
      </c>
      <c r="D9" s="725"/>
      <c r="E9" s="725">
        <v>7.2</v>
      </c>
      <c r="F9" s="728">
        <f>+C9*1000*E9</f>
        <v>44424</v>
      </c>
      <c r="G9" s="725"/>
      <c r="H9" s="725"/>
      <c r="I9" s="725"/>
      <c r="J9" s="725"/>
      <c r="K9" s="725">
        <v>3.47</v>
      </c>
      <c r="L9" s="727">
        <f>+K9*F9</f>
        <v>154151.28</v>
      </c>
      <c r="M9" s="1098">
        <f>SUM(L9:L10)</f>
        <v>197242.56</v>
      </c>
      <c r="N9" s="1099"/>
      <c r="O9" s="725">
        <v>20.2</v>
      </c>
      <c r="P9" s="725">
        <f>+O9*O4</f>
        <v>4411.68</v>
      </c>
      <c r="Q9" s="725">
        <f>+P9*0.3</f>
        <v>1323.5040000000001</v>
      </c>
      <c r="R9" s="725"/>
      <c r="S9" s="725"/>
      <c r="T9" s="725">
        <f>SUM(T4:T7)</f>
        <v>16</v>
      </c>
    </row>
    <row r="10" spans="1:20">
      <c r="A10" s="1108"/>
      <c r="B10" s="725" t="s">
        <v>1077</v>
      </c>
      <c r="C10" s="725">
        <v>6.17</v>
      </c>
      <c r="D10" s="725"/>
      <c r="E10" s="725">
        <v>7.2</v>
      </c>
      <c r="F10" s="725">
        <f>+C10*1000*E10</f>
        <v>44424</v>
      </c>
      <c r="G10" s="725"/>
      <c r="H10" s="728">
        <f>+F10*1.1</f>
        <v>48866.400000000001</v>
      </c>
      <c r="I10" s="725"/>
      <c r="J10" s="725"/>
      <c r="K10" s="725">
        <v>0.97</v>
      </c>
      <c r="L10" s="727">
        <f>+K10*F10</f>
        <v>43091.28</v>
      </c>
      <c r="M10" s="1100"/>
      <c r="N10" s="1100"/>
      <c r="O10" s="725"/>
      <c r="P10" s="725"/>
      <c r="Q10" s="725"/>
      <c r="R10" s="725"/>
      <c r="S10" s="725"/>
      <c r="T10" s="725"/>
    </row>
    <row r="11" spans="1:20">
      <c r="A11" s="1108" t="s">
        <v>1110</v>
      </c>
      <c r="B11" s="729" t="s">
        <v>1082</v>
      </c>
      <c r="C11" s="725">
        <v>6.17</v>
      </c>
      <c r="D11" s="725"/>
      <c r="E11" s="725">
        <v>0.1216</v>
      </c>
      <c r="F11" s="725">
        <f>+C11*1000*2*E11</f>
        <v>1500.5440000000001</v>
      </c>
      <c r="G11" s="725"/>
      <c r="H11" s="728"/>
      <c r="I11" s="725"/>
      <c r="J11" s="725"/>
      <c r="K11" s="725">
        <v>178.13</v>
      </c>
      <c r="L11" s="730">
        <f>+K11*F11</f>
        <v>267291.90272000001</v>
      </c>
      <c r="M11" s="1106">
        <f>SUM(L11:L12)</f>
        <v>450842.63</v>
      </c>
      <c r="N11" s="1106">
        <f>SUM(M11:M12)</f>
        <v>450842.63</v>
      </c>
      <c r="O11" s="725"/>
      <c r="P11" s="725"/>
      <c r="Q11" s="725"/>
      <c r="R11" s="725"/>
      <c r="S11" s="725"/>
      <c r="T11" s="725"/>
    </row>
    <row r="12" spans="1:20">
      <c r="A12" s="1108"/>
      <c r="B12" s="729" t="s">
        <v>196</v>
      </c>
      <c r="C12" s="725"/>
      <c r="D12" s="725"/>
      <c r="E12" s="725"/>
      <c r="F12" s="725"/>
      <c r="G12" s="725"/>
      <c r="H12" s="725"/>
      <c r="I12" s="725"/>
      <c r="J12" s="725"/>
      <c r="K12" s="725"/>
      <c r="L12" s="730">
        <f>450842.63-L11</f>
        <v>183550.72727999999</v>
      </c>
      <c r="M12" s="1107"/>
      <c r="N12" s="1107"/>
      <c r="O12" s="725"/>
      <c r="P12" s="725"/>
      <c r="Q12" s="725"/>
      <c r="R12" s="725"/>
      <c r="S12" s="725"/>
      <c r="T12" s="725"/>
    </row>
    <row r="13" spans="1:20">
      <c r="L13" s="731">
        <f>SUM(L4:L12)</f>
        <v>915371.69000000006</v>
      </c>
      <c r="M13" s="731">
        <f>SUM(M4:M12)</f>
        <v>915371.69000000006</v>
      </c>
      <c r="N13" s="731">
        <f>SUM(N4:N12)</f>
        <v>915371.69000000006</v>
      </c>
    </row>
    <row r="14" spans="1:20">
      <c r="B14" s="735" t="s">
        <v>1114</v>
      </c>
      <c r="J14" s="732"/>
    </row>
    <row r="15" spans="1:20" ht="15.75" thickBot="1">
      <c r="C15" s="729" t="s">
        <v>1102</v>
      </c>
      <c r="D15" s="727">
        <f>+G2</f>
        <v>1707368.9000000001</v>
      </c>
    </row>
    <row r="16" spans="1:20" ht="16.5" thickTop="1" thickBot="1">
      <c r="B16" s="749" t="s">
        <v>1111</v>
      </c>
      <c r="C16" s="750"/>
      <c r="D16" s="750" t="s">
        <v>673</v>
      </c>
      <c r="E16" s="750" t="s">
        <v>725</v>
      </c>
      <c r="F16" s="751" t="s">
        <v>1113</v>
      </c>
    </row>
    <row r="17" spans="2:6" ht="35.450000000000003" customHeight="1" thickTop="1">
      <c r="B17" s="1101" t="s">
        <v>1122</v>
      </c>
      <c r="C17" s="754" t="s">
        <v>1103</v>
      </c>
      <c r="D17" s="746">
        <f>+'saraguro septiembre'!D9</f>
        <v>456264.82</v>
      </c>
      <c r="E17" s="1113">
        <f>SUM(D17:D20)</f>
        <v>920793.88000000012</v>
      </c>
      <c r="F17" s="1109">
        <f>+E17/D25</f>
        <v>0.67131041882225773</v>
      </c>
    </row>
    <row r="18" spans="2:6" ht="61.15" customHeight="1">
      <c r="B18" s="1102"/>
      <c r="C18" s="736" t="s">
        <v>1117</v>
      </c>
      <c r="D18" s="727">
        <f>SUM(L4:L5)</f>
        <v>31292.351999999999</v>
      </c>
      <c r="E18" s="1114"/>
      <c r="F18" s="1110"/>
    </row>
    <row r="19" spans="2:6" ht="69.599999999999994" customHeight="1">
      <c r="B19" s="1102"/>
      <c r="C19" s="736" t="s">
        <v>1115</v>
      </c>
      <c r="D19" s="727">
        <f>SUM(L6:L8)</f>
        <v>235994.14800000004</v>
      </c>
      <c r="E19" s="1114"/>
      <c r="F19" s="1110"/>
    </row>
    <row r="20" spans="2:6" ht="64.900000000000006" customHeight="1" thickBot="1">
      <c r="B20" s="1103"/>
      <c r="C20" s="755" t="s">
        <v>1116</v>
      </c>
      <c r="D20" s="740">
        <f>SUM(L9:L10)</f>
        <v>197242.56</v>
      </c>
      <c r="E20" s="1115"/>
      <c r="F20" s="1111"/>
    </row>
    <row r="21" spans="2:6" ht="16.5" thickTop="1" thickBot="1">
      <c r="B21" s="737" t="s">
        <v>1112</v>
      </c>
      <c r="C21" s="752"/>
      <c r="D21" s="753"/>
      <c r="E21" s="753"/>
      <c r="F21" s="738"/>
    </row>
    <row r="22" spans="2:6" ht="15.75" thickTop="1">
      <c r="B22" s="1104" t="s">
        <v>1110</v>
      </c>
      <c r="C22" s="745" t="s">
        <v>1104</v>
      </c>
      <c r="D22" s="746">
        <f>+L12</f>
        <v>183550.72727999999</v>
      </c>
      <c r="E22" s="1113">
        <f>SUM(D22:D23)</f>
        <v>450842.63</v>
      </c>
      <c r="F22" s="1109">
        <f>+E22/D25</f>
        <v>0.32868958117774216</v>
      </c>
    </row>
    <row r="23" spans="2:6">
      <c r="B23" s="1105"/>
      <c r="C23" s="729" t="s">
        <v>1082</v>
      </c>
      <c r="D23" s="727">
        <f>+L11</f>
        <v>267291.90272000001</v>
      </c>
      <c r="E23" s="1116"/>
      <c r="F23" s="1112"/>
    </row>
    <row r="24" spans="2:6" ht="15.75" thickBot="1">
      <c r="B24" s="747"/>
      <c r="C24" s="739"/>
      <c r="D24" s="740"/>
      <c r="E24" s="744"/>
      <c r="F24" s="748"/>
    </row>
    <row r="25" spans="2:6" ht="16.5" thickTop="1" thickBot="1">
      <c r="B25" s="742"/>
      <c r="C25" s="743" t="s">
        <v>725</v>
      </c>
      <c r="D25" s="744">
        <f>SUM(D17:D23)</f>
        <v>1371636.5100000002</v>
      </c>
      <c r="E25" s="744">
        <f>+D25</f>
        <v>1371636.5100000002</v>
      </c>
      <c r="F25" s="741">
        <v>1</v>
      </c>
    </row>
    <row r="26" spans="2:6" ht="15.75" thickTop="1">
      <c r="C26" s="506" t="s">
        <v>11</v>
      </c>
      <c r="D26" s="733">
        <f>+D15-D25</f>
        <v>335732.3899999999</v>
      </c>
      <c r="E26" s="733">
        <f>+D26</f>
        <v>335732.3899999999</v>
      </c>
      <c r="F26" s="734">
        <f>+D26/D15</f>
        <v>0.19663728793466947</v>
      </c>
    </row>
  </sheetData>
  <mergeCells count="14">
    <mergeCell ref="N4:N10"/>
    <mergeCell ref="B17:B20"/>
    <mergeCell ref="B22:B23"/>
    <mergeCell ref="N11:N12"/>
    <mergeCell ref="A4:A10"/>
    <mergeCell ref="A11:A12"/>
    <mergeCell ref="F17:F20"/>
    <mergeCell ref="F22:F23"/>
    <mergeCell ref="E17:E20"/>
    <mergeCell ref="E22:E23"/>
    <mergeCell ref="M4:M5"/>
    <mergeCell ref="M6:M8"/>
    <mergeCell ref="M9:M10"/>
    <mergeCell ref="M11:M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1" fitToHeight="0" orientation="landscape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C11"/>
  <sheetViews>
    <sheetView topLeftCell="A4" workbookViewId="0">
      <selection activeCell="D6" sqref="D6"/>
    </sheetView>
  </sheetViews>
  <sheetFormatPr baseColWidth="10" defaultRowHeight="12.75"/>
  <cols>
    <col min="2" max="2" width="84.7109375" customWidth="1"/>
    <col min="3" max="3" width="13" bestFit="1" customWidth="1"/>
  </cols>
  <sheetData>
    <row r="1" spans="2:3">
      <c r="B1" s="708" t="s">
        <v>1105</v>
      </c>
    </row>
    <row r="2" spans="2:3" ht="25.5">
      <c r="B2" s="709" t="s">
        <v>1509</v>
      </c>
      <c r="C2" s="710">
        <v>954535.4099999998</v>
      </c>
    </row>
    <row r="3" spans="2:3" ht="25.5">
      <c r="B3" s="711" t="s">
        <v>1510</v>
      </c>
      <c r="C3" s="710">
        <v>883751.8</v>
      </c>
    </row>
    <row r="4" spans="2:3" ht="25.5">
      <c r="B4" s="709" t="s">
        <v>1106</v>
      </c>
      <c r="C4" s="710">
        <v>723551.32000000007</v>
      </c>
    </row>
    <row r="5" spans="2:3" ht="25.5">
      <c r="B5" s="711" t="s">
        <v>1511</v>
      </c>
      <c r="C5" s="710">
        <v>590470.46</v>
      </c>
    </row>
    <row r="6" spans="2:3" ht="25.5">
      <c r="B6" s="709" t="s">
        <v>1512</v>
      </c>
      <c r="C6" s="712">
        <v>250759.43</v>
      </c>
    </row>
    <row r="7" spans="2:3">
      <c r="B7" s="711" t="s">
        <v>476</v>
      </c>
      <c r="C7" s="712">
        <v>218197.27000000002</v>
      </c>
    </row>
    <row r="8" spans="2:3" ht="38.25">
      <c r="B8" s="711" t="s">
        <v>263</v>
      </c>
      <c r="C8" s="712">
        <v>172988.94000000003</v>
      </c>
    </row>
    <row r="9" spans="2:3">
      <c r="B9" s="711" t="s">
        <v>329</v>
      </c>
      <c r="C9" s="712">
        <v>168834.9</v>
      </c>
    </row>
    <row r="10" spans="2:3" ht="25.5">
      <c r="B10" s="711" t="s">
        <v>251</v>
      </c>
      <c r="C10" s="712">
        <v>137131.85</v>
      </c>
    </row>
    <row r="11" spans="2:3">
      <c r="B11" s="711" t="s">
        <v>391</v>
      </c>
      <c r="C11" s="712">
        <v>116319.3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4:N193"/>
  <sheetViews>
    <sheetView topLeftCell="A4" zoomScale="70" zoomScaleNormal="70" workbookViewId="0">
      <selection activeCell="A7" sqref="A7"/>
    </sheetView>
  </sheetViews>
  <sheetFormatPr baseColWidth="10" defaultColWidth="14.42578125" defaultRowHeight="12.75"/>
  <cols>
    <col min="1" max="1" width="30.7109375" style="535" customWidth="1"/>
    <col min="2" max="2" width="26" style="535" bestFit="1" customWidth="1"/>
    <col min="3" max="3" width="11.28515625" style="535" customWidth="1"/>
    <col min="4" max="4" width="12.28515625" style="535" customWidth="1"/>
    <col min="5" max="5" width="24.140625" style="535" customWidth="1"/>
    <col min="6" max="6" width="41.85546875" style="535" customWidth="1"/>
    <col min="7" max="7" width="20.7109375" style="535" customWidth="1"/>
    <col min="8" max="8" width="37.28515625" style="535" customWidth="1"/>
    <col min="9" max="9" width="14.28515625" style="535" customWidth="1"/>
    <col min="10" max="10" width="37.28515625" style="535" customWidth="1"/>
    <col min="11" max="12" width="14.28515625" style="535" customWidth="1"/>
    <col min="13" max="13" width="37.28515625" style="535" bestFit="1" customWidth="1"/>
    <col min="14" max="14" width="14.28515625" style="535" customWidth="1"/>
    <col min="15" max="16384" width="14.42578125" style="535"/>
  </cols>
  <sheetData>
    <row r="4" spans="1:14">
      <c r="B4" s="713" t="s">
        <v>1107</v>
      </c>
      <c r="J4"/>
      <c r="K4"/>
      <c r="L4"/>
      <c r="M4"/>
      <c r="N4"/>
    </row>
    <row r="5" spans="1:14">
      <c r="B5" s="535" t="s">
        <v>182</v>
      </c>
      <c r="C5" s="535" t="s">
        <v>323</v>
      </c>
      <c r="D5" s="535" t="s">
        <v>1183</v>
      </c>
      <c r="E5" s="535" t="s">
        <v>1491</v>
      </c>
      <c r="F5" s="535" t="s">
        <v>1492</v>
      </c>
      <c r="G5" s="535" t="s">
        <v>1493</v>
      </c>
      <c r="H5" s="535" t="s">
        <v>1494</v>
      </c>
      <c r="I5" s="535" t="s">
        <v>665</v>
      </c>
      <c r="J5"/>
      <c r="K5"/>
      <c r="L5"/>
      <c r="M5"/>
      <c r="N5"/>
    </row>
    <row r="6" spans="1:14">
      <c r="A6" s="535" t="s">
        <v>664</v>
      </c>
      <c r="B6" s="829">
        <v>1881.5800000000002</v>
      </c>
      <c r="C6" s="829">
        <v>0</v>
      </c>
      <c r="D6" s="829">
        <v>30.63</v>
      </c>
      <c r="F6" s="829">
        <v>92.03</v>
      </c>
      <c r="G6" s="829">
        <v>10.48</v>
      </c>
      <c r="H6" s="829"/>
      <c r="I6" s="829">
        <v>2014.7200000000003</v>
      </c>
      <c r="J6"/>
      <c r="K6"/>
      <c r="L6"/>
      <c r="M6"/>
      <c r="N6"/>
    </row>
    <row r="7" spans="1:14">
      <c r="A7"/>
      <c r="B7"/>
      <c r="C7"/>
      <c r="D7"/>
      <c r="E7"/>
      <c r="F7"/>
      <c r="G7"/>
      <c r="H7"/>
      <c r="I7"/>
      <c r="J7"/>
    </row>
    <row r="8" spans="1:14">
      <c r="A8"/>
      <c r="B8"/>
      <c r="C8"/>
      <c r="D8"/>
      <c r="E8"/>
      <c r="F8"/>
      <c r="G8"/>
      <c r="H8"/>
      <c r="I8"/>
      <c r="J8"/>
    </row>
    <row r="9" spans="1:14">
      <c r="A9"/>
      <c r="B9"/>
      <c r="C9"/>
      <c r="D9"/>
      <c r="E9"/>
      <c r="F9"/>
      <c r="G9"/>
      <c r="H9"/>
      <c r="I9"/>
      <c r="J9"/>
    </row>
    <row r="10" spans="1:14">
      <c r="A10"/>
      <c r="B10"/>
      <c r="C10"/>
      <c r="D10"/>
      <c r="E10"/>
      <c r="F10"/>
      <c r="G10"/>
      <c r="H10"/>
      <c r="I10"/>
      <c r="J10"/>
    </row>
    <row r="11" spans="1:14">
      <c r="A11"/>
      <c r="B11"/>
      <c r="C11"/>
      <c r="D11"/>
      <c r="E11"/>
      <c r="F11"/>
      <c r="G11"/>
      <c r="H11"/>
      <c r="I11"/>
      <c r="J11"/>
    </row>
    <row r="12" spans="1:14">
      <c r="A12"/>
      <c r="B12"/>
      <c r="C12"/>
      <c r="D12"/>
      <c r="E12"/>
      <c r="F12"/>
      <c r="G12"/>
      <c r="H12"/>
      <c r="I12"/>
      <c r="J12"/>
    </row>
    <row r="13" spans="1:14">
      <c r="A13"/>
      <c r="B13"/>
      <c r="C13"/>
      <c r="D13"/>
      <c r="E13"/>
      <c r="F13"/>
      <c r="G13"/>
      <c r="H13"/>
      <c r="I13"/>
      <c r="J13"/>
    </row>
    <row r="14" spans="1:14">
      <c r="A14"/>
      <c r="B14"/>
      <c r="C14"/>
      <c r="D14"/>
      <c r="E14"/>
      <c r="F14"/>
      <c r="G14"/>
      <c r="H14"/>
      <c r="I14"/>
      <c r="J14"/>
    </row>
    <row r="15" spans="1:14">
      <c r="A15"/>
      <c r="B15"/>
      <c r="C15"/>
      <c r="D15"/>
      <c r="E15"/>
      <c r="F15"/>
      <c r="G15"/>
      <c r="H15"/>
      <c r="I15"/>
      <c r="J15"/>
    </row>
    <row r="16" spans="1:14">
      <c r="A16"/>
      <c r="B16"/>
      <c r="C16"/>
      <c r="D16"/>
      <c r="E16"/>
      <c r="F16"/>
      <c r="G16"/>
      <c r="H16"/>
      <c r="I16"/>
      <c r="J16"/>
    </row>
    <row r="17" spans="1:10">
      <c r="A17"/>
      <c r="B17"/>
      <c r="C17"/>
      <c r="D17"/>
      <c r="E17"/>
      <c r="F17"/>
      <c r="G17"/>
      <c r="H17" s="984"/>
      <c r="I17"/>
      <c r="J17"/>
    </row>
    <row r="18" spans="1:10">
      <c r="A18"/>
      <c r="B18"/>
      <c r="C18"/>
      <c r="D18"/>
      <c r="E18"/>
      <c r="F18"/>
      <c r="G18"/>
      <c r="H18"/>
      <c r="I18"/>
      <c r="J18"/>
    </row>
    <row r="19" spans="1:10">
      <c r="A19"/>
      <c r="B19"/>
      <c r="C19"/>
      <c r="D19"/>
      <c r="E19"/>
      <c r="F19"/>
      <c r="G19"/>
      <c r="H19"/>
      <c r="I19"/>
      <c r="J19"/>
    </row>
    <row r="20" spans="1:10">
      <c r="A20"/>
      <c r="B20"/>
      <c r="C20"/>
      <c r="D20"/>
      <c r="E20"/>
      <c r="F20"/>
      <c r="G20"/>
      <c r="H20"/>
      <c r="I20"/>
      <c r="J20"/>
    </row>
    <row r="21" spans="1:10">
      <c r="A21"/>
      <c r="B21"/>
      <c r="C21"/>
      <c r="D21"/>
      <c r="E21"/>
      <c r="F21"/>
      <c r="G21"/>
      <c r="H21"/>
      <c r="I21"/>
      <c r="J21"/>
    </row>
    <row r="22" spans="1:10">
      <c r="A22"/>
      <c r="B22"/>
      <c r="C22"/>
      <c r="D22"/>
      <c r="E22"/>
      <c r="F22"/>
      <c r="G22"/>
      <c r="H22"/>
      <c r="I22"/>
      <c r="J22"/>
    </row>
    <row r="23" spans="1:10">
      <c r="A23"/>
      <c r="B23"/>
      <c r="C23"/>
      <c r="D23"/>
      <c r="E23"/>
      <c r="F23"/>
      <c r="G23"/>
      <c r="H23"/>
      <c r="I23"/>
      <c r="J23"/>
    </row>
    <row r="24" spans="1:10">
      <c r="A24"/>
      <c r="B24"/>
      <c r="C24"/>
      <c r="D24"/>
      <c r="E24"/>
      <c r="F24"/>
      <c r="G24"/>
      <c r="H24"/>
      <c r="I24"/>
      <c r="J24"/>
    </row>
    <row r="25" spans="1:10">
      <c r="A25"/>
      <c r="B25"/>
      <c r="C25"/>
      <c r="D25"/>
      <c r="E25"/>
      <c r="F25"/>
      <c r="G25"/>
      <c r="H25"/>
      <c r="I25"/>
      <c r="J25"/>
    </row>
    <row r="26" spans="1:10">
      <c r="A26"/>
      <c r="B26"/>
      <c r="C26"/>
      <c r="D26"/>
      <c r="E26"/>
      <c r="F26"/>
      <c r="G26"/>
      <c r="H26"/>
      <c r="I26"/>
      <c r="J26"/>
    </row>
    <row r="27" spans="1:10">
      <c r="A27"/>
      <c r="B27"/>
      <c r="C27"/>
      <c r="D27"/>
      <c r="E27"/>
      <c r="F27"/>
      <c r="G27"/>
      <c r="H27"/>
      <c r="I27"/>
      <c r="J27"/>
    </row>
    <row r="28" spans="1:10">
      <c r="A28"/>
      <c r="B28"/>
      <c r="C28"/>
      <c r="D28"/>
      <c r="E28"/>
      <c r="F28"/>
      <c r="G28"/>
      <c r="H28"/>
      <c r="I28"/>
      <c r="J28"/>
    </row>
    <row r="29" spans="1:10">
      <c r="A29"/>
      <c r="B29"/>
      <c r="C29"/>
      <c r="D29"/>
      <c r="E29"/>
      <c r="F29"/>
      <c r="G29"/>
      <c r="H29"/>
      <c r="I29"/>
      <c r="J29"/>
    </row>
    <row r="30" spans="1:10">
      <c r="A30"/>
      <c r="B30"/>
      <c r="C30"/>
      <c r="D30"/>
      <c r="E30"/>
      <c r="F30"/>
      <c r="G30"/>
      <c r="H30"/>
      <c r="I30"/>
      <c r="J30"/>
    </row>
    <row r="31" spans="1:10">
      <c r="A31"/>
      <c r="B31"/>
      <c r="C31"/>
      <c r="D31"/>
      <c r="E31"/>
      <c r="F31"/>
      <c r="G31"/>
      <c r="H31"/>
      <c r="I31"/>
      <c r="J31"/>
    </row>
    <row r="32" spans="1:10">
      <c r="A32"/>
      <c r="B32"/>
      <c r="C32"/>
      <c r="D32"/>
      <c r="E32"/>
      <c r="F32"/>
      <c r="G32"/>
      <c r="H32"/>
      <c r="I32"/>
      <c r="J32"/>
    </row>
    <row r="33" spans="1:10">
      <c r="A33"/>
      <c r="B33"/>
      <c r="C33"/>
      <c r="D33"/>
      <c r="E33"/>
      <c r="F33"/>
      <c r="G33"/>
      <c r="H33"/>
      <c r="I33"/>
      <c r="J33"/>
    </row>
    <row r="34" spans="1:10">
      <c r="A34"/>
      <c r="B34"/>
      <c r="C34"/>
      <c r="D34"/>
      <c r="E34"/>
      <c r="F34"/>
      <c r="G34"/>
      <c r="H34"/>
      <c r="I34"/>
      <c r="J34"/>
    </row>
    <row r="35" spans="1:10">
      <c r="A35"/>
      <c r="B35"/>
      <c r="C35"/>
      <c r="D35"/>
      <c r="E35"/>
      <c r="F35"/>
      <c r="G35"/>
      <c r="H35"/>
      <c r="I35"/>
      <c r="J35"/>
    </row>
    <row r="36" spans="1:10">
      <c r="A36"/>
      <c r="B36"/>
      <c r="C36"/>
      <c r="D36"/>
      <c r="E36"/>
      <c r="F36"/>
      <c r="G36"/>
      <c r="H36"/>
      <c r="I36"/>
      <c r="J36"/>
    </row>
    <row r="37" spans="1:10">
      <c r="A37"/>
      <c r="B37"/>
      <c r="C37"/>
      <c r="D37"/>
      <c r="E37"/>
      <c r="F37"/>
      <c r="G37"/>
      <c r="H37"/>
      <c r="I37"/>
      <c r="J37"/>
    </row>
    <row r="38" spans="1:10">
      <c r="A38"/>
      <c r="B38"/>
      <c r="C38"/>
      <c r="D38"/>
      <c r="E38"/>
      <c r="F38"/>
      <c r="G38"/>
      <c r="H38"/>
      <c r="I38"/>
      <c r="J38"/>
    </row>
    <row r="39" spans="1:10">
      <c r="A39"/>
      <c r="B39"/>
      <c r="C39"/>
      <c r="D39"/>
      <c r="E39"/>
      <c r="F39"/>
      <c r="G39"/>
      <c r="H39"/>
      <c r="I39"/>
      <c r="J39"/>
    </row>
    <row r="40" spans="1:10">
      <c r="A40"/>
      <c r="B40"/>
      <c r="C40"/>
      <c r="D40"/>
      <c r="E40"/>
      <c r="F40"/>
      <c r="G40"/>
      <c r="H40"/>
      <c r="I40"/>
      <c r="J40"/>
    </row>
    <row r="41" spans="1:10">
      <c r="A41"/>
      <c r="B41"/>
      <c r="C41"/>
      <c r="D41"/>
      <c r="E41"/>
      <c r="F41"/>
      <c r="G41"/>
      <c r="H41"/>
      <c r="I41"/>
      <c r="J41"/>
    </row>
    <row r="42" spans="1:10">
      <c r="A42"/>
      <c r="B42"/>
      <c r="C42"/>
      <c r="D42"/>
      <c r="E42"/>
      <c r="F42"/>
      <c r="G42"/>
      <c r="H42"/>
      <c r="I42"/>
      <c r="J42"/>
    </row>
    <row r="43" spans="1:10">
      <c r="A43"/>
      <c r="B43"/>
      <c r="C43"/>
      <c r="D43"/>
      <c r="E43"/>
      <c r="F43"/>
      <c r="G43"/>
      <c r="H43"/>
      <c r="I43"/>
      <c r="J43"/>
    </row>
    <row r="44" spans="1:10">
      <c r="A44"/>
      <c r="B44"/>
      <c r="C44"/>
      <c r="D44"/>
      <c r="E44"/>
      <c r="F44"/>
      <c r="G44"/>
      <c r="H44"/>
      <c r="I44"/>
      <c r="J44"/>
    </row>
    <row r="45" spans="1:10">
      <c r="A45"/>
      <c r="B45"/>
      <c r="C45"/>
      <c r="D45"/>
      <c r="E45"/>
      <c r="F45"/>
      <c r="G45"/>
      <c r="H45"/>
      <c r="I45"/>
      <c r="J45"/>
    </row>
    <row r="46" spans="1:10">
      <c r="A46"/>
      <c r="B46"/>
      <c r="C46"/>
      <c r="D46"/>
      <c r="E46"/>
      <c r="F46"/>
      <c r="G46"/>
      <c r="H46"/>
      <c r="I46"/>
      <c r="J46"/>
    </row>
    <row r="47" spans="1:10">
      <c r="A47"/>
      <c r="B47"/>
      <c r="C47"/>
      <c r="D47"/>
      <c r="E47"/>
      <c r="F47"/>
      <c r="G47"/>
      <c r="H47"/>
      <c r="I47"/>
      <c r="J47"/>
    </row>
    <row r="48" spans="1:10">
      <c r="A48"/>
      <c r="B48"/>
      <c r="C48"/>
      <c r="D48"/>
      <c r="E48"/>
      <c r="F48"/>
      <c r="G48"/>
      <c r="H48"/>
      <c r="I48"/>
      <c r="J48"/>
    </row>
    <row r="49" spans="1:10">
      <c r="A49"/>
      <c r="B49"/>
      <c r="C49"/>
      <c r="D49"/>
      <c r="E49"/>
      <c r="F49"/>
      <c r="G49"/>
      <c r="H49"/>
      <c r="I49"/>
      <c r="J49"/>
    </row>
    <row r="50" spans="1:10">
      <c r="A50"/>
      <c r="B50"/>
      <c r="C50"/>
      <c r="D50"/>
      <c r="E50"/>
      <c r="F50"/>
      <c r="G50"/>
      <c r="H50"/>
      <c r="I50"/>
      <c r="J50"/>
    </row>
    <row r="51" spans="1:10">
      <c r="A51"/>
      <c r="B51"/>
      <c r="C51"/>
      <c r="D51"/>
      <c r="E51"/>
      <c r="F51"/>
      <c r="G51"/>
      <c r="H51"/>
      <c r="I51"/>
      <c r="J51"/>
    </row>
    <row r="52" spans="1:10">
      <c r="A52"/>
      <c r="B52"/>
      <c r="C52"/>
      <c r="D52"/>
      <c r="E52"/>
      <c r="F52"/>
      <c r="G52"/>
      <c r="H52"/>
      <c r="I52"/>
      <c r="J52"/>
    </row>
    <row r="53" spans="1:10">
      <c r="A53"/>
      <c r="B53"/>
      <c r="C53"/>
      <c r="D53"/>
      <c r="E53"/>
      <c r="F53"/>
      <c r="G53"/>
      <c r="H53"/>
      <c r="I53"/>
      <c r="J53"/>
    </row>
    <row r="54" spans="1:10">
      <c r="A54"/>
      <c r="B54"/>
      <c r="C54"/>
      <c r="D54"/>
      <c r="E54"/>
      <c r="F54"/>
      <c r="G54"/>
      <c r="H54"/>
      <c r="I54"/>
      <c r="J54"/>
    </row>
    <row r="55" spans="1:10">
      <c r="A55"/>
      <c r="B55"/>
      <c r="C55"/>
      <c r="D55"/>
      <c r="E55"/>
      <c r="F55"/>
      <c r="G55"/>
      <c r="H55"/>
      <c r="I55"/>
      <c r="J55"/>
    </row>
    <row r="56" spans="1:10">
      <c r="A56"/>
      <c r="B56"/>
      <c r="C56"/>
      <c r="D56"/>
      <c r="E56"/>
      <c r="F56"/>
      <c r="G56"/>
      <c r="H56"/>
      <c r="I56"/>
      <c r="J56"/>
    </row>
    <row r="57" spans="1:10">
      <c r="A57"/>
      <c r="B57"/>
      <c r="C57"/>
      <c r="D57"/>
      <c r="E57"/>
      <c r="F57"/>
      <c r="G57"/>
      <c r="H57"/>
      <c r="I57"/>
      <c r="J57"/>
    </row>
    <row r="58" spans="1:10">
      <c r="A58"/>
      <c r="B58"/>
      <c r="C58"/>
      <c r="D58"/>
      <c r="E58"/>
      <c r="F58"/>
      <c r="G58"/>
      <c r="H58"/>
      <c r="I58"/>
      <c r="J58"/>
    </row>
    <row r="59" spans="1:10">
      <c r="A59"/>
      <c r="B59"/>
      <c r="C59"/>
      <c r="D59"/>
      <c r="E59"/>
      <c r="F59"/>
      <c r="G59"/>
      <c r="H59"/>
      <c r="I59"/>
      <c r="J59"/>
    </row>
    <row r="60" spans="1:10">
      <c r="A60"/>
      <c r="B60"/>
      <c r="C60"/>
      <c r="D60"/>
      <c r="E60"/>
      <c r="F60"/>
      <c r="G60"/>
      <c r="H60"/>
      <c r="I60"/>
      <c r="J60"/>
    </row>
    <row r="61" spans="1:10">
      <c r="A61"/>
      <c r="B61"/>
      <c r="C61"/>
      <c r="D61"/>
      <c r="E61"/>
      <c r="F61"/>
      <c r="G61"/>
      <c r="H61"/>
      <c r="I61"/>
      <c r="J61"/>
    </row>
    <row r="62" spans="1:10">
      <c r="A62"/>
      <c r="B62"/>
      <c r="C62"/>
      <c r="D62"/>
      <c r="E62"/>
      <c r="F62"/>
      <c r="G62"/>
      <c r="H62"/>
      <c r="I62"/>
      <c r="J62"/>
    </row>
    <row r="63" spans="1:10">
      <c r="A63"/>
      <c r="B63"/>
      <c r="C63"/>
      <c r="D63"/>
      <c r="E63"/>
      <c r="F63"/>
      <c r="G63"/>
      <c r="H63"/>
      <c r="I63"/>
      <c r="J63"/>
    </row>
    <row r="64" spans="1:10">
      <c r="A64"/>
      <c r="B64"/>
      <c r="C64"/>
      <c r="D64"/>
      <c r="E64"/>
      <c r="F64"/>
      <c r="G64"/>
      <c r="H64"/>
      <c r="I64"/>
      <c r="J64"/>
    </row>
    <row r="65" spans="1:10">
      <c r="A65"/>
      <c r="B65"/>
      <c r="C65"/>
      <c r="D65"/>
      <c r="E65"/>
      <c r="F65"/>
      <c r="G65"/>
      <c r="H65"/>
      <c r="I65"/>
      <c r="J65"/>
    </row>
    <row r="66" spans="1:10">
      <c r="A66"/>
      <c r="B66"/>
      <c r="C66"/>
      <c r="D66"/>
      <c r="E66"/>
      <c r="F66"/>
      <c r="G66"/>
      <c r="H66"/>
      <c r="I66"/>
      <c r="J66"/>
    </row>
    <row r="67" spans="1:10">
      <c r="A67"/>
      <c r="B67"/>
      <c r="C67"/>
      <c r="D67"/>
      <c r="E67"/>
      <c r="F67"/>
      <c r="G67"/>
      <c r="H67"/>
      <c r="I67"/>
      <c r="J67"/>
    </row>
    <row r="68" spans="1:10">
      <c r="A68"/>
      <c r="B68"/>
      <c r="C68"/>
      <c r="D68"/>
      <c r="E68"/>
      <c r="F68"/>
      <c r="G68"/>
      <c r="H68"/>
      <c r="I68"/>
      <c r="J68"/>
    </row>
    <row r="69" spans="1:10">
      <c r="A69"/>
      <c r="B69"/>
      <c r="C69"/>
      <c r="D69"/>
      <c r="E69"/>
      <c r="F69"/>
      <c r="G69"/>
      <c r="H69"/>
      <c r="I69"/>
      <c r="J69"/>
    </row>
    <row r="70" spans="1:10">
      <c r="A70"/>
      <c r="B70"/>
      <c r="C70"/>
      <c r="D70"/>
      <c r="E70"/>
      <c r="F70"/>
      <c r="G70"/>
      <c r="H70"/>
      <c r="I70"/>
      <c r="J70"/>
    </row>
    <row r="71" spans="1:10">
      <c r="A71"/>
      <c r="B71"/>
      <c r="C71"/>
      <c r="D71"/>
      <c r="E71"/>
      <c r="F71"/>
      <c r="G71"/>
      <c r="H71"/>
      <c r="I71"/>
      <c r="J71"/>
    </row>
    <row r="72" spans="1:10">
      <c r="A72"/>
      <c r="B72"/>
      <c r="C72"/>
      <c r="D72"/>
      <c r="E72"/>
      <c r="F72"/>
      <c r="G72"/>
      <c r="H72"/>
      <c r="I72"/>
      <c r="J72"/>
    </row>
    <row r="73" spans="1:10">
      <c r="A73"/>
      <c r="B73"/>
      <c r="C73"/>
      <c r="D73"/>
      <c r="E73"/>
      <c r="F73"/>
      <c r="G73"/>
      <c r="H73"/>
      <c r="I73"/>
      <c r="J73"/>
    </row>
    <row r="74" spans="1:10">
      <c r="A74"/>
      <c r="B74"/>
      <c r="C74"/>
      <c r="D74"/>
      <c r="E74"/>
      <c r="F74"/>
      <c r="G74"/>
      <c r="H74"/>
      <c r="I74"/>
      <c r="J74"/>
    </row>
    <row r="75" spans="1:10">
      <c r="A75"/>
      <c r="B75"/>
      <c r="C75"/>
      <c r="D75"/>
      <c r="E75"/>
      <c r="F75"/>
      <c r="G75"/>
      <c r="H75"/>
      <c r="I75"/>
      <c r="J75"/>
    </row>
    <row r="76" spans="1:10">
      <c r="A76"/>
      <c r="B76"/>
      <c r="C76"/>
      <c r="D76"/>
      <c r="E76"/>
      <c r="F76"/>
      <c r="G76"/>
      <c r="H76"/>
      <c r="I76"/>
      <c r="J76"/>
    </row>
    <row r="77" spans="1:10">
      <c r="A77"/>
      <c r="B77"/>
      <c r="C77"/>
      <c r="D77"/>
      <c r="E77"/>
      <c r="F77"/>
      <c r="G77"/>
      <c r="H77"/>
      <c r="I77"/>
      <c r="J77"/>
    </row>
    <row r="78" spans="1:10">
      <c r="A78"/>
      <c r="B78"/>
      <c r="C78"/>
      <c r="D78"/>
      <c r="E78"/>
      <c r="F78"/>
      <c r="G78"/>
      <c r="H78"/>
      <c r="I78"/>
      <c r="J78"/>
    </row>
    <row r="79" spans="1:10">
      <c r="A79"/>
      <c r="B79"/>
      <c r="C79"/>
      <c r="D79"/>
      <c r="E79"/>
      <c r="F79"/>
      <c r="G79"/>
      <c r="H79"/>
      <c r="I79"/>
      <c r="J79"/>
    </row>
    <row r="80" spans="1:10">
      <c r="A80"/>
      <c r="B80"/>
      <c r="C80"/>
      <c r="D80"/>
      <c r="E80"/>
      <c r="F80"/>
      <c r="G80"/>
      <c r="H80"/>
      <c r="I80"/>
      <c r="J80"/>
    </row>
    <row r="81" spans="1:10">
      <c r="A81"/>
      <c r="B81"/>
      <c r="C81"/>
      <c r="D81"/>
      <c r="E81"/>
      <c r="F81"/>
      <c r="G81"/>
      <c r="H81"/>
      <c r="I81"/>
      <c r="J81"/>
    </row>
    <row r="82" spans="1:10">
      <c r="A82"/>
      <c r="B82"/>
      <c r="C82"/>
      <c r="D82"/>
      <c r="E82"/>
      <c r="F82"/>
      <c r="G82"/>
      <c r="H82"/>
      <c r="I82"/>
      <c r="J82"/>
    </row>
    <row r="83" spans="1:10">
      <c r="A83"/>
      <c r="B83"/>
      <c r="C83"/>
      <c r="D83"/>
      <c r="E83"/>
      <c r="F83"/>
      <c r="G83"/>
      <c r="H83"/>
      <c r="I83"/>
      <c r="J83"/>
    </row>
    <row r="84" spans="1:10">
      <c r="A84"/>
      <c r="B84"/>
      <c r="C84"/>
      <c r="D84"/>
      <c r="E84"/>
      <c r="F84"/>
      <c r="G84"/>
      <c r="H84"/>
      <c r="I84"/>
      <c r="J84"/>
    </row>
    <row r="85" spans="1:10">
      <c r="A85"/>
      <c r="B85"/>
      <c r="C85"/>
      <c r="D85"/>
      <c r="E85"/>
      <c r="F85"/>
      <c r="G85"/>
      <c r="H85"/>
      <c r="I85"/>
      <c r="J85"/>
    </row>
    <row r="86" spans="1:10">
      <c r="A86"/>
      <c r="B86"/>
      <c r="C86"/>
      <c r="D86"/>
      <c r="E86"/>
      <c r="F86"/>
      <c r="G86"/>
      <c r="H86"/>
      <c r="I86"/>
      <c r="J86"/>
    </row>
    <row r="87" spans="1:10">
      <c r="A87"/>
      <c r="B87"/>
      <c r="C87"/>
      <c r="D87"/>
      <c r="E87"/>
      <c r="F87"/>
      <c r="G87"/>
      <c r="H87"/>
      <c r="I87"/>
      <c r="J87"/>
    </row>
    <row r="88" spans="1:10">
      <c r="A88"/>
      <c r="B88"/>
      <c r="C88"/>
      <c r="D88"/>
      <c r="E88"/>
      <c r="F88"/>
      <c r="G88"/>
      <c r="H88"/>
      <c r="I88"/>
      <c r="J88"/>
    </row>
    <row r="89" spans="1:10">
      <c r="A89"/>
      <c r="B89"/>
      <c r="C89"/>
      <c r="D89"/>
      <c r="E89"/>
      <c r="F89"/>
      <c r="G89"/>
      <c r="H89"/>
      <c r="I89"/>
      <c r="J89"/>
    </row>
    <row r="90" spans="1:10">
      <c r="A90"/>
      <c r="B90"/>
      <c r="C90"/>
      <c r="D90"/>
      <c r="E90"/>
      <c r="F90"/>
      <c r="G90"/>
      <c r="H90"/>
      <c r="I90"/>
      <c r="J90"/>
    </row>
    <row r="91" spans="1:10">
      <c r="A91"/>
      <c r="B91"/>
      <c r="C91"/>
      <c r="D91"/>
      <c r="E91"/>
      <c r="F91"/>
      <c r="G91"/>
      <c r="H91"/>
      <c r="I91"/>
      <c r="J91"/>
    </row>
    <row r="92" spans="1:10">
      <c r="A92"/>
      <c r="B92"/>
      <c r="C92"/>
      <c r="D92"/>
      <c r="E92"/>
      <c r="F92"/>
      <c r="G92"/>
      <c r="H92"/>
      <c r="I92"/>
      <c r="J92"/>
    </row>
    <row r="93" spans="1:10">
      <c r="A93"/>
      <c r="B93"/>
      <c r="C93"/>
      <c r="D93"/>
      <c r="E93"/>
      <c r="F93"/>
      <c r="G93"/>
      <c r="H93"/>
      <c r="I93"/>
      <c r="J93"/>
    </row>
    <row r="94" spans="1:10">
      <c r="A94"/>
      <c r="B94"/>
      <c r="C94"/>
      <c r="D94"/>
      <c r="E94"/>
      <c r="F94"/>
      <c r="G94"/>
      <c r="H94"/>
      <c r="I94"/>
      <c r="J94"/>
    </row>
    <row r="95" spans="1:10">
      <c r="A95"/>
      <c r="B95"/>
      <c r="C95"/>
      <c r="D95"/>
      <c r="E95"/>
      <c r="F95"/>
      <c r="G95"/>
      <c r="H95"/>
      <c r="I95"/>
      <c r="J95"/>
    </row>
    <row r="96" spans="1:10">
      <c r="A96"/>
      <c r="B96"/>
      <c r="C96"/>
      <c r="D96"/>
      <c r="E96"/>
      <c r="F96"/>
      <c r="G96"/>
      <c r="H96"/>
      <c r="I96"/>
      <c r="J96"/>
    </row>
    <row r="97" spans="1:10">
      <c r="A97"/>
      <c r="B97"/>
      <c r="C97"/>
      <c r="D97"/>
      <c r="E97"/>
      <c r="F97"/>
      <c r="G97"/>
      <c r="H97"/>
      <c r="I97"/>
      <c r="J97"/>
    </row>
    <row r="98" spans="1:10">
      <c r="A98"/>
      <c r="B98"/>
      <c r="C98"/>
      <c r="D98"/>
      <c r="E98"/>
      <c r="F98"/>
      <c r="G98"/>
      <c r="H98"/>
      <c r="I98"/>
      <c r="J98"/>
    </row>
    <row r="99" spans="1:10">
      <c r="A99"/>
      <c r="B99"/>
      <c r="C99"/>
      <c r="D99"/>
      <c r="E99"/>
      <c r="F99"/>
      <c r="G99"/>
      <c r="H99"/>
      <c r="I99"/>
      <c r="J99"/>
    </row>
    <row r="100" spans="1:10">
      <c r="A100"/>
      <c r="B100"/>
      <c r="C100"/>
      <c r="D100"/>
      <c r="E100"/>
      <c r="F100"/>
      <c r="G100"/>
      <c r="H100"/>
      <c r="I100"/>
      <c r="J100"/>
    </row>
    <row r="101" spans="1:10">
      <c r="A101"/>
      <c r="B101"/>
      <c r="C101"/>
      <c r="D101"/>
      <c r="E101"/>
      <c r="F101"/>
      <c r="G101"/>
      <c r="H101"/>
      <c r="I101"/>
      <c r="J101"/>
    </row>
    <row r="102" spans="1:10">
      <c r="A102"/>
      <c r="B102"/>
      <c r="C102"/>
      <c r="D102"/>
      <c r="E102"/>
      <c r="F102"/>
      <c r="G102"/>
      <c r="H102"/>
      <c r="I102"/>
      <c r="J102"/>
    </row>
    <row r="103" spans="1:10">
      <c r="A103"/>
      <c r="B103"/>
      <c r="C103"/>
      <c r="D103"/>
      <c r="E103"/>
      <c r="F103"/>
      <c r="G103"/>
      <c r="H103"/>
      <c r="I103"/>
      <c r="J103"/>
    </row>
    <row r="104" spans="1:10">
      <c r="A104"/>
      <c r="B104"/>
      <c r="C104"/>
      <c r="D104"/>
      <c r="E104"/>
      <c r="F104"/>
      <c r="G104"/>
      <c r="H104"/>
      <c r="I104"/>
      <c r="J104"/>
    </row>
    <row r="105" spans="1:10">
      <c r="A105"/>
      <c r="B105"/>
      <c r="C105"/>
      <c r="D105"/>
      <c r="E105"/>
      <c r="F105"/>
      <c r="G105"/>
      <c r="H105"/>
      <c r="I105"/>
      <c r="J105"/>
    </row>
    <row r="106" spans="1:10">
      <c r="A106"/>
      <c r="B106"/>
      <c r="C106"/>
      <c r="D106"/>
      <c r="E106"/>
      <c r="F106"/>
      <c r="G106"/>
      <c r="H106"/>
      <c r="I106"/>
      <c r="J106"/>
    </row>
    <row r="107" spans="1:10">
      <c r="A107"/>
      <c r="B107"/>
      <c r="C107"/>
      <c r="D107"/>
      <c r="E107"/>
      <c r="F107"/>
      <c r="G107"/>
      <c r="H107"/>
      <c r="I107"/>
      <c r="J107"/>
    </row>
    <row r="108" spans="1:10">
      <c r="A108"/>
      <c r="B108"/>
      <c r="C108"/>
      <c r="D108"/>
      <c r="E108"/>
      <c r="F108"/>
      <c r="G108"/>
      <c r="H108"/>
      <c r="I108"/>
      <c r="J108"/>
    </row>
    <row r="109" spans="1:10">
      <c r="A109"/>
      <c r="B109"/>
      <c r="C109"/>
      <c r="D109"/>
      <c r="E109"/>
      <c r="F109"/>
      <c r="G109"/>
      <c r="H109"/>
      <c r="I109"/>
      <c r="J109"/>
    </row>
    <row r="110" spans="1:10">
      <c r="A110"/>
      <c r="B110"/>
      <c r="C110"/>
      <c r="D110"/>
      <c r="E110"/>
      <c r="F110"/>
      <c r="G110"/>
      <c r="H110"/>
      <c r="I110"/>
      <c r="J110"/>
    </row>
    <row r="111" spans="1:10">
      <c r="A111"/>
      <c r="B111"/>
      <c r="C111"/>
      <c r="D111"/>
      <c r="E111"/>
      <c r="F111"/>
      <c r="G111"/>
      <c r="H111"/>
      <c r="I111"/>
      <c r="J111"/>
    </row>
    <row r="112" spans="1:10">
      <c r="A112"/>
      <c r="B112"/>
      <c r="C112"/>
      <c r="D112"/>
      <c r="E112"/>
      <c r="F112"/>
      <c r="G112"/>
      <c r="H112"/>
      <c r="I112"/>
      <c r="J112"/>
    </row>
    <row r="113" spans="1:10">
      <c r="A113"/>
      <c r="B113"/>
      <c r="C113"/>
      <c r="D113"/>
      <c r="E113"/>
      <c r="F113"/>
      <c r="G113"/>
      <c r="H113"/>
      <c r="I113"/>
      <c r="J113"/>
    </row>
    <row r="114" spans="1:10">
      <c r="A114"/>
      <c r="B114"/>
      <c r="C114"/>
      <c r="D114"/>
      <c r="E114"/>
      <c r="F114"/>
      <c r="G114"/>
      <c r="H114"/>
      <c r="I114"/>
      <c r="J114"/>
    </row>
    <row r="115" spans="1:10">
      <c r="A115"/>
      <c r="B115"/>
      <c r="C115"/>
      <c r="D115"/>
      <c r="E115"/>
      <c r="F115"/>
      <c r="G115"/>
      <c r="H115"/>
      <c r="I115"/>
      <c r="J115"/>
    </row>
    <row r="116" spans="1:10">
      <c r="A116"/>
      <c r="B116"/>
      <c r="C116"/>
      <c r="D116"/>
      <c r="E116"/>
      <c r="F116"/>
      <c r="G116"/>
      <c r="H116"/>
      <c r="I116"/>
      <c r="J116"/>
    </row>
    <row r="117" spans="1:10">
      <c r="A117"/>
      <c r="B117"/>
      <c r="C117"/>
      <c r="D117"/>
      <c r="E117"/>
      <c r="F117"/>
      <c r="G117"/>
      <c r="H117"/>
      <c r="I117"/>
      <c r="J117"/>
    </row>
    <row r="118" spans="1:10">
      <c r="A118"/>
      <c r="B118"/>
      <c r="C118"/>
      <c r="D118"/>
      <c r="E118"/>
      <c r="F118"/>
      <c r="G118"/>
      <c r="H118"/>
      <c r="I118"/>
      <c r="J118"/>
    </row>
    <row r="119" spans="1:10">
      <c r="A119"/>
      <c r="B119"/>
      <c r="C119"/>
      <c r="D119"/>
      <c r="E119"/>
      <c r="F119"/>
      <c r="G119"/>
      <c r="H119"/>
      <c r="I119"/>
      <c r="J119"/>
    </row>
    <row r="120" spans="1:10">
      <c r="A120"/>
      <c r="B120"/>
      <c r="C120"/>
      <c r="D120"/>
      <c r="E120"/>
      <c r="F120"/>
      <c r="G120"/>
      <c r="H120"/>
      <c r="I120"/>
      <c r="J120"/>
    </row>
    <row r="121" spans="1:10">
      <c r="A121"/>
      <c r="B121"/>
      <c r="C121"/>
      <c r="D121"/>
      <c r="E121"/>
      <c r="F121"/>
      <c r="G121"/>
      <c r="H121"/>
      <c r="I121"/>
      <c r="J121"/>
    </row>
    <row r="122" spans="1:10">
      <c r="A122"/>
      <c r="B122"/>
      <c r="C122"/>
      <c r="D122"/>
      <c r="E122"/>
      <c r="F122"/>
      <c r="G122"/>
      <c r="H122"/>
      <c r="I122"/>
      <c r="J122"/>
    </row>
    <row r="123" spans="1:10">
      <c r="A123"/>
      <c r="B123"/>
      <c r="C123"/>
      <c r="D123"/>
      <c r="E123"/>
      <c r="F123"/>
      <c r="G123"/>
      <c r="H123"/>
      <c r="I123"/>
      <c r="J123"/>
    </row>
    <row r="124" spans="1:10">
      <c r="A124"/>
      <c r="B124"/>
      <c r="C124"/>
      <c r="D124"/>
      <c r="E124"/>
      <c r="F124"/>
      <c r="G124"/>
      <c r="H124"/>
      <c r="I124"/>
      <c r="J124"/>
    </row>
    <row r="125" spans="1:10">
      <c r="A125"/>
      <c r="B125"/>
      <c r="C125"/>
      <c r="D125"/>
      <c r="E125"/>
      <c r="F125"/>
      <c r="G125"/>
      <c r="H125"/>
      <c r="I125"/>
      <c r="J125"/>
    </row>
    <row r="126" spans="1:10">
      <c r="A126"/>
      <c r="B126"/>
      <c r="C126"/>
      <c r="D126"/>
      <c r="E126"/>
      <c r="F126"/>
      <c r="G126"/>
      <c r="H126"/>
      <c r="I126"/>
      <c r="J126"/>
    </row>
    <row r="127" spans="1:10">
      <c r="A127"/>
      <c r="B127"/>
      <c r="C127"/>
      <c r="D127"/>
      <c r="E127"/>
      <c r="F127"/>
      <c r="G127"/>
      <c r="H127"/>
      <c r="I127"/>
      <c r="J127"/>
    </row>
    <row r="128" spans="1:10">
      <c r="A128"/>
      <c r="B128"/>
      <c r="C128"/>
      <c r="D128"/>
      <c r="E128"/>
      <c r="F128"/>
      <c r="G128"/>
      <c r="H128"/>
      <c r="I128"/>
      <c r="J128"/>
    </row>
    <row r="129" spans="1:10">
      <c r="A129"/>
      <c r="B129"/>
      <c r="C129"/>
      <c r="D129"/>
      <c r="E129"/>
      <c r="F129"/>
      <c r="G129"/>
      <c r="H129"/>
      <c r="I129"/>
      <c r="J129"/>
    </row>
    <row r="130" spans="1:10">
      <c r="A130"/>
      <c r="B130"/>
      <c r="C130"/>
      <c r="D130"/>
      <c r="E130"/>
      <c r="F130"/>
      <c r="G130"/>
      <c r="H130"/>
      <c r="I130"/>
      <c r="J130"/>
    </row>
    <row r="131" spans="1:10">
      <c r="A131"/>
      <c r="B131"/>
      <c r="C131"/>
      <c r="D131"/>
      <c r="E131"/>
      <c r="F131"/>
      <c r="G131"/>
      <c r="H131"/>
      <c r="I131"/>
      <c r="J131"/>
    </row>
    <row r="132" spans="1:10">
      <c r="A132"/>
      <c r="B132"/>
      <c r="C132"/>
      <c r="D132"/>
      <c r="E132"/>
      <c r="F132"/>
      <c r="G132"/>
      <c r="H132"/>
      <c r="I132"/>
      <c r="J132"/>
    </row>
    <row r="133" spans="1:10">
      <c r="A133"/>
      <c r="B133"/>
      <c r="C133"/>
      <c r="D133"/>
      <c r="E133"/>
      <c r="F133"/>
      <c r="G133"/>
      <c r="H133"/>
      <c r="I133"/>
      <c r="J133"/>
    </row>
    <row r="134" spans="1:10">
      <c r="A134"/>
      <c r="B134"/>
      <c r="C134"/>
      <c r="D134"/>
      <c r="E134"/>
      <c r="F134"/>
      <c r="G134"/>
      <c r="H134"/>
      <c r="I134"/>
      <c r="J134"/>
    </row>
    <row r="135" spans="1:10">
      <c r="A135"/>
      <c r="B135"/>
      <c r="C135"/>
      <c r="D135"/>
      <c r="E135"/>
      <c r="F135"/>
      <c r="G135"/>
      <c r="H135"/>
      <c r="I135"/>
      <c r="J135"/>
    </row>
    <row r="136" spans="1:10">
      <c r="A136"/>
      <c r="B136"/>
      <c r="C136"/>
      <c r="D136"/>
      <c r="E136"/>
      <c r="F136"/>
      <c r="G136"/>
      <c r="H136"/>
      <c r="I136"/>
      <c r="J136"/>
    </row>
    <row r="137" spans="1:10">
      <c r="A137"/>
      <c r="B137"/>
      <c r="C137"/>
      <c r="D137"/>
      <c r="E137"/>
      <c r="F137"/>
      <c r="G137"/>
      <c r="H137"/>
      <c r="I137"/>
      <c r="J137"/>
    </row>
    <row r="138" spans="1:10">
      <c r="A138"/>
      <c r="B138"/>
      <c r="C138"/>
      <c r="D138"/>
      <c r="E138"/>
      <c r="F138"/>
      <c r="G138"/>
      <c r="H138"/>
      <c r="I138"/>
      <c r="J138"/>
    </row>
    <row r="139" spans="1:10">
      <c r="A139"/>
      <c r="B139"/>
      <c r="C139"/>
      <c r="D139"/>
      <c r="E139"/>
      <c r="F139"/>
      <c r="G139"/>
      <c r="H139"/>
      <c r="I139"/>
      <c r="J139"/>
    </row>
    <row r="140" spans="1:10">
      <c r="A140"/>
      <c r="B140"/>
      <c r="C140"/>
      <c r="D140"/>
      <c r="E140"/>
      <c r="F140"/>
      <c r="G140"/>
      <c r="H140"/>
      <c r="I140"/>
      <c r="J140"/>
    </row>
    <row r="141" spans="1:10">
      <c r="A141"/>
      <c r="B141"/>
      <c r="C141"/>
      <c r="D141"/>
      <c r="E141"/>
      <c r="F141"/>
      <c r="G141"/>
      <c r="H141"/>
      <c r="I141"/>
      <c r="J141"/>
    </row>
    <row r="142" spans="1:10">
      <c r="A142"/>
      <c r="B142"/>
      <c r="C142"/>
      <c r="D142"/>
      <c r="E142"/>
      <c r="F142"/>
      <c r="G142"/>
      <c r="H142"/>
      <c r="I142"/>
      <c r="J142"/>
    </row>
    <row r="143" spans="1:10">
      <c r="A143"/>
      <c r="B143"/>
      <c r="C143"/>
      <c r="D143"/>
      <c r="E143"/>
      <c r="F143"/>
      <c r="G143"/>
      <c r="H143"/>
      <c r="I143"/>
      <c r="J143"/>
    </row>
    <row r="144" spans="1:10">
      <c r="A144"/>
      <c r="B144"/>
      <c r="C144"/>
      <c r="D144"/>
      <c r="E144"/>
      <c r="F144"/>
      <c r="G144"/>
      <c r="H144"/>
      <c r="I144"/>
      <c r="J144"/>
    </row>
    <row r="145" spans="1:10">
      <c r="A145"/>
      <c r="B145"/>
      <c r="C145"/>
      <c r="D145"/>
      <c r="E145"/>
      <c r="F145"/>
      <c r="G145"/>
      <c r="H145"/>
      <c r="I145"/>
      <c r="J145"/>
    </row>
    <row r="146" spans="1:10">
      <c r="A146"/>
      <c r="B146"/>
      <c r="C146"/>
      <c r="D146"/>
      <c r="E146"/>
      <c r="F146"/>
      <c r="G146"/>
      <c r="H146"/>
      <c r="I146"/>
      <c r="J146"/>
    </row>
    <row r="147" spans="1:10">
      <c r="A147"/>
      <c r="B147"/>
      <c r="C147"/>
      <c r="D147"/>
      <c r="E147"/>
      <c r="F147"/>
      <c r="G147"/>
      <c r="H147"/>
      <c r="I147"/>
      <c r="J147"/>
    </row>
    <row r="148" spans="1:10">
      <c r="A148"/>
      <c r="B148"/>
      <c r="C148"/>
      <c r="D148"/>
      <c r="E148"/>
      <c r="F148"/>
      <c r="G148"/>
      <c r="H148"/>
      <c r="I148"/>
      <c r="J148"/>
    </row>
    <row r="149" spans="1:10">
      <c r="A149"/>
      <c r="B149"/>
      <c r="C149"/>
      <c r="D149"/>
      <c r="E149"/>
      <c r="F149"/>
      <c r="G149"/>
      <c r="H149"/>
      <c r="I149"/>
      <c r="J149"/>
    </row>
    <row r="150" spans="1:10">
      <c r="A150"/>
      <c r="B150"/>
      <c r="C150"/>
      <c r="D150"/>
      <c r="E150"/>
      <c r="F150"/>
      <c r="G150"/>
      <c r="H150"/>
      <c r="I150"/>
      <c r="J150"/>
    </row>
    <row r="151" spans="1:10">
      <c r="A151"/>
      <c r="B151"/>
      <c r="C151"/>
      <c r="D151"/>
      <c r="E151"/>
      <c r="F151"/>
      <c r="G151"/>
      <c r="H151"/>
      <c r="I151"/>
      <c r="J151"/>
    </row>
    <row r="152" spans="1:10">
      <c r="A152"/>
      <c r="B152"/>
      <c r="C152"/>
      <c r="D152"/>
      <c r="E152"/>
      <c r="F152"/>
      <c r="G152"/>
      <c r="H152"/>
      <c r="I152"/>
      <c r="J152"/>
    </row>
    <row r="153" spans="1:10">
      <c r="A153"/>
      <c r="B153"/>
      <c r="C153"/>
      <c r="D153"/>
      <c r="E153"/>
      <c r="F153"/>
      <c r="G153"/>
      <c r="H153"/>
      <c r="I153"/>
      <c r="J153"/>
    </row>
    <row r="154" spans="1:10">
      <c r="A154"/>
      <c r="B154"/>
      <c r="C154"/>
      <c r="D154"/>
      <c r="E154"/>
      <c r="F154"/>
      <c r="G154"/>
      <c r="H154"/>
      <c r="I154"/>
      <c r="J154"/>
    </row>
    <row r="155" spans="1:10">
      <c r="A155"/>
      <c r="B155"/>
      <c r="C155"/>
      <c r="D155"/>
      <c r="E155"/>
      <c r="F155"/>
      <c r="G155"/>
      <c r="H155"/>
      <c r="I155"/>
      <c r="J155"/>
    </row>
    <row r="156" spans="1:10">
      <c r="A156"/>
      <c r="B156"/>
      <c r="C156"/>
      <c r="D156"/>
      <c r="E156"/>
      <c r="F156"/>
      <c r="G156"/>
      <c r="H156"/>
      <c r="I156"/>
      <c r="J156"/>
    </row>
    <row r="157" spans="1:10">
      <c r="A157"/>
      <c r="B157"/>
      <c r="C157"/>
      <c r="D157"/>
      <c r="E157"/>
      <c r="F157"/>
      <c r="G157"/>
      <c r="H157"/>
      <c r="I157"/>
      <c r="J157"/>
    </row>
    <row r="158" spans="1:10">
      <c r="A158"/>
      <c r="B158"/>
      <c r="C158"/>
      <c r="D158"/>
      <c r="E158"/>
      <c r="F158"/>
      <c r="G158"/>
      <c r="H158"/>
      <c r="I158"/>
      <c r="J158"/>
    </row>
    <row r="159" spans="1:10">
      <c r="A159"/>
      <c r="B159"/>
      <c r="C159"/>
      <c r="D159"/>
      <c r="E159"/>
      <c r="F159"/>
      <c r="G159"/>
      <c r="H159"/>
      <c r="I159"/>
      <c r="J159"/>
    </row>
    <row r="160" spans="1:10">
      <c r="A160"/>
      <c r="B160"/>
      <c r="C160"/>
      <c r="D160"/>
      <c r="E160"/>
      <c r="F160"/>
      <c r="G160"/>
      <c r="H160"/>
      <c r="I160"/>
      <c r="J160"/>
    </row>
    <row r="161" spans="1:10">
      <c r="A161"/>
      <c r="B161"/>
      <c r="C161"/>
      <c r="D161"/>
      <c r="E161"/>
      <c r="F161"/>
      <c r="G161"/>
      <c r="H161"/>
      <c r="I161"/>
      <c r="J161"/>
    </row>
    <row r="162" spans="1:10">
      <c r="A162"/>
      <c r="B162"/>
      <c r="C162"/>
      <c r="D162"/>
      <c r="E162"/>
      <c r="F162"/>
      <c r="G162"/>
      <c r="H162"/>
      <c r="I162"/>
      <c r="J162"/>
    </row>
    <row r="163" spans="1:10">
      <c r="A163"/>
      <c r="B163"/>
      <c r="C163"/>
      <c r="D163"/>
      <c r="E163"/>
      <c r="F163"/>
      <c r="G163"/>
      <c r="H163"/>
      <c r="I163"/>
      <c r="J163"/>
    </row>
    <row r="164" spans="1:10">
      <c r="A164"/>
      <c r="B164"/>
      <c r="C164"/>
      <c r="D164"/>
      <c r="E164"/>
      <c r="F164"/>
      <c r="G164"/>
      <c r="H164"/>
      <c r="I164"/>
      <c r="J164"/>
    </row>
    <row r="165" spans="1:10">
      <c r="A165"/>
      <c r="B165"/>
      <c r="C165"/>
      <c r="D165"/>
      <c r="E165"/>
      <c r="F165"/>
      <c r="G165"/>
      <c r="H165"/>
      <c r="I165"/>
      <c r="J165"/>
    </row>
    <row r="166" spans="1:10">
      <c r="A166"/>
      <c r="B166"/>
      <c r="C166"/>
      <c r="D166"/>
      <c r="E166"/>
      <c r="F166"/>
      <c r="G166"/>
      <c r="H166"/>
      <c r="I166"/>
      <c r="J166"/>
    </row>
    <row r="167" spans="1:10">
      <c r="A167"/>
      <c r="B167"/>
      <c r="C167"/>
      <c r="D167"/>
      <c r="E167"/>
      <c r="F167"/>
      <c r="G167"/>
      <c r="H167"/>
      <c r="I167"/>
      <c r="J167"/>
    </row>
    <row r="168" spans="1:10">
      <c r="A168"/>
      <c r="B168"/>
      <c r="C168"/>
      <c r="D168"/>
      <c r="E168"/>
      <c r="F168"/>
      <c r="G168"/>
      <c r="H168"/>
      <c r="I168"/>
      <c r="J168"/>
    </row>
    <row r="169" spans="1:10">
      <c r="A169"/>
      <c r="B169"/>
      <c r="C169"/>
      <c r="D169"/>
      <c r="E169"/>
      <c r="F169"/>
      <c r="G169"/>
      <c r="H169"/>
      <c r="I169"/>
      <c r="J169"/>
    </row>
    <row r="170" spans="1:10">
      <c r="A170"/>
      <c r="B170"/>
      <c r="C170"/>
      <c r="D170"/>
      <c r="E170"/>
      <c r="F170"/>
      <c r="G170"/>
      <c r="H170"/>
      <c r="I170"/>
      <c r="J170"/>
    </row>
    <row r="171" spans="1:10">
      <c r="A171"/>
      <c r="B171"/>
      <c r="C171"/>
      <c r="D171"/>
      <c r="E171"/>
      <c r="F171"/>
      <c r="G171"/>
      <c r="H171"/>
      <c r="I171"/>
      <c r="J171"/>
    </row>
    <row r="172" spans="1:10">
      <c r="A172"/>
      <c r="B172"/>
      <c r="C172"/>
      <c r="D172"/>
      <c r="E172"/>
      <c r="F172"/>
      <c r="G172"/>
      <c r="H172"/>
      <c r="I172"/>
      <c r="J172"/>
    </row>
    <row r="173" spans="1:10">
      <c r="A173"/>
      <c r="B173"/>
      <c r="C173"/>
      <c r="D173"/>
      <c r="E173"/>
      <c r="F173"/>
      <c r="G173"/>
      <c r="H173"/>
      <c r="I173"/>
      <c r="J173"/>
    </row>
    <row r="174" spans="1:10">
      <c r="A174"/>
      <c r="B174"/>
      <c r="C174"/>
      <c r="D174"/>
      <c r="E174"/>
      <c r="F174"/>
      <c r="G174"/>
      <c r="H174"/>
      <c r="I174"/>
      <c r="J174"/>
    </row>
    <row r="175" spans="1:10">
      <c r="A175"/>
      <c r="B175"/>
      <c r="C175"/>
      <c r="D175"/>
      <c r="E175"/>
      <c r="F175"/>
      <c r="G175"/>
      <c r="H175"/>
      <c r="I175"/>
      <c r="J175"/>
    </row>
    <row r="176" spans="1:10">
      <c r="A176"/>
      <c r="B176"/>
      <c r="C176"/>
      <c r="D176"/>
      <c r="E176"/>
      <c r="F176"/>
      <c r="G176"/>
      <c r="H176"/>
      <c r="I176"/>
      <c r="J176"/>
    </row>
    <row r="177" spans="1:10">
      <c r="A177"/>
      <c r="B177"/>
      <c r="C177"/>
      <c r="D177"/>
      <c r="E177"/>
      <c r="F177"/>
      <c r="G177"/>
      <c r="H177"/>
      <c r="I177"/>
      <c r="J177"/>
    </row>
    <row r="178" spans="1:10">
      <c r="A178"/>
      <c r="B178"/>
      <c r="C178"/>
      <c r="D178"/>
      <c r="E178"/>
      <c r="F178"/>
      <c r="G178"/>
      <c r="H178"/>
      <c r="I178"/>
      <c r="J178"/>
    </row>
    <row r="179" spans="1:10">
      <c r="A179"/>
      <c r="B179"/>
      <c r="C179"/>
      <c r="D179"/>
      <c r="E179"/>
      <c r="F179"/>
      <c r="G179"/>
      <c r="H179"/>
      <c r="I179"/>
      <c r="J179"/>
    </row>
    <row r="180" spans="1:10">
      <c r="A180"/>
      <c r="B180"/>
      <c r="C180"/>
      <c r="D180"/>
      <c r="E180"/>
      <c r="F180"/>
      <c r="G180"/>
      <c r="H180"/>
      <c r="I180"/>
      <c r="J180"/>
    </row>
    <row r="181" spans="1:10">
      <c r="A181"/>
      <c r="B181"/>
      <c r="C181"/>
      <c r="D181"/>
      <c r="E181"/>
      <c r="F181"/>
      <c r="G181"/>
      <c r="H181"/>
      <c r="I181"/>
      <c r="J181"/>
    </row>
    <row r="182" spans="1:10">
      <c r="A182"/>
      <c r="B182"/>
      <c r="C182"/>
      <c r="D182"/>
      <c r="E182"/>
      <c r="F182"/>
      <c r="G182"/>
      <c r="H182"/>
      <c r="I182"/>
      <c r="J182"/>
    </row>
    <row r="183" spans="1:10">
      <c r="A183"/>
      <c r="B183"/>
      <c r="C183"/>
      <c r="D183"/>
      <c r="E183"/>
      <c r="F183"/>
      <c r="G183"/>
      <c r="H183"/>
      <c r="I183"/>
      <c r="J183"/>
    </row>
    <row r="184" spans="1:10">
      <c r="A184"/>
      <c r="B184"/>
      <c r="C184"/>
      <c r="D184"/>
      <c r="E184"/>
      <c r="F184"/>
      <c r="G184"/>
      <c r="H184"/>
      <c r="I184"/>
      <c r="J184"/>
    </row>
    <row r="185" spans="1:10">
      <c r="A185"/>
      <c r="B185"/>
      <c r="C185"/>
      <c r="D185"/>
      <c r="E185"/>
      <c r="F185"/>
      <c r="G185"/>
      <c r="H185"/>
      <c r="I185"/>
      <c r="J185"/>
    </row>
    <row r="186" spans="1:10">
      <c r="A186"/>
      <c r="B186"/>
      <c r="C186"/>
      <c r="D186"/>
      <c r="E186"/>
      <c r="F186"/>
      <c r="G186"/>
      <c r="H186"/>
      <c r="I186"/>
      <c r="J186"/>
    </row>
    <row r="187" spans="1:10">
      <c r="A187"/>
      <c r="B187"/>
      <c r="C187"/>
      <c r="D187"/>
      <c r="E187"/>
      <c r="F187"/>
      <c r="G187"/>
      <c r="H187"/>
      <c r="I187"/>
      <c r="J187"/>
    </row>
    <row r="188" spans="1:10">
      <c r="A188"/>
      <c r="B188"/>
      <c r="C188"/>
      <c r="D188"/>
      <c r="E188"/>
      <c r="F188"/>
      <c r="G188"/>
      <c r="H188"/>
      <c r="I188"/>
      <c r="J188"/>
    </row>
    <row r="189" spans="1:10">
      <c r="A189"/>
      <c r="B189"/>
      <c r="C189"/>
      <c r="D189"/>
      <c r="E189"/>
      <c r="F189"/>
      <c r="G189"/>
      <c r="H189"/>
      <c r="I189"/>
      <c r="J189"/>
    </row>
    <row r="190" spans="1:10">
      <c r="A190"/>
      <c r="B190"/>
      <c r="C190"/>
      <c r="D190"/>
      <c r="E190"/>
      <c r="F190"/>
      <c r="G190"/>
      <c r="H190"/>
      <c r="I190"/>
      <c r="J190"/>
    </row>
    <row r="191" spans="1:10">
      <c r="A191"/>
      <c r="B191"/>
      <c r="C191"/>
      <c r="D191"/>
      <c r="E191"/>
      <c r="F191"/>
      <c r="G191"/>
      <c r="H191"/>
      <c r="I191"/>
      <c r="J191"/>
    </row>
    <row r="192" spans="1:10">
      <c r="A192"/>
      <c r="B192"/>
      <c r="C192"/>
      <c r="D192"/>
      <c r="E192"/>
      <c r="F192"/>
      <c r="G192"/>
      <c r="H192"/>
      <c r="I192"/>
      <c r="J192"/>
    </row>
    <row r="193" spans="1:10">
      <c r="A193"/>
      <c r="B193"/>
      <c r="C193"/>
      <c r="D193"/>
      <c r="E193"/>
      <c r="F193"/>
      <c r="G193"/>
      <c r="H193"/>
      <c r="I193"/>
      <c r="J193"/>
    </row>
  </sheetData>
  <pageMargins left="0.7" right="0.7" top="0.75" bottom="0.75" header="0.3" footer="0.3"/>
  <pageSetup paperSize="9" scale="95" orientation="portrait" horizontalDpi="0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20</vt:i4>
      </vt:variant>
    </vt:vector>
  </HeadingPairs>
  <TitlesOfParts>
    <vt:vector size="42" baseType="lpstr">
      <vt:lpstr>Pob. Ext, Parroquial</vt:lpstr>
      <vt:lpstr>macara y pindal</vt:lpstr>
      <vt:lpstr>PLANILLA ABRIL</vt:lpstr>
      <vt:lpstr>S-T</vt:lpstr>
      <vt:lpstr>VIALSUR</vt:lpstr>
      <vt:lpstr>saraguro septiembre</vt:lpstr>
      <vt:lpstr>SARAGURO TENTA</vt:lpstr>
      <vt:lpstr>EMBLEMATICOS</vt:lpstr>
      <vt:lpstr>PROGRAMAS KM</vt:lpstr>
      <vt:lpstr>programa inversion</vt:lpstr>
      <vt:lpstr>PROGRAMAS POR ZONA</vt:lpstr>
      <vt:lpstr>CEDULA DE GASTOS</vt:lpstr>
      <vt:lpstr>inversion por cantones</vt:lpstr>
      <vt:lpstr>diciembre</vt:lpstr>
      <vt:lpstr>Hoja1 (2)</vt:lpstr>
      <vt:lpstr>INVERSION POR PROGRAMA</vt:lpstr>
      <vt:lpstr>resumen inversion</vt:lpstr>
      <vt:lpstr>PUENTES Y PASARELAS</vt:lpstr>
      <vt:lpstr>Hoja1</vt:lpstr>
      <vt:lpstr>CONSOLIDADO</vt:lpstr>
      <vt:lpstr>proyectos ejecutados y enejecui</vt:lpstr>
      <vt:lpstr>PROYECTOS POR EJECUTAR</vt:lpstr>
      <vt:lpstr>diciembre!__xlnm.Print_Area_1</vt:lpstr>
      <vt:lpstr>'PLANILLA ABRIL'!__xlnm.Print_Area_1</vt:lpstr>
      <vt:lpstr>'saraguro septiembre'!__xlnm.Print_Area_1</vt:lpstr>
      <vt:lpstr>CONSOLIDADO!Área_de_impresión</vt:lpstr>
      <vt:lpstr>diciembre!Área_de_impresión</vt:lpstr>
      <vt:lpstr>'INVERSION POR PROGRAMA'!Área_de_impresión</vt:lpstr>
      <vt:lpstr>'macara y pindal'!Área_de_impresión</vt:lpstr>
      <vt:lpstr>'PLANILLA ABRIL'!Área_de_impresión</vt:lpstr>
      <vt:lpstr>'PROGRAMAS POR ZONA'!Área_de_impresión</vt:lpstr>
      <vt:lpstr>'proyectos ejecutados y enejecui'!Área_de_impresión</vt:lpstr>
      <vt:lpstr>'PUENTES Y PASARELAS'!Área_de_impresión</vt:lpstr>
      <vt:lpstr>'saraguro septiembre'!Área_de_impresión</vt:lpstr>
      <vt:lpstr>'SARAGURO TENTA'!Área_de_impresión</vt:lpstr>
      <vt:lpstr>CONSOLIDADO!Títulos_a_imprimir</vt:lpstr>
      <vt:lpstr>diciembre!Títulos_a_imprimir</vt:lpstr>
      <vt:lpstr>'INVERSION POR PROGRAMA'!Títulos_a_imprimir</vt:lpstr>
      <vt:lpstr>'macara y pindal'!Títulos_a_imprimir</vt:lpstr>
      <vt:lpstr>'PLANILLA ABRIL'!Títulos_a_imprimir</vt:lpstr>
      <vt:lpstr>'proyectos ejecutados y enejecui'!Títulos_a_imprimir</vt:lpstr>
      <vt:lpstr>'saraguro septiembre'!Títulos_a_imprimir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Ing. Jorge M. Ordóñez O.</cp:lastModifiedBy>
  <cp:lastPrinted>2014-12-24T16:35:28Z</cp:lastPrinted>
  <dcterms:created xsi:type="dcterms:W3CDTF">2014-08-27T16:48:08Z</dcterms:created>
  <dcterms:modified xsi:type="dcterms:W3CDTF">2015-04-23T16:19:22Z</dcterms:modified>
</cp:coreProperties>
</file>