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60" windowWidth="9330" windowHeight="2505" tabRatio="892" activeTab="1"/>
  </bookViews>
  <sheets>
    <sheet name="1.PROFORMA 2016 " sheetId="4" r:id="rId1"/>
    <sheet name="8.MATRIZ GEN POA" sheetId="16" r:id="rId2"/>
    <sheet name="NOMINA TRABAJA" sheetId="14" r:id="rId3"/>
    <sheet name="DESGLOSE PRESUPUESTO" sheetId="20" r:id="rId4"/>
    <sheet name="CRITERIOS " sheetId="19" r:id="rId5"/>
    <sheet name="6. INSUMOS VALORADOS" sheetId="15" r:id="rId6"/>
    <sheet name="Proyectos 2016" sheetId="7" r:id="rId7"/>
    <sheet name="AREAS SRP" sheetId="18" r:id="rId8"/>
  </sheets>
  <externalReferences>
    <externalReference r:id="rId9"/>
    <externalReference r:id="rId10"/>
    <externalReference r:id="rId11"/>
  </externalReferences>
  <definedNames>
    <definedName name="_xlnm.Print_Area" localSheetId="0">'1.PROFORMA 2016 '!$A$1:$N$231</definedName>
    <definedName name="_xlnm.Print_Area" localSheetId="1">'8.MATRIZ GEN POA'!$A$3:$AC$71</definedName>
    <definedName name="_xlnm.Print_Titles" localSheetId="1">'8.MATRIZ GEN POA'!$12:$15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16" l="1"/>
  <c r="P30" i="16" l="1"/>
  <c r="AC30" i="16"/>
  <c r="L30" i="16"/>
  <c r="B16" i="7" l="1"/>
  <c r="A30" i="7" l="1"/>
  <c r="A31" i="7" s="1"/>
  <c r="A32" i="7" s="1"/>
  <c r="A33" i="7" s="1"/>
  <c r="A34" i="7" s="1"/>
  <c r="A35" i="7" s="1"/>
  <c r="A36" i="7" s="1"/>
  <c r="A37" i="7" s="1"/>
  <c r="A38" i="7" s="1"/>
  <c r="A39" i="7" s="1"/>
  <c r="A40" i="7" s="1"/>
  <c r="A41" i="7" s="1"/>
  <c r="A42" i="7" s="1"/>
  <c r="A43" i="7" s="1"/>
  <c r="A44" i="7" s="1"/>
  <c r="A45" i="7" s="1"/>
  <c r="A46" i="7" s="1"/>
  <c r="A47" i="7" s="1"/>
  <c r="A48" i="7" s="1"/>
  <c r="A49" i="7" s="1"/>
  <c r="A50" i="7" s="1"/>
  <c r="L56" i="4" l="1"/>
  <c r="H94" i="14" l="1"/>
  <c r="H93" i="14"/>
  <c r="O93" i="14" s="1"/>
  <c r="G93" i="14"/>
  <c r="C91" i="14"/>
  <c r="C90" i="14"/>
  <c r="O84" i="14"/>
  <c r="G79" i="14"/>
  <c r="G78" i="14"/>
  <c r="G91" i="14" s="1"/>
  <c r="N69" i="14"/>
  <c r="L69" i="14"/>
  <c r="I69" i="14"/>
  <c r="P69" i="14" s="1"/>
  <c r="N68" i="14"/>
  <c r="L68" i="14"/>
  <c r="I68" i="14"/>
  <c r="P68" i="14" s="1"/>
  <c r="N67" i="14"/>
  <c r="L67" i="14"/>
  <c r="I67" i="14"/>
  <c r="P67" i="14" s="1"/>
  <c r="N66" i="14"/>
  <c r="L66" i="14"/>
  <c r="I66" i="14"/>
  <c r="P66" i="14" s="1"/>
  <c r="N65" i="14"/>
  <c r="L65" i="14"/>
  <c r="I65" i="14"/>
  <c r="P65" i="14" s="1"/>
  <c r="N64" i="14"/>
  <c r="L64" i="14"/>
  <c r="I64" i="14"/>
  <c r="P64" i="14" s="1"/>
  <c r="N58" i="14"/>
  <c r="N83" i="14" s="1"/>
  <c r="H57" i="14"/>
  <c r="M57" i="14" s="1"/>
  <c r="H56" i="14"/>
  <c r="M56" i="14" s="1"/>
  <c r="F55" i="14"/>
  <c r="O55" i="14" s="1"/>
  <c r="O54" i="14"/>
  <c r="H53" i="14"/>
  <c r="L53" i="14" s="1"/>
  <c r="F52" i="14"/>
  <c r="O52" i="14" s="1"/>
  <c r="F51" i="14"/>
  <c r="O51" i="14" s="1"/>
  <c r="F50" i="14"/>
  <c r="O50" i="14" s="1"/>
  <c r="F49" i="14"/>
  <c r="O49" i="14" s="1"/>
  <c r="F48" i="14"/>
  <c r="O48" i="14" s="1"/>
  <c r="F47" i="14"/>
  <c r="O47" i="14" s="1"/>
  <c r="H46" i="14"/>
  <c r="M46" i="14" s="1"/>
  <c r="H45" i="14"/>
  <c r="L45" i="14" s="1"/>
  <c r="H44" i="14"/>
  <c r="L44" i="14" s="1"/>
  <c r="A44" i="14"/>
  <c r="A45" i="14" s="1"/>
  <c r="A46" i="14" s="1"/>
  <c r="A47" i="14" s="1"/>
  <c r="A48" i="14" s="1"/>
  <c r="A49" i="14" s="1"/>
  <c r="A50" i="14" s="1"/>
  <c r="A51" i="14" s="1"/>
  <c r="A52" i="14" s="1"/>
  <c r="A53" i="14" s="1"/>
  <c r="A54" i="14" s="1"/>
  <c r="A55" i="14" s="1"/>
  <c r="A56" i="14" s="1"/>
  <c r="A57" i="14" s="1"/>
  <c r="A58" i="14" s="1"/>
  <c r="G83" i="14" s="1"/>
  <c r="O43" i="14"/>
  <c r="N41" i="14"/>
  <c r="N82" i="14" s="1"/>
  <c r="N90" i="14" s="1"/>
  <c r="M41" i="14"/>
  <c r="M82" i="14" s="1"/>
  <c r="M90" i="14" s="1"/>
  <c r="A41" i="14"/>
  <c r="G82" i="14" s="1"/>
  <c r="G90" i="14" s="1"/>
  <c r="H40" i="14"/>
  <c r="L40" i="14" s="1"/>
  <c r="H39" i="14"/>
  <c r="L39" i="14" s="1"/>
  <c r="K38" i="14"/>
  <c r="H38" i="14"/>
  <c r="L38" i="14" s="1"/>
  <c r="H37" i="14"/>
  <c r="K37" i="14" s="1"/>
  <c r="H36" i="14"/>
  <c r="L36" i="14" s="1"/>
  <c r="H35" i="14"/>
  <c r="J35" i="14" s="1"/>
  <c r="H34" i="14"/>
  <c r="L34" i="14" s="1"/>
  <c r="H33" i="14"/>
  <c r="I33" i="14" s="1"/>
  <c r="H32" i="14"/>
  <c r="L32" i="14" s="1"/>
  <c r="N30" i="14"/>
  <c r="N81" i="14" s="1"/>
  <c r="H29" i="14"/>
  <c r="M29" i="14" s="1"/>
  <c r="H28" i="14"/>
  <c r="M28" i="14" s="1"/>
  <c r="L27" i="14"/>
  <c r="H27" i="14"/>
  <c r="M27" i="14" s="1"/>
  <c r="H26" i="14"/>
  <c r="M26" i="14" s="1"/>
  <c r="A26" i="14"/>
  <c r="A27" i="14" s="1"/>
  <c r="A28" i="14" s="1"/>
  <c r="A29" i="14" s="1"/>
  <c r="A30" i="14" s="1"/>
  <c r="G81" i="14" s="1"/>
  <c r="H25" i="14"/>
  <c r="N17" i="14"/>
  <c r="N79" i="14" s="1"/>
  <c r="H16" i="14"/>
  <c r="M16" i="14" s="1"/>
  <c r="H15" i="14"/>
  <c r="L15" i="14" s="1"/>
  <c r="N13" i="14"/>
  <c r="N78" i="14" s="1"/>
  <c r="M13" i="14"/>
  <c r="M78" i="14" s="1"/>
  <c r="H12" i="14"/>
  <c r="L12" i="14" s="1"/>
  <c r="H11" i="14"/>
  <c r="J11" i="14" s="1"/>
  <c r="H10" i="14"/>
  <c r="L10" i="14" s="1"/>
  <c r="K9" i="14"/>
  <c r="J9" i="14"/>
  <c r="H9" i="14"/>
  <c r="L9" i="14" s="1"/>
  <c r="A9" i="14"/>
  <c r="A10" i="14" s="1"/>
  <c r="A11" i="14" s="1"/>
  <c r="A12" i="14" s="1"/>
  <c r="H8" i="14"/>
  <c r="J8" i="14" s="1"/>
  <c r="A8" i="14"/>
  <c r="H7" i="14"/>
  <c r="I7" i="14" s="1"/>
  <c r="J32" i="14" l="1"/>
  <c r="L37" i="14"/>
  <c r="I9" i="14"/>
  <c r="L16" i="14"/>
  <c r="L17" i="14" s="1"/>
  <c r="L79" i="14" s="1"/>
  <c r="L29" i="14"/>
  <c r="J36" i="14"/>
  <c r="I40" i="14"/>
  <c r="K11" i="14"/>
  <c r="K36" i="14"/>
  <c r="J40" i="14"/>
  <c r="K40" i="14"/>
  <c r="O64" i="14"/>
  <c r="L8" i="14"/>
  <c r="H30" i="14"/>
  <c r="H81" i="14" s="1"/>
  <c r="L26" i="14"/>
  <c r="K53" i="14"/>
  <c r="K7" i="14"/>
  <c r="J25" i="14"/>
  <c r="K32" i="14"/>
  <c r="K44" i="14"/>
  <c r="L7" i="14"/>
  <c r="O7" i="14" s="1"/>
  <c r="J16" i="14"/>
  <c r="K25" i="14"/>
  <c r="J27" i="14"/>
  <c r="J29" i="14"/>
  <c r="I38" i="14"/>
  <c r="L70" i="14"/>
  <c r="K16" i="14"/>
  <c r="L25" i="14"/>
  <c r="L30" i="14" s="1"/>
  <c r="L81" i="14" s="1"/>
  <c r="K27" i="14"/>
  <c r="K29" i="14"/>
  <c r="K33" i="14"/>
  <c r="I36" i="14"/>
  <c r="J38" i="14"/>
  <c r="K45" i="14"/>
  <c r="O68" i="14"/>
  <c r="Q68" i="14" s="1"/>
  <c r="L56" i="14"/>
  <c r="K10" i="14"/>
  <c r="J15" i="14"/>
  <c r="J28" i="14"/>
  <c r="H17" i="14"/>
  <c r="H79" i="14" s="1"/>
  <c r="K46" i="14"/>
  <c r="J26" i="14"/>
  <c r="J34" i="14"/>
  <c r="K39" i="14"/>
  <c r="I53" i="14"/>
  <c r="O9" i="14"/>
  <c r="K15" i="14"/>
  <c r="N92" i="14"/>
  <c r="K26" i="14"/>
  <c r="K28" i="14"/>
  <c r="I32" i="14"/>
  <c r="O32" i="14" s="1"/>
  <c r="K34" i="14"/>
  <c r="O40" i="14"/>
  <c r="J53" i="14"/>
  <c r="L57" i="14"/>
  <c r="N70" i="14"/>
  <c r="O67" i="14"/>
  <c r="Q67" i="14" s="1"/>
  <c r="O69" i="14"/>
  <c r="Q69" i="14" s="1"/>
  <c r="I15" i="14"/>
  <c r="O15" i="14" s="1"/>
  <c r="I34" i="14"/>
  <c r="O34" i="14" s="1"/>
  <c r="L28" i="14"/>
  <c r="J10" i="14"/>
  <c r="M15" i="14"/>
  <c r="M17" i="14" s="1"/>
  <c r="M79" i="14" s="1"/>
  <c r="O65" i="14"/>
  <c r="K35" i="14"/>
  <c r="M53" i="14"/>
  <c r="P70" i="14"/>
  <c r="Q64" i="14"/>
  <c r="O38" i="14"/>
  <c r="N91" i="14"/>
  <c r="N95" i="14" s="1"/>
  <c r="N85" i="14"/>
  <c r="G92" i="14"/>
  <c r="G95" i="14" s="1"/>
  <c r="I8" i="14"/>
  <c r="L11" i="14"/>
  <c r="L35" i="14"/>
  <c r="H13" i="14"/>
  <c r="I37" i="14"/>
  <c r="H41" i="14"/>
  <c r="M44" i="14"/>
  <c r="M45" i="14"/>
  <c r="J7" i="14"/>
  <c r="K8" i="14"/>
  <c r="I16" i="14"/>
  <c r="I25" i="14"/>
  <c r="I26" i="14"/>
  <c r="I27" i="14"/>
  <c r="I28" i="14"/>
  <c r="I29" i="14"/>
  <c r="J33" i="14"/>
  <c r="O33" i="14" s="1"/>
  <c r="J37" i="14"/>
  <c r="G85" i="14"/>
  <c r="H58" i="14"/>
  <c r="O66" i="14"/>
  <c r="Q66" i="14" s="1"/>
  <c r="L33" i="14"/>
  <c r="I56" i="14"/>
  <c r="I57" i="14"/>
  <c r="I11" i="14"/>
  <c r="J57" i="14"/>
  <c r="I12" i="14"/>
  <c r="O12" i="14" s="1"/>
  <c r="J12" i="14"/>
  <c r="I35" i="14"/>
  <c r="I39" i="14"/>
  <c r="I44" i="14"/>
  <c r="I45" i="14"/>
  <c r="I46" i="14"/>
  <c r="O46" i="14" s="1"/>
  <c r="J56" i="14"/>
  <c r="I10" i="14"/>
  <c r="O10" i="14" s="1"/>
  <c r="K12" i="14"/>
  <c r="M25" i="14"/>
  <c r="M30" i="14" s="1"/>
  <c r="M81" i="14" s="1"/>
  <c r="J39" i="14"/>
  <c r="J44" i="14"/>
  <c r="J45" i="14"/>
  <c r="J46" i="14"/>
  <c r="K56" i="14"/>
  <c r="K58" i="14" s="1"/>
  <c r="K83" i="14" s="1"/>
  <c r="K57" i="14"/>
  <c r="M91" i="14"/>
  <c r="L46" i="14"/>
  <c r="O37" i="14" l="1"/>
  <c r="O53" i="14"/>
  <c r="O57" i="14"/>
  <c r="O29" i="14"/>
  <c r="O45" i="14"/>
  <c r="O70" i="14"/>
  <c r="O36" i="14"/>
  <c r="O39" i="14"/>
  <c r="L58" i="14"/>
  <c r="L83" i="14" s="1"/>
  <c r="L92" i="14" s="1"/>
  <c r="O35" i="14"/>
  <c r="Q65" i="14"/>
  <c r="Q70" i="14" s="1"/>
  <c r="O80" i="14" s="1"/>
  <c r="O94" i="14" s="1"/>
  <c r="L41" i="14"/>
  <c r="L82" i="14" s="1"/>
  <c r="L90" i="14" s="1"/>
  <c r="O8" i="14"/>
  <c r="O27" i="14"/>
  <c r="K17" i="14"/>
  <c r="K79" i="14" s="1"/>
  <c r="K92" i="14"/>
  <c r="K41" i="14"/>
  <c r="K82" i="14" s="1"/>
  <c r="K90" i="14" s="1"/>
  <c r="O16" i="14"/>
  <c r="O26" i="14"/>
  <c r="J30" i="14"/>
  <c r="J81" i="14" s="1"/>
  <c r="J17" i="14"/>
  <c r="J79" i="14" s="1"/>
  <c r="J58" i="14"/>
  <c r="J83" i="14" s="1"/>
  <c r="O11" i="14"/>
  <c r="J41" i="14"/>
  <c r="J82" i="14" s="1"/>
  <c r="J90" i="14" s="1"/>
  <c r="K30" i="14"/>
  <c r="K81" i="14" s="1"/>
  <c r="O17" i="14"/>
  <c r="O56" i="14"/>
  <c r="O28" i="14"/>
  <c r="I41" i="14"/>
  <c r="I82" i="14" s="1"/>
  <c r="I90" i="14" s="1"/>
  <c r="O13" i="14"/>
  <c r="H83" i="14"/>
  <c r="H78" i="14"/>
  <c r="I27" i="4" s="1"/>
  <c r="L13" i="14"/>
  <c r="L78" i="14" s="1"/>
  <c r="K13" i="14"/>
  <c r="K78" i="14" s="1"/>
  <c r="J13" i="14"/>
  <c r="J78" i="14" s="1"/>
  <c r="I13" i="14"/>
  <c r="I78" i="14" s="1"/>
  <c r="H82" i="14"/>
  <c r="H90" i="14" s="1"/>
  <c r="M92" i="14"/>
  <c r="M95" i="14" s="1"/>
  <c r="I58" i="14"/>
  <c r="I83" i="14" s="1"/>
  <c r="O41" i="14"/>
  <c r="O82" i="14" s="1"/>
  <c r="O25" i="14"/>
  <c r="I30" i="14"/>
  <c r="M58" i="14"/>
  <c r="M83" i="14" s="1"/>
  <c r="M85" i="14" s="1"/>
  <c r="O44" i="14"/>
  <c r="I17" i="14"/>
  <c r="O58" i="14" l="1"/>
  <c r="O83" i="14" s="1"/>
  <c r="O30" i="14"/>
  <c r="O81" i="14" s="1"/>
  <c r="H92" i="14"/>
  <c r="I60" i="4"/>
  <c r="J92" i="14"/>
  <c r="I91" i="14"/>
  <c r="J85" i="14"/>
  <c r="J91" i="14"/>
  <c r="K85" i="14"/>
  <c r="K91" i="14"/>
  <c r="K95" i="14" s="1"/>
  <c r="L85" i="14"/>
  <c r="L91" i="14"/>
  <c r="L95" i="14" s="1"/>
  <c r="I79" i="14"/>
  <c r="I85" i="14" s="1"/>
  <c r="A62" i="14"/>
  <c r="I81" i="14"/>
  <c r="O78" i="14"/>
  <c r="H85" i="14"/>
  <c r="H91" i="14"/>
  <c r="H95" i="14"/>
  <c r="O90" i="14"/>
  <c r="J95" i="14" l="1"/>
  <c r="O91" i="14"/>
  <c r="O86" i="14"/>
  <c r="I92" i="14"/>
  <c r="O92" i="14" s="1"/>
  <c r="O79" i="14"/>
  <c r="O85" i="14" s="1"/>
  <c r="O95" i="14" l="1"/>
  <c r="I95" i="14"/>
  <c r="O96" i="14" s="1"/>
  <c r="C30" i="20" l="1"/>
  <c r="C18" i="20"/>
  <c r="C15" i="20"/>
  <c r="C23" i="20" s="1"/>
  <c r="C13" i="20"/>
  <c r="C32" i="20" l="1"/>
  <c r="Q60" i="16"/>
  <c r="X60" i="16"/>
  <c r="Z60" i="16"/>
  <c r="AA60" i="16"/>
  <c r="AB60" i="16"/>
  <c r="G180" i="4" l="1"/>
  <c r="E167" i="15" l="1"/>
  <c r="F167" i="15" s="1"/>
  <c r="F166" i="15"/>
  <c r="E201" i="15"/>
  <c r="F201" i="15" s="1"/>
  <c r="F200" i="15"/>
  <c r="E219" i="15"/>
  <c r="F219" i="15" s="1"/>
  <c r="F218" i="15"/>
  <c r="F217" i="15"/>
  <c r="F216" i="15"/>
  <c r="F215" i="15"/>
  <c r="F220" i="15" l="1"/>
  <c r="H211" i="15" l="1"/>
  <c r="F211" i="15"/>
  <c r="G211" i="15" s="1"/>
  <c r="C142" i="15"/>
  <c r="C177" i="15"/>
  <c r="H177" i="15"/>
  <c r="F177" i="15" l="1"/>
  <c r="G177" i="15" l="1"/>
  <c r="J76" i="19" l="1"/>
  <c r="E76" i="19"/>
  <c r="V76" i="19"/>
  <c r="M76" i="19"/>
  <c r="R68" i="19"/>
  <c r="R69" i="19" s="1"/>
  <c r="R70" i="19" s="1"/>
  <c r="R71" i="19" s="1"/>
  <c r="S76" i="19" s="1"/>
  <c r="O68" i="19"/>
  <c r="O69" i="19" s="1"/>
  <c r="O70" i="19" s="1"/>
  <c r="O71" i="19" s="1"/>
  <c r="O72" i="19" s="1"/>
  <c r="O73" i="19" s="1"/>
  <c r="P76" i="19" s="1"/>
  <c r="J79" i="19" l="1"/>
  <c r="V48" i="19" l="1"/>
  <c r="M48" i="19"/>
  <c r="J48" i="19"/>
  <c r="E48" i="19"/>
  <c r="R40" i="19"/>
  <c r="R41" i="19" s="1"/>
  <c r="R42" i="19" s="1"/>
  <c r="R43" i="19" s="1"/>
  <c r="S48" i="19" s="1"/>
  <c r="O40" i="19"/>
  <c r="O41" i="19" s="1"/>
  <c r="O42" i="19" s="1"/>
  <c r="O43" i="19" s="1"/>
  <c r="O44" i="19" s="1"/>
  <c r="O45" i="19" s="1"/>
  <c r="P48" i="19" s="1"/>
  <c r="V17" i="19"/>
  <c r="R9" i="19"/>
  <c r="R10" i="19" s="1"/>
  <c r="R11" i="19" s="1"/>
  <c r="R12" i="19" s="1"/>
  <c r="S17" i="19" s="1"/>
  <c r="O9" i="19"/>
  <c r="O10" i="19" s="1"/>
  <c r="O11" i="19" s="1"/>
  <c r="O12" i="19" s="1"/>
  <c r="O13" i="19" s="1"/>
  <c r="O14" i="19" s="1"/>
  <c r="P17" i="19" s="1"/>
  <c r="M17" i="19"/>
  <c r="J17" i="19"/>
  <c r="E17" i="19"/>
  <c r="J51" i="19" l="1"/>
  <c r="E347" i="15"/>
  <c r="J20" i="19" l="1"/>
  <c r="AC17" i="16" l="1"/>
  <c r="C26" i="16"/>
  <c r="F51" i="7"/>
  <c r="E51" i="7"/>
  <c r="G36" i="7"/>
  <c r="G35" i="7"/>
  <c r="G34" i="7"/>
  <c r="G33" i="7"/>
  <c r="G32" i="7"/>
  <c r="G31" i="7"/>
  <c r="G30" i="7"/>
  <c r="G29" i="7"/>
  <c r="F26" i="7"/>
  <c r="E26" i="7"/>
  <c r="G20" i="7"/>
  <c r="G21" i="7"/>
  <c r="G22" i="7"/>
  <c r="G23" i="7"/>
  <c r="G24" i="7"/>
  <c r="G25" i="7"/>
  <c r="G19" i="7"/>
  <c r="G51" i="7" l="1"/>
  <c r="G26" i="7"/>
  <c r="G6" i="7"/>
  <c r="G7" i="7"/>
  <c r="G8" i="7"/>
  <c r="G9" i="7"/>
  <c r="G10" i="7"/>
  <c r="G11" i="7"/>
  <c r="G12" i="7"/>
  <c r="G14" i="7"/>
  <c r="G15" i="7"/>
  <c r="G16" i="7"/>
  <c r="G5" i="7"/>
  <c r="F13" i="7"/>
  <c r="G13" i="7" s="1"/>
  <c r="E13" i="7"/>
  <c r="E17" i="7" s="1"/>
  <c r="N17" i="18"/>
  <c r="M17" i="18"/>
  <c r="N9" i="18"/>
  <c r="M9" i="18"/>
  <c r="N14" i="18"/>
  <c r="M14" i="18"/>
  <c r="N18" i="18"/>
  <c r="M18" i="18"/>
  <c r="I25" i="18"/>
  <c r="H25" i="18"/>
  <c r="G25" i="18"/>
  <c r="F25" i="18"/>
  <c r="E25" i="18"/>
  <c r="A6" i="18"/>
  <c r="A7" i="18" s="1"/>
  <c r="A8" i="18" s="1"/>
  <c r="A9" i="18" s="1"/>
  <c r="A10" i="18" s="1"/>
  <c r="A11" i="18" s="1"/>
  <c r="A12" i="18" s="1"/>
  <c r="A13" i="18" s="1"/>
  <c r="A15" i="18" s="1"/>
  <c r="A16" i="18" s="1"/>
  <c r="A14" i="18" s="1"/>
  <c r="A17" i="18" s="1"/>
  <c r="A18" i="18" s="1"/>
  <c r="A19" i="18" s="1"/>
  <c r="A20" i="18" s="1"/>
  <c r="A21" i="18" s="1"/>
  <c r="A22" i="18" s="1"/>
  <c r="A23" i="18" s="1"/>
  <c r="A24" i="18" s="1"/>
  <c r="F17" i="7" l="1"/>
  <c r="L11" i="7"/>
  <c r="G17" i="7"/>
  <c r="F876" i="15" l="1"/>
  <c r="G876" i="15" s="1"/>
  <c r="G168" i="4" l="1"/>
  <c r="G166" i="4"/>
  <c r="G164" i="4"/>
  <c r="F404" i="15"/>
  <c r="F405" i="15"/>
  <c r="G405" i="15" s="1"/>
  <c r="F406" i="15"/>
  <c r="G406" i="15" s="1"/>
  <c r="F409" i="15"/>
  <c r="G409" i="15" s="1"/>
  <c r="F410" i="15"/>
  <c r="G410" i="15" s="1"/>
  <c r="F411" i="15"/>
  <c r="G411" i="15" s="1"/>
  <c r="F414" i="15"/>
  <c r="G414" i="15" s="1"/>
  <c r="F415" i="15"/>
  <c r="G415" i="15" s="1"/>
  <c r="F416" i="15"/>
  <c r="G416" i="15" s="1"/>
  <c r="F419" i="15"/>
  <c r="G419" i="15" s="1"/>
  <c r="F420" i="15"/>
  <c r="G420" i="15" s="1"/>
  <c r="F421" i="15"/>
  <c r="G421" i="15" s="1"/>
  <c r="F424" i="15"/>
  <c r="G424" i="15" s="1"/>
  <c r="F425" i="15"/>
  <c r="G425" i="15" s="1"/>
  <c r="F426" i="15"/>
  <c r="G426" i="15" s="1"/>
  <c r="F436" i="15"/>
  <c r="G436" i="15" s="1"/>
  <c r="F437" i="15"/>
  <c r="G437" i="15" s="1"/>
  <c r="F438" i="15"/>
  <c r="G438" i="15" s="1"/>
  <c r="F441" i="15"/>
  <c r="G441" i="15" s="1"/>
  <c r="F442" i="15"/>
  <c r="G442" i="15" s="1"/>
  <c r="F443" i="15"/>
  <c r="G443" i="15" s="1"/>
  <c r="F446" i="15"/>
  <c r="G446" i="15" s="1"/>
  <c r="F447" i="15"/>
  <c r="G447" i="15" s="1"/>
  <c r="F448" i="15"/>
  <c r="G448" i="15" s="1"/>
  <c r="F451" i="15"/>
  <c r="G451" i="15" s="1"/>
  <c r="F452" i="15"/>
  <c r="G452" i="15" s="1"/>
  <c r="F453" i="15"/>
  <c r="G453" i="15" s="1"/>
  <c r="F456" i="15"/>
  <c r="G456" i="15" s="1"/>
  <c r="F457" i="15"/>
  <c r="G457" i="15" s="1"/>
  <c r="F458" i="15"/>
  <c r="G458" i="15" s="1"/>
  <c r="F468" i="15"/>
  <c r="G468" i="15" s="1"/>
  <c r="F469" i="15"/>
  <c r="G469" i="15" s="1"/>
  <c r="F470" i="15"/>
  <c r="G470" i="15" s="1"/>
  <c r="F473" i="15"/>
  <c r="F474" i="15"/>
  <c r="G474" i="15" s="1"/>
  <c r="F475" i="15"/>
  <c r="G475" i="15" s="1"/>
  <c r="F478" i="15"/>
  <c r="G478" i="15" s="1"/>
  <c r="F479" i="15"/>
  <c r="G479" i="15" s="1"/>
  <c r="F480" i="15"/>
  <c r="G480" i="15" s="1"/>
  <c r="F483" i="15"/>
  <c r="F484" i="15"/>
  <c r="G484" i="15" s="1"/>
  <c r="F485" i="15"/>
  <c r="G485" i="15" s="1"/>
  <c r="F494" i="15"/>
  <c r="G494" i="15" s="1"/>
  <c r="F495" i="15"/>
  <c r="G495" i="15" s="1"/>
  <c r="F496" i="15"/>
  <c r="G496" i="15" s="1"/>
  <c r="F504" i="15"/>
  <c r="G504" i="15" s="1"/>
  <c r="F505" i="15"/>
  <c r="G505" i="15" s="1"/>
  <c r="F506" i="15"/>
  <c r="G506" i="15" s="1"/>
  <c r="F514" i="15"/>
  <c r="G514" i="15" s="1"/>
  <c r="F515" i="15"/>
  <c r="G515" i="15" s="1"/>
  <c r="F516" i="15"/>
  <c r="G516" i="15" s="1"/>
  <c r="F524" i="15"/>
  <c r="G524" i="15" s="1"/>
  <c r="F525" i="15"/>
  <c r="G525" i="15" s="1"/>
  <c r="F526" i="15"/>
  <c r="G526" i="15" s="1"/>
  <c r="F534" i="15"/>
  <c r="F535" i="15"/>
  <c r="G535" i="15" s="1"/>
  <c r="F536" i="15"/>
  <c r="G536" i="15" s="1"/>
  <c r="I540" i="15"/>
  <c r="I552" i="15" s="1"/>
  <c r="E548" i="15"/>
  <c r="F548" i="15" s="1"/>
  <c r="F559" i="15"/>
  <c r="G559" i="15" s="1"/>
  <c r="F560" i="15"/>
  <c r="G560" i="15" s="1"/>
  <c r="F561" i="15"/>
  <c r="G561" i="15" s="1"/>
  <c r="F562" i="15"/>
  <c r="G562" i="15" s="1"/>
  <c r="F563" i="15"/>
  <c r="G563" i="15" s="1"/>
  <c r="F564" i="15"/>
  <c r="G564" i="15" s="1"/>
  <c r="F565" i="15"/>
  <c r="G565" i="15" s="1"/>
  <c r="J86" i="4"/>
  <c r="J74" i="4"/>
  <c r="J70" i="4"/>
  <c r="I61" i="4"/>
  <c r="F1382" i="15"/>
  <c r="F1383" i="15" s="1"/>
  <c r="F1372" i="15"/>
  <c r="G1372" i="15" s="1"/>
  <c r="F1371" i="15"/>
  <c r="G1371" i="15" s="1"/>
  <c r="F1370" i="15"/>
  <c r="G1370" i="15" s="1"/>
  <c r="F1369" i="15"/>
  <c r="G1369" i="15" s="1"/>
  <c r="F1368" i="15"/>
  <c r="G1368" i="15" s="1"/>
  <c r="F1367" i="15"/>
  <c r="G1367" i="15" s="1"/>
  <c r="F1366" i="15"/>
  <c r="G1366" i="15" s="1"/>
  <c r="F1365" i="15"/>
  <c r="G1365" i="15" s="1"/>
  <c r="F1364" i="15"/>
  <c r="F1353" i="15"/>
  <c r="G1353" i="15" s="1"/>
  <c r="F1352" i="15"/>
  <c r="G1352" i="15" s="1"/>
  <c r="F1351" i="15"/>
  <c r="G1351" i="15" s="1"/>
  <c r="F1350" i="15"/>
  <c r="G1350" i="15" s="1"/>
  <c r="F1349" i="15"/>
  <c r="F1337" i="15"/>
  <c r="G1337" i="15" s="1"/>
  <c r="F1336" i="15"/>
  <c r="F1326" i="15"/>
  <c r="G1326" i="15" s="1"/>
  <c r="F1325" i="15"/>
  <c r="G1325" i="15" s="1"/>
  <c r="F1324" i="15"/>
  <c r="G1324" i="15" s="1"/>
  <c r="F1323" i="15"/>
  <c r="G1323" i="15" s="1"/>
  <c r="F1322" i="15"/>
  <c r="G1322" i="15" s="1"/>
  <c r="F1312" i="15"/>
  <c r="G1312" i="15" s="1"/>
  <c r="F1311" i="15"/>
  <c r="G1311" i="15" s="1"/>
  <c r="F1310" i="15"/>
  <c r="G1310" i="15" s="1"/>
  <c r="F1309" i="15"/>
  <c r="G1309" i="15" s="1"/>
  <c r="F1308" i="15"/>
  <c r="G1308" i="15" s="1"/>
  <c r="F1307" i="15"/>
  <c r="G1307" i="15" s="1"/>
  <c r="F1306" i="15"/>
  <c r="G1306" i="15" s="1"/>
  <c r="F1305" i="15"/>
  <c r="G1305" i="15" s="1"/>
  <c r="F1293" i="15"/>
  <c r="G1293" i="15" s="1"/>
  <c r="F1292" i="15"/>
  <c r="G1292" i="15" s="1"/>
  <c r="F1291" i="15"/>
  <c r="G1291" i="15" s="1"/>
  <c r="F1290" i="15"/>
  <c r="G1290" i="15" s="1"/>
  <c r="F1289" i="15"/>
  <c r="G1289" i="15" s="1"/>
  <c r="F1288" i="15"/>
  <c r="G1288" i="15" s="1"/>
  <c r="F1287" i="15"/>
  <c r="G1287" i="15" s="1"/>
  <c r="F1286" i="15"/>
  <c r="G1286" i="15" s="1"/>
  <c r="F1285" i="15"/>
  <c r="G1285" i="15" s="1"/>
  <c r="F1284" i="15"/>
  <c r="G1284" i="15" s="1"/>
  <c r="F1283" i="15"/>
  <c r="G1283" i="15" s="1"/>
  <c r="F1282" i="15"/>
  <c r="G1282" i="15" s="1"/>
  <c r="F1281" i="15"/>
  <c r="G1281" i="15" s="1"/>
  <c r="F1280" i="15"/>
  <c r="G1280" i="15" s="1"/>
  <c r="F1267" i="15"/>
  <c r="G1267" i="15" s="1"/>
  <c r="F1266" i="15"/>
  <c r="G1266" i="15" s="1"/>
  <c r="F1265" i="15"/>
  <c r="G1265" i="15" s="1"/>
  <c r="F1264" i="15"/>
  <c r="G1264" i="15" s="1"/>
  <c r="F1263" i="15"/>
  <c r="G1263" i="15" s="1"/>
  <c r="F1262" i="15"/>
  <c r="G1262" i="15" s="1"/>
  <c r="F1261" i="15"/>
  <c r="G1261" i="15" s="1"/>
  <c r="F1260" i="15"/>
  <c r="G1260" i="15" s="1"/>
  <c r="F1259" i="15"/>
  <c r="G1259" i="15" s="1"/>
  <c r="F1258" i="15"/>
  <c r="G1258" i="15" s="1"/>
  <c r="F1257" i="15"/>
  <c r="G1257" i="15" s="1"/>
  <c r="F1256" i="15"/>
  <c r="G1256" i="15" s="1"/>
  <c r="F1255" i="15"/>
  <c r="F1242" i="15"/>
  <c r="G1242" i="15" s="1"/>
  <c r="F1241" i="15"/>
  <c r="G1241" i="15" s="1"/>
  <c r="F1240" i="15"/>
  <c r="G1240" i="15" s="1"/>
  <c r="F1239" i="15"/>
  <c r="G1239" i="15" s="1"/>
  <c r="F1238" i="15"/>
  <c r="G1238" i="15" s="1"/>
  <c r="F1237" i="15"/>
  <c r="G1237" i="15" s="1"/>
  <c r="F1236" i="15"/>
  <c r="G1236" i="15" s="1"/>
  <c r="F1235" i="15"/>
  <c r="G1235" i="15" s="1"/>
  <c r="F1234" i="15"/>
  <c r="G1234" i="15" s="1"/>
  <c r="F1233" i="15"/>
  <c r="G1233" i="15" s="1"/>
  <c r="F1232" i="15"/>
  <c r="G1232" i="15" s="1"/>
  <c r="F1231" i="15"/>
  <c r="G1231" i="15" s="1"/>
  <c r="F1230" i="15"/>
  <c r="G1230" i="15" s="1"/>
  <c r="F1229" i="15"/>
  <c r="G1229" i="15" s="1"/>
  <c r="F1228" i="15"/>
  <c r="G1228" i="15" s="1"/>
  <c r="F1227" i="15"/>
  <c r="G1227" i="15" s="1"/>
  <c r="F1226" i="15"/>
  <c r="G1226" i="15" s="1"/>
  <c r="F1225" i="15"/>
  <c r="G1225" i="15" s="1"/>
  <c r="F1224" i="15"/>
  <c r="G1224" i="15" s="1"/>
  <c r="F1223" i="15"/>
  <c r="G1223" i="15" s="1"/>
  <c r="F1222" i="15"/>
  <c r="G1222" i="15" s="1"/>
  <c r="F1221" i="15"/>
  <c r="G1221" i="15" s="1"/>
  <c r="F1220" i="15"/>
  <c r="G1220" i="15" s="1"/>
  <c r="F1219" i="15"/>
  <c r="G1219" i="15" s="1"/>
  <c r="F1218" i="15"/>
  <c r="F407" i="15" l="1"/>
  <c r="G1336" i="15"/>
  <c r="F1338" i="15"/>
  <c r="B30" i="7"/>
  <c r="C39" i="16" s="1"/>
  <c r="B31" i="7"/>
  <c r="C40" i="16" s="1"/>
  <c r="B29" i="7"/>
  <c r="C38" i="16" s="1"/>
  <c r="F476" i="15"/>
  <c r="F481" i="15"/>
  <c r="F486" i="15"/>
  <c r="G412" i="15"/>
  <c r="G427" i="15"/>
  <c r="G473" i="15"/>
  <c r="G476" i="15" s="1"/>
  <c r="F537" i="15"/>
  <c r="F444" i="15"/>
  <c r="G404" i="15"/>
  <c r="G407" i="15" s="1"/>
  <c r="F459" i="15"/>
  <c r="G422" i="15"/>
  <c r="F517" i="15"/>
  <c r="F439" i="15"/>
  <c r="F422" i="15"/>
  <c r="G534" i="15"/>
  <c r="G537" i="15" s="1"/>
  <c r="G439" i="15"/>
  <c r="F497" i="15"/>
  <c r="F412" i="15"/>
  <c r="F527" i="15"/>
  <c r="G454" i="15"/>
  <c r="G444" i="15"/>
  <c r="G483" i="15"/>
  <c r="G486" i="15" s="1"/>
  <c r="F471" i="15"/>
  <c r="F449" i="15"/>
  <c r="F507" i="15"/>
  <c r="G449" i="15"/>
  <c r="F417" i="15"/>
  <c r="G497" i="15"/>
  <c r="G459" i="15"/>
  <c r="G527" i="15"/>
  <c r="G481" i="15"/>
  <c r="F454" i="15"/>
  <c r="G471" i="15"/>
  <c r="G548" i="15"/>
  <c r="G549" i="15" s="1"/>
  <c r="G550" i="15" s="1"/>
  <c r="F549" i="15"/>
  <c r="F550" i="15" s="1"/>
  <c r="G507" i="15"/>
  <c r="G517" i="15"/>
  <c r="G417" i="15"/>
  <c r="F427" i="15"/>
  <c r="G1382" i="15"/>
  <c r="G1383" i="15" s="1"/>
  <c r="I92" i="4" s="1"/>
  <c r="F1294" i="15"/>
  <c r="F1373" i="15"/>
  <c r="F1268" i="15"/>
  <c r="F1313" i="15"/>
  <c r="F1354" i="15"/>
  <c r="F1243" i="15"/>
  <c r="F1327" i="15"/>
  <c r="G1338" i="15"/>
  <c r="I79" i="4" s="1"/>
  <c r="G1313" i="15"/>
  <c r="I103" i="4" s="1"/>
  <c r="J102" i="4" s="1"/>
  <c r="G1294" i="15"/>
  <c r="I96" i="4" s="1"/>
  <c r="G1327" i="15"/>
  <c r="I78" i="4" s="1"/>
  <c r="G1218" i="15"/>
  <c r="G1243" i="15" s="1"/>
  <c r="G1349" i="15"/>
  <c r="G1354" i="15" s="1"/>
  <c r="I90" i="4" s="1"/>
  <c r="J88" i="4" s="1"/>
  <c r="G1364" i="15"/>
  <c r="G1373" i="15" s="1"/>
  <c r="I93" i="4" s="1"/>
  <c r="G1255" i="15"/>
  <c r="G1268" i="15" s="1"/>
  <c r="I95" i="4" l="1"/>
  <c r="F487" i="15"/>
  <c r="F539" i="15" s="1"/>
  <c r="F460" i="15"/>
  <c r="G460" i="15"/>
  <c r="I166" i="4" s="1"/>
  <c r="F428" i="15"/>
  <c r="G428" i="15"/>
  <c r="I164" i="4" s="1"/>
  <c r="G487" i="15"/>
  <c r="F1207" i="15"/>
  <c r="G1207" i="15" s="1"/>
  <c r="F1206" i="15"/>
  <c r="G1206" i="15" s="1"/>
  <c r="F1205" i="15"/>
  <c r="G1205" i="15" s="1"/>
  <c r="F1204" i="15"/>
  <c r="G1204" i="15" s="1"/>
  <c r="F1203" i="15"/>
  <c r="G1203" i="15" s="1"/>
  <c r="F1202" i="15"/>
  <c r="G1202" i="15" s="1"/>
  <c r="F1201" i="15"/>
  <c r="G1201" i="15" s="1"/>
  <c r="F1200" i="15"/>
  <c r="G1200" i="15" s="1"/>
  <c r="F1199" i="15"/>
  <c r="G1199" i="15" s="1"/>
  <c r="F1198" i="15"/>
  <c r="G1198" i="15" s="1"/>
  <c r="F1197" i="15"/>
  <c r="G1197" i="15" s="1"/>
  <c r="F1196" i="15"/>
  <c r="G1196" i="15" s="1"/>
  <c r="F1195" i="15"/>
  <c r="G1195" i="15" s="1"/>
  <c r="F1194" i="15"/>
  <c r="G1194" i="15" s="1"/>
  <c r="F1193" i="15"/>
  <c r="G1193" i="15" s="1"/>
  <c r="F1192" i="15"/>
  <c r="G1192" i="15" s="1"/>
  <c r="F1191" i="15"/>
  <c r="G1191" i="15" s="1"/>
  <c r="F1190" i="15"/>
  <c r="G1190" i="15" s="1"/>
  <c r="F1189" i="15"/>
  <c r="G1189" i="15" s="1"/>
  <c r="F1188" i="15"/>
  <c r="G1188" i="15" s="1"/>
  <c r="F1187" i="15"/>
  <c r="F1174" i="15"/>
  <c r="G1174" i="15" s="1"/>
  <c r="F1173" i="15"/>
  <c r="G1173" i="15" s="1"/>
  <c r="F1172" i="15"/>
  <c r="G1172" i="15" s="1"/>
  <c r="F1171" i="15"/>
  <c r="G1171" i="15" s="1"/>
  <c r="F1170" i="15"/>
  <c r="G1170" i="15" s="1"/>
  <c r="F1169" i="15"/>
  <c r="G1169" i="15" s="1"/>
  <c r="F1168" i="15"/>
  <c r="G1168" i="15" s="1"/>
  <c r="F1167" i="15"/>
  <c r="G1167" i="15" s="1"/>
  <c r="F1166" i="15"/>
  <c r="G1166" i="15" s="1"/>
  <c r="F1165" i="15"/>
  <c r="G1165" i="15" s="1"/>
  <c r="F1164" i="15"/>
  <c r="G1164" i="15" s="1"/>
  <c r="F1163" i="15"/>
  <c r="G1163" i="15" s="1"/>
  <c r="F1162" i="15"/>
  <c r="G1162" i="15" s="1"/>
  <c r="F1161" i="15"/>
  <c r="G1161" i="15" s="1"/>
  <c r="F1160" i="15"/>
  <c r="G1160" i="15" s="1"/>
  <c r="F1159" i="15"/>
  <c r="G1159" i="15" s="1"/>
  <c r="F1158" i="15"/>
  <c r="G1158" i="15" s="1"/>
  <c r="F1157" i="15"/>
  <c r="G1157" i="15" s="1"/>
  <c r="F1156" i="15"/>
  <c r="G1156" i="15" s="1"/>
  <c r="F1155" i="15"/>
  <c r="G1155" i="15" s="1"/>
  <c r="F1154" i="15"/>
  <c r="G1154" i="15" s="1"/>
  <c r="F1153" i="15"/>
  <c r="G1153" i="15" s="1"/>
  <c r="F1140" i="15"/>
  <c r="G1140" i="15" s="1"/>
  <c r="F1139" i="15"/>
  <c r="G1139" i="15" s="1"/>
  <c r="F1138" i="15"/>
  <c r="G1138" i="15" s="1"/>
  <c r="F1137" i="15"/>
  <c r="G1137" i="15" s="1"/>
  <c r="F1136" i="15"/>
  <c r="G1136" i="15" s="1"/>
  <c r="F1135" i="15"/>
  <c r="G1135" i="15" s="1"/>
  <c r="F1134" i="15"/>
  <c r="G1134" i="15" s="1"/>
  <c r="F1133" i="15"/>
  <c r="G1133" i="15" s="1"/>
  <c r="F1132" i="15"/>
  <c r="G1132" i="15" s="1"/>
  <c r="F1131" i="15"/>
  <c r="G1131" i="15" s="1"/>
  <c r="F1130" i="15"/>
  <c r="G1130" i="15" s="1"/>
  <c r="F1129" i="15"/>
  <c r="G1129" i="15" s="1"/>
  <c r="F1128" i="15"/>
  <c r="G1128" i="15" s="1"/>
  <c r="F1127" i="15"/>
  <c r="G1127" i="15" s="1"/>
  <c r="F1126" i="15"/>
  <c r="G1126" i="15" s="1"/>
  <c r="F1125" i="15"/>
  <c r="G1125" i="15" s="1"/>
  <c r="F1124" i="15"/>
  <c r="G1124" i="15" s="1"/>
  <c r="F1123" i="15"/>
  <c r="G1123" i="15" s="1"/>
  <c r="F1122" i="15"/>
  <c r="G1122" i="15" s="1"/>
  <c r="F1121" i="15"/>
  <c r="G1121" i="15" s="1"/>
  <c r="F1120" i="15"/>
  <c r="G1120" i="15" s="1"/>
  <c r="F1119" i="15"/>
  <c r="G1119" i="15" s="1"/>
  <c r="F1118" i="15"/>
  <c r="G1118" i="15" s="1"/>
  <c r="F1117" i="15"/>
  <c r="G1117" i="15" s="1"/>
  <c r="F1116" i="15"/>
  <c r="G1116" i="15" s="1"/>
  <c r="F1115" i="15"/>
  <c r="G1115" i="15" s="1"/>
  <c r="F1114" i="15"/>
  <c r="G1114" i="15" s="1"/>
  <c r="F1113" i="15"/>
  <c r="G1113" i="15" s="1"/>
  <c r="F1112" i="15"/>
  <c r="G1112" i="15" s="1"/>
  <c r="F1111" i="15"/>
  <c r="G1111" i="15" s="1"/>
  <c r="F1110" i="15"/>
  <c r="G1110" i="15" s="1"/>
  <c r="F1109" i="15"/>
  <c r="G1109" i="15" s="1"/>
  <c r="F1108" i="15"/>
  <c r="G1108" i="15" s="1"/>
  <c r="F1107" i="15"/>
  <c r="G1107" i="15" s="1"/>
  <c r="F1106" i="15"/>
  <c r="G1106" i="15" s="1"/>
  <c r="F1105" i="15"/>
  <c r="G1105" i="15" s="1"/>
  <c r="F1104" i="15"/>
  <c r="G1104" i="15" s="1"/>
  <c r="F1103" i="15"/>
  <c r="G1103" i="15" s="1"/>
  <c r="F1102" i="15"/>
  <c r="G1102" i="15" s="1"/>
  <c r="F1101" i="15"/>
  <c r="G1101" i="15" s="1"/>
  <c r="F1100" i="15"/>
  <c r="G1100" i="15" s="1"/>
  <c r="F1099" i="15"/>
  <c r="G1099" i="15" s="1"/>
  <c r="F1098" i="15"/>
  <c r="G1098" i="15" s="1"/>
  <c r="F1097" i="15"/>
  <c r="F1085" i="15"/>
  <c r="G1085" i="15" s="1"/>
  <c r="F1084" i="15"/>
  <c r="G1084" i="15" s="1"/>
  <c r="F1083" i="15"/>
  <c r="G1083" i="15" s="1"/>
  <c r="F1082" i="15"/>
  <c r="G1082" i="15" s="1"/>
  <c r="F1081" i="15"/>
  <c r="G1081" i="15" s="1"/>
  <c r="F1080" i="15"/>
  <c r="G1080" i="15" s="1"/>
  <c r="F1079" i="15"/>
  <c r="G1079" i="15" s="1"/>
  <c r="F1078" i="15"/>
  <c r="G1078" i="15" s="1"/>
  <c r="F1077" i="15"/>
  <c r="G1077" i="15" s="1"/>
  <c r="F1076" i="15"/>
  <c r="G1076" i="15" s="1"/>
  <c r="F1075" i="15"/>
  <c r="G1075" i="15" s="1"/>
  <c r="F1074" i="15"/>
  <c r="G1074" i="15" s="1"/>
  <c r="F1073" i="15"/>
  <c r="G1073" i="15" s="1"/>
  <c r="F1072" i="15"/>
  <c r="G1072" i="15" s="1"/>
  <c r="F1071" i="15"/>
  <c r="G1071" i="15" s="1"/>
  <c r="F1070" i="15"/>
  <c r="G1070" i="15" s="1"/>
  <c r="F1069" i="15"/>
  <c r="G1069" i="15" s="1"/>
  <c r="F1068" i="15"/>
  <c r="G1068" i="15" s="1"/>
  <c r="F1067" i="15"/>
  <c r="G1067" i="15" s="1"/>
  <c r="F1066" i="15"/>
  <c r="G1066" i="15" s="1"/>
  <c r="F1065" i="15"/>
  <c r="G1065" i="15" s="1"/>
  <c r="F1064" i="15"/>
  <c r="G1064" i="15" s="1"/>
  <c r="F1063" i="15"/>
  <c r="G1063" i="15" s="1"/>
  <c r="F1062" i="15"/>
  <c r="G1062" i="15" s="1"/>
  <c r="F1061" i="15"/>
  <c r="G1061" i="15" s="1"/>
  <c r="F1060" i="15"/>
  <c r="G1060" i="15" s="1"/>
  <c r="F1059" i="15"/>
  <c r="G1059" i="15" s="1"/>
  <c r="F1058" i="15"/>
  <c r="G1058" i="15" s="1"/>
  <c r="F1057" i="15"/>
  <c r="G1057" i="15" s="1"/>
  <c r="F1056" i="15"/>
  <c r="G1056" i="15" s="1"/>
  <c r="F1055" i="15"/>
  <c r="G1055" i="15" s="1"/>
  <c r="F1054" i="15"/>
  <c r="G1054" i="15" s="1"/>
  <c r="F1053" i="15"/>
  <c r="G1053" i="15" s="1"/>
  <c r="F1052" i="15"/>
  <c r="G1052" i="15" s="1"/>
  <c r="F1051" i="15"/>
  <c r="G1051" i="15" s="1"/>
  <c r="F1050" i="15"/>
  <c r="G1050" i="15" s="1"/>
  <c r="F1049" i="15"/>
  <c r="G1049" i="15" s="1"/>
  <c r="F1048" i="15"/>
  <c r="G1048" i="15" s="1"/>
  <c r="F1047" i="15"/>
  <c r="G1047" i="15" s="1"/>
  <c r="F1046" i="15"/>
  <c r="G1046" i="15" s="1"/>
  <c r="F1045" i="15"/>
  <c r="G1045" i="15" s="1"/>
  <c r="F1044" i="15"/>
  <c r="G1044" i="15" s="1"/>
  <c r="F1043" i="15"/>
  <c r="G1043" i="15" s="1"/>
  <c r="F1042" i="15"/>
  <c r="G1042" i="15" s="1"/>
  <c r="F1041" i="15"/>
  <c r="G1041" i="15" s="1"/>
  <c r="F1040" i="15"/>
  <c r="G1040" i="15" s="1"/>
  <c r="F1039" i="15"/>
  <c r="G1039" i="15" s="1"/>
  <c r="F1038" i="15"/>
  <c r="G1038" i="15" s="1"/>
  <c r="F1037" i="15"/>
  <c r="G1037" i="15" s="1"/>
  <c r="F1036" i="15"/>
  <c r="G1036" i="15" s="1"/>
  <c r="F1035" i="15"/>
  <c r="G1035" i="15" s="1"/>
  <c r="F1034" i="15"/>
  <c r="G1034" i="15" s="1"/>
  <c r="F1033" i="15"/>
  <c r="G1033" i="15" s="1"/>
  <c r="F1032" i="15"/>
  <c r="G1032" i="15" s="1"/>
  <c r="F1031" i="15"/>
  <c r="G1031" i="15" s="1"/>
  <c r="F1030" i="15"/>
  <c r="G1030" i="15" s="1"/>
  <c r="F1029" i="15"/>
  <c r="G1029" i="15" s="1"/>
  <c r="F1028" i="15"/>
  <c r="G1028" i="15" s="1"/>
  <c r="F1027" i="15"/>
  <c r="G1027" i="15" s="1"/>
  <c r="F1026" i="15"/>
  <c r="G1026" i="15" s="1"/>
  <c r="F1025" i="15"/>
  <c r="G1025" i="15" s="1"/>
  <c r="F1024" i="15"/>
  <c r="G1024" i="15" s="1"/>
  <c r="F1023" i="15"/>
  <c r="G1023" i="15" s="1"/>
  <c r="F1022" i="15"/>
  <c r="G1022" i="15" s="1"/>
  <c r="F1021" i="15"/>
  <c r="G1021" i="15" s="1"/>
  <c r="F1020" i="15"/>
  <c r="G1020" i="15" s="1"/>
  <c r="F1019" i="15"/>
  <c r="G1019" i="15" s="1"/>
  <c r="F1018" i="15"/>
  <c r="G1018" i="15" s="1"/>
  <c r="F1017" i="15"/>
  <c r="G1017" i="15" s="1"/>
  <c r="F1016" i="15"/>
  <c r="G1016" i="15" s="1"/>
  <c r="F1015" i="15"/>
  <c r="G1015" i="15" s="1"/>
  <c r="F1014" i="15"/>
  <c r="G1014" i="15" s="1"/>
  <c r="F1013" i="15"/>
  <c r="G1013" i="15" s="1"/>
  <c r="F1012" i="15"/>
  <c r="G1012" i="15" s="1"/>
  <c r="I1097" i="15"/>
  <c r="H1097" i="15"/>
  <c r="F1011" i="15"/>
  <c r="G1011" i="15" s="1"/>
  <c r="F998" i="15"/>
  <c r="F999" i="15" s="1"/>
  <c r="F986" i="15"/>
  <c r="G986" i="15" s="1"/>
  <c r="G987" i="15" s="1"/>
  <c r="I84" i="4" s="1"/>
  <c r="F974" i="15"/>
  <c r="G974" i="15" s="1"/>
  <c r="F973" i="15"/>
  <c r="G973" i="15" s="1"/>
  <c r="F972" i="15"/>
  <c r="G972" i="15" s="1"/>
  <c r="F971" i="15"/>
  <c r="G971" i="15" s="1"/>
  <c r="F970" i="15"/>
  <c r="G970" i="15" s="1"/>
  <c r="F969" i="15"/>
  <c r="G969" i="15" s="1"/>
  <c r="F968" i="15"/>
  <c r="G968" i="15" s="1"/>
  <c r="F967" i="15"/>
  <c r="G967" i="15" s="1"/>
  <c r="F966" i="15"/>
  <c r="G966" i="15" s="1"/>
  <c r="F965" i="15"/>
  <c r="G965" i="15" s="1"/>
  <c r="F964" i="15"/>
  <c r="G964" i="15" s="1"/>
  <c r="F963" i="15"/>
  <c r="G963" i="15" s="1"/>
  <c r="F962" i="15"/>
  <c r="G962" i="15" s="1"/>
  <c r="F961" i="15"/>
  <c r="G961" i="15" s="1"/>
  <c r="F960" i="15"/>
  <c r="G960" i="15" s="1"/>
  <c r="F959" i="15"/>
  <c r="G959" i="15" s="1"/>
  <c r="F958" i="15"/>
  <c r="G958" i="15" s="1"/>
  <c r="F957" i="15"/>
  <c r="G957" i="15" s="1"/>
  <c r="F956" i="15"/>
  <c r="G956" i="15" s="1"/>
  <c r="F942" i="15"/>
  <c r="F941" i="15"/>
  <c r="G941" i="15" s="1"/>
  <c r="G925" i="15"/>
  <c r="G924" i="15"/>
  <c r="F923" i="15"/>
  <c r="G923" i="15" s="1"/>
  <c r="F922" i="15"/>
  <c r="G922" i="15" s="1"/>
  <c r="F921" i="15"/>
  <c r="G921" i="15" s="1"/>
  <c r="F920" i="15"/>
  <c r="G920" i="15" s="1"/>
  <c r="F919" i="15"/>
  <c r="G919" i="15" s="1"/>
  <c r="F918" i="15"/>
  <c r="G918" i="15" s="1"/>
  <c r="F917" i="15"/>
  <c r="G917" i="15" s="1"/>
  <c r="F916" i="15"/>
  <c r="G916" i="15" s="1"/>
  <c r="H30" i="7" l="1"/>
  <c r="H29" i="7"/>
  <c r="G539" i="15"/>
  <c r="G552" i="15" s="1"/>
  <c r="I168" i="4"/>
  <c r="F552" i="15"/>
  <c r="F943" i="15"/>
  <c r="G942" i="15"/>
  <c r="G943" i="15" s="1"/>
  <c r="I94" i="4" s="1"/>
  <c r="F1208" i="15"/>
  <c r="G926" i="15"/>
  <c r="F1141" i="15"/>
  <c r="F926" i="15"/>
  <c r="G1175" i="15"/>
  <c r="I81" i="4" s="1"/>
  <c r="G1086" i="15"/>
  <c r="G998" i="15"/>
  <c r="G999" i="15" s="1"/>
  <c r="I85" i="4" s="1"/>
  <c r="F987" i="15"/>
  <c r="G1097" i="15"/>
  <c r="G1141" i="15" s="1"/>
  <c r="G1187" i="15"/>
  <c r="G1208" i="15" s="1"/>
  <c r="I80" i="4" s="1"/>
  <c r="F975" i="15"/>
  <c r="G975" i="15" s="1"/>
  <c r="I101" i="4" s="1"/>
  <c r="J100" i="4" s="1"/>
  <c r="J99" i="4" s="1"/>
  <c r="F1086" i="15"/>
  <c r="F1175" i="15"/>
  <c r="F229" i="4" l="1"/>
  <c r="I97" i="4"/>
  <c r="J91" i="4" s="1"/>
  <c r="J77" i="4"/>
  <c r="J82" i="4"/>
  <c r="H31" i="7"/>
  <c r="G206" i="4" l="1"/>
  <c r="G204" i="4"/>
  <c r="G202" i="4"/>
  <c r="G200" i="4"/>
  <c r="G198" i="4"/>
  <c r="G196" i="4"/>
  <c r="G194" i="4"/>
  <c r="G192" i="4"/>
  <c r="G190" i="4"/>
  <c r="G188" i="4"/>
  <c r="G186" i="4"/>
  <c r="G184" i="4"/>
  <c r="G182" i="4"/>
  <c r="G178" i="4"/>
  <c r="G176" i="4"/>
  <c r="G174" i="4"/>
  <c r="G172" i="4"/>
  <c r="G170" i="4"/>
  <c r="B49" i="7" l="1"/>
  <c r="C58" i="16" s="1"/>
  <c r="B50" i="7"/>
  <c r="C59" i="16" s="1"/>
  <c r="B47" i="7"/>
  <c r="C56" i="16" s="1"/>
  <c r="B48" i="7"/>
  <c r="C57" i="16" s="1"/>
  <c r="B45" i="7"/>
  <c r="C54" i="16" s="1"/>
  <c r="B46" i="7"/>
  <c r="C55" i="16" s="1"/>
  <c r="B44" i="7"/>
  <c r="C53" i="16" s="1"/>
  <c r="B42" i="7"/>
  <c r="C51" i="16" s="1"/>
  <c r="B43" i="7"/>
  <c r="C52" i="16" s="1"/>
  <c r="B40" i="7"/>
  <c r="C49" i="16" s="1"/>
  <c r="B39" i="7"/>
  <c r="C48" i="16" s="1"/>
  <c r="B41" i="7"/>
  <c r="C50" i="16" s="1"/>
  <c r="B38" i="7"/>
  <c r="C47" i="16" s="1"/>
  <c r="B35" i="7"/>
  <c r="C44" i="16" s="1"/>
  <c r="B34" i="7"/>
  <c r="C43" i="16" s="1"/>
  <c r="B36" i="7"/>
  <c r="C45" i="16" s="1"/>
  <c r="B37" i="7"/>
  <c r="C46" i="16" s="1"/>
  <c r="B32" i="7"/>
  <c r="C41" i="16" s="1"/>
  <c r="B33" i="7"/>
  <c r="C42" i="16" s="1"/>
  <c r="F903" i="15"/>
  <c r="G903" i="15" s="1"/>
  <c r="G904" i="15" s="1"/>
  <c r="F900" i="15"/>
  <c r="G900" i="15" s="1"/>
  <c r="F899" i="15"/>
  <c r="G899" i="15" s="1"/>
  <c r="F898" i="15"/>
  <c r="G898" i="15" s="1"/>
  <c r="F897" i="15"/>
  <c r="G897" i="15" s="1"/>
  <c r="F896" i="15"/>
  <c r="G896" i="15" s="1"/>
  <c r="F895" i="15"/>
  <c r="G895" i="15" s="1"/>
  <c r="F894" i="15"/>
  <c r="G894" i="15" s="1"/>
  <c r="F893" i="15"/>
  <c r="G893" i="15" s="1"/>
  <c r="F892" i="15"/>
  <c r="G892" i="15" s="1"/>
  <c r="F891" i="15"/>
  <c r="G891" i="15" s="1"/>
  <c r="F890" i="15"/>
  <c r="G890" i="15" s="1"/>
  <c r="F889" i="15"/>
  <c r="G889" i="15" s="1"/>
  <c r="F888" i="15"/>
  <c r="G888" i="15" s="1"/>
  <c r="F887" i="15"/>
  <c r="G887" i="15" s="1"/>
  <c r="F886" i="15"/>
  <c r="G886" i="15" s="1"/>
  <c r="F885" i="15"/>
  <c r="G885" i="15" s="1"/>
  <c r="F884" i="15"/>
  <c r="G884" i="15" s="1"/>
  <c r="F883" i="15"/>
  <c r="G883" i="15" s="1"/>
  <c r="F882" i="15"/>
  <c r="G882" i="15" s="1"/>
  <c r="F881" i="15"/>
  <c r="G881" i="15" s="1"/>
  <c r="F880" i="15"/>
  <c r="G880" i="15" s="1"/>
  <c r="F879" i="15"/>
  <c r="G879" i="15" s="1"/>
  <c r="F878" i="15"/>
  <c r="G878" i="15" s="1"/>
  <c r="F877" i="15"/>
  <c r="G877" i="15" s="1"/>
  <c r="F875" i="15"/>
  <c r="G875" i="15" s="1"/>
  <c r="F874" i="15"/>
  <c r="G874" i="15" s="1"/>
  <c r="F873" i="15"/>
  <c r="G873" i="15" s="1"/>
  <c r="F872" i="15"/>
  <c r="G872" i="15" s="1"/>
  <c r="F863" i="15"/>
  <c r="G863" i="15" s="1"/>
  <c r="G864" i="15" s="1"/>
  <c r="F860" i="15"/>
  <c r="G860" i="15" s="1"/>
  <c r="F859" i="15"/>
  <c r="G859" i="15" s="1"/>
  <c r="F858" i="15"/>
  <c r="G858" i="15" s="1"/>
  <c r="F857" i="15"/>
  <c r="G857" i="15" s="1"/>
  <c r="F856" i="15"/>
  <c r="G856" i="15" s="1"/>
  <c r="F855" i="15"/>
  <c r="G855" i="15" s="1"/>
  <c r="F854" i="15"/>
  <c r="G854" i="15" s="1"/>
  <c r="F853" i="15"/>
  <c r="G853" i="15" s="1"/>
  <c r="F852" i="15"/>
  <c r="G852" i="15" s="1"/>
  <c r="F851" i="15"/>
  <c r="G851" i="15" s="1"/>
  <c r="F850" i="15"/>
  <c r="G850" i="15" s="1"/>
  <c r="F841" i="15"/>
  <c r="F842" i="15" s="1"/>
  <c r="F838" i="15"/>
  <c r="G838" i="15" s="1"/>
  <c r="F837" i="15"/>
  <c r="G837" i="15" s="1"/>
  <c r="F836" i="15"/>
  <c r="G836" i="15" s="1"/>
  <c r="F835" i="15"/>
  <c r="G835" i="15" s="1"/>
  <c r="F834" i="15"/>
  <c r="G834" i="15" s="1"/>
  <c r="F833" i="15"/>
  <c r="G833" i="15" s="1"/>
  <c r="F832" i="15"/>
  <c r="G832" i="15" s="1"/>
  <c r="F831" i="15"/>
  <c r="G831" i="15" s="1"/>
  <c r="F830" i="15"/>
  <c r="G830" i="15" s="1"/>
  <c r="F829" i="15"/>
  <c r="G829" i="15" s="1"/>
  <c r="F828" i="15"/>
  <c r="G828" i="15" s="1"/>
  <c r="F827" i="15"/>
  <c r="G827" i="15" s="1"/>
  <c r="F826" i="15"/>
  <c r="G826" i="15" s="1"/>
  <c r="F825" i="15"/>
  <c r="G825" i="15" s="1"/>
  <c r="F824" i="15"/>
  <c r="G824" i="15" s="1"/>
  <c r="F823" i="15"/>
  <c r="G823" i="15" s="1"/>
  <c r="F822" i="15"/>
  <c r="G822" i="15" s="1"/>
  <c r="F821" i="15"/>
  <c r="G821" i="15" s="1"/>
  <c r="F820" i="15"/>
  <c r="G820" i="15" s="1"/>
  <c r="F819" i="15"/>
  <c r="G819" i="15" s="1"/>
  <c r="F818" i="15"/>
  <c r="G818" i="15" s="1"/>
  <c r="F817" i="15"/>
  <c r="G817" i="15" s="1"/>
  <c r="F816" i="15"/>
  <c r="G816" i="15" s="1"/>
  <c r="F815" i="15"/>
  <c r="G815" i="15" s="1"/>
  <c r="F814" i="15"/>
  <c r="G814" i="15" s="1"/>
  <c r="F813" i="15"/>
  <c r="G813" i="15" s="1"/>
  <c r="F812" i="15"/>
  <c r="G812" i="15" s="1"/>
  <c r="F811" i="15"/>
  <c r="G811" i="15" s="1"/>
  <c r="F810" i="15"/>
  <c r="F809" i="15"/>
  <c r="G809" i="15" s="1"/>
  <c r="F808" i="15"/>
  <c r="G808" i="15" s="1"/>
  <c r="F798" i="15"/>
  <c r="G798" i="15" s="1"/>
  <c r="G799" i="15" s="1"/>
  <c r="F795" i="15"/>
  <c r="G795" i="15" s="1"/>
  <c r="F794" i="15"/>
  <c r="G794" i="15" s="1"/>
  <c r="F793" i="15"/>
  <c r="G793" i="15" s="1"/>
  <c r="F792" i="15"/>
  <c r="G792" i="15" s="1"/>
  <c r="F791" i="15"/>
  <c r="G791" i="15" s="1"/>
  <c r="F790" i="15"/>
  <c r="G790" i="15" s="1"/>
  <c r="F789" i="15"/>
  <c r="G789" i="15" s="1"/>
  <c r="F788" i="15"/>
  <c r="G788" i="15" s="1"/>
  <c r="F787" i="15"/>
  <c r="G787" i="15" s="1"/>
  <c r="F786" i="15"/>
  <c r="G786" i="15" s="1"/>
  <c r="F785" i="15"/>
  <c r="G785" i="15" s="1"/>
  <c r="F784" i="15"/>
  <c r="G784" i="15" s="1"/>
  <c r="F783" i="15"/>
  <c r="G783" i="15" s="1"/>
  <c r="F782" i="15"/>
  <c r="G782" i="15" s="1"/>
  <c r="F781" i="15"/>
  <c r="G781" i="15" s="1"/>
  <c r="F771" i="15"/>
  <c r="F772" i="15" s="1"/>
  <c r="F768" i="15"/>
  <c r="G768" i="15" s="1"/>
  <c r="F767" i="15"/>
  <c r="G767" i="15" s="1"/>
  <c r="F766" i="15"/>
  <c r="G766" i="15" s="1"/>
  <c r="F765" i="15"/>
  <c r="G765" i="15" s="1"/>
  <c r="F764" i="15"/>
  <c r="G764" i="15" s="1"/>
  <c r="F763" i="15"/>
  <c r="G763" i="15" s="1"/>
  <c r="F762" i="15"/>
  <c r="G762" i="15" s="1"/>
  <c r="F761" i="15"/>
  <c r="G761" i="15" s="1"/>
  <c r="F760" i="15"/>
  <c r="G760" i="15" s="1"/>
  <c r="F759" i="15"/>
  <c r="G759" i="15" s="1"/>
  <c r="F758" i="15"/>
  <c r="G758" i="15" s="1"/>
  <c r="F757" i="15"/>
  <c r="G757" i="15" s="1"/>
  <c r="F756" i="15"/>
  <c r="G756" i="15" s="1"/>
  <c r="F755" i="15"/>
  <c r="G755" i="15" s="1"/>
  <c r="F754" i="15"/>
  <c r="G754" i="15" s="1"/>
  <c r="F753" i="15"/>
  <c r="G753" i="15" s="1"/>
  <c r="F743" i="15"/>
  <c r="F744" i="15" s="1"/>
  <c r="F740" i="15"/>
  <c r="G740" i="15" s="1"/>
  <c r="F739" i="15"/>
  <c r="G739" i="15" s="1"/>
  <c r="F738" i="15"/>
  <c r="G738" i="15" s="1"/>
  <c r="F737" i="15"/>
  <c r="G737" i="15" s="1"/>
  <c r="F736" i="15"/>
  <c r="G736" i="15" s="1"/>
  <c r="F735" i="15"/>
  <c r="G735" i="15" s="1"/>
  <c r="F734" i="15"/>
  <c r="G734" i="15" s="1"/>
  <c r="F733" i="15"/>
  <c r="G733" i="15" s="1"/>
  <c r="F732" i="15"/>
  <c r="G732" i="15" s="1"/>
  <c r="F731" i="15"/>
  <c r="G731" i="15" s="1"/>
  <c r="F730" i="15"/>
  <c r="G730" i="15" s="1"/>
  <c r="F729" i="15"/>
  <c r="G729" i="15" s="1"/>
  <c r="F728" i="15"/>
  <c r="G728" i="15" s="1"/>
  <c r="F727" i="15"/>
  <c r="G727" i="15" s="1"/>
  <c r="F726" i="15"/>
  <c r="G726" i="15" s="1"/>
  <c r="F725" i="15"/>
  <c r="G725" i="15" s="1"/>
  <c r="F714" i="15"/>
  <c r="F715" i="15" s="1"/>
  <c r="F711" i="15"/>
  <c r="G711" i="15" s="1"/>
  <c r="F710" i="15"/>
  <c r="G710" i="15" s="1"/>
  <c r="F709" i="15"/>
  <c r="G709" i="15" s="1"/>
  <c r="F708" i="15"/>
  <c r="G708" i="15" s="1"/>
  <c r="F707" i="15"/>
  <c r="G707" i="15" s="1"/>
  <c r="F706" i="15"/>
  <c r="G706" i="15" s="1"/>
  <c r="F705" i="15"/>
  <c r="G705" i="15" s="1"/>
  <c r="F704" i="15"/>
  <c r="G704" i="15" s="1"/>
  <c r="F703" i="15"/>
  <c r="G703" i="15" s="1"/>
  <c r="F702" i="15"/>
  <c r="G702" i="15" s="1"/>
  <c r="F701" i="15"/>
  <c r="G701" i="15" s="1"/>
  <c r="F700" i="15"/>
  <c r="G700" i="15" s="1"/>
  <c r="F699" i="15"/>
  <c r="F687" i="15"/>
  <c r="F688" i="15" s="1"/>
  <c r="F684" i="15"/>
  <c r="G684" i="15" s="1"/>
  <c r="F683" i="15"/>
  <c r="G683" i="15" s="1"/>
  <c r="F682" i="15"/>
  <c r="G682" i="15" s="1"/>
  <c r="F681" i="15"/>
  <c r="G681" i="15" s="1"/>
  <c r="F680" i="15"/>
  <c r="G680" i="15" s="1"/>
  <c r="F679" i="15"/>
  <c r="G679" i="15" s="1"/>
  <c r="F678" i="15"/>
  <c r="G678" i="15" s="1"/>
  <c r="F677" i="15"/>
  <c r="G677" i="15" s="1"/>
  <c r="F676" i="15"/>
  <c r="G676" i="15" s="1"/>
  <c r="F675" i="15"/>
  <c r="G675" i="15" s="1"/>
  <c r="F674" i="15"/>
  <c r="G674" i="15" s="1"/>
  <c r="F673" i="15"/>
  <c r="G673" i="15" s="1"/>
  <c r="F672" i="15"/>
  <c r="G672" i="15" s="1"/>
  <c r="F671" i="15"/>
  <c r="G671" i="15" s="1"/>
  <c r="F662" i="15"/>
  <c r="F663" i="15" s="1"/>
  <c r="F659" i="15"/>
  <c r="G659" i="15" s="1"/>
  <c r="F658" i="15"/>
  <c r="G658" i="15" s="1"/>
  <c r="F657" i="15"/>
  <c r="G657" i="15" s="1"/>
  <c r="F656" i="15"/>
  <c r="G656" i="15" s="1"/>
  <c r="F655" i="15"/>
  <c r="G655" i="15" s="1"/>
  <c r="F654" i="15"/>
  <c r="G654" i="15" s="1"/>
  <c r="F653" i="15"/>
  <c r="G653" i="15" s="1"/>
  <c r="F652" i="15"/>
  <c r="G652" i="15" s="1"/>
  <c r="F651" i="15"/>
  <c r="G651" i="15" s="1"/>
  <c r="F650" i="15"/>
  <c r="G650" i="15" s="1"/>
  <c r="F649" i="15"/>
  <c r="G649" i="15" s="1"/>
  <c r="F648" i="15"/>
  <c r="G648" i="15" s="1"/>
  <c r="F647" i="15"/>
  <c r="G647" i="15" s="1"/>
  <c r="F646" i="15"/>
  <c r="G646" i="15" s="1"/>
  <c r="F645" i="15"/>
  <c r="G645" i="15" s="1"/>
  <c r="F644" i="15"/>
  <c r="G644" i="15" s="1"/>
  <c r="F631" i="15"/>
  <c r="G631" i="15" s="1"/>
  <c r="G632" i="15" s="1"/>
  <c r="F628" i="15"/>
  <c r="G628" i="15" s="1"/>
  <c r="F627" i="15"/>
  <c r="G627" i="15" s="1"/>
  <c r="F626" i="15"/>
  <c r="G626" i="15" s="1"/>
  <c r="F625" i="15"/>
  <c r="G625" i="15" s="1"/>
  <c r="F624" i="15"/>
  <c r="G624" i="15" s="1"/>
  <c r="F623" i="15"/>
  <c r="G623" i="15" s="1"/>
  <c r="F622" i="15"/>
  <c r="G622" i="15" s="1"/>
  <c r="F613" i="15"/>
  <c r="F614" i="15" s="1"/>
  <c r="F610" i="15"/>
  <c r="G610" i="15" s="1"/>
  <c r="F609" i="15"/>
  <c r="G609" i="15" s="1"/>
  <c r="F608" i="15"/>
  <c r="G608" i="15" s="1"/>
  <c r="F607" i="15"/>
  <c r="G607" i="15" s="1"/>
  <c r="F606" i="15"/>
  <c r="G606" i="15" s="1"/>
  <c r="F605" i="15"/>
  <c r="G605" i="15" s="1"/>
  <c r="F604" i="15"/>
  <c r="G604" i="15" s="1"/>
  <c r="F603" i="15"/>
  <c r="G603" i="15" s="1"/>
  <c r="F602" i="15"/>
  <c r="G602" i="15" s="1"/>
  <c r="F601" i="15"/>
  <c r="G601" i="15" s="1"/>
  <c r="F600" i="15"/>
  <c r="G600" i="15" s="1"/>
  <c r="F599" i="15"/>
  <c r="G599" i="15" s="1"/>
  <c r="F598" i="15"/>
  <c r="G598" i="15" s="1"/>
  <c r="F588" i="15"/>
  <c r="G588" i="15" s="1"/>
  <c r="G589" i="15" s="1"/>
  <c r="F585" i="15"/>
  <c r="G585" i="15" s="1"/>
  <c r="F584" i="15"/>
  <c r="G584" i="15" s="1"/>
  <c r="F583" i="15"/>
  <c r="G583" i="15" s="1"/>
  <c r="F582" i="15"/>
  <c r="G582" i="15" s="1"/>
  <c r="F581" i="15"/>
  <c r="G581" i="15" s="1"/>
  <c r="F580" i="15"/>
  <c r="G580" i="15" s="1"/>
  <c r="F579" i="15"/>
  <c r="G579" i="15" s="1"/>
  <c r="F578" i="15"/>
  <c r="G578" i="15" s="1"/>
  <c r="F577" i="15"/>
  <c r="G577" i="15" s="1"/>
  <c r="F569" i="15"/>
  <c r="G569" i="15" s="1"/>
  <c r="G570" i="15" s="1"/>
  <c r="F566" i="15"/>
  <c r="G566" i="15" s="1"/>
  <c r="G841" i="15" l="1"/>
  <c r="G842" i="15" s="1"/>
  <c r="F570" i="15"/>
  <c r="G629" i="15"/>
  <c r="G714" i="15"/>
  <c r="G715" i="15" s="1"/>
  <c r="F904" i="15"/>
  <c r="F799" i="15"/>
  <c r="G901" i="15"/>
  <c r="G905" i="15" s="1"/>
  <c r="I206" i="4" s="1"/>
  <c r="F632" i="15"/>
  <c r="F712" i="15"/>
  <c r="F716" i="15" s="1"/>
  <c r="G662" i="15"/>
  <c r="G663" i="15" s="1"/>
  <c r="F839" i="15"/>
  <c r="F843" i="15" s="1"/>
  <c r="G567" i="15"/>
  <c r="F589" i="15"/>
  <c r="F611" i="15"/>
  <c r="F615" i="15" s="1"/>
  <c r="G660" i="15"/>
  <c r="G611" i="15"/>
  <c r="G769" i="15"/>
  <c r="G586" i="15"/>
  <c r="G590" i="15" s="1"/>
  <c r="I184" i="4" s="1"/>
  <c r="G861" i="15"/>
  <c r="G741" i="15"/>
  <c r="G796" i="15"/>
  <c r="G800" i="15" s="1"/>
  <c r="I200" i="4" s="1"/>
  <c r="G685" i="15"/>
  <c r="F586" i="15"/>
  <c r="F629" i="15"/>
  <c r="F796" i="15"/>
  <c r="F864" i="15"/>
  <c r="F901" i="15"/>
  <c r="I170" i="4"/>
  <c r="I172" i="4"/>
  <c r="I174" i="4"/>
  <c r="I176" i="4"/>
  <c r="I178" i="4"/>
  <c r="F685" i="15"/>
  <c r="F689" i="15" s="1"/>
  <c r="F741" i="15"/>
  <c r="F745" i="15" s="1"/>
  <c r="F769" i="15"/>
  <c r="F773" i="15" s="1"/>
  <c r="F861" i="15"/>
  <c r="G613" i="15"/>
  <c r="G614" i="15" s="1"/>
  <c r="G687" i="15"/>
  <c r="G688" i="15" s="1"/>
  <c r="G699" i="15"/>
  <c r="G712" i="15" s="1"/>
  <c r="G743" i="15"/>
  <c r="G744" i="15" s="1"/>
  <c r="G771" i="15"/>
  <c r="G772" i="15" s="1"/>
  <c r="G810" i="15"/>
  <c r="G839" i="15" s="1"/>
  <c r="F567" i="15"/>
  <c r="F660" i="15"/>
  <c r="F664" i="15" s="1"/>
  <c r="F385" i="15"/>
  <c r="G385" i="15" s="1"/>
  <c r="F384" i="15"/>
  <c r="G384" i="15" s="1"/>
  <c r="F383" i="15"/>
  <c r="G383" i="15" s="1"/>
  <c r="F382" i="15"/>
  <c r="G382" i="15" s="1"/>
  <c r="F381" i="15"/>
  <c r="G381" i="15" s="1"/>
  <c r="F380" i="15"/>
  <c r="G380" i="15" s="1"/>
  <c r="F379" i="15"/>
  <c r="G379" i="15" s="1"/>
  <c r="F378" i="15"/>
  <c r="G378" i="15" s="1"/>
  <c r="F377" i="15"/>
  <c r="G377" i="15" s="1"/>
  <c r="F376" i="15"/>
  <c r="G376" i="15" s="1"/>
  <c r="F375" i="15"/>
  <c r="G375" i="15" s="1"/>
  <c r="F374" i="15"/>
  <c r="G374" i="15" s="1"/>
  <c r="F373" i="15"/>
  <c r="G373" i="15" s="1"/>
  <c r="F372" i="15"/>
  <c r="G372" i="15" s="1"/>
  <c r="F371" i="15"/>
  <c r="G371" i="15" s="1"/>
  <c r="F357" i="15"/>
  <c r="G357" i="15" s="1"/>
  <c r="F356" i="15"/>
  <c r="G356" i="15" s="1"/>
  <c r="F355" i="15"/>
  <c r="G355" i="15" s="1"/>
  <c r="F354" i="15"/>
  <c r="G354" i="15" s="1"/>
  <c r="F353" i="15"/>
  <c r="G353" i="15" s="1"/>
  <c r="F352" i="15"/>
  <c r="G352" i="15" s="1"/>
  <c r="F351" i="15"/>
  <c r="G351" i="15" s="1"/>
  <c r="F350" i="15"/>
  <c r="G350" i="15" s="1"/>
  <c r="F349" i="15"/>
  <c r="G349" i="15" s="1"/>
  <c r="F348" i="15"/>
  <c r="G348" i="15" s="1"/>
  <c r="F334" i="15"/>
  <c r="G334" i="15" s="1"/>
  <c r="F333" i="15"/>
  <c r="G333" i="15" s="1"/>
  <c r="F332" i="15"/>
  <c r="G332" i="15" s="1"/>
  <c r="F331" i="15"/>
  <c r="G331" i="15" s="1"/>
  <c r="F330" i="15"/>
  <c r="G330" i="15" s="1"/>
  <c r="F329" i="15"/>
  <c r="G329" i="15" s="1"/>
  <c r="F328" i="15"/>
  <c r="G328" i="15" s="1"/>
  <c r="F327" i="15"/>
  <c r="G327" i="15" s="1"/>
  <c r="F326" i="15"/>
  <c r="G326" i="15" s="1"/>
  <c r="F325" i="15"/>
  <c r="G325" i="15" s="1"/>
  <c r="F286" i="15"/>
  <c r="G286" i="15" s="1"/>
  <c r="F285" i="15"/>
  <c r="G285" i="15" s="1"/>
  <c r="F284" i="15"/>
  <c r="G284" i="15" s="1"/>
  <c r="F283" i="15"/>
  <c r="G283" i="15" s="1"/>
  <c r="F282" i="15"/>
  <c r="G282" i="15" s="1"/>
  <c r="F281" i="15"/>
  <c r="G281" i="15" s="1"/>
  <c r="F280" i="15"/>
  <c r="G280" i="15" s="1"/>
  <c r="F279" i="15"/>
  <c r="G279" i="15" s="1"/>
  <c r="F278" i="15"/>
  <c r="G278" i="15" s="1"/>
  <c r="F263" i="15"/>
  <c r="G263" i="15" s="1"/>
  <c r="F262" i="15"/>
  <c r="G262" i="15" s="1"/>
  <c r="F261" i="15"/>
  <c r="G261" i="15" s="1"/>
  <c r="F260" i="15"/>
  <c r="G260" i="15" s="1"/>
  <c r="F259" i="15"/>
  <c r="G259" i="15" s="1"/>
  <c r="F258" i="15"/>
  <c r="G258" i="15" s="1"/>
  <c r="F257" i="15"/>
  <c r="G257" i="15" s="1"/>
  <c r="F256" i="15"/>
  <c r="G256" i="15" s="1"/>
  <c r="F255" i="15"/>
  <c r="G255" i="15" s="1"/>
  <c r="F239" i="15"/>
  <c r="G239" i="15" s="1"/>
  <c r="F238" i="15"/>
  <c r="G238" i="15" s="1"/>
  <c r="F237" i="15"/>
  <c r="G237" i="15" s="1"/>
  <c r="F236" i="15"/>
  <c r="G236" i="15" s="1"/>
  <c r="F235" i="15"/>
  <c r="G235" i="15" s="1"/>
  <c r="F234" i="15"/>
  <c r="G234" i="15" s="1"/>
  <c r="F233" i="15"/>
  <c r="G233" i="15" s="1"/>
  <c r="F232" i="15"/>
  <c r="G232" i="15" s="1"/>
  <c r="F231" i="15"/>
  <c r="G231" i="15" s="1"/>
  <c r="F230" i="15"/>
  <c r="G230" i="15" s="1"/>
  <c r="G571" i="15" l="1"/>
  <c r="I182" i="4" s="1"/>
  <c r="G664" i="15"/>
  <c r="G865" i="15"/>
  <c r="I204" i="4" s="1"/>
  <c r="G633" i="15"/>
  <c r="I188" i="4" s="1"/>
  <c r="H50" i="7"/>
  <c r="H47" i="7"/>
  <c r="H39" i="7"/>
  <c r="H38" i="7"/>
  <c r="H36" i="7"/>
  <c r="H34" i="7"/>
  <c r="H35" i="7"/>
  <c r="H33" i="7"/>
  <c r="H32" i="7"/>
  <c r="F571" i="15"/>
  <c r="G689" i="15"/>
  <c r="I192" i="4" s="1"/>
  <c r="F590" i="15"/>
  <c r="G843" i="15"/>
  <c r="I202" i="4" s="1"/>
  <c r="G716" i="15"/>
  <c r="I194" i="4" s="1"/>
  <c r="F905" i="15"/>
  <c r="G615" i="15"/>
  <c r="I186" i="4" s="1"/>
  <c r="G745" i="15"/>
  <c r="I196" i="4" s="1"/>
  <c r="F633" i="15"/>
  <c r="I190" i="4"/>
  <c r="F800" i="15"/>
  <c r="F865" i="15"/>
  <c r="I180" i="4"/>
  <c r="G773" i="15"/>
  <c r="I198" i="4" s="1"/>
  <c r="H41" i="7" l="1"/>
  <c r="H49" i="7"/>
  <c r="H48" i="7"/>
  <c r="H46" i="7"/>
  <c r="H45" i="7"/>
  <c r="H42" i="7"/>
  <c r="H43" i="7"/>
  <c r="H44" i="7"/>
  <c r="H40" i="7"/>
  <c r="H37" i="7"/>
  <c r="P46" i="16" s="1"/>
  <c r="W46" i="16" s="1"/>
  <c r="AC46" i="16" s="1"/>
  <c r="P47" i="16" l="1"/>
  <c r="H51" i="7"/>
  <c r="N38" i="16" s="1"/>
  <c r="C37" i="16" l="1"/>
  <c r="C36" i="16"/>
  <c r="C35" i="16"/>
  <c r="C34" i="16"/>
  <c r="C33" i="16"/>
  <c r="C32" i="16"/>
  <c r="C31" i="16"/>
  <c r="C22" i="16"/>
  <c r="O62" i="16" l="1"/>
  <c r="V47" i="16"/>
  <c r="P38" i="16"/>
  <c r="W38" i="16" s="1"/>
  <c r="J22" i="16"/>
  <c r="I22" i="16"/>
  <c r="J20" i="16"/>
  <c r="I20" i="16"/>
  <c r="I18" i="16"/>
  <c r="A20" i="7"/>
  <c r="A21" i="7" s="1"/>
  <c r="A22" i="7" s="1"/>
  <c r="A23" i="7" s="1"/>
  <c r="A24" i="7" s="1"/>
  <c r="A25" i="7" s="1"/>
  <c r="B25" i="7"/>
  <c r="B24" i="7"/>
  <c r="B23" i="7"/>
  <c r="B22" i="7"/>
  <c r="B21" i="7"/>
  <c r="B20" i="7"/>
  <c r="B19" i="7"/>
  <c r="A6" i="7"/>
  <c r="A7" i="7" s="1"/>
  <c r="A8" i="7" s="1"/>
  <c r="A9" i="7" s="1"/>
  <c r="A10" i="7" s="1"/>
  <c r="A11" i="7" s="1"/>
  <c r="A12" i="7" s="1"/>
  <c r="A13" i="7" s="1"/>
  <c r="A14" i="7" s="1"/>
  <c r="A15" i="7" s="1"/>
  <c r="A16" i="7" s="1"/>
  <c r="G142" i="4"/>
  <c r="F212" i="15"/>
  <c r="F213" i="15" s="1"/>
  <c r="B15" i="7"/>
  <c r="B14" i="7"/>
  <c r="B13" i="7"/>
  <c r="B12" i="7"/>
  <c r="B11" i="7"/>
  <c r="B10" i="7"/>
  <c r="B9" i="7"/>
  <c r="B8" i="7"/>
  <c r="B7" i="7"/>
  <c r="B6" i="7"/>
  <c r="B5" i="7"/>
  <c r="G140" i="4"/>
  <c r="G144" i="4"/>
  <c r="G162" i="4"/>
  <c r="G160" i="4"/>
  <c r="G158" i="4"/>
  <c r="G156" i="4"/>
  <c r="G154" i="4"/>
  <c r="G152" i="4"/>
  <c r="G150" i="4"/>
  <c r="F388" i="15"/>
  <c r="G388" i="15" s="1"/>
  <c r="G389" i="15" s="1"/>
  <c r="F360" i="15"/>
  <c r="F337" i="15"/>
  <c r="G337" i="15" s="1"/>
  <c r="G338" i="15" s="1"/>
  <c r="F312" i="15"/>
  <c r="F313" i="15" s="1"/>
  <c r="F309" i="15"/>
  <c r="G309" i="15" s="1"/>
  <c r="F308" i="15"/>
  <c r="G308" i="15" s="1"/>
  <c r="F307" i="15"/>
  <c r="G307" i="15" s="1"/>
  <c r="F306" i="15"/>
  <c r="G306" i="15" s="1"/>
  <c r="F305" i="15"/>
  <c r="G305" i="15" s="1"/>
  <c r="F304" i="15"/>
  <c r="G304" i="15" s="1"/>
  <c r="F303" i="15"/>
  <c r="G303" i="15" s="1"/>
  <c r="F302" i="15"/>
  <c r="G302" i="15" s="1"/>
  <c r="F301" i="15"/>
  <c r="G301" i="15" s="1"/>
  <c r="F289" i="15"/>
  <c r="G289" i="15" s="1"/>
  <c r="G290" i="15" s="1"/>
  <c r="F266" i="15"/>
  <c r="F267" i="15" s="1"/>
  <c r="F242" i="15"/>
  <c r="F243" i="15" s="1"/>
  <c r="F197" i="15"/>
  <c r="F198" i="15" s="1"/>
  <c r="F202" i="15" s="1"/>
  <c r="E187" i="15"/>
  <c r="F187" i="15" s="1"/>
  <c r="E186" i="15"/>
  <c r="F186" i="15" s="1"/>
  <c r="F185" i="15"/>
  <c r="F184" i="15"/>
  <c r="F183" i="15"/>
  <c r="F182" i="15"/>
  <c r="F179" i="15"/>
  <c r="G179" i="15" s="1"/>
  <c r="H178" i="15"/>
  <c r="F178" i="15"/>
  <c r="F163" i="15"/>
  <c r="G163" i="15" s="1"/>
  <c r="S24" i="16" s="1"/>
  <c r="I162" i="15"/>
  <c r="H162" i="15"/>
  <c r="F162" i="15"/>
  <c r="E152" i="15"/>
  <c r="F152" i="15" s="1"/>
  <c r="E151" i="15"/>
  <c r="F151" i="15" s="1"/>
  <c r="F150" i="15"/>
  <c r="F149" i="15"/>
  <c r="F148" i="15"/>
  <c r="F147" i="15"/>
  <c r="F144" i="15"/>
  <c r="A144" i="15"/>
  <c r="H143" i="15"/>
  <c r="F143" i="15"/>
  <c r="G143" i="15" s="1"/>
  <c r="H142" i="15"/>
  <c r="F142" i="15"/>
  <c r="E132" i="15"/>
  <c r="F132" i="15" s="1"/>
  <c r="E131" i="15"/>
  <c r="F131" i="15" s="1"/>
  <c r="F130" i="15"/>
  <c r="F129" i="15"/>
  <c r="F128" i="15"/>
  <c r="F127" i="15"/>
  <c r="F124" i="15"/>
  <c r="G124" i="15" s="1"/>
  <c r="A124" i="15"/>
  <c r="H123" i="15"/>
  <c r="F123" i="15"/>
  <c r="G123" i="15" s="1"/>
  <c r="H122" i="15"/>
  <c r="F122" i="15"/>
  <c r="E112" i="15"/>
  <c r="F112" i="15" s="1"/>
  <c r="E111" i="15"/>
  <c r="F111" i="15" s="1"/>
  <c r="F110" i="15"/>
  <c r="F109" i="15"/>
  <c r="F108" i="15"/>
  <c r="F107" i="15"/>
  <c r="F104" i="15"/>
  <c r="G104" i="15" s="1"/>
  <c r="A104" i="15"/>
  <c r="H103" i="15"/>
  <c r="F103" i="15"/>
  <c r="G103" i="15" s="1"/>
  <c r="H102" i="15"/>
  <c r="F102" i="15"/>
  <c r="G102" i="15" s="1"/>
  <c r="E92" i="15"/>
  <c r="F92" i="15" s="1"/>
  <c r="E91" i="15"/>
  <c r="F91" i="15" s="1"/>
  <c r="F90" i="15"/>
  <c r="F89" i="15"/>
  <c r="F88" i="15"/>
  <c r="F87" i="15"/>
  <c r="F84" i="15"/>
  <c r="G84" i="15" s="1"/>
  <c r="A84" i="15"/>
  <c r="H83" i="15"/>
  <c r="F83" i="15"/>
  <c r="G83" i="15" s="1"/>
  <c r="H82" i="15"/>
  <c r="F82" i="15"/>
  <c r="E72" i="15"/>
  <c r="F72" i="15" s="1"/>
  <c r="E71" i="15"/>
  <c r="F71" i="15" s="1"/>
  <c r="F70" i="15"/>
  <c r="F69" i="15"/>
  <c r="F68" i="15"/>
  <c r="F67" i="15"/>
  <c r="F64" i="15"/>
  <c r="G64" i="15" s="1"/>
  <c r="A64" i="15"/>
  <c r="H63" i="15"/>
  <c r="F63" i="15"/>
  <c r="G63" i="15" s="1"/>
  <c r="H62" i="15"/>
  <c r="F62" i="15"/>
  <c r="G62" i="15" s="1"/>
  <c r="E52" i="15"/>
  <c r="F52" i="15" s="1"/>
  <c r="E51" i="15"/>
  <c r="F51" i="15" s="1"/>
  <c r="F50" i="15"/>
  <c r="F49" i="15"/>
  <c r="F48" i="15"/>
  <c r="F47" i="15"/>
  <c r="F44" i="15"/>
  <c r="G44" i="15" s="1"/>
  <c r="A44" i="15"/>
  <c r="H43" i="15"/>
  <c r="F43" i="15"/>
  <c r="G43" i="15" s="1"/>
  <c r="H42" i="15"/>
  <c r="F42" i="15"/>
  <c r="E32" i="15"/>
  <c r="F32" i="15" s="1"/>
  <c r="E31" i="15"/>
  <c r="F31" i="15" s="1"/>
  <c r="F30" i="15"/>
  <c r="F29" i="15"/>
  <c r="F28" i="15"/>
  <c r="F27" i="15"/>
  <c r="F24" i="15"/>
  <c r="G24" i="15" s="1"/>
  <c r="A24" i="15"/>
  <c r="H23" i="15"/>
  <c r="F23" i="15"/>
  <c r="G23" i="15" s="1"/>
  <c r="H22" i="15"/>
  <c r="F22" i="15"/>
  <c r="G22" i="15" s="1"/>
  <c r="F12" i="15"/>
  <c r="G12" i="15" s="1"/>
  <c r="H11" i="15"/>
  <c r="F11" i="15"/>
  <c r="G11" i="15" s="1"/>
  <c r="A11" i="15"/>
  <c r="H10" i="15"/>
  <c r="B134" i="4" s="1"/>
  <c r="F10" i="15"/>
  <c r="G10" i="15" s="1"/>
  <c r="I9" i="15"/>
  <c r="H9" i="15"/>
  <c r="F9" i="15"/>
  <c r="G9" i="15" s="1"/>
  <c r="B3" i="15"/>
  <c r="B16" i="15" s="1"/>
  <c r="B36" i="15" s="1"/>
  <c r="B56" i="15" s="1"/>
  <c r="B76" i="15" s="1"/>
  <c r="B96" i="15" s="1"/>
  <c r="B116" i="15" s="1"/>
  <c r="B171" i="15" s="1"/>
  <c r="B136" i="15" s="1"/>
  <c r="B156" i="15" s="1"/>
  <c r="B191" i="15" s="1"/>
  <c r="G178" i="15" l="1"/>
  <c r="G180" i="15" s="1"/>
  <c r="F180" i="15"/>
  <c r="V22" i="16"/>
  <c r="G142" i="15"/>
  <c r="N28" i="16" s="1"/>
  <c r="F145" i="15"/>
  <c r="N18" i="16"/>
  <c r="P18" i="16" s="1"/>
  <c r="S18" i="16" s="1"/>
  <c r="AC18" i="16" s="1"/>
  <c r="I144" i="4"/>
  <c r="N20" i="16"/>
  <c r="P20" i="16" s="1"/>
  <c r="S20" i="16" s="1"/>
  <c r="AC20" i="16" s="1"/>
  <c r="AC47" i="16"/>
  <c r="AC38" i="16"/>
  <c r="B205" i="15"/>
  <c r="G212" i="15"/>
  <c r="G213" i="15" s="1"/>
  <c r="F164" i="15"/>
  <c r="F168" i="15" s="1"/>
  <c r="F290" i="15"/>
  <c r="G162" i="15"/>
  <c r="N23" i="16" s="1"/>
  <c r="F335" i="15"/>
  <c r="F338" i="15"/>
  <c r="F45" i="15"/>
  <c r="F125" i="15"/>
  <c r="F85" i="15"/>
  <c r="G42" i="15"/>
  <c r="G45" i="15" s="1"/>
  <c r="F65" i="15"/>
  <c r="F105" i="15"/>
  <c r="F25" i="15"/>
  <c r="G82" i="15"/>
  <c r="G85" i="15" s="1"/>
  <c r="G122" i="15"/>
  <c r="G125" i="15" s="1"/>
  <c r="H11" i="7" s="1"/>
  <c r="G242" i="15"/>
  <c r="G243" i="15" s="1"/>
  <c r="G25" i="15"/>
  <c r="H6" i="7" s="1"/>
  <c r="G65" i="15"/>
  <c r="G105" i="15"/>
  <c r="F53" i="15"/>
  <c r="F133" i="15"/>
  <c r="G312" i="15"/>
  <c r="G313" i="15" s="1"/>
  <c r="F13" i="15"/>
  <c r="F93" i="15"/>
  <c r="F188" i="15"/>
  <c r="F240" i="15"/>
  <c r="G13" i="15"/>
  <c r="G264" i="15"/>
  <c r="F33" i="15"/>
  <c r="F113" i="15"/>
  <c r="F153" i="15"/>
  <c r="F73" i="15"/>
  <c r="G287" i="15"/>
  <c r="G291" i="15" s="1"/>
  <c r="G197" i="15"/>
  <c r="G335" i="15"/>
  <c r="G339" i="15" s="1"/>
  <c r="F264" i="15"/>
  <c r="F268" i="15" s="1"/>
  <c r="F358" i="15"/>
  <c r="F389" i="15"/>
  <c r="F361" i="15"/>
  <c r="G360" i="15"/>
  <c r="G361" i="15" s="1"/>
  <c r="F287" i="15"/>
  <c r="G310" i="15"/>
  <c r="G144" i="15"/>
  <c r="I73" i="4" s="1"/>
  <c r="G386" i="15"/>
  <c r="G390" i="15" s="1"/>
  <c r="G266" i="15"/>
  <c r="G267" i="15" s="1"/>
  <c r="G358" i="15"/>
  <c r="G240" i="15"/>
  <c r="F386" i="15"/>
  <c r="F310" i="15"/>
  <c r="F314" i="15" s="1"/>
  <c r="N16" i="16" l="1"/>
  <c r="H394" i="15"/>
  <c r="N27" i="16"/>
  <c r="P27" i="16" s="1"/>
  <c r="S27" i="16" s="1"/>
  <c r="AC27" i="16" s="1"/>
  <c r="F244" i="15"/>
  <c r="H393" i="15"/>
  <c r="P26" i="16"/>
  <c r="U26" i="16" s="1"/>
  <c r="I135" i="4"/>
  <c r="P28" i="16"/>
  <c r="S28" i="16" s="1"/>
  <c r="AC28" i="16" s="1"/>
  <c r="G145" i="15"/>
  <c r="H12" i="7" s="1"/>
  <c r="H14" i="7"/>
  <c r="H9" i="7"/>
  <c r="I158" i="4"/>
  <c r="H23" i="7" s="1"/>
  <c r="H5" i="7"/>
  <c r="G198" i="15"/>
  <c r="H15" i="7" s="1"/>
  <c r="N25" i="16"/>
  <c r="P25" i="16" s="1"/>
  <c r="V25" i="16" s="1"/>
  <c r="G164" i="15"/>
  <c r="H13" i="7" s="1"/>
  <c r="P23" i="16"/>
  <c r="I154" i="4"/>
  <c r="H21" i="7" s="1"/>
  <c r="H10" i="7"/>
  <c r="H8" i="7"/>
  <c r="H7" i="7"/>
  <c r="I162" i="4"/>
  <c r="H25" i="7" s="1"/>
  <c r="V29" i="16"/>
  <c r="J72" i="4"/>
  <c r="J69" i="4" s="1"/>
  <c r="I134" i="4"/>
  <c r="I142" i="4"/>
  <c r="H16" i="7"/>
  <c r="F339" i="15"/>
  <c r="F291" i="15"/>
  <c r="F362" i="15"/>
  <c r="G268" i="15"/>
  <c r="G314" i="15"/>
  <c r="G244" i="15"/>
  <c r="F390" i="15"/>
  <c r="G362" i="15"/>
  <c r="W26" i="16" l="1"/>
  <c r="U60" i="16"/>
  <c r="R23" i="16"/>
  <c r="R60" i="16" s="1"/>
  <c r="I140" i="4"/>
  <c r="V60" i="16"/>
  <c r="J68" i="4"/>
  <c r="F227" i="4"/>
  <c r="P16" i="16"/>
  <c r="J133" i="4"/>
  <c r="J138" i="4"/>
  <c r="I152" i="4"/>
  <c r="H20" i="7" s="1"/>
  <c r="I156" i="4"/>
  <c r="H22" i="7" s="1"/>
  <c r="I160" i="4"/>
  <c r="H24" i="7" s="1"/>
  <c r="AC25" i="16"/>
  <c r="I150" i="4"/>
  <c r="H17" i="7"/>
  <c r="AC23" i="16" l="1"/>
  <c r="Y60" i="16"/>
  <c r="T60" i="16"/>
  <c r="AC26" i="16"/>
  <c r="S16" i="16"/>
  <c r="H19" i="7"/>
  <c r="J148" i="4"/>
  <c r="AC16" i="16" l="1"/>
  <c r="S60" i="16"/>
  <c r="I47" i="4"/>
  <c r="I58" i="4"/>
  <c r="I30" i="4" l="1"/>
  <c r="I17" i="4"/>
  <c r="I51" i="4"/>
  <c r="I35" i="4"/>
  <c r="I36" i="4"/>
  <c r="I49" i="4"/>
  <c r="I54" i="4"/>
  <c r="I14" i="4" l="1"/>
  <c r="I32" i="4"/>
  <c r="I33" i="4"/>
  <c r="I65" i="4"/>
  <c r="I52" i="4"/>
  <c r="I46" i="4"/>
  <c r="I63" i="4"/>
  <c r="I57" i="4"/>
  <c r="J44" i="4" l="1"/>
  <c r="I62" i="4"/>
  <c r="J55" i="4" s="1"/>
  <c r="I38" i="4"/>
  <c r="I39" i="4"/>
  <c r="I29" i="4"/>
  <c r="I24" i="4"/>
  <c r="I16" i="4"/>
  <c r="I22" i="4"/>
  <c r="I21" i="4"/>
  <c r="J137" i="4" l="1"/>
  <c r="I41" i="4" l="1"/>
  <c r="J12" i="4" l="1"/>
  <c r="F225" i="4" l="1"/>
  <c r="J25" i="4"/>
  <c r="F226" i="4" s="1"/>
  <c r="J11" i="4" l="1"/>
  <c r="J106" i="4" s="1"/>
  <c r="N61" i="16" s="1"/>
  <c r="P61" i="16" l="1"/>
  <c r="H26" i="7"/>
  <c r="N31" i="16" s="1"/>
  <c r="N60" i="16" s="1"/>
  <c r="N62" i="16" s="1"/>
  <c r="Q61" i="16" l="1"/>
  <c r="P31" i="16"/>
  <c r="Q62" i="16" l="1"/>
  <c r="R61" i="16"/>
  <c r="P60" i="16"/>
  <c r="P62" i="16" s="1"/>
  <c r="J42" i="4"/>
  <c r="J66" i="4" s="1"/>
  <c r="R62" i="16" l="1"/>
  <c r="S61" i="16"/>
  <c r="S62" i="16" l="1"/>
  <c r="T61" i="16"/>
  <c r="J132" i="4"/>
  <c r="J131" i="4" s="1"/>
  <c r="T62" i="16" l="1"/>
  <c r="U61" i="16"/>
  <c r="H52" i="7"/>
  <c r="U62" i="16" l="1"/>
  <c r="V61" i="16"/>
  <c r="W31" i="16"/>
  <c r="W60" i="16" s="1"/>
  <c r="V62" i="16" l="1"/>
  <c r="W61" i="16"/>
  <c r="AC31" i="16"/>
  <c r="AC60" i="16" s="1"/>
  <c r="W62" i="16" l="1"/>
  <c r="X61" i="16"/>
  <c r="X62" i="16" l="1"/>
  <c r="Y61" i="16"/>
  <c r="Y62" i="16" l="1"/>
  <c r="Z61" i="16"/>
  <c r="Z62" i="16" l="1"/>
  <c r="AA61" i="16"/>
  <c r="AA62" i="16" l="1"/>
  <c r="AB61" i="16"/>
  <c r="AB62" i="16" l="1"/>
  <c r="AC61" i="16"/>
  <c r="AC62" i="16" s="1"/>
  <c r="V63" i="16" l="1"/>
  <c r="R63" i="16"/>
  <c r="S63" i="16"/>
  <c r="U63" i="16"/>
  <c r="X63" i="16"/>
  <c r="W63" i="16"/>
  <c r="Q63" i="16"/>
  <c r="Z63" i="16"/>
  <c r="T63" i="16"/>
  <c r="Y63" i="16"/>
  <c r="AB63" i="16"/>
  <c r="AA63" i="16"/>
  <c r="J147" i="4"/>
  <c r="Q64" i="16" l="1"/>
  <c r="AC63" i="16"/>
  <c r="R64" i="16"/>
  <c r="S64" i="16" s="1"/>
  <c r="T64" i="16" s="1"/>
  <c r="U64" i="16" s="1"/>
  <c r="V64" i="16" s="1"/>
  <c r="W64" i="16" s="1"/>
  <c r="X64" i="16" s="1"/>
  <c r="Y64" i="16" s="1"/>
  <c r="Z64" i="16" s="1"/>
  <c r="AA64" i="16" s="1"/>
  <c r="AB64" i="16" s="1"/>
  <c r="J130" i="4"/>
  <c r="J208" i="4" l="1"/>
  <c r="F228" i="4"/>
  <c r="F230" i="4" s="1"/>
  <c r="I210" i="4" l="1"/>
  <c r="F222" i="4" l="1"/>
</calcChain>
</file>

<file path=xl/comments1.xml><?xml version="1.0" encoding="utf-8"?>
<comments xmlns="http://schemas.openxmlformats.org/spreadsheetml/2006/main">
  <authors>
    <author>REP_GP_UOP</author>
  </authors>
  <commentList>
    <comment ref="C32" authorId="0">
      <text>
        <r>
          <rPr>
            <b/>
            <sz val="9"/>
            <color indexed="81"/>
            <rFont val="Tahoma"/>
            <family val="2"/>
          </rPr>
          <t>REP_GP_UOP:</t>
        </r>
        <r>
          <rPr>
            <sz val="9"/>
            <color indexed="81"/>
            <rFont val="Tahoma"/>
            <family val="2"/>
          </rPr>
          <t xml:space="preserve">
cambio administrativo Control Previo</t>
        </r>
      </text>
    </comment>
  </commentList>
</comments>
</file>

<file path=xl/comments2.xml><?xml version="1.0" encoding="utf-8"?>
<comments xmlns="http://schemas.openxmlformats.org/spreadsheetml/2006/main">
  <authors>
    <author>REP_GP_UOP</author>
  </authors>
  <commentList>
    <comment ref="V8" authorId="0">
      <text>
        <r>
          <rPr>
            <b/>
            <sz val="9"/>
            <color indexed="81"/>
            <rFont val="Tahoma"/>
            <family val="2"/>
          </rPr>
          <t>REP_GP_UOP:</t>
        </r>
        <r>
          <rPr>
            <sz val="9"/>
            <color indexed="81"/>
            <rFont val="Tahoma"/>
            <family val="2"/>
          </rPr>
          <t xml:space="preserve">
cambio administrativo Control Previo</t>
        </r>
      </text>
    </comment>
    <comment ref="D11" authorId="0">
      <text>
        <r>
          <rPr>
            <b/>
            <sz val="9"/>
            <color indexed="81"/>
            <rFont val="Tahoma"/>
            <family val="2"/>
          </rPr>
          <t>REP_GP_UOP:</t>
        </r>
        <r>
          <rPr>
            <sz val="9"/>
            <color indexed="81"/>
            <rFont val="Tahoma"/>
            <family val="2"/>
          </rPr>
          <t xml:space="preserve">
cambio administrativo Control Previo</t>
        </r>
      </text>
    </comment>
    <comment ref="V39" authorId="0">
      <text>
        <r>
          <rPr>
            <b/>
            <sz val="9"/>
            <color indexed="81"/>
            <rFont val="Tahoma"/>
            <family val="2"/>
          </rPr>
          <t>REP_GP_UOP:</t>
        </r>
        <r>
          <rPr>
            <sz val="9"/>
            <color indexed="81"/>
            <rFont val="Tahoma"/>
            <family val="2"/>
          </rPr>
          <t xml:space="preserve">
cambio administrativo Control Previo</t>
        </r>
      </text>
    </comment>
    <comment ref="D42" authorId="0">
      <text>
        <r>
          <rPr>
            <b/>
            <sz val="9"/>
            <color indexed="81"/>
            <rFont val="Tahoma"/>
            <family val="2"/>
          </rPr>
          <t>REP_GP_UOP:</t>
        </r>
        <r>
          <rPr>
            <sz val="9"/>
            <color indexed="81"/>
            <rFont val="Tahoma"/>
            <family val="2"/>
          </rPr>
          <t xml:space="preserve">
cambio administrativo Control Previo</t>
        </r>
      </text>
    </comment>
    <comment ref="V67" authorId="0">
      <text>
        <r>
          <rPr>
            <b/>
            <sz val="9"/>
            <color indexed="81"/>
            <rFont val="Tahoma"/>
            <family val="2"/>
          </rPr>
          <t>REP_GP_UOP:</t>
        </r>
        <r>
          <rPr>
            <sz val="9"/>
            <color indexed="81"/>
            <rFont val="Tahoma"/>
            <family val="2"/>
          </rPr>
          <t xml:space="preserve">
cambio administrativo Control Previo</t>
        </r>
      </text>
    </comment>
  </commentList>
</comments>
</file>

<file path=xl/comments3.xml><?xml version="1.0" encoding="utf-8"?>
<comments xmlns="http://schemas.openxmlformats.org/spreadsheetml/2006/main">
  <authors>
    <author>usuario</author>
  </authors>
  <commentList>
    <comment ref="F975" authorId="0">
      <text>
        <r>
          <rPr>
            <b/>
            <sz val="9"/>
            <color indexed="81"/>
            <rFont val="Tahoma"/>
            <family val="2"/>
          </rPr>
          <t>usuario:</t>
        </r>
        <r>
          <rPr>
            <sz val="9"/>
            <color indexed="81"/>
            <rFont val="Tahoma"/>
            <family val="2"/>
          </rPr>
          <t xml:space="preserve">
POR SER EMPRESA PUBLICA SE EXIME DE PAGAR EL IVA POR CONCEPTO DE MATRICULACION VEHICULAR
</t>
        </r>
      </text>
    </comment>
  </commentList>
</comments>
</file>

<file path=xl/sharedStrings.xml><?xml version="1.0" encoding="utf-8"?>
<sst xmlns="http://schemas.openxmlformats.org/spreadsheetml/2006/main" count="4392" uniqueCount="1193">
  <si>
    <t>SERVICIOS GENERALES</t>
  </si>
  <si>
    <t>Compensación por vacaciones No gozadas por cesación de funciones</t>
  </si>
  <si>
    <t>Telecomunicaciones</t>
  </si>
  <si>
    <t>Pasajes al Interior</t>
  </si>
  <si>
    <t>Viáticos y Subsistencias en el Interior</t>
  </si>
  <si>
    <t>Mobiliarios</t>
  </si>
  <si>
    <t>Maquinaria y Equipos</t>
  </si>
  <si>
    <t>Servicio de Capacitación</t>
  </si>
  <si>
    <t>Alimentos y Bebidas</t>
  </si>
  <si>
    <t>Materiales de Oficina</t>
  </si>
  <si>
    <t>Materiales de Aseo</t>
  </si>
  <si>
    <t>Comisiones Bancarias</t>
  </si>
  <si>
    <t>Costas Judiciales</t>
  </si>
  <si>
    <t>Vehículos</t>
  </si>
  <si>
    <t>Combustibles y Lubricantes</t>
  </si>
  <si>
    <t>Remuneraciones Unificadas</t>
  </si>
  <si>
    <t xml:space="preserve">Décimo tercer sueldo </t>
  </si>
  <si>
    <t xml:space="preserve">Décimo cuarto sueldo </t>
  </si>
  <si>
    <t>Compensación por transporte</t>
  </si>
  <si>
    <t>Alimentación</t>
  </si>
  <si>
    <t>Por cargas familiares</t>
  </si>
  <si>
    <t xml:space="preserve">Subsidio por antigüedad </t>
  </si>
  <si>
    <t>Servicios Personales por Contrato</t>
  </si>
  <si>
    <t>Aporte Patronal (Incluye IECE)</t>
  </si>
  <si>
    <t xml:space="preserve">Fondos de Reserva </t>
  </si>
  <si>
    <t>TOTAL:</t>
  </si>
  <si>
    <t>OBRAS PÚBLICAS</t>
  </si>
  <si>
    <t>RIEGO Y MANEJO DE AGUAS</t>
  </si>
  <si>
    <t>Maquinaria y Equipos (retroexcavadoras)</t>
  </si>
  <si>
    <t>Desarrollo de sistemas informáticos</t>
  </si>
  <si>
    <t>Mantenimiento y reparación de equipos y sistemas informáticos</t>
  </si>
  <si>
    <t>Vestuario Lencería, Prendas de Protección y Protocolo</t>
  </si>
  <si>
    <t>Repuestos y Accesorios (neumáticos y accesorios vehículos)</t>
  </si>
  <si>
    <t>Gastos en Informática</t>
  </si>
  <si>
    <t>INGRESOS</t>
  </si>
  <si>
    <t>TOTAL</t>
  </si>
  <si>
    <t xml:space="preserve">Compensación por vacaciones No gozadas </t>
  </si>
  <si>
    <t>Subrogaciones</t>
  </si>
  <si>
    <t>Compensación por Vacaciones</t>
  </si>
  <si>
    <t>vehículos (volquetas)</t>
  </si>
  <si>
    <t>Consultoría, asesoría e Investigación Especializada</t>
  </si>
  <si>
    <t>Seguros y SOAT</t>
  </si>
  <si>
    <t>EMPRESA PÚBLICA RIDRENSUR</t>
  </si>
  <si>
    <t>Salarios unificados</t>
  </si>
  <si>
    <t>Estructura programática</t>
  </si>
  <si>
    <t>Act. 001</t>
  </si>
  <si>
    <t>Ejercicio</t>
  </si>
  <si>
    <t>Coordinadora / Unidad Ejecutora</t>
  </si>
  <si>
    <t>Unidad Ejecutora</t>
  </si>
  <si>
    <t>Geográfico</t>
  </si>
  <si>
    <t>Fuente</t>
  </si>
  <si>
    <t>Organismo</t>
  </si>
  <si>
    <t>Préstamo / Donación</t>
  </si>
  <si>
    <t>PROGRAMA   01</t>
  </si>
  <si>
    <t>Administración Pública Institucional</t>
  </si>
  <si>
    <t xml:space="preserve"> Spr - 00 -Proy 002 - Act. 001</t>
  </si>
  <si>
    <t>Tasas Generales, Impuestos, Contribuciones, permisos, Licencias y patentes  (GT; GP)</t>
  </si>
  <si>
    <t xml:space="preserve"> FUNCION</t>
  </si>
  <si>
    <t>Act. 002</t>
  </si>
  <si>
    <t>TRABAJADORES DE PLANTA</t>
  </si>
  <si>
    <t>Act. 003</t>
  </si>
  <si>
    <t>Act. 004</t>
  </si>
  <si>
    <t>Act. 005</t>
  </si>
  <si>
    <t>BIENES Y SERVICIOS</t>
  </si>
  <si>
    <t>Servicios Básicos</t>
  </si>
  <si>
    <t>Servicios Generales</t>
  </si>
  <si>
    <t>Instalación, Mantenimiento y Reparaciones</t>
  </si>
  <si>
    <t>Arrendamiento de Bienes</t>
  </si>
  <si>
    <t>Contrataciones de Estudios, Investigaciones y Servicios Técnicos Especializados</t>
  </si>
  <si>
    <t>Bienes de Uso y Consumo</t>
  </si>
  <si>
    <t>OTROS GASTOS DE INVERSIÓN</t>
  </si>
  <si>
    <t>Impuestos, Tasas y Contribuciones</t>
  </si>
  <si>
    <t>Seguros, Costos Financieros y Otros Gastos</t>
  </si>
  <si>
    <t>RESUMEN INGRESOS Y GASTOS</t>
  </si>
  <si>
    <t>EMPLEADOS DE PLANTA</t>
  </si>
  <si>
    <t>Prog. 01</t>
  </si>
  <si>
    <t>GESTIÓN DEL TALENTO HUMANO</t>
  </si>
  <si>
    <t xml:space="preserve"> Spr - 00 -Proy 001</t>
  </si>
  <si>
    <t>Institución</t>
  </si>
  <si>
    <t>Ítem</t>
  </si>
  <si>
    <t>GASTOS GENERALES DE GESTIÓN</t>
  </si>
  <si>
    <t xml:space="preserve">Investigaciones Profesionales y Exámenes de Laboratorio </t>
  </si>
  <si>
    <t>CONCEPTO</t>
  </si>
  <si>
    <t>Asignación a distribuir (INCIDENCIA POR CLASIFICADOR OBREROS. (Acuerdo MRL 2011)</t>
  </si>
  <si>
    <t xml:space="preserve"> Spr - 00 -Proy 003 Act. 001</t>
  </si>
  <si>
    <t>PARCIAL</t>
  </si>
  <si>
    <t>REMUNERACIONES BÁSICAS</t>
  </si>
  <si>
    <t>REMUNERACIONES COMPLEMENTARIAS</t>
  </si>
  <si>
    <t>REMUNERACIONES TEMPORALES</t>
  </si>
  <si>
    <t>APORTES PATRONALES A LA SEGURIDAD SOCIAL</t>
  </si>
  <si>
    <t>REMUNERACIONES COMPENSATORIAS</t>
  </si>
  <si>
    <t>SUBSIDIOS</t>
  </si>
  <si>
    <t>SISTEMAS DE RIEGO PUBLICOS</t>
  </si>
  <si>
    <t>Traslados, Instalaciones, Viáticos y Subsistencias</t>
  </si>
  <si>
    <t>Proyectos</t>
  </si>
  <si>
    <t>Monto</t>
  </si>
  <si>
    <t>INDEMNIZACIONES</t>
  </si>
  <si>
    <t>PROFORMA PRESUPUESTARIA 2016</t>
  </si>
  <si>
    <t xml:space="preserve">Edificios, Locales Residencias  </t>
  </si>
  <si>
    <t>Monto ($)</t>
  </si>
  <si>
    <t xml:space="preserve"> </t>
  </si>
  <si>
    <t>SUBTOTAL</t>
  </si>
  <si>
    <t>EMPRESA PÚBLICA DE RIEGO Y DRENAJE DEL SUR</t>
  </si>
  <si>
    <t>"RIDRENSUR EP"</t>
  </si>
  <si>
    <t>Nº</t>
  </si>
  <si>
    <t xml:space="preserve">NOMBRES Y APELLIDOS </t>
  </si>
  <si>
    <t>CARGO O PUESTO</t>
  </si>
  <si>
    <t>SALARIO RESOLUCION EP-GG-032-2014
A-M-0054-2015</t>
  </si>
  <si>
    <t>PERIODO</t>
  </si>
  <si>
    <t>TOTAL ANUAL</t>
  </si>
  <si>
    <t>APORTE PATRONAL (11,15%)</t>
  </si>
  <si>
    <t>APORTE PATRONAL IECE-SECAP
1%</t>
  </si>
  <si>
    <t>FONDOS DE RESERVA
8.33%</t>
  </si>
  <si>
    <t>DECIMO TERCER SUELDO</t>
  </si>
  <si>
    <t>VACACIONES</t>
  </si>
  <si>
    <t>DECIMO CUARTO SUELDO</t>
  </si>
  <si>
    <t>VALOR TOTAL ANUAL</t>
  </si>
  <si>
    <t>GERENCIA ADMINISTRATIVA FINANCIERA</t>
  </si>
  <si>
    <t>Ordoñez Espinoza Oswaldo Francisco</t>
  </si>
  <si>
    <t>Conductor Livianos y Pesados</t>
  </si>
  <si>
    <t>PLANTA</t>
  </si>
  <si>
    <t>Tigre Escaleras Luis</t>
  </si>
  <si>
    <t>Estrella Campoverde Manuel Augusto</t>
  </si>
  <si>
    <t>Conductor Livianos</t>
  </si>
  <si>
    <t>Espinoza Lanchi Henry Alcivar</t>
  </si>
  <si>
    <t>Gonzaga Correa Benito Ramiro</t>
  </si>
  <si>
    <t>ROMAN HIDALGO ROLANDO GERMANGEL</t>
  </si>
  <si>
    <t>Conductor Retroexcavadora y/o Maquinaria</t>
  </si>
  <si>
    <t>GERENCIA TECNICA</t>
  </si>
  <si>
    <t>CABRERA GRANDA CESAR HUMBERTO</t>
  </si>
  <si>
    <t>Maestro Mayor(Albañil)</t>
  </si>
  <si>
    <t>SALAZAR ABRIGO MANUEL AGUSTIN</t>
  </si>
  <si>
    <t>Peon (Ayudante De Topografia)</t>
  </si>
  <si>
    <t>DISTRIBUTIVO DE SERVIDORES</t>
  </si>
  <si>
    <t>SERVIDOR PROVINCIAL Y GRADO OCUPACIONAL</t>
  </si>
  <si>
    <t xml:space="preserve">SALARIO RESOLUCION EP-GG-022-2014
</t>
  </si>
  <si>
    <t>APORTE PATRONAL IECE-SECAP
0.5%</t>
  </si>
  <si>
    <t>DECIMO TERCER SUELDO
(DICIEMBRE)</t>
  </si>
  <si>
    <t>DECIMO CUARTO SUELDO
(AGOSTO)</t>
  </si>
  <si>
    <t>GERENCIA GENERAL</t>
  </si>
  <si>
    <t>MORA MARIA YOLANDA</t>
  </si>
  <si>
    <t>Gerente General</t>
  </si>
  <si>
    <t xml:space="preserve">NJS </t>
  </si>
  <si>
    <t>JIMENEZ TENE YOMARA VANESSA</t>
  </si>
  <si>
    <t>Secretaria Ejecutiva</t>
  </si>
  <si>
    <t>SP4 G10</t>
  </si>
  <si>
    <t>IÑIGUEZ OCHOA VERONICA ELIZABETH</t>
  </si>
  <si>
    <t>Responsable de Talento Humano</t>
  </si>
  <si>
    <t>SP6 G12</t>
  </si>
  <si>
    <t>TANDAZO CUENCA ZOILA ESPERANZA</t>
  </si>
  <si>
    <t xml:space="preserve">Asistente de Servicios Institucionales </t>
  </si>
  <si>
    <t>SPA1 G3</t>
  </si>
  <si>
    <t>ASESORIA JURIDICA</t>
  </si>
  <si>
    <t>BURNEO VALDIVIESO JULIAN MAURICIO</t>
  </si>
  <si>
    <t>GOMEZ ACHUPALLAS MARIA AUGUSTA</t>
  </si>
  <si>
    <t xml:space="preserve">Asistente Técnico </t>
  </si>
  <si>
    <t>SPA4 G6</t>
  </si>
  <si>
    <t>GUTIERREZ SANCHEZ BISMARK GUSTAVO</t>
  </si>
  <si>
    <t xml:space="preserve">Ingeniero Civil 2
</t>
  </si>
  <si>
    <t>LARA FAUSTO (S. PROFESIONALES)</t>
  </si>
  <si>
    <t>Técnico Zonal 1 de Infraestructura</t>
  </si>
  <si>
    <t>ESPARZA ROMERO JOSE LUIS</t>
  </si>
  <si>
    <t>Técnico Zonal 3 de Infraestructura</t>
  </si>
  <si>
    <t>ORTEGA NOVILLO BOLIVAR FERNANDO</t>
  </si>
  <si>
    <t>Tecnico Zonal 4 de Infraestructura</t>
  </si>
  <si>
    <t>ORTIZ CALLE RANDON STALIN</t>
  </si>
  <si>
    <t>Gerente Tecnico</t>
  </si>
  <si>
    <t>ESPINOZA ERREIZ LILIA ROSARIO</t>
  </si>
  <si>
    <t>Gerente Administrativo Financiero</t>
  </si>
  <si>
    <t>CAMBIZACA DIAZ WILLIAM ANTONIO</t>
  </si>
  <si>
    <t>Guardalmacen</t>
  </si>
  <si>
    <t>SP1-G7</t>
  </si>
  <si>
    <t xml:space="preserve">ANALISTA DE COMPRAS PUBLICAS </t>
  </si>
  <si>
    <t>Asistente de Sistemas</t>
  </si>
  <si>
    <t>Cotizador</t>
  </si>
  <si>
    <t>AGUIRRE MONTERO CARLOS ERNESTO</t>
  </si>
  <si>
    <t>Analista Financiero 1</t>
  </si>
  <si>
    <t>SP3-G9</t>
  </si>
  <si>
    <t>Contadora General</t>
  </si>
  <si>
    <t>SP5 G11</t>
  </si>
  <si>
    <t>JARAMILLO MONCADA VICTOR AURELIO</t>
  </si>
  <si>
    <t>Tesorero</t>
  </si>
  <si>
    <t>RIVAS JARAMILLO EDGAR</t>
  </si>
  <si>
    <t>Gerente de Planificacion</t>
  </si>
  <si>
    <t>TORRES ESPINOZA MARIA TERESA</t>
  </si>
  <si>
    <t xml:space="preserve">Asistente Técnico y de Apoyo </t>
  </si>
  <si>
    <t>LEON VEGA CARLOS VINICIO</t>
  </si>
  <si>
    <t>Ingeniero Civil 2</t>
  </si>
  <si>
    <t>HERNANDEZ OCAMPO FELIX PAUL</t>
  </si>
  <si>
    <t>Ingeniero Ambiental</t>
  </si>
  <si>
    <t>GONZALEZ FUERTES MAX JOSE</t>
  </si>
  <si>
    <t xml:space="preserve">Ingeniero Agricola </t>
  </si>
  <si>
    <t>PARRA OROSCO RAMIRO EMANUEL</t>
  </si>
  <si>
    <t>Topografo</t>
  </si>
  <si>
    <t>ROMAN LUNA EDUARDO ALEJANDRO</t>
  </si>
  <si>
    <t>Promotor Social</t>
  </si>
  <si>
    <t>SP2 G8</t>
  </si>
  <si>
    <t>COLLAHUAZO ASTUDILLO ANGEL SALVADOR</t>
  </si>
  <si>
    <t>Gerente de Operación y Mantenimiento</t>
  </si>
  <si>
    <t>JARAMILLO VASQUEZ JEFERSON JAVIER</t>
  </si>
  <si>
    <t>Asistente Administrativo-Financiero</t>
  </si>
  <si>
    <t>ARMIJOS ARMIJOS SANTOS ALFONSO</t>
  </si>
  <si>
    <t>Ingeniero Agricola 1</t>
  </si>
  <si>
    <t>SP6-G12</t>
  </si>
  <si>
    <t>ARMIJOS ARMIJOS HERNAN VINICIO</t>
  </si>
  <si>
    <t>Ingeniero Agricola 2</t>
  </si>
  <si>
    <t>CARRION JIMENEZ MANUEL HUMBERTO</t>
  </si>
  <si>
    <t>Ingeniero Agricola 3</t>
  </si>
  <si>
    <t>SANCHEZ ZAPATA FREDY 
(Comisión de Servicios desde el 01 de abril 2015 por 4 años)</t>
  </si>
  <si>
    <t>Ingeniero Agricola 4</t>
  </si>
  <si>
    <t>RESUMEN REMUNERACIONES 2016</t>
  </si>
  <si>
    <t>NRO. PERSONAS</t>
  </si>
  <si>
    <t>GERENCIA OPERACIÓN Y MANTENIMIENTO</t>
  </si>
  <si>
    <t>CONTRATO COLECTIVO</t>
  </si>
  <si>
    <t>-</t>
  </si>
  <si>
    <t>LOJA</t>
  </si>
  <si>
    <t>CHUQUIRIBAMBA</t>
  </si>
  <si>
    <t>VILCABAMBA</t>
  </si>
  <si>
    <t>ESPÍNDOLA</t>
  </si>
  <si>
    <t>SARAGURO</t>
  </si>
  <si>
    <t>MALACATOS</t>
  </si>
  <si>
    <t>Llushapa</t>
  </si>
  <si>
    <t>San Sebastian Yulug</t>
  </si>
  <si>
    <t>MERCADILLO</t>
  </si>
  <si>
    <t>PUYANGO</t>
  </si>
  <si>
    <t>PURUNUMA</t>
  </si>
  <si>
    <t>GONZANAMÁ</t>
  </si>
  <si>
    <t>GERENCIA</t>
  </si>
  <si>
    <t>GAF</t>
  </si>
  <si>
    <t>GOM</t>
  </si>
  <si>
    <t>ASIGNACIONES A DISTRIBUIR</t>
  </si>
  <si>
    <t>Arrendamiento de edificios y locales ( Oficina Zapotillo)</t>
  </si>
  <si>
    <t>GP</t>
  </si>
  <si>
    <t>GT</t>
  </si>
  <si>
    <t>GAF, GT, GP</t>
  </si>
  <si>
    <t>Parroquia</t>
  </si>
  <si>
    <t>Cantón</t>
  </si>
  <si>
    <t>SUBTOTAL OPERACIÓN Y MANTENIMIENTO</t>
  </si>
  <si>
    <t>CUEVA PAMELA</t>
  </si>
  <si>
    <t>Cod</t>
  </si>
  <si>
    <t>Concepto</t>
  </si>
  <si>
    <t>Corriente</t>
  </si>
  <si>
    <t>Capital</t>
  </si>
  <si>
    <t>GASTOS</t>
  </si>
  <si>
    <t>Gastos Personal (Corriente)</t>
  </si>
  <si>
    <t>Gastos Personal (Inversión)</t>
  </si>
  <si>
    <t>Bienes y servicios</t>
  </si>
  <si>
    <t>Obra Pública</t>
  </si>
  <si>
    <t>Otros Gastos de Inversión</t>
  </si>
  <si>
    <t>No.</t>
  </si>
  <si>
    <t>TOTAL PRESUPUESTO 2016</t>
  </si>
  <si>
    <t>TRABAJADORES CONTRATADOS</t>
  </si>
  <si>
    <t>GERENCIA PLANIFICACION</t>
  </si>
  <si>
    <t>NOMBRAMIENTO Y LIBRE REMOCION</t>
  </si>
  <si>
    <t>SERVIDORES DE PLANTA</t>
  </si>
  <si>
    <t>Total</t>
  </si>
  <si>
    <t>TOTAL  INGRESOS</t>
  </si>
  <si>
    <t>TOTAL GASTOS</t>
  </si>
  <si>
    <t>TALENTO HUMANO</t>
  </si>
  <si>
    <t>Gerencia Planificación y Estudios</t>
  </si>
  <si>
    <t>Gerencia Técnica</t>
  </si>
  <si>
    <t>Gerencia Operación y Mantenimiento</t>
  </si>
  <si>
    <t>SUBTOTAL Gerencia Técnica</t>
  </si>
  <si>
    <t>SUBTOTAL Planificación y Estudios</t>
  </si>
  <si>
    <t>CABRERA GRANDA CÉSAR HUMBERTO</t>
  </si>
  <si>
    <t>ESPINOZA LANCHI HENRY ALCIVAR</t>
  </si>
  <si>
    <t>TOTAL PROGRAMA GESTION TALENTO HUMANO</t>
  </si>
  <si>
    <t>Asistente Guardalmacen</t>
  </si>
  <si>
    <t>EMPRESA PÚBLICA DE RIEGO Y DRENAJE DEL SUR "RIDRENSUR EP"</t>
  </si>
  <si>
    <t xml:space="preserve">Nro.
</t>
  </si>
  <si>
    <t xml:space="preserve">APELLIDOS Y NOMBRES
</t>
  </si>
  <si>
    <t xml:space="preserve">CARGO
</t>
  </si>
  <si>
    <t>SALARIO RESOLUCION EP-GG-032-2014</t>
  </si>
  <si>
    <t>NRO. DIAS LABORADOS MENSUAL</t>
  </si>
  <si>
    <t>GERENCIA A LA QUE PERTENECE</t>
  </si>
  <si>
    <t>MESES</t>
  </si>
  <si>
    <t>NRO. DIAS LABORADOS ANUAL</t>
  </si>
  <si>
    <t>REMUNERACIÓN MENSUAL UNIFICADA ACTUAL</t>
  </si>
  <si>
    <t>SALARIO BASICO UNIFICADO</t>
  </si>
  <si>
    <t xml:space="preserve">SUBSIDIO POR ANTIGÜEDAD
</t>
  </si>
  <si>
    <t>NRO. CARGAS FAMILIARES</t>
  </si>
  <si>
    <t>SUBSIDIO FAMILIAR
1% SALAIO BASICO U.</t>
  </si>
  <si>
    <t>SUBSIDIO POR ALIMENTACION
$4.00</t>
  </si>
  <si>
    <t>SERVICIO DE TRANSPORTE
$0.50 CENTAVOS</t>
  </si>
  <si>
    <t xml:space="preserve">TOTAL INGRESOS
 </t>
  </si>
  <si>
    <t>MAESTRO DE OBRA
(ALBAÑIL)</t>
  </si>
  <si>
    <t>ORDOÑEZ ESPINOSA OSWALDO FRANCISCO</t>
  </si>
  <si>
    <t>GERENCIA ADMINISTRATIVO FINANCIERO</t>
  </si>
  <si>
    <t xml:space="preserve">TIGRE ESCALERAS LUIS ANTONIO </t>
  </si>
  <si>
    <t xml:space="preserve">GONZAGA CORREA BENITO </t>
  </si>
  <si>
    <t xml:space="preserve">ESTRELLA CAMPOVERDE MANUEL AUGUSTO </t>
  </si>
  <si>
    <t>Rehabilitación del Sistema de riego comunitario Sevillan-Lluzhapa-Seucer Etapa 1</t>
  </si>
  <si>
    <t>Rehabilitación del Sistema de riego comunitario Balcones I etapa San Sebastian de Yulug Etapa 1</t>
  </si>
  <si>
    <t>Rehabilitación del Sistema de Riego comunitario San Pedro de Vilcabamba Etapa 1</t>
  </si>
  <si>
    <t>Rehabilitación el Sistema de riego comunitario Palmas-Mercadillo-Cango Etapa 1</t>
  </si>
  <si>
    <t>Rehabilitación del Sistema de riego comunitario  Moquillo, Malacatos Etapa 1</t>
  </si>
  <si>
    <t>Rehabilitación del Sistema de riego comunitario  Purunuma Asnayacu Etapa 1</t>
  </si>
  <si>
    <t>Rehabilitación del Sistema de Riego comunitario Aguarango Etapa 1</t>
  </si>
  <si>
    <t>Nombre del proyecto</t>
  </si>
  <si>
    <t>Actividad presupuestaria</t>
  </si>
  <si>
    <t xml:space="preserve">Responsable: </t>
  </si>
  <si>
    <t>Tipo de compra</t>
  </si>
  <si>
    <t>Detalle</t>
  </si>
  <si>
    <t>Medida</t>
  </si>
  <si>
    <t>Precio Unitario Sin IVA</t>
  </si>
  <si>
    <t>Total Sin IVA</t>
  </si>
  <si>
    <t>Total con IVA</t>
  </si>
  <si>
    <t>Partida Presupuestaria</t>
  </si>
  <si>
    <t>Nombre Partida</t>
  </si>
  <si>
    <t>De Riego y Manejo de Aguas Construcción de obras civiles para la captación y conducción de caudales de agua a utilizarse en el riego.</t>
  </si>
  <si>
    <t>Dra. Lilia Espinoza</t>
  </si>
  <si>
    <t>Gerente Administrativo-Financiero</t>
  </si>
  <si>
    <t>Cantidad</t>
  </si>
  <si>
    <t>Cemento portlan</t>
  </si>
  <si>
    <t>sacos</t>
  </si>
  <si>
    <t>Cinta PVC a=10 cm</t>
  </si>
  <si>
    <t>Tuberia PVC S/E, d=315,00mm x 0,80Mpa</t>
  </si>
  <si>
    <t>Arena gruesa</t>
  </si>
  <si>
    <t>Grava</t>
  </si>
  <si>
    <t>Aditivo</t>
  </si>
  <si>
    <t>m</t>
  </si>
  <si>
    <t>m3</t>
  </si>
  <si>
    <t>galon</t>
  </si>
  <si>
    <t>Alambre de amarre N° 18 (rollo 20 kg))</t>
  </si>
  <si>
    <t>rollo</t>
  </si>
  <si>
    <t>Tuberia PVC S/E, d=315,00mm x 1,00Mpa</t>
  </si>
  <si>
    <t>Polilimpia</t>
  </si>
  <si>
    <t>Liston de madera L=3,00 X 0,04 X 0,05M</t>
  </si>
  <si>
    <t>Tabla de encofrado L=3,00M X 0,20</t>
  </si>
  <si>
    <t>U</t>
  </si>
  <si>
    <t>Clavos de 2" (caja 20 kg)</t>
  </si>
  <si>
    <t>caja</t>
  </si>
  <si>
    <t>Aditivo Impermehabilizante</t>
  </si>
  <si>
    <t>tubo</t>
  </si>
  <si>
    <t>Tuberia alcantarillado d=540mm x 6,00m</t>
  </si>
  <si>
    <t>Tuberia pvc de alcantarillado d=400mm x 6,00m</t>
  </si>
  <si>
    <t>Tuberia pvc s/e  d=1100mm x 1,00 Mpa x 6,00m</t>
  </si>
  <si>
    <t>Tuberia pvc s/e  d=63mm x 1,00 Mpa x 6,00m</t>
  </si>
  <si>
    <t>Tuberia pvc s/e  d=90mm x 1,00 Mpa x 6,00m</t>
  </si>
  <si>
    <t>Manguera flex d= 4" x 57 psi x rollo ( 25 metros)</t>
  </si>
  <si>
    <t>Tuberia pvc s/e  d=50mm x 1,00 Mpa x 6,00m</t>
  </si>
  <si>
    <t>MANO DE OBRA</t>
  </si>
  <si>
    <t>ALBAÑIL</t>
  </si>
  <si>
    <t>meses</t>
  </si>
  <si>
    <t>TOTAL MATERIALES $</t>
  </si>
  <si>
    <t>TOTAL MANO DE OBRA $</t>
  </si>
  <si>
    <t>MODALIDAD</t>
  </si>
  <si>
    <t>CUEVA VELASQUEZ PAMELA</t>
  </si>
  <si>
    <t>CONTADORA GENERAL</t>
  </si>
  <si>
    <t>Nombre del Proyecto</t>
  </si>
  <si>
    <t>Responsables Técnicos de los proyectos</t>
  </si>
  <si>
    <t>Tipo de compra (bien, obras, servicio o consutoría)</t>
  </si>
  <si>
    <t>Análisis hidrofísico de suelos con fines de riego</t>
  </si>
  <si>
    <t>Muestra</t>
  </si>
  <si>
    <t>Análisis físicos-químicos y microbiológicos del agua para riego</t>
  </si>
  <si>
    <t>Letrero</t>
  </si>
  <si>
    <t xml:space="preserve">Elaboración de letreros de concienciación, infromación y prohibición </t>
  </si>
  <si>
    <t xml:space="preserve">Elaboración de letreros de concienciación e infromación </t>
  </si>
  <si>
    <t>Cumplimiento del Plan de Manejo Ambiental</t>
  </si>
  <si>
    <t>Plan</t>
  </si>
  <si>
    <t>Jonathan Oviedo Zambrano</t>
  </si>
  <si>
    <t>bien</t>
  </si>
  <si>
    <t xml:space="preserve">Neumáticos  LT 245-75-R16 </t>
  </si>
  <si>
    <t>unidades</t>
  </si>
  <si>
    <t xml:space="preserve">Neumáticos  LT 235/75R15 </t>
  </si>
  <si>
    <t xml:space="preserve">Neumáticos  8.25 X16  </t>
  </si>
  <si>
    <t xml:space="preserve">Neumáticos  8.25 R16  </t>
  </si>
  <si>
    <t>Neumático  12R22.5 delantera</t>
  </si>
  <si>
    <t>Neumático  12R22.5 Posterior</t>
  </si>
  <si>
    <t xml:space="preserve">Neumático 19.5x24 </t>
  </si>
  <si>
    <t>Neumático 14x17.5</t>
  </si>
  <si>
    <t xml:space="preserve">Neumáticos 2.75 X 21  para motocicleta                  </t>
  </si>
  <si>
    <t xml:space="preserve">Neumáticos 4.10 X 18  para motocicleta                  </t>
  </si>
  <si>
    <t>Servicio</t>
  </si>
  <si>
    <t xml:space="preserve">Diesel </t>
  </si>
  <si>
    <t>galones</t>
  </si>
  <si>
    <t>Gasolina</t>
  </si>
  <si>
    <t>CHEVROLET  D-MAX</t>
  </si>
  <si>
    <t>CHEVROLET  LUV</t>
  </si>
  <si>
    <t>MAZDA  BT-50</t>
  </si>
  <si>
    <t>HINO</t>
  </si>
  <si>
    <t>UD TRUKS NISSAN</t>
  </si>
  <si>
    <t>JCV  RETROEXCAVADORA</t>
  </si>
  <si>
    <t>MOTOCLCLETA YAMAHA</t>
  </si>
  <si>
    <t xml:space="preserve">PAGO POR COMCEPTO DE RODAJE </t>
  </si>
  <si>
    <t>ALQUILER DE RETROEXCAVADORA</t>
  </si>
  <si>
    <t>HORAS</t>
  </si>
  <si>
    <t>ALQUILER DE VOLQUETE</t>
  </si>
  <si>
    <t xml:space="preserve">Amortiguador de Dirección </t>
  </si>
  <si>
    <t>14 camionetas</t>
  </si>
  <si>
    <t>Amortiguador Delantero</t>
  </si>
  <si>
    <t>Amortiguador Posterior</t>
  </si>
  <si>
    <t>Banda Alternador</t>
  </si>
  <si>
    <t>Banda de A/C</t>
  </si>
  <si>
    <t>Banda de Bomba de Dirección Hidráulica</t>
  </si>
  <si>
    <t>Banda de Accesorios</t>
  </si>
  <si>
    <t>Barra de Arrastre de Dirección</t>
  </si>
  <si>
    <t>Barra de Reparto</t>
  </si>
  <si>
    <t>Base de Caja de Cambios</t>
  </si>
  <si>
    <t>Base de Motor LH</t>
  </si>
  <si>
    <t>Base de Motor RH</t>
  </si>
  <si>
    <t>Bases de Barra Estabilizadora (Juego)</t>
  </si>
  <si>
    <t>Bomba de combustible</t>
  </si>
  <si>
    <t>Brazo Auxiliar de Dirección</t>
  </si>
  <si>
    <t>Brazo Pitman</t>
  </si>
  <si>
    <t>Brazo Axial de dirección</t>
  </si>
  <si>
    <t>Buje de Ballestas Delanteras</t>
  </si>
  <si>
    <t>Buje de Ballestas Posteriores</t>
  </si>
  <si>
    <t>Buje de Trapecio Inferior de Suspensión Delantera</t>
  </si>
  <si>
    <t>Buje de Trapecio Superior de Suspensión Delantera</t>
  </si>
  <si>
    <t>Cables de Bujías (Juego)</t>
  </si>
  <si>
    <t>Cables de Freno de Mano (juego)</t>
  </si>
  <si>
    <t>Cadena de Velocímetro</t>
  </si>
  <si>
    <t>Cauchos de Ballestas Posteriores (Grilletes, Juego)</t>
  </si>
  <si>
    <t>Cauchos de Ballestas Delanteras (Grilletes, Juego)</t>
  </si>
  <si>
    <t>Cilindro de Freno de Rueda Posterior</t>
  </si>
  <si>
    <t>Cilindro de freno de Rueda Delantera</t>
  </si>
  <si>
    <t>Cilindro Principal de Embrague</t>
  </si>
  <si>
    <t>Cilindro Principal de Freno</t>
  </si>
  <si>
    <t>Cilindro Secundario de Embrague</t>
  </si>
  <si>
    <t>Cruceta Cardán Delantero</t>
  </si>
  <si>
    <t>Cruceta Cardán Posterior</t>
  </si>
  <si>
    <t>Disco de Embrague Kit (Plato disco y separador)</t>
  </si>
  <si>
    <t>Disco de Freno Delantero</t>
  </si>
  <si>
    <t>Disco de Freno Posterior</t>
  </si>
  <si>
    <t>Espárrago de Rueda Delantera</t>
  </si>
  <si>
    <t>Espárrago de Rueda Posterior</t>
  </si>
  <si>
    <t>Grillete de Ballestas</t>
  </si>
  <si>
    <t>Interruptor de Freno (Trompo)</t>
  </si>
  <si>
    <t>Interruptor de Reversa (Trompo)</t>
  </si>
  <si>
    <t>Inyector de Combustible</t>
  </si>
  <si>
    <t>Medidor de Combustible</t>
  </si>
  <si>
    <t>Pasadores de Mordazas de Frenos (Juego)</t>
  </si>
  <si>
    <t>Pines y Bocines, tren delantero Kit</t>
  </si>
  <si>
    <t>Platino de encendido</t>
  </si>
  <si>
    <t>Condensador de encendido</t>
  </si>
  <si>
    <t>Punta de Eje (delanteros)</t>
  </si>
  <si>
    <t>Regulador de Presión de Combustible</t>
  </si>
  <si>
    <t>Retén de Cardán (Caja)</t>
  </si>
  <si>
    <t xml:space="preserve">Retén de Cono de Corona Posterior </t>
  </si>
  <si>
    <t>Retén Posterior del Cigüeñal</t>
  </si>
  <si>
    <t>Retén de Aceite de Eje Delantero</t>
  </si>
  <si>
    <t>Retén de Grasa de Rodamientos de Rueda Delantera</t>
  </si>
  <si>
    <t>Retén de Aceite de Rueda Posterior</t>
  </si>
  <si>
    <t>Rodamiento Central del Cardán</t>
  </si>
  <si>
    <t>Rodamiento (s) de Rueda Delantera</t>
  </si>
  <si>
    <t>Rodamiento (s) de Rueda Posterior</t>
  </si>
  <si>
    <t>Rótula de Suspensión Delantera (Inferior)</t>
  </si>
  <si>
    <t>Rótula de Suspensión Delantera (Superior)</t>
  </si>
  <si>
    <t>Tambores de Freno</t>
  </si>
  <si>
    <t>Terminal de Barra estabilizadora</t>
  </si>
  <si>
    <t>Terminales de Dirección (Juego)</t>
  </si>
  <si>
    <t>Tuerca de Rueda</t>
  </si>
  <si>
    <t>Bombillo de Alumbrado Principal (Luz Alta/Baja)</t>
  </si>
  <si>
    <t>Bombillo de Alumbrado Principal (Luz Alta)</t>
  </si>
  <si>
    <t>Bombillo de Alumbrado Principal (Luz Baja)</t>
  </si>
  <si>
    <t>Bombillo de Luz Direccional Delantera</t>
  </si>
  <si>
    <t>Bombillo de Luz Direccional Posterior</t>
  </si>
  <si>
    <t>Bombillo de Luz Media Delantera</t>
  </si>
  <si>
    <t>Bombillo de Luz de Reversa</t>
  </si>
  <si>
    <t xml:space="preserve">Bombillo de Luz de Freno </t>
  </si>
  <si>
    <t>Bombillo de Neblinero H3</t>
  </si>
  <si>
    <t>Bombillo de Neblinero H1</t>
  </si>
  <si>
    <t>Baterias</t>
  </si>
  <si>
    <t>3 Maquinas</t>
  </si>
  <si>
    <t>Parchado de Neumático</t>
  </si>
  <si>
    <t>Enllantaje de Neumático</t>
  </si>
  <si>
    <t>Parchado de Tubo</t>
  </si>
  <si>
    <t xml:space="preserve">Lavado de vehículos camionetas  D-Max </t>
  </si>
  <si>
    <t>unidad</t>
  </si>
  <si>
    <t>Parche en frio para neumáticos</t>
  </si>
  <si>
    <t>Enllantaje y rotación vehículos livianos</t>
  </si>
  <si>
    <t>juego</t>
  </si>
  <si>
    <t>caneca</t>
  </si>
  <si>
    <t>litro</t>
  </si>
  <si>
    <t>Refrigerante</t>
  </si>
  <si>
    <t>Cambio de Baterías 15 placas 90 amperios D-MAX</t>
  </si>
  <si>
    <t>Cambio de Baterías 15 placas 90 amperios Mazda</t>
  </si>
  <si>
    <t>Lavado de vehículos Camión hino</t>
  </si>
  <si>
    <t>Lavado de  Volquete</t>
  </si>
  <si>
    <t>Enllantaje y rotación vehículos Pesados</t>
  </si>
  <si>
    <t xml:space="preserve">Cambio de Baterías 23 placas 150 amperios Retro </t>
  </si>
  <si>
    <t>Material de oficina para desarrollar actividades técnicas, administrativas y financieras de RIDRENSUR</t>
  </si>
  <si>
    <t xml:space="preserve">Administración Central </t>
  </si>
  <si>
    <t>Responsable Presupuesto</t>
  </si>
  <si>
    <t>Willian Cambizaca Díaz</t>
  </si>
  <si>
    <t>Guardalmacen General</t>
  </si>
  <si>
    <t>Unidad</t>
  </si>
  <si>
    <t>Bien</t>
  </si>
  <si>
    <t>Archivador lomo 8 cm</t>
  </si>
  <si>
    <t>u</t>
  </si>
  <si>
    <t>7.3.08.04</t>
  </si>
  <si>
    <t>Carpetas folder cartulina KRAFT c/vincha</t>
  </si>
  <si>
    <t>Resmas de papel bond A4 75 gramos</t>
  </si>
  <si>
    <t>resma</t>
  </si>
  <si>
    <t>Resmas de papel bond A3 75 gramos</t>
  </si>
  <si>
    <t>Papel bond C1861A 90 gr/m2 (rollo / 914 mm x 45.7 mts)</t>
  </si>
  <si>
    <t>Papel bond C1860A 90 gr/m2 (rollo / 610 mm x 45.7 mts)</t>
  </si>
  <si>
    <t>Grapas 26/6 (5000 u/caja)</t>
  </si>
  <si>
    <t>Grapas 23/8 (1000 u/caja)</t>
  </si>
  <si>
    <t>Notas adehsivas 3" x 3" (100 u/paquete)</t>
  </si>
  <si>
    <t>paquete</t>
  </si>
  <si>
    <t>Notas adhesivas 3" x 5" (100 u/paquete)</t>
  </si>
  <si>
    <t>Separador plástico A4 (10 u/funda)</t>
  </si>
  <si>
    <t>funda</t>
  </si>
  <si>
    <t>Separador cartulina A4 (10 u/funda)</t>
  </si>
  <si>
    <t>Goma liquida (250 gr/frasco)</t>
  </si>
  <si>
    <t>frasco</t>
  </si>
  <si>
    <t>Aprieta papel 32 mm(12 u/caja)</t>
  </si>
  <si>
    <t>Aprieta papel 51mm(12 u/caja)</t>
  </si>
  <si>
    <t>Clips mariposa (50 u/caja)</t>
  </si>
  <si>
    <t>Clips estándar 32 mm (100 u/caja)</t>
  </si>
  <si>
    <t xml:space="preserve">caja </t>
  </si>
  <si>
    <t>Resaltador</t>
  </si>
  <si>
    <t xml:space="preserve">Sacagrapas semindustrial </t>
  </si>
  <si>
    <t>Hilo chillo (rollo)</t>
  </si>
  <si>
    <t>Minas 0.5 m</t>
  </si>
  <si>
    <t xml:space="preserve">Estilete grande </t>
  </si>
  <si>
    <t xml:space="preserve">Perforadora normal metalica </t>
  </si>
  <si>
    <t xml:space="preserve">Grapadora normal metalica </t>
  </si>
  <si>
    <t>Esfero azul punta fina/punta gruesa</t>
  </si>
  <si>
    <t>NOTA:</t>
  </si>
  <si>
    <t>Las cantidades ha sido estimadas en base a los stocks y consumo mensual</t>
  </si>
  <si>
    <t>Toners cartuchos y accesorios para operación de equipos de impresión y reproducción de RIDRENSUR</t>
  </si>
  <si>
    <t>Administración Central</t>
  </si>
  <si>
    <t xml:space="preserve">Toner p/copiadora XEROX WC 4260 negro </t>
  </si>
  <si>
    <t>Materiales de oficina</t>
  </si>
  <si>
    <t xml:space="preserve">Cartucho de tambor negro p/copiadora XEROX WC 7556 </t>
  </si>
  <si>
    <t xml:space="preserve">Toner p/copiadora XEROX WC 7556 negro </t>
  </si>
  <si>
    <t xml:space="preserve">Toner p/copiadora XEROX WC 7556 cyan </t>
  </si>
  <si>
    <t xml:space="preserve">Toner p/copiadora XEROX WC 7556 magenta </t>
  </si>
  <si>
    <t xml:space="preserve">Toner p/copiadora XEROX WC 7556 yellow </t>
  </si>
  <si>
    <t xml:space="preserve">Recipiente de residuos p/copiadora XEROX WC 7556 </t>
  </si>
  <si>
    <t xml:space="preserve">Toner  p/impresora XEROX PHASER 3635 negro </t>
  </si>
  <si>
    <t>Toner p/impresora XEROX Phaser 6280 negro</t>
  </si>
  <si>
    <t xml:space="preserve">Toner p/impresora XEROX Phaser 6280 cyan </t>
  </si>
  <si>
    <t xml:space="preserve">Toner p/impresora XEROX Phaser 6280 magenta </t>
  </si>
  <si>
    <t xml:space="preserve">Toner p/impresora XEROX Phaser 6280 yellow </t>
  </si>
  <si>
    <t>Toner p/impresora HP Laserjet P4014</t>
  </si>
  <si>
    <t>Material de aseo, limpieza y desinfección para mantenimiento de oficinas, campamentos e instalaciones de bodegas de RIDRENSUR</t>
  </si>
  <si>
    <t xml:space="preserve">Bien </t>
  </si>
  <si>
    <t>Papel higiénico jumbo (550 mts/rollo)</t>
  </si>
  <si>
    <t>7.3.08.05</t>
  </si>
  <si>
    <t>Ambiental</t>
  </si>
  <si>
    <t>galón</t>
  </si>
  <si>
    <t>Escobas cerda suave c/mango de madera o plástico</t>
  </si>
  <si>
    <t xml:space="preserve">Cera para pisos </t>
  </si>
  <si>
    <t xml:space="preserve">Desinfectante </t>
  </si>
  <si>
    <t xml:space="preserve">Cloro al 5% </t>
  </si>
  <si>
    <t>Alcohol anticeptico (1 lit/frasco)</t>
  </si>
  <si>
    <t>Jabón liquido para manos (1 lt/funda)</t>
  </si>
  <si>
    <t>Cepillo con base</t>
  </si>
  <si>
    <t>Guantes de caucho (par)</t>
  </si>
  <si>
    <t>par</t>
  </si>
  <si>
    <t>Funda de basura negra(10 f/paquete) grande</t>
  </si>
  <si>
    <t>Funda de basura negra (10 f/paquete) pequeña</t>
  </si>
  <si>
    <t>Toalla de mano absorbente (200 u/paquete)</t>
  </si>
  <si>
    <t>Tips ambiental (90 gr/caja)</t>
  </si>
  <si>
    <t>Pólizas de Seguros contra todo tipo de siniestro o riego para los bienes y materiales de RIDRENSUR periodo agosto 2016- agosto 2017</t>
  </si>
  <si>
    <t>Seguros y Soat</t>
  </si>
  <si>
    <t>Incendio y aliadas</t>
  </si>
  <si>
    <t>7.7.02.01</t>
  </si>
  <si>
    <t>Robo y/o asalto</t>
  </si>
  <si>
    <t>Vehiculo liviano y pesado</t>
  </si>
  <si>
    <t>Equipo electronico</t>
  </si>
  <si>
    <t>Equipo y maquinaria</t>
  </si>
  <si>
    <t xml:space="preserve">Rotura de maquinaria y equipo </t>
  </si>
  <si>
    <t>Responsabilidad Civil</t>
  </si>
  <si>
    <t>Fidelidad Pública</t>
  </si>
  <si>
    <t xml:space="preserve">Anexo: Insumos Valorados Planificación </t>
  </si>
  <si>
    <t>Programa:</t>
  </si>
  <si>
    <t>Nombre del proyecto:</t>
  </si>
  <si>
    <t>Actividad presupuestaria:</t>
  </si>
  <si>
    <t>Consultoría, Estudios de aguas y suelos y señalética</t>
  </si>
  <si>
    <t>Responsable Técnicos</t>
  </si>
  <si>
    <t>Ing. Carlos León  - Ing. Max González Fuertes - Ing. Paúl Hernandez Ocampo</t>
  </si>
  <si>
    <t>Estudio geotécnico obras especiales</t>
  </si>
  <si>
    <t>Global</t>
  </si>
  <si>
    <t>Señalética</t>
  </si>
  <si>
    <t>Edición, Impresión, Reproducción, Publicaciones, Suscripciones, Fotocopiado, Traducción, Empastado, Enmarcación, Serigrafía, Fotografía, Carnetización, Filmación e Imágenes Satelitales Gastos por edición, impresión, reproducción, emisión de especies fiscales; publicaciones oficiales; suscripciones; fotocopiado; traducción; empastado; enmarcación; carnetización; serigrafía, fotografía: filmación; e, imágenes satelitales.</t>
  </si>
  <si>
    <t>Estudio:</t>
  </si>
  <si>
    <t>Estudios de aguas y suelos y señalética</t>
  </si>
  <si>
    <t>Elaboración del componente Infraestructura</t>
  </si>
  <si>
    <t>Diseño del proyecto y memoria técnica</t>
  </si>
  <si>
    <t>Mes</t>
  </si>
  <si>
    <t>Elaboración del componente productivo</t>
  </si>
  <si>
    <t>Diseño Agronómico</t>
  </si>
  <si>
    <t>Elaboración del componente ambiental</t>
  </si>
  <si>
    <t>Obtención de Certificado ambiental</t>
  </si>
  <si>
    <t>Elaboración del componente social</t>
  </si>
  <si>
    <t>Línea Base y Estudio Agrosocioeconómico</t>
  </si>
  <si>
    <t>Topografía</t>
  </si>
  <si>
    <t>Levantamiento topográfico y catastral</t>
  </si>
  <si>
    <t>Viáticos y movilizaciones de técnicos</t>
  </si>
  <si>
    <t>Salidas</t>
  </si>
  <si>
    <t>Estudios de aguas y señalética</t>
  </si>
  <si>
    <t>Ing. Paúl Hernandez Ocampo</t>
  </si>
  <si>
    <t>Consultoría</t>
  </si>
  <si>
    <t>Consultoría, Asesoría e Investigación Especializada Gastos por servicios especializados de asesoría, investigación profesional y técnica.</t>
  </si>
  <si>
    <t>Anexo: Insumos Valorados Gerencia Técnica</t>
  </si>
  <si>
    <t>Compra de materiales de construcción</t>
  </si>
  <si>
    <t>Ing. Gustavo Gutierrez</t>
  </si>
  <si>
    <t xml:space="preserve">De Riego y Manejo de Aguas Construcción de obras civiles para la captación y conducción de caudales de agua a utilizarse en el riego. </t>
  </si>
  <si>
    <t xml:space="preserve">De Riego y Manejo de Aguas Construcción de obras civiles para la captación y conducción de caudales de agua a utilizarse en el riego. 7 </t>
  </si>
  <si>
    <t>Estudios de evaluación y diseño integral del sistema de riego comunitario La Concha</t>
  </si>
  <si>
    <t>Estudios de evaluación y diseño integral del sistema de riego comunitario Verdún</t>
  </si>
  <si>
    <t>Estudios de evaluación y diseño integral del sistema de riego comunitario Chantaco-Chichaca</t>
  </si>
  <si>
    <t>Estudios de evaluación y diseño integral del sistema de riego comunitario Michay-Chantaco</t>
  </si>
  <si>
    <t>Estudios de evaluación y diseño integral del sistema de riego comunitario Aguarongo</t>
  </si>
  <si>
    <t>Estudios de evaluación y diseño integral del sistema de riego comunitario Canal Alto San Pedro de Vilcabamba</t>
  </si>
  <si>
    <t>Estudios de evaluación y diseño integral del sistema de riego comunitario Santa Rosa Cristales</t>
  </si>
  <si>
    <t>Regularización ambiental de los sistemas de riego del Plan Emergente</t>
  </si>
  <si>
    <t>Chuquiribamba</t>
  </si>
  <si>
    <t>Loja</t>
  </si>
  <si>
    <t>San Pedro de la Bendita</t>
  </si>
  <si>
    <t>Catamayo</t>
  </si>
  <si>
    <t>El Tambo</t>
  </si>
  <si>
    <t>Chantaco</t>
  </si>
  <si>
    <t>San Pedro de Vilcabamba</t>
  </si>
  <si>
    <t>Quilanga</t>
  </si>
  <si>
    <t>Santa Rosa</t>
  </si>
  <si>
    <t>Saraguro</t>
  </si>
  <si>
    <t>Cumplimiento del Plan de Manejo Ambiental del Sistema de Riego Zapotillo</t>
  </si>
  <si>
    <t>Ing. Carlos León</t>
  </si>
  <si>
    <t>Km</t>
  </si>
  <si>
    <t>Levantamiento Topográfico de Redes de sistemas de riego público</t>
  </si>
  <si>
    <t>Espíndola</t>
  </si>
  <si>
    <t>Zapotillo</t>
  </si>
  <si>
    <t>Malacatos, Palmira, Vilcabamba, Quinara, Zapotillo, Guápalas, Lourdes</t>
  </si>
  <si>
    <t>Loja, Zapotillo,Puyango, Paltas</t>
  </si>
  <si>
    <t xml:space="preserve">Ingenio, Sanambay, Jorupe, Naranjo, </t>
  </si>
  <si>
    <t>Oña, Saraguro, Paquishapa</t>
  </si>
  <si>
    <t>Paltas</t>
  </si>
  <si>
    <t>Gobierno Provincial de Loja</t>
  </si>
  <si>
    <t xml:space="preserve">Planeación </t>
  </si>
  <si>
    <t>Presupuesto</t>
  </si>
  <si>
    <t xml:space="preserve">Cronograma mensual </t>
  </si>
  <si>
    <t>Programa</t>
  </si>
  <si>
    <t>Subprograma</t>
  </si>
  <si>
    <t>Proyecto</t>
  </si>
  <si>
    <t>Componentes</t>
  </si>
  <si>
    <t xml:space="preserve">Meta </t>
  </si>
  <si>
    <t>Indicador</t>
  </si>
  <si>
    <t>Medios Verificación</t>
  </si>
  <si>
    <t>Actividades presupuestarias</t>
  </si>
  <si>
    <t>Partida</t>
  </si>
  <si>
    <t>Descripción Partida</t>
  </si>
  <si>
    <t>Fecha inicio
dd/mm/aa</t>
  </si>
  <si>
    <t>Fecha fin
dd/mm/aa</t>
  </si>
  <si>
    <t>Responsable actividad</t>
  </si>
  <si>
    <t>GPL</t>
  </si>
  <si>
    <t>Instituciones</t>
  </si>
  <si>
    <t>Enero</t>
  </si>
  <si>
    <t>Febrero</t>
  </si>
  <si>
    <t>Marzo</t>
  </si>
  <si>
    <t>Abril</t>
  </si>
  <si>
    <t>Mayo</t>
  </si>
  <si>
    <t>Junio</t>
  </si>
  <si>
    <t>Julio</t>
  </si>
  <si>
    <t>Agosto</t>
  </si>
  <si>
    <t>Septiembre</t>
  </si>
  <si>
    <t>Octubre</t>
  </si>
  <si>
    <t>Noviembre</t>
  </si>
  <si>
    <t>Diciembre</t>
  </si>
  <si>
    <t>Estudios de obras, construcción y rehabilitación de sistemas de riego y drenaje</t>
  </si>
  <si>
    <t>Estudios de evaluación integral de los sistemas de riego públicos transferidos, no transferidos y comunitarios</t>
  </si>
  <si>
    <t>1. Estudios Topográficos y Catastrales 2. Suelos con fines de riego 3. Diseño Agronómico. 4. Diseño de riego Parcelario. 5. Diseño Hidráulico obra mayor. 6. Diseño Hidráulico Redes de riego 7. Plan de Manejo Ambiental  8. Precios Unitarios, Presupuesto, Cronograma</t>
  </si>
  <si>
    <t>Levantamiento topográfico catastral, Estudio de suelos con fines de riego, Diseño Hidráulico, Riego Tecnificado, Presupuesto, Cronograma, Planos</t>
  </si>
  <si>
    <t>Investigaciones Profesionales y Exámenes de Laboratorio.- Gastos incurridos por la realización de investigaciones profesionales y de laboratorio</t>
  </si>
  <si>
    <t>Gerencia Planificación</t>
  </si>
  <si>
    <t>Consultoría, Asesoría e Investigación, Especializada; Gastos por servicios especializados de asesoría, investigación Profesional y técnica.</t>
  </si>
  <si>
    <t>Programa de educación ambiental.                                                                         Programa de monitoreo y seguimiento.                                    Programa de relaciones comunitarias . Programa de deshechos sólidos.               Programa de cierre y abandono                 Programa de contingencia</t>
  </si>
  <si>
    <t>Certificados y registros ambientales     Guía de Buenas prácticas ambientales      Ficha y Plan de manejo ambiental  Análisis de Agua    Señalética Ambiental</t>
  </si>
  <si>
    <t>Señalética cumplimiento Plan de Manejo Ambiental  Sistemas de Riego: Plan Emergente</t>
  </si>
  <si>
    <t>Edición, impresión, publicación</t>
  </si>
  <si>
    <t>31/06/2016</t>
  </si>
  <si>
    <t>Ejecución Plan de manejo ambiental del Sistema de Riego Zapotillo</t>
  </si>
  <si>
    <t>Insumos, Bienes, Materiales y Suministros para la Construcción, Eléctricos, Plomería, Carpintería, Señalización Vial, Navegación y Contra Incendios Gastos en insumos, bienes, materiales y suministros para la construcción, eléctricos, plomería, carpintería, señalización vial, navegación y contra incendios.</t>
  </si>
  <si>
    <t>Estudios Topográficos, Suelos con fines de riego, Diseño Hidráulico, Presupuesto</t>
  </si>
  <si>
    <t>1.Estudios Topográfico Catastral, 2. Suelos con fines de riego, 3. Diseño Agronómico, 4. Diseño Hidráulico redes de riego, 5. Estudio Agrosocioeconómico, 6. Precios Unitarios, Presupuesto, Cronograma</t>
  </si>
  <si>
    <t>Mejoramiento integral de los sistemas de riego públicos transferidos  y no transferidos  y comunitarios de la provincia de Loja</t>
  </si>
  <si>
    <t>1. Construcción Infraestructura mayor (captación, desarenador, conducción principal, obras especiales) . 2. Construcción redes de distribución</t>
  </si>
  <si>
    <t>9  sistemas de riego       1210 hectáreas    750 usuarios</t>
  </si>
  <si>
    <t xml:space="preserve">Al finalizar el año 2016, se  construye  9 sistemas de riego comunitarios incorporando  al riego 1210 has </t>
  </si>
  <si>
    <t>Convenios, Pliegos, Materiales</t>
  </si>
  <si>
    <t>Adquisición de materiales de construcción</t>
  </si>
  <si>
    <t>31/11/2016</t>
  </si>
  <si>
    <t>OPERACIÓN Y MANTENIMIENTO DE SISTEMAS DE RIEGO</t>
  </si>
  <si>
    <t>Al finalizar el  2016, se mantienen y operan 20 sistemas de riego estatal</t>
  </si>
  <si>
    <t>AVANCE PARCIAL (%)</t>
  </si>
  <si>
    <t>AVANCE ACUMULADO  (%)</t>
  </si>
  <si>
    <t>CATAMAYO</t>
  </si>
  <si>
    <t xml:space="preserve">Actividad presupuestaria: </t>
  </si>
  <si>
    <t>Mejoramiento de la conducción principal y mantenimiento de plataformas de los sistemas de riego público La Palmira, Campana-Malacatos, Quinara-Tumianuma, Vilcabamba y Santiago, del cantón Loja</t>
  </si>
  <si>
    <t>Responsable: Técnicos de los proyectos</t>
  </si>
  <si>
    <t>Responsable: Jefe de Presupuesto</t>
  </si>
  <si>
    <t>Tipo-Compra (bien, obras, servicio o consultoría)</t>
  </si>
  <si>
    <t>Total sin IVA</t>
  </si>
  <si>
    <t>Nombre de la partida</t>
  </si>
  <si>
    <t>Sistema de riego La Palmira</t>
  </si>
  <si>
    <t>Limpieza de derrumbes en plataforma a máquina, incluye desalojo en vehículo</t>
  </si>
  <si>
    <t>De riego y Manejo de Aguas; Construcción de obras civiles para la Captación y Conducción de Caudales de agua a utilizarse en riego</t>
  </si>
  <si>
    <t>Limpieza de derrumbes sobre embaulado de canal a mano</t>
  </si>
  <si>
    <t>Colocación manto de hormigón, incluye suministro e instalación</t>
  </si>
  <si>
    <t>Subtotal</t>
  </si>
  <si>
    <t>Sistema de riego Campana-Malacatos</t>
  </si>
  <si>
    <t>Sistema de riego Quinara-Tumianuma</t>
  </si>
  <si>
    <t>Sistema de riego Vilcabamba</t>
  </si>
  <si>
    <t>Sistema de riego Santiago</t>
  </si>
  <si>
    <t>Sistema de riego Sanambay-Jimbura</t>
  </si>
  <si>
    <t>Sistema de riego Jorupe-Cangochara</t>
  </si>
  <si>
    <t>Sistema de riego Airo-Florida</t>
  </si>
  <si>
    <t>Sistema de riego Limas-Conduriacu</t>
  </si>
  <si>
    <t>Sistema de riego El Ingenio</t>
  </si>
  <si>
    <t>Mejoramiento de la conducción principal y mantenimiento de plataformas de los sistemas de riego público Tablón de Saraguro, La Papaya, Paquishapa y Chucchucchir del cantón Saraguro</t>
  </si>
  <si>
    <t>Sistema de riego Tabl{on de Saraguro</t>
  </si>
  <si>
    <t>Sistema de riego La Papaya</t>
  </si>
  <si>
    <t>Sistema de riego La Paquishapa</t>
  </si>
  <si>
    <t>Sistema de riego Chucchucchir</t>
  </si>
  <si>
    <t>Mejoramiento de la conducción principal y mantenimiento de plataformas del sistema de riego público Zapotillo del cantón Zapotillo</t>
  </si>
  <si>
    <t>Hormigón armado para construcción de tapas de embaulado</t>
  </si>
  <si>
    <t>Mejoramiento de la conducción principal y mantenimiento de plataformas del sistema de riego público Macará del cantón Macará</t>
  </si>
  <si>
    <t>Sistema de riego Macará</t>
  </si>
  <si>
    <t>Mejoramiento de la conducción principal y mantenimiento de plataformas del sistema de riego público Guápalas del cantón Puyango</t>
  </si>
  <si>
    <t>Sistema de riego Guápalas</t>
  </si>
  <si>
    <t>Mejoramiento de la conducción principal y mantenimiento de plataformas del sistema de riego público La Era del cantón Catamayo</t>
  </si>
  <si>
    <t>Sistema de riego La Era</t>
  </si>
  <si>
    <t>Mejoramiento de la conducción principal y mantenimiento de plataformas del sistema de riego público Cochas-San Vicente del cantón Paltas</t>
  </si>
  <si>
    <t>Sistema de riego Cochas-San Vicente</t>
  </si>
  <si>
    <t>TOTAL PROY</t>
  </si>
  <si>
    <t>Contratación servicio</t>
  </si>
  <si>
    <t>SERVICIO</t>
  </si>
  <si>
    <t>Contrato</t>
  </si>
  <si>
    <t>Mejoramientos de la red secundaria 3  y 8</t>
  </si>
  <si>
    <t>Mantenimiento preventivo, rutinario y correctivo del sistema de riego Vilcabamba</t>
  </si>
  <si>
    <t>Tuberia PVC C/S  110 mm, 1,25 mpa x 6 m</t>
  </si>
  <si>
    <t xml:space="preserve">Tuberia PVC SE 160MM * 6M * 1,0 MPA * </t>
  </si>
  <si>
    <t xml:space="preserve">Tuberia PVC C/S 75MM * 6M * 1,0 MPA * </t>
  </si>
  <si>
    <t xml:space="preserve">Tuberia PVC SE 63MM * 6M * 1,0 MPA * </t>
  </si>
  <si>
    <t>Mantenimiento preventivo, rutinario y correctivo del sistema de riego Santiago</t>
  </si>
  <si>
    <t>Tubería PVC presión Unión Z (6m), diámetro 250mm; 1mpa</t>
  </si>
  <si>
    <t>Union Gibault simétrica de 250 mm</t>
  </si>
  <si>
    <t>Union Gibault simétrica de 160 mm</t>
  </si>
  <si>
    <t>Union Gibault simétrica de 110 mm</t>
  </si>
  <si>
    <t>Mantenimiento preventivo, rutinario y correctivo del sistema de riego Jorupe-Cangochara</t>
  </si>
  <si>
    <t>Tuberia PVC C/S  200 mm, 1,25 mpa x 6 m</t>
  </si>
  <si>
    <t xml:space="preserve"> Tuberia PVC SE 90MM * 6M * 1,0 MPA </t>
  </si>
  <si>
    <t>Tuberia PVC C/S  63 mm, 1,0 mpa x 6 m</t>
  </si>
  <si>
    <t>Codo PVC 160 mm Radio Largo, 90°, 0,8 mpa</t>
  </si>
  <si>
    <t>Codo PVC 160 mm Radio Largo, 45°, 0,8 mpa</t>
  </si>
  <si>
    <t>Union Gibault simétrica de 200 mm</t>
  </si>
  <si>
    <t>Mantenimiento preventivo, rutinario y correctivo del sistema de riego Paquishapa</t>
  </si>
  <si>
    <t>Mantenimiento preventivo, rutinario y correctivo del sistema de riego Limas-Conduriacu</t>
  </si>
  <si>
    <t xml:space="preserve">Tuberia PVC SE 110MM * 6M * 1,0 MPA * </t>
  </si>
  <si>
    <t>Válvula aire, plásticas Triple acción, de 10 bar, 2” rosca macho</t>
  </si>
  <si>
    <t>Mantenimiento preventivo, rutinario y correctivo del sistema de riego Sanambay-Jimbura</t>
  </si>
  <si>
    <t>BIEN</t>
  </si>
  <si>
    <t>TUBERIA DE 160MM *6M * 0,8 MPA SE</t>
  </si>
  <si>
    <t>Tubos</t>
  </si>
  <si>
    <t>TUBERIA DE 110MM *6M * 1,0 MPA SE</t>
  </si>
  <si>
    <t>TUBERÍA DE 90MM * 6M * 1,0 MPA E/C</t>
  </si>
  <si>
    <t>TUBERÍA DE 63MM * 6M * 1,0 MPA E/C</t>
  </si>
  <si>
    <t>MONTURA DE 160MM * 63MM</t>
  </si>
  <si>
    <t>MONTURA DE 110MM * 63MM</t>
  </si>
  <si>
    <t>VALVULAS DE COMPUERTA DE 2"</t>
  </si>
  <si>
    <t>ADAPTADORES MACHO DE 63MM</t>
  </si>
  <si>
    <t>Valvulas de aire 3/4 triple accion</t>
  </si>
  <si>
    <t>Montura de 110MM * 3/4"</t>
  </si>
  <si>
    <t>Teflon de 15 metros</t>
  </si>
  <si>
    <t>Cajas</t>
  </si>
  <si>
    <t xml:space="preserve">Valvulas de aire 3/4 </t>
  </si>
  <si>
    <t>Mantenimiento preventivo, rutinario y correctivo del sistema de riego El Ingenio</t>
  </si>
  <si>
    <t>MANGUERA DE 2"</t>
  </si>
  <si>
    <t>Mantenimiento preventivo, rutinario y correctivo del sistema de riego La Papaya</t>
  </si>
  <si>
    <t>ROLLOS</t>
  </si>
  <si>
    <t>MANGUERA DE 1 1/2"</t>
  </si>
  <si>
    <t>MONTURA DE 160 *63</t>
  </si>
  <si>
    <t>UNIDAD</t>
  </si>
  <si>
    <t>MONTURAS DE 110 * 63</t>
  </si>
  <si>
    <t>MONTURAS DE 90 * 63</t>
  </si>
  <si>
    <t>MONTURAS DE 75 * 63</t>
  </si>
  <si>
    <t>VALVULAS DE AIRE DE 2"</t>
  </si>
  <si>
    <t>VALVULAS DE AIRE DE 1"</t>
  </si>
  <si>
    <t>VALVULAS DE AIRE DE 3/4"</t>
  </si>
  <si>
    <t>VALVULA MARIPOSA DE 110MM</t>
  </si>
  <si>
    <t>Mantenimiento preventivo, rutinario y correctivo del sistema de riego Cochas - San Vicente</t>
  </si>
  <si>
    <t>Mantenimiento preventivo, rutinario y correctivo del sistema de riego La Palmira</t>
  </si>
  <si>
    <t>Tubería, PVC, E/C  110 mm, 1,00 mpa x 6 m,</t>
  </si>
  <si>
    <t>Tubería, PVC, E/C  110 mm, 0,8 mpa x 6 m,</t>
  </si>
  <si>
    <t>Tubería, PVC, E/C  63 mm, 1,0 mpa x 6 m</t>
  </si>
  <si>
    <t>Codo PVC, 1mpa,  R/L -P-E/C, 110 mm x 45°</t>
  </si>
  <si>
    <t>Codo PVC, 1mpa,  R/L -P-E/C, 110 mm x 22,5°</t>
  </si>
  <si>
    <t>Codo PVC, 1mpa,  R/L -P-E/C, 110 mm ,11,25°</t>
  </si>
  <si>
    <t xml:space="preserve">Aditivo impermebilizante de hormigón </t>
  </si>
  <si>
    <t>Weld On</t>
  </si>
  <si>
    <t>Mantenimiento preventivo, rutinario y correctivo del sistema de riego Campana-Malacatos</t>
  </si>
  <si>
    <t>Cemento portlan, funda 45 kg</t>
  </si>
  <si>
    <t>Tubería Drenaje, PVC, corrugada, 300 mm x 6 m, incluye cauchos</t>
  </si>
  <si>
    <t>Tubería PVC, 160 mm, E/C, 0,8 mpa x 6m</t>
  </si>
  <si>
    <t>Codos PVC,160 mm Radio Largo, 22,5°, 0,8 mpa, 6 m</t>
  </si>
  <si>
    <t>Codos PVC, 160 mm  Radio Largo, 11°, 0,8 mpa, 6 m</t>
  </si>
  <si>
    <t>Válvulas de Aire, plásticas Triple acción, de 10 bar, 1” rosca macho</t>
  </si>
  <si>
    <t>Válvulas de Aire, plásticas Triple acción, de 10 bar, 2” rosca macho</t>
  </si>
  <si>
    <t>Collarín plástico, 110 mm x 1” hembra</t>
  </si>
  <si>
    <t>Collarín plástico, 160 mm x 1” hembra</t>
  </si>
  <si>
    <t>Collarín plástico, 200 mm x 2” hembra</t>
  </si>
  <si>
    <t>Unión gibault, simétrica de 110 mm</t>
  </si>
  <si>
    <t>Unión gibault, simétrica de 160 mm</t>
  </si>
  <si>
    <t>Unión gibault, simétrica de 200 mm</t>
  </si>
  <si>
    <t xml:space="preserve">Cierra para cortar hierro </t>
  </si>
  <si>
    <t>Adaptador Macho PVC,  E/C, 110 mm</t>
  </si>
  <si>
    <t>Adaptador Macho PVC,  E/C, 63 mm</t>
  </si>
  <si>
    <t>Unión soldable PVC, E/C, 160 mm</t>
  </si>
  <si>
    <t>Unión soldable PVC, E/C, 110 mm</t>
  </si>
  <si>
    <t>Unión soldable PVC, E/C, 63 mm</t>
  </si>
  <si>
    <t>Te Reductora PVC, E/C, 110 x 63 mm</t>
  </si>
  <si>
    <t>Teflón  x 50 m</t>
  </si>
  <si>
    <t>Mantenimiento preventivo, rutinario y correctivo del sistema de riego Quinara-Tumianuma</t>
  </si>
  <si>
    <t>Codos PVC, radio largo, 22,5°x 110 mm</t>
  </si>
  <si>
    <t>Válvula compuerta, 2”, 150 PSI</t>
  </si>
  <si>
    <t>Collarín PVC, 110 mm X 2” rosca hembra</t>
  </si>
  <si>
    <t>Adaptador PE, 2” macho</t>
  </si>
  <si>
    <t>Manguera PE – 2”, 100 m</t>
  </si>
  <si>
    <t>Mantenimiento preventivo, rutinario y correctivo del sistema de riego La Era</t>
  </si>
  <si>
    <t xml:space="preserve">Válvulas de Aire, plásticas Triple acción, de 10 bar, 1” rosca macho </t>
  </si>
  <si>
    <t>Collarín PVC, 160 mm X 1” rosca hembra</t>
  </si>
  <si>
    <t>Reductor largo PVC, de 160 x 110 mm</t>
  </si>
  <si>
    <t>Tubería, PVC, E/C  110 mm, 1,25 mpa x 6 m.</t>
  </si>
  <si>
    <t>Adaptador PVC, 110 mm x 1 mpa, macho</t>
  </si>
  <si>
    <t>Collarín PVC, 110 mm X 1” rosca hembra</t>
  </si>
  <si>
    <t>Válvula de compuerta de 4”, 200 PSI</t>
  </si>
  <si>
    <t>Adaptador PE, 2” macho rosca</t>
  </si>
  <si>
    <t>Tubería Drenaje, PVC, corrugada, 400 mm x 6 m, incluye cauchos</t>
  </si>
  <si>
    <t>Tubería, PVC, E/C  200 mm, 1,25 mpa x 6 m</t>
  </si>
  <si>
    <t>Válvulas de Aire, plásticas Triple acción, de 10 bar, 3/4” rosca macho</t>
  </si>
  <si>
    <t>Collarín plástico,63 mm x 3/4” hembra</t>
  </si>
  <si>
    <t>Valvula compuerta de 2”</t>
  </si>
  <si>
    <t>Adaptador macho PVC, 63 mm x 1 mpa</t>
  </si>
  <si>
    <t>Adquisición de materiales de Construcción, Eléctricos, Plomería y Carpintería, manto de Hormigón, para labores de mantenimiento preventivo, rutinario y correctivo del Sistema de Riego Vilcabamba</t>
  </si>
  <si>
    <t>Adquisición de materiales de Construcción, Eléctricos, Plomería y Carpintería, manto de Hormigón, para labores de mantenimiento preventivo, rutinario y correctivo del Sistema de riego Santiago</t>
  </si>
  <si>
    <t>Adquisición de materiales de Construcción, Eléctricos, Plomería y Carpintería, manto de Hormigón, para labores de mantenimiento preventivo, rutinario y correctivo del Sistema de Riego Jorupe-Cangochara</t>
  </si>
  <si>
    <t>Adquisición de materiales de Construcción, Eléctricos, Plomería y Carpintería, manto de Hormigón, para labores de mantenimiento preventivo, rutinario y correctivo del Sistema de Riego Paquishapa</t>
  </si>
  <si>
    <t>Adquisición de materiales de Construcción, Eléctricos, Plomería y Carpintería, manto de Hormigón, para labores de mantenimiento preventivo, rutinario y correctivo del Sistema de Riego Limas Conduriacu</t>
  </si>
  <si>
    <t>Adquisición de materiales de Construcción, Eléctricos, Plomería y Carpintería, manto de Hormigón, para labores de mantenimiento preventivo, rutinario y correctivo del Sistema de Riego Sanambay Jimbura</t>
  </si>
  <si>
    <t>Adquisición de materiales de Construcción, Eléctricos, Plomería y Carpintería, manto de Hormigón, para labores de mantenimiento preventivo, rutinario y correctivo del Sistema de riego El Ingenio</t>
  </si>
  <si>
    <t>Adquisición de materiales de Construcción, Eléctricos, Plomería y Carpintería, manto de Hormigón, para labores de mantenimiento preventivo, rutinario y correctivo del Sistema de riego Cochas-San Vicente</t>
  </si>
  <si>
    <t>Adquisición de materiales de Construcción, Eléctricos, Plomería y Carpintería, manto de Hormigón, para labores de mantenimiento preventivo, rutinario y correctivo de Ssietma de riego La Palmira</t>
  </si>
  <si>
    <t>Adquisición de materiales de Construcción, Eléctricos, Plomería y Carpintería, manto de Hormigón, para labores de mantenimiento preventivo, rutinario y correctivo del Sistema de riego Campana-Malacatos</t>
  </si>
  <si>
    <t>Adquisición de materiales de Construcción, Eléctricos, Plomería y Carpintería, manto de Hormigón, para labores de mantenimiento preventivo, rutinario y correctivo del Sistema de rigo Quinara-Tuminauma</t>
  </si>
  <si>
    <t>Adquisición de materiales de Construcción, Eléctricos, Plomería y Carpintería, manto de Hormigón, para labores de mantenimiento preventivo, rutinario y correctivo del Sistema de riego La Era</t>
  </si>
  <si>
    <r>
      <t>m</t>
    </r>
    <r>
      <rPr>
        <sz val="8"/>
        <color indexed="8"/>
        <rFont val="Calibri"/>
        <family val="2"/>
        <scheme val="minor"/>
      </rPr>
      <t>³</t>
    </r>
  </si>
  <si>
    <r>
      <t>m</t>
    </r>
    <r>
      <rPr>
        <sz val="8"/>
        <color indexed="8"/>
        <rFont val="Calibri"/>
        <family val="2"/>
        <scheme val="minor"/>
      </rPr>
      <t>²</t>
    </r>
  </si>
  <si>
    <t>Cambio de Aceite 80W90 –  caja</t>
  </si>
  <si>
    <t>Cambio de Aceite 85W140- corona</t>
  </si>
  <si>
    <t>Cambio de Filtro de aceite para  hino</t>
  </si>
  <si>
    <t>Cambio de Filtro de combustible hino</t>
  </si>
  <si>
    <t xml:space="preserve">Cambio de Filtro de aire primario y secundario hino </t>
  </si>
  <si>
    <t>Cambio de Filtro Aceite NISSAN UD TRUCKS</t>
  </si>
  <si>
    <t>Cambio de Filtro Diesel NISSAN UD TRUCKS</t>
  </si>
  <si>
    <t>Cambio de Filtro Aire NISSAN UD TRUCKS</t>
  </si>
  <si>
    <t>Cambio de Zapatas  vehículos pesados</t>
  </si>
  <si>
    <t>Cambio de Filtro de aceite retroexcavadora JCB</t>
  </si>
  <si>
    <t>Cambio de Filtro de combustible retroexcavadora JCB</t>
  </si>
  <si>
    <t>Cambio de Filtro de aire retroexcavadora JCB</t>
  </si>
  <si>
    <t>Cambio de Filtro JCB trasmisión</t>
  </si>
  <si>
    <t>Cambio de Filtro JCB hidráulico</t>
  </si>
  <si>
    <t>Cambio de Filtro JCB RA</t>
  </si>
  <si>
    <t>Cambio de Aceite hidráulico rojo</t>
  </si>
  <si>
    <t>Cambio de Aceite hidráulico 68</t>
  </si>
  <si>
    <t>Responsable Jefe de Presupuesto</t>
  </si>
  <si>
    <t>Servico</t>
  </si>
  <si>
    <t>Amortiguadores Delanteros</t>
  </si>
  <si>
    <t>Amortiguadores Posteriores</t>
  </si>
  <si>
    <t>Base de Motor</t>
  </si>
  <si>
    <t>Bocines de Ballestas</t>
  </si>
  <si>
    <t>Cables de Freno de Mano</t>
  </si>
  <si>
    <t>Cilindro de Freno de Rueda</t>
  </si>
  <si>
    <t>Pulmón de Freno</t>
  </si>
  <si>
    <t>Cruceta Cardán</t>
  </si>
  <si>
    <t>Retén de Caja (Cardán)</t>
  </si>
  <si>
    <t>Retén de Cono de Corona</t>
  </si>
  <si>
    <t>Retén de Grasa de Rodamientos de Rueda Posterior</t>
  </si>
  <si>
    <t>Retén de aceite de Rueda Posterior</t>
  </si>
  <si>
    <t>Terminales de Dirección</t>
  </si>
  <si>
    <t>Bombillo de Alumbrado Principal</t>
  </si>
  <si>
    <t>Bombillo de Alumbrado Auxiliar</t>
  </si>
  <si>
    <t>Accesorios de Caja de Cambios</t>
  </si>
  <si>
    <t>Accesorios de Motor</t>
  </si>
  <si>
    <t>Accesorios de Caja de Dirección</t>
  </si>
  <si>
    <t>Accesorios de Corona y Diferencial</t>
  </si>
  <si>
    <t>Tubo de Escape</t>
  </si>
  <si>
    <t>Radiador</t>
  </si>
  <si>
    <t>Carga de Gas (Aire Acondicionado)</t>
  </si>
  <si>
    <t>Tambor de Freno</t>
  </si>
  <si>
    <t>Cambio Aceite 20w50 SN</t>
  </si>
  <si>
    <t xml:space="preserve">Cambio de Filtro aceite mazda </t>
  </si>
  <si>
    <t xml:space="preserve">Cambio de Filtro aire para mazda </t>
  </si>
  <si>
    <t xml:space="preserve">Cambio de Filtro aceite D-MAX </t>
  </si>
  <si>
    <t>Cambio Filtro aire para  D-MAX</t>
  </si>
  <si>
    <t>Cambio de Filtro de combustible para Mazda BT-50</t>
  </si>
  <si>
    <t>Cambio de Filtro de combustible para D-MAX</t>
  </si>
  <si>
    <t>Cambio de Pastillas vehículos livianos</t>
  </si>
  <si>
    <t>Cambio de Zapatas vehículos livianos</t>
  </si>
  <si>
    <t>Cambio de TQD 1/4</t>
  </si>
  <si>
    <t>Engrasado</t>
  </si>
  <si>
    <t>Cambio de Liquido de freno</t>
  </si>
  <si>
    <t>Cambio de Aceite 15W40 5/1</t>
  </si>
  <si>
    <t>Cambio de Aceite 15W40 2.5</t>
  </si>
  <si>
    <t>Cambi de Aceite 15W40</t>
  </si>
  <si>
    <t>Cambio Aceite TO4-30</t>
  </si>
  <si>
    <t xml:space="preserve">Dra. Lilia Espinoza Erreiz </t>
  </si>
  <si>
    <t>Anexo: Insumos Valorados</t>
  </si>
  <si>
    <t xml:space="preserve">Dra. Lilia Espinoza Erreiz, </t>
  </si>
  <si>
    <t>Dra. Lilia Espinoza Erreiz</t>
  </si>
  <si>
    <t>Dra. Lilia Espinoza Erreiz,</t>
  </si>
  <si>
    <t>Adecuaciones y Mantenimiento de Oficinas y Bodega</t>
  </si>
  <si>
    <t>Foco luz mixta 220 v</t>
  </si>
  <si>
    <t>7.3.04.02</t>
  </si>
  <si>
    <t>Instalación Mantenimiento y Reparaciones Edificios Locales Residencias</t>
  </si>
  <si>
    <t>Lamparas fluorescentes varias medidas</t>
  </si>
  <si>
    <t>Pintura varios colores</t>
  </si>
  <si>
    <t>Brochas varias medidas</t>
  </si>
  <si>
    <t xml:space="preserve">Cable sólido </t>
  </si>
  <si>
    <t>Instalación Mantenimiento y Reparaciones para Mobiliarios</t>
  </si>
  <si>
    <t>Chapas de escritorio, archivadores y puertas</t>
  </si>
  <si>
    <t>7.3.04.03</t>
  </si>
  <si>
    <t>Instalación Mantenimiento y Reparaciones Mobiliarios</t>
  </si>
  <si>
    <t xml:space="preserve">Perchas metalicas (incluye material y mano obra) </t>
  </si>
  <si>
    <t>Instalación Mantenimiento y Reparaciones para Equipos Informaticos</t>
  </si>
  <si>
    <t>Mouse óptico para computador escritorio</t>
  </si>
  <si>
    <t>7.3.07.04</t>
  </si>
  <si>
    <t>Gastos en Informatica</t>
  </si>
  <si>
    <t>Mouse óptico para computador portatil</t>
  </si>
  <si>
    <t>Teclados</t>
  </si>
  <si>
    <t>Mantenimiento equipos informaticos (semestral)</t>
  </si>
  <si>
    <t xml:space="preserve">Reparación equipos informaticos </t>
  </si>
  <si>
    <t xml:space="preserve">Ropa de trabajo y prendas de protección para 12 ( trabajadores de planta/contratados) de RIDRENSUR </t>
  </si>
  <si>
    <t xml:space="preserve">Chaqueta </t>
  </si>
  <si>
    <t>7.3.08.02</t>
  </si>
  <si>
    <t>Vestuario Lenceria Prendas de Protección Protocolo</t>
  </si>
  <si>
    <t xml:space="preserve">Pantalón </t>
  </si>
  <si>
    <t>Zapato tipo bota</t>
  </si>
  <si>
    <t>Bota de caucho</t>
  </si>
  <si>
    <t>Poncho impermeable</t>
  </si>
  <si>
    <t>Terno impermeable (chaqueta/pantalón)</t>
  </si>
  <si>
    <t>Mascarilla de seguridad</t>
  </si>
  <si>
    <t>Gafa de seguridad</t>
  </si>
  <si>
    <t xml:space="preserve">Guante de cuero </t>
  </si>
  <si>
    <t>Alimentos y bebidas para reuniones con juntas de regantes</t>
  </si>
  <si>
    <t>Coffe breack para reuniones con juntas de regantes</t>
  </si>
  <si>
    <t>7.3.08.01</t>
  </si>
  <si>
    <t>Alimentos y bebidas</t>
  </si>
  <si>
    <t>EMPLEADOS  BAJO MODALIDAD DE CONTRATO</t>
  </si>
  <si>
    <t>GAF, GP</t>
  </si>
  <si>
    <t>Anexo: Insumos Valorados Gerencia Administrativa Financiera</t>
  </si>
  <si>
    <t>Anexo de insumos valorados Gerencia de Operación y Mantenimiento</t>
  </si>
  <si>
    <t>ZAPOTILLO</t>
  </si>
  <si>
    <t>MACARÁ</t>
  </si>
  <si>
    <t>GUAPÁLAS</t>
  </si>
  <si>
    <t>PALTAS</t>
  </si>
  <si>
    <t>SUPERFICIE</t>
  </si>
  <si>
    <t>BENEFICIARIOS</t>
  </si>
  <si>
    <t>HAS</t>
  </si>
  <si>
    <t>FAMILIAS</t>
  </si>
  <si>
    <t>$</t>
  </si>
  <si>
    <t>Investigaciones Profesionales y Exámenes de Laboratorio</t>
  </si>
  <si>
    <t>TRABAJADORES  BAJO MODALIDAD DE CONTRATO</t>
  </si>
  <si>
    <t xml:space="preserve">Elaboración de letreros de concienciación e información </t>
  </si>
  <si>
    <t xml:space="preserve">Elaboración de letreros de concienciación, información y prohibición </t>
  </si>
  <si>
    <t>INFORMACION GENERAL DE LOS SISTEMAS DE RIEGO PUBLICO DE LA PROVINCIA DE LOJA 2015</t>
  </si>
  <si>
    <t>Nro.</t>
  </si>
  <si>
    <t>Sistema de riego</t>
  </si>
  <si>
    <t>Ubicación</t>
  </si>
  <si>
    <t>Área regable (ha)</t>
  </si>
  <si>
    <t>Usuarios</t>
  </si>
  <si>
    <t>Longitud Canal  km</t>
  </si>
  <si>
    <t>Longitud Secundarias km</t>
  </si>
  <si>
    <t>Longitud plataforma km</t>
  </si>
  <si>
    <t>Cultivos</t>
  </si>
  <si>
    <t>La Palmira</t>
  </si>
  <si>
    <t>Quinara</t>
  </si>
  <si>
    <t>Caña, maíz, frutales</t>
  </si>
  <si>
    <t>Quinara-Tumianuma</t>
  </si>
  <si>
    <t>Caña, frutales, maíz</t>
  </si>
  <si>
    <t>Vilcabamba</t>
  </si>
  <si>
    <t>Caña, café, tomate, pepino</t>
  </si>
  <si>
    <t>Campana-Malacatos</t>
  </si>
  <si>
    <t>Malacatos</t>
  </si>
  <si>
    <t>Caña, tomate, pepino, fréjos</t>
  </si>
  <si>
    <t>Santiago</t>
  </si>
  <si>
    <t>Santiago y El Valle</t>
  </si>
  <si>
    <t>Pastos, cultivos de huertas</t>
  </si>
  <si>
    <t>Sanambay-Jimbura</t>
  </si>
  <si>
    <t>Jimbura</t>
  </si>
  <si>
    <t>Pastos, café, maíz, fréjol</t>
  </si>
  <si>
    <t>Jorupe-Cangochara</t>
  </si>
  <si>
    <t>Santa Teresita</t>
  </si>
  <si>
    <t>Pastos, maíz, fréjoñ</t>
  </si>
  <si>
    <t>Airo-Florida</t>
  </si>
  <si>
    <t>Amaluza</t>
  </si>
  <si>
    <t> Pasto, Maíz, cafe</t>
  </si>
  <si>
    <t>El Ingenio</t>
  </si>
  <si>
    <t> Pasto, maíz, fréjoñ</t>
  </si>
  <si>
    <t>Limas-Conduriacu</t>
  </si>
  <si>
    <t>27 de Abril</t>
  </si>
  <si>
    <t>Maíz, frejol frutales</t>
  </si>
  <si>
    <t>El Tablón de Saraguro</t>
  </si>
  <si>
    <t>Tablón</t>
  </si>
  <si>
    <t> Pasto, tomate, pepino, maíz, fréjol</t>
  </si>
  <si>
    <t>La Papaya</t>
  </si>
  <si>
    <t>Tenta</t>
  </si>
  <si>
    <t> Pastos, maíz, arveja, café</t>
  </si>
  <si>
    <t>Paquishapa</t>
  </si>
  <si>
    <t>Urdaneta</t>
  </si>
  <si>
    <t>Pastos, maíz, arveja</t>
  </si>
  <si>
    <t>Chucchucchir</t>
  </si>
  <si>
    <t>Pastos, maíz, huertas</t>
  </si>
  <si>
    <t>Chiriyacu-Lucero</t>
  </si>
  <si>
    <t>El Lucero y San Antonio de Las Aradas</t>
  </si>
  <si>
    <t>Calvas y Quilanga</t>
  </si>
  <si>
    <t>1 169</t>
  </si>
  <si>
    <t>La Era</t>
  </si>
  <si>
    <t>Caña, tomate, pepino, fréjol</t>
  </si>
  <si>
    <t>Cochas-San Vicente</t>
  </si>
  <si>
    <t>Lourdes y Catacocha</t>
  </si>
  <si>
    <t>Maíz, maní, fréjol</t>
  </si>
  <si>
    <t>Guápalas</t>
  </si>
  <si>
    <t>Alamor</t>
  </si>
  <si>
    <t>Puyango</t>
  </si>
  <si>
    <t>Pastos</t>
  </si>
  <si>
    <t>Macará</t>
  </si>
  <si>
    <t>Eloy Alfaro</t>
  </si>
  <si>
    <t>Arroz, pastos</t>
  </si>
  <si>
    <t>Garza Real, Limones y Zapotillo</t>
  </si>
  <si>
    <t xml:space="preserve">Cebolla, maíz, coco, plátano </t>
  </si>
  <si>
    <t>ESPINDOLA</t>
  </si>
  <si>
    <t>Quinara, Malacatos, Vilcabamba, Santiago</t>
  </si>
  <si>
    <t>Jimbura, Santa Teresita, Amaluza, El Ingenio, 27 de Abril</t>
  </si>
  <si>
    <t>Tablón, Tenta, Urdaneta, Saraguro</t>
  </si>
  <si>
    <t xml:space="preserve">Jimbura </t>
  </si>
  <si>
    <t xml:space="preserve">Quinara </t>
  </si>
  <si>
    <t>Al finalizar el año 2016, se dispone de los  estudios que permitirán incorporar al riego 1040 has en 7 sistemas de riego comunitario benficiando a 2648 familias</t>
  </si>
  <si>
    <t>7 proyectos        1040 has    2648 familias</t>
  </si>
  <si>
    <t>Levantamiento topográfico catastral, Estudio de suelos con fines de riego, Diseño Hidráulico, Riego Tecnificado, Presupuesto, Cronograma, Planos, Análisis de suelos, Análisis de aguas</t>
  </si>
  <si>
    <t>Regularización ambiental de los sistemas de riego comunitario, sistemas de riego del Plan Emergente de la Provincia de Loja; y,  ejecucición Plana de Manejo Ambiental Sistema  de riego  Zapotillo</t>
  </si>
  <si>
    <t xml:space="preserve">32 sistemas de riego </t>
  </si>
  <si>
    <t>Al finalizar el  año 2016, se dispone de 32 certificaciones ambientales para los sistemas de riego comunitario,  se coloca la señaletica  en 32 sistemas de riego construidos  y se aplica el Plan de manejo ambiental para el sistema de riego estatal Zapotillo acorde con la normativa emitida por el MAE  vigente</t>
  </si>
  <si>
    <t xml:space="preserve">Estudios toográficos de 90 km de redes de riego </t>
  </si>
  <si>
    <t>Al finalizar el año 2016, se dispone de los estudios de optimización de redes secundarias  en 90 Km de lo sistemas de riego estatal</t>
  </si>
  <si>
    <t>Estudios de optimización hidráulica de redes de los sistemas de riego público del Cantón Saraguro</t>
  </si>
  <si>
    <t>Estudios de optimización hidráulica de redes de los sistemas de riego público del Cantón Espíndola</t>
  </si>
  <si>
    <t>90 Km de redes optimizadas hidráulicamente</t>
  </si>
  <si>
    <t>A finalizar el año 2016, se dispone de la optimización hidráulica de 90 km de redes de los sistemas de reigo públicos de los Cnatones Espíndola y Saraguro</t>
  </si>
  <si>
    <t>Levantamiento topográfico catastral, Estudio de suelos con fines de riego, Diseño Hidráulico, Presupuesto, Cronograma, Planos</t>
  </si>
  <si>
    <t>Operación y Mantenimiento de sistemas de riego público en la Provincia de Loja</t>
  </si>
  <si>
    <t xml:space="preserve">1. Mantenimiento de plataformas, Rehabilitación de la conducción principal </t>
  </si>
  <si>
    <t>Mejoramiento redes secundarias y terciarias</t>
  </si>
  <si>
    <t>Mantenimiento preventivo    Mantenimiento rutinario    Mantenimiento correctivo</t>
  </si>
  <si>
    <t>20 sistemas de riego, 14452 has, 5247 familias y 20998 personas beneficiadas</t>
  </si>
  <si>
    <t>40 Km  intervenidos</t>
  </si>
  <si>
    <t>GASTO CORRIENTE</t>
  </si>
  <si>
    <t>Gerencia Administrativo Financiera</t>
  </si>
  <si>
    <t xml:space="preserve">Reducción del 10% </t>
  </si>
  <si>
    <t>La reducción ha sido aplicada a Gasto corriente</t>
  </si>
  <si>
    <t>ASES JURID</t>
  </si>
  <si>
    <t>GG</t>
  </si>
  <si>
    <t>(Informe matriz preparada por Lilia y Verónica)</t>
  </si>
  <si>
    <t>El personal técnico actual es el siguiente :</t>
  </si>
  <si>
    <t>TOTAL GASTOS TALENTO HUMANO Y ADMINISTRATIVOS</t>
  </si>
  <si>
    <t>TOTAL GASTOS INVERSIÓN</t>
  </si>
  <si>
    <t xml:space="preserve">Reducción adicional 8 % </t>
  </si>
  <si>
    <t>SECRETARIA EJECUTIVA</t>
  </si>
  <si>
    <t>INGENIERO CIVIL</t>
  </si>
  <si>
    <t>GUARDALMACEN</t>
  </si>
  <si>
    <t>ANALISTA FINANCIERO 1</t>
  </si>
  <si>
    <t>TESORERO</t>
  </si>
  <si>
    <t>PROMOTOR SOCIAL</t>
  </si>
  <si>
    <t>INGENIERO CIVIL 2</t>
  </si>
  <si>
    <t>INGENIERO AGRICOLA</t>
  </si>
  <si>
    <t>RESPONSABLE TALENTO HUMANO</t>
  </si>
  <si>
    <t>ASISTENTE SERVICIOS INSTITUCIONALES</t>
  </si>
  <si>
    <t>ABOGADO 1</t>
  </si>
  <si>
    <t>ASISTENTE TECNICO</t>
  </si>
  <si>
    <t>TECNICO ZONAL 1 INFRAESTRUCTURA</t>
  </si>
  <si>
    <t>TECNICO ZONAL 3 INFRAESTRUCTURA</t>
  </si>
  <si>
    <t>TECNICO ZONAL 4 INFRAESTRUCTURA</t>
  </si>
  <si>
    <t>INGENIERO AGRICOLA 2</t>
  </si>
  <si>
    <t>INGENIERO AGRICOLA 3</t>
  </si>
  <si>
    <t>INGENIERO AGRICOLA 4</t>
  </si>
  <si>
    <t>ASISTENTE ADMINISTRATIVO FINANCIERO</t>
  </si>
  <si>
    <t>INGENIERO AMBIENTAL</t>
  </si>
  <si>
    <t>ASISTENTE TECNICO Y DE APOYO</t>
  </si>
  <si>
    <t>TOPOGRAFO</t>
  </si>
  <si>
    <t xml:space="preserve">Sistema de riego Gonzabal </t>
  </si>
  <si>
    <t>G. Técnica</t>
  </si>
  <si>
    <t>Mejoramiento de la red secundaria de los sistemas de riego público El ingenio, del cantón Espindola</t>
  </si>
  <si>
    <t>Mejoramiento de la red secundaria de los sistemas de riego público Jorupe Cangochara, Sanambay Jimbura del cantón Espindola</t>
  </si>
  <si>
    <t>G.O.M</t>
  </si>
  <si>
    <t>INVERSIONES</t>
  </si>
  <si>
    <t xml:space="preserve">Analista de Sistemas </t>
  </si>
  <si>
    <t>Rubros afectados</t>
  </si>
  <si>
    <t>Reducción adicional Aporte Prefectura</t>
  </si>
  <si>
    <t>Disminución Talento Humano</t>
  </si>
  <si>
    <t>Cambio Modalidad contratación Servicios Profesionales Técnicos</t>
  </si>
  <si>
    <t>Disminución Talento Humano  y gastos administrativos</t>
  </si>
  <si>
    <t>Analista compras públicas, Asistente Guardalmacén, Asesor Jurídico, Cotizador</t>
  </si>
  <si>
    <t>Edición, Impresión, Reproducción Publicaciones Suscripciones Fotocopiado Traducción Empastado Enmarcación Serigrafía Fotografía Carnetización Filmación e Imágenes Satelitales SEÑALÉTICA SISTEMAS DE RIEGO LETREROS (GP) ; CARTILLAS(GOM)</t>
  </si>
  <si>
    <t>Análisis de calidad de agua con fines de riego SR  La Concha, Chantaco Chichaca, Verdun, Michay Chantaco, Aguarongo, Canal Alto San Pedro de Vilcabamba, R Santa Rosa Cristales, y Sistemas de Riego Plan emergente</t>
  </si>
  <si>
    <t>ASIGNACIÓN INICIAL</t>
  </si>
  <si>
    <t>Aporte GPL</t>
  </si>
  <si>
    <t>Análisis de suelos con fines de riego de los Sistemas de riego  La Concha, Chantaco Chichaca, Verdun, Michay Chantaco, Aguarongo, Canal Alto San Pedro de Vilcabamba, Santa Rosa Cristales , Sistemas de riego  públicos y comunitarios</t>
  </si>
  <si>
    <t>Cumplimiento programas</t>
  </si>
  <si>
    <t>Elaboración informes</t>
  </si>
  <si>
    <t>Mejoramiento de la conducción principal y mantenimiento de plataformas de los sistemas de riego público Sanambay-Jimbura, Jorupe-Cangochara, Airo-Florida, Limas-Conduriacu y el Ingenio, del canton Espindola</t>
  </si>
  <si>
    <t>Adquisición de materiales de Construcción, Eléctricos, Plomería y Carpintería, manto de Hormigón, para labores de mantenimiento preventivo, rutinario y correctivo del Sistema de Riego La Papaya</t>
  </si>
  <si>
    <t>Análisis de suelo con fines agrícolas  Sistemas de riego comunitario</t>
  </si>
  <si>
    <t xml:space="preserve">Levantamiento topográfico de las redes secundarias de los SRP transferidos y no transferidos </t>
  </si>
  <si>
    <t>Análisis de calidad de agua con fines de riego Sistemas de riego públicos</t>
  </si>
  <si>
    <t>Análisis de suelo con fines agrícolas  Sistemas de riego públicos</t>
  </si>
  <si>
    <t>Análisis físicos-químicos y microbiológicos del agua para riego de sistemas de riego comunitario</t>
  </si>
  <si>
    <t>Estudio geotécnico obras especiales de sistemas de riego comunitario</t>
  </si>
  <si>
    <t>Señalética sistemas de riego comunitario</t>
  </si>
  <si>
    <t>Análisis de calidad de agua con fines de riego Regularización ambiental sistemas de riego  plan emergente</t>
  </si>
  <si>
    <t>Señalética sistemas de riego público</t>
  </si>
  <si>
    <t>GASTO INVERSION</t>
  </si>
  <si>
    <t>GASTO CORRIENTE INVERSIÓN</t>
  </si>
  <si>
    <t>GERENTE GENERAL</t>
  </si>
  <si>
    <t>DATOS DE LA INSTITUCIÓN</t>
  </si>
  <si>
    <t>ING. MARIA YOLANDA MORA CASTRO</t>
  </si>
  <si>
    <t>ELABORADO POR</t>
  </si>
  <si>
    <t xml:space="preserve">ELABORADO POR: </t>
  </si>
  <si>
    <t>GERENTE PLANIFICACIÓN</t>
  </si>
  <si>
    <t>GERENTE TÉCNICA</t>
  </si>
  <si>
    <t>GERENTE OPERACIÓN Y MANTENIMIENTO</t>
  </si>
  <si>
    <t>Ing. Angel Collahuazo</t>
  </si>
  <si>
    <t>Ing. María  Yolanda Mora</t>
  </si>
  <si>
    <t>VTO BUENO</t>
  </si>
  <si>
    <t>SERVICIOS COMUNALES</t>
  </si>
  <si>
    <t>Riego y Drenaje</t>
  </si>
  <si>
    <r>
      <rPr>
        <b/>
        <sz val="14"/>
        <color theme="1"/>
        <rFont val="Times New Roman"/>
        <family val="1"/>
      </rPr>
      <t xml:space="preserve">      </t>
    </r>
    <r>
      <rPr>
        <b/>
        <sz val="14"/>
        <color theme="1"/>
        <rFont val="Century Gothic"/>
        <family val="2"/>
      </rPr>
      <t>Cuadro 2. RIDRENSUR EP. Estructura y distribución del gasto. Ejercicio Económico 2016</t>
    </r>
  </si>
  <si>
    <t>ANEXO 2. DISTRIBUTIVO DE PERSONAL 2016</t>
  </si>
  <si>
    <t>ANEXO 3. PLAN OPERATIVO ANUAL POR PROYECTOS (POA)</t>
  </si>
  <si>
    <t>ANEXO 4. PROYECTOS DE INVERSION</t>
  </si>
  <si>
    <t>ACTIVIDAD</t>
  </si>
  <si>
    <t>DESGLOSE PRESUPUESTO RIDRENSUR</t>
  </si>
  <si>
    <t xml:space="preserve">SUMA TOTAL CON IVA                                           GASTO EN </t>
  </si>
  <si>
    <t xml:space="preserve">ADMINISTRATIVO </t>
  </si>
  <si>
    <t xml:space="preserve">Gastos mantenimiento </t>
  </si>
  <si>
    <t>Capacitación</t>
  </si>
  <si>
    <t>Seguros, impuestos, tasas y contribuciones</t>
  </si>
  <si>
    <t>OPERATIVO</t>
  </si>
  <si>
    <t>Alquiler oficina Zapotillo</t>
  </si>
  <si>
    <t>Viáticos y subsistencias</t>
  </si>
  <si>
    <t>Alquiler maquinaría</t>
  </si>
  <si>
    <t xml:space="preserve"> SEÑALÉTICA SISTEMAS DE RIEGO LETREROS (GP) ; CARTILLAS(GOM)</t>
  </si>
  <si>
    <t>Mantenimiento equipos informáticos</t>
  </si>
  <si>
    <t>Seguridad ocupacional</t>
  </si>
  <si>
    <t>Combustibles y libricantes</t>
  </si>
  <si>
    <t>Repuestos y accesorios</t>
  </si>
  <si>
    <t>Personal no permanente servidores</t>
  </si>
  <si>
    <t>Personal no permanente trabajadores</t>
  </si>
  <si>
    <t xml:space="preserve">Personal permanente servidores </t>
  </si>
  <si>
    <t>Personal permanente trabajadores</t>
  </si>
  <si>
    <t>Estudios, análisis de aguas y suelos</t>
  </si>
  <si>
    <t>Obra pública en riego</t>
  </si>
  <si>
    <t>Total Administrativo</t>
  </si>
  <si>
    <t>Total Operativo</t>
  </si>
  <si>
    <t>Total Talento Humano</t>
  </si>
  <si>
    <t>TOTAL GENERAL</t>
  </si>
  <si>
    <t>TRABAJADORES CONTRATADOS POR SERVICIOS OCASIONALES</t>
  </si>
  <si>
    <t>SERVIDORES CONTRATADOS POR SERVICIOS OCASIONALES</t>
  </si>
  <si>
    <t>SERVIDORES CONTRATADOS POR SERVICIOS PROFESIONALES</t>
  </si>
  <si>
    <t>EMPLEADOS Y TRABAJADORES BAJO MODALIDAD DE CONTRATO SERVICIOS PROFESIONALES</t>
  </si>
  <si>
    <t>EMPLEADOS Y TRABAJADORES BAJO MODALIDAD DE CONTRATO SERVICIOS OCASIONALES  Y DE NOMBRAMIENTO DE LIBRE REMOCION</t>
  </si>
  <si>
    <t>SERVIDORES CONTRATADOS (SERVICIOS OCASIONALES Y PROFESIONALES)</t>
  </si>
  <si>
    <t>Optimización hidráulica de  Redes de riego  de Sistemas de Riego Público  para los cantones Loja, Zapotillo, Puyango y Paltas</t>
  </si>
  <si>
    <t>Estudios de evaluación y diseño integral del sistema de riego comunitario La Concha.
Estudios de evaluación y diseño integral del sistema de riego comunitario Chantaco-Chichaca.
Estudios de evaluación y diseño integral del sistema de riego comunitario Verdún.
Estudios de evaluación y diseño integral del sistema de riego comunitario Michay-Chantaco
Estudios de evaluación y diseño integral del sistema de riego comunitario Aguarongo
Estudios de evaluación y diseño integral del sistema de riego comunitario Canal Alto San Pedro de Vilcabamba
Estudios de evaluación y diseño integral del sistema de riego comunitario Santa Rosa Cristales</t>
  </si>
  <si>
    <t>Estudios de optimización hidráulica de redes de los sistemas de riego público del Cantón Saraguro
Estudios de optimización hidráulica de redes de los sistemas de riego público del Cantón Espíndola</t>
  </si>
  <si>
    <t>Ing. Fernando Ortega</t>
  </si>
  <si>
    <t>Ing. Carlos León Vega</t>
  </si>
  <si>
    <t>ASESORÍA JURÍDICA ESPECIALIZADA PARA LA EJECUCIÓN DE UN DUE DILLIGENCE LEGAL, CONTABLE Y FINANCIERO A LA EMPRESA PÚBLICA DE RIEGO Y DRENAJE DEL SUR RIDRENSUR E.P.</t>
  </si>
  <si>
    <t>INFORME FINAL</t>
  </si>
  <si>
    <t>1  Informe del Due Dilligence de la Empresa Pública de Riego y Drenaje del Sur RIDRENSUR E.P.</t>
  </si>
  <si>
    <t>Evaluación de la gestión de la Empresa pública de riego y drenaje del Sur</t>
  </si>
  <si>
    <t>Informe contable, juridico</t>
  </si>
  <si>
    <t>AUDITORIA DE LA GESTION DE LA EMPRESA PÚBLICA DE RIEGO Y DRENAJDE DEL SUR</t>
  </si>
  <si>
    <t>SERVICIO DE AUDITORIA: Gastos por contratación de servicios especializados de auditoria en diversas ramas profesionales</t>
  </si>
  <si>
    <t xml:space="preserve">DEPENDENCIA                  </t>
  </si>
  <si>
    <t xml:space="preserve">AREA DE RIEGO </t>
  </si>
  <si>
    <t xml:space="preserve">ING. CARLOS LEÓN </t>
  </si>
  <si>
    <t>FECHA DE ELAB.                 15-02-2016</t>
  </si>
  <si>
    <t>15/02/2016                           ( 1 era   REFORMA )</t>
  </si>
  <si>
    <t xml:space="preserve">                                                                                                                             RIDRENSUR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</si>
</sst>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000"/>
    <numFmt numFmtId="166" formatCode="0000"/>
    <numFmt numFmtId="167" formatCode="_-* #,##0\ _P_t_s_-;\-* #,##0\ _P_t_s_-;_-* \-??\ _P_t_s_-;_-@_-"/>
    <numFmt numFmtId="168" formatCode="0.0"/>
    <numFmt numFmtId="169" formatCode="_-* #,##0.00\ _P_t_s_-;\-* #,##0.00\ _P_t_s_-;_-* &quot;-&quot;??\ _P_t_s_-;_-@_-"/>
  </numFmts>
  <fonts count="81">
    <font>
      <sz val="11"/>
      <color theme="1"/>
      <name val="Calibri"/>
      <family val="2"/>
      <scheme val="minor"/>
    </font>
    <font>
      <sz val="11"/>
      <color theme="1"/>
      <name val="Calibri"/>
      <family val="2"/>
      <scheme val="minor"/>
    </font>
    <font>
      <sz val="10"/>
      <name val="Arial Narrow"/>
      <family val="2"/>
    </font>
    <font>
      <sz val="10"/>
      <color theme="1"/>
      <name val="Arial Narrow"/>
      <family val="2"/>
    </font>
    <font>
      <b/>
      <sz val="11"/>
      <color theme="1"/>
      <name val="Calibri"/>
      <family val="2"/>
      <scheme val="minor"/>
    </font>
    <font>
      <sz val="10"/>
      <color theme="1"/>
      <name val="Calibri"/>
      <family val="2"/>
      <scheme val="minor"/>
    </font>
    <font>
      <b/>
      <sz val="12"/>
      <name val="Calibri"/>
      <family val="2"/>
      <scheme val="minor"/>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sz val="9"/>
      <color theme="1"/>
      <name val="Calibri"/>
      <family val="2"/>
      <scheme val="minor"/>
    </font>
    <font>
      <b/>
      <sz val="12"/>
      <color theme="1"/>
      <name val="Symbol"/>
      <family val="1"/>
      <charset val="2"/>
    </font>
    <font>
      <b/>
      <sz val="18"/>
      <color theme="1"/>
      <name val="Calibri"/>
      <family val="2"/>
      <scheme val="minor"/>
    </font>
    <font>
      <b/>
      <sz val="14"/>
      <color theme="1"/>
      <name val="Calibri"/>
      <family val="2"/>
      <scheme val="minor"/>
    </font>
    <font>
      <b/>
      <sz val="9"/>
      <name val="Calibri"/>
      <family val="2"/>
      <scheme val="minor"/>
    </font>
    <font>
      <sz val="9"/>
      <color rgb="FFFF0000"/>
      <name val="Calibri"/>
      <family val="2"/>
      <scheme val="minor"/>
    </font>
    <font>
      <sz val="9"/>
      <name val="Calibri"/>
      <family val="2"/>
      <scheme val="minor"/>
    </font>
    <font>
      <b/>
      <sz val="9"/>
      <color theme="1"/>
      <name val="Calibri"/>
      <family val="2"/>
      <scheme val="minor"/>
    </font>
    <font>
      <b/>
      <sz val="14"/>
      <name val="Calibri"/>
      <family val="2"/>
      <scheme val="minor"/>
    </font>
    <font>
      <b/>
      <sz val="9"/>
      <color indexed="81"/>
      <name val="Tahoma"/>
      <family val="2"/>
    </font>
    <font>
      <sz val="9"/>
      <color indexed="81"/>
      <name val="Tahoma"/>
      <family val="2"/>
    </font>
    <font>
      <sz val="11"/>
      <color theme="1"/>
      <name val="Corbel"/>
      <family val="2"/>
    </font>
    <font>
      <b/>
      <sz val="10"/>
      <color theme="1"/>
      <name val="Arial Narrow"/>
      <family val="2"/>
    </font>
    <font>
      <sz val="11"/>
      <color theme="1"/>
      <name val="Arial Narrow"/>
      <family val="2"/>
    </font>
    <font>
      <sz val="10"/>
      <color rgb="FFFF0000"/>
      <name val="Arial Narrow"/>
      <family val="2"/>
    </font>
    <font>
      <sz val="10"/>
      <name val="Times New Roman"/>
      <family val="1"/>
    </font>
    <font>
      <b/>
      <sz val="8"/>
      <name val="Calibri"/>
      <family val="2"/>
      <scheme val="minor"/>
    </font>
    <font>
      <sz val="9"/>
      <color rgb="FF000000"/>
      <name val="Calibri"/>
      <family val="2"/>
      <scheme val="minor"/>
    </font>
    <font>
      <b/>
      <i/>
      <sz val="11"/>
      <color theme="1"/>
      <name val="Calibri"/>
      <family val="2"/>
      <scheme val="minor"/>
    </font>
    <font>
      <b/>
      <sz val="11"/>
      <color rgb="FF000000"/>
      <name val="Calibri"/>
      <family val="2"/>
      <scheme val="minor"/>
    </font>
    <font>
      <sz val="14"/>
      <color theme="1"/>
      <name val="Times New Roman"/>
      <family val="1"/>
    </font>
    <font>
      <sz val="9"/>
      <color theme="1"/>
      <name val="Times New Roman"/>
      <family val="1"/>
    </font>
    <font>
      <b/>
      <sz val="22"/>
      <name val="Times New Roman"/>
      <family val="1"/>
    </font>
    <font>
      <b/>
      <sz val="9"/>
      <name val="Times New Roman"/>
      <family val="1"/>
    </font>
    <font>
      <b/>
      <sz val="22"/>
      <color theme="4" tint="-0.249977111117893"/>
      <name val="Times New Roman"/>
      <family val="1"/>
    </font>
    <font>
      <b/>
      <sz val="9"/>
      <color theme="4" tint="-0.249977111117893"/>
      <name val="Times New Roman"/>
      <family val="1"/>
    </font>
    <font>
      <b/>
      <sz val="20"/>
      <name val="Times New Roman"/>
      <family val="1"/>
    </font>
    <font>
      <b/>
      <sz val="14"/>
      <name val="Times New Roman"/>
      <family val="1"/>
    </font>
    <font>
      <b/>
      <sz val="9"/>
      <color theme="1"/>
      <name val="Times New Roman"/>
      <family val="1"/>
    </font>
    <font>
      <sz val="9"/>
      <color theme="9" tint="-0.499984740745262"/>
      <name val="Calibri"/>
      <family val="2"/>
      <scheme val="minor"/>
    </font>
    <font>
      <sz val="12"/>
      <color theme="1"/>
      <name val="Times New Roman"/>
      <family val="1"/>
    </font>
    <font>
      <b/>
      <sz val="14"/>
      <color theme="1"/>
      <name val="Times New Roman"/>
      <family val="1"/>
    </font>
    <font>
      <b/>
      <sz val="10"/>
      <color theme="1"/>
      <name val="Times New Roman"/>
      <family val="1"/>
    </font>
    <font>
      <sz val="10"/>
      <color theme="1"/>
      <name val="Times New Roman"/>
      <family val="1"/>
    </font>
    <font>
      <sz val="11"/>
      <color rgb="FF000000"/>
      <name val="Calibri"/>
      <family val="2"/>
      <charset val="1"/>
    </font>
    <font>
      <sz val="11"/>
      <color indexed="8"/>
      <name val="Calibri"/>
      <family val="2"/>
    </font>
    <font>
      <sz val="11"/>
      <color theme="1"/>
      <name val="Liberation Sans"/>
    </font>
    <font>
      <b/>
      <sz val="8"/>
      <color theme="1"/>
      <name val="Calibri"/>
      <family val="2"/>
      <scheme val="minor"/>
    </font>
    <font>
      <sz val="8"/>
      <color theme="1"/>
      <name val="Calibri"/>
      <family val="2"/>
      <scheme val="minor"/>
    </font>
    <font>
      <sz val="8"/>
      <color rgb="FFFF0000"/>
      <name val="Calibri"/>
      <family val="2"/>
      <scheme val="minor"/>
    </font>
    <font>
      <sz val="8"/>
      <name val="Calibri"/>
      <family val="2"/>
      <scheme val="minor"/>
    </font>
    <font>
      <sz val="8"/>
      <color rgb="FF000000"/>
      <name val="Calibri"/>
      <family val="2"/>
      <scheme val="minor"/>
    </font>
    <font>
      <b/>
      <sz val="8"/>
      <color rgb="FF000000"/>
      <name val="Calibri"/>
      <family val="2"/>
      <scheme val="minor"/>
    </font>
    <font>
      <sz val="8"/>
      <color indexed="8"/>
      <name val="Calibri"/>
      <family val="2"/>
      <scheme val="minor"/>
    </font>
    <font>
      <sz val="8"/>
      <color theme="1"/>
      <name val="Arial"/>
      <family val="2"/>
    </font>
    <font>
      <i/>
      <sz val="8"/>
      <color theme="1"/>
      <name val="Arial"/>
      <family val="2"/>
    </font>
    <font>
      <i/>
      <sz val="8"/>
      <color rgb="FF000000"/>
      <name val="Arial"/>
      <family val="2"/>
    </font>
    <font>
      <b/>
      <i/>
      <sz val="12"/>
      <color theme="1"/>
      <name val="Calibri"/>
      <family val="2"/>
      <scheme val="minor"/>
    </font>
    <font>
      <i/>
      <sz val="10"/>
      <color theme="1"/>
      <name val="Bookman Old Style"/>
      <family val="1"/>
    </font>
    <font>
      <b/>
      <i/>
      <sz val="10"/>
      <color rgb="FF000000"/>
      <name val="Bookman Old Style"/>
      <family val="1"/>
    </font>
    <font>
      <b/>
      <i/>
      <sz val="10"/>
      <color theme="1"/>
      <name val="Bookman Old Style"/>
      <family val="1"/>
    </font>
    <font>
      <i/>
      <sz val="10"/>
      <color rgb="FF000000"/>
      <name val="Bookman Old Style"/>
      <family val="1"/>
    </font>
    <font>
      <b/>
      <sz val="12"/>
      <name val="Times New Roman"/>
      <family val="1"/>
    </font>
    <font>
      <sz val="9"/>
      <color theme="1"/>
      <name val="Calibri Light"/>
      <family val="2"/>
      <scheme val="major"/>
    </font>
    <font>
      <sz val="12"/>
      <color theme="1"/>
      <name val="Calibri Light"/>
      <family val="2"/>
      <scheme val="major"/>
    </font>
    <font>
      <u/>
      <sz val="11"/>
      <color theme="1"/>
      <name val="Calibri"/>
      <family val="2"/>
      <scheme val="minor"/>
    </font>
    <font>
      <b/>
      <u/>
      <sz val="11"/>
      <color theme="1"/>
      <name val="Calibri"/>
      <family val="2"/>
      <scheme val="minor"/>
    </font>
    <font>
      <b/>
      <sz val="14"/>
      <color theme="1"/>
      <name val="Symbol"/>
      <family val="1"/>
      <charset val="2"/>
    </font>
    <font>
      <b/>
      <sz val="14"/>
      <color theme="1"/>
      <name val="Century Gothic"/>
      <family val="2"/>
    </font>
    <font>
      <b/>
      <u/>
      <sz val="10"/>
      <color theme="1"/>
      <name val="Times New Roman"/>
      <family val="1"/>
    </font>
    <font>
      <sz val="10"/>
      <name val="Calibri"/>
      <family val="2"/>
      <scheme val="minor"/>
    </font>
    <font>
      <sz val="12"/>
      <name val="Calibri"/>
      <family val="2"/>
      <scheme val="minor"/>
    </font>
    <font>
      <b/>
      <sz val="9"/>
      <color theme="1"/>
      <name val="Arial"/>
      <family val="2"/>
    </font>
    <font>
      <b/>
      <sz val="8"/>
      <color theme="1"/>
      <name val="Arial Narrow"/>
      <family val="2"/>
    </font>
    <font>
      <sz val="8"/>
      <color theme="1"/>
      <name val="Arial Narrow"/>
      <family val="2"/>
    </font>
    <font>
      <b/>
      <sz val="10"/>
      <color theme="1"/>
      <name val="Calibri"/>
      <family val="2"/>
      <scheme val="minor"/>
    </font>
    <font>
      <b/>
      <sz val="10"/>
      <name val="Arial"/>
      <family val="2"/>
    </font>
    <font>
      <b/>
      <sz val="10"/>
      <color theme="4" tint="-0.249977111117893"/>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bgColor rgb="FFFFFFCC"/>
      </patternFill>
    </fill>
    <fill>
      <patternFill patternType="solid">
        <fgColor theme="5"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4" tint="-0.24994659260841701"/>
      </right>
      <top style="thin">
        <color theme="4" tint="-0.24994659260841701"/>
      </top>
      <bottom/>
      <diagonal/>
    </border>
    <border>
      <left style="thin">
        <color theme="4" tint="-0.24994659260841701"/>
      </left>
      <right style="thin">
        <color indexed="64"/>
      </right>
      <top style="thin">
        <color theme="4" tint="-0.24994659260841701"/>
      </top>
      <bottom/>
      <diagonal/>
    </border>
  </borders>
  <cellStyleXfs count="7">
    <xf numFmtId="0" fontId="0" fillId="0" borderId="0"/>
    <xf numFmtId="43" fontId="1" fillId="0" borderId="0" applyFont="0" applyFill="0" applyBorder="0" applyAlignment="0" applyProtection="0"/>
    <xf numFmtId="0" fontId="27" fillId="0" borderId="0"/>
    <xf numFmtId="0" fontId="1" fillId="0" borderId="0"/>
    <xf numFmtId="0" fontId="46" fillId="0" borderId="0"/>
    <xf numFmtId="164" fontId="47" fillId="0" borderId="0" applyFont="0" applyFill="0" applyBorder="0" applyAlignment="0" applyProtection="0"/>
    <xf numFmtId="0" fontId="48" fillId="0" borderId="0"/>
  </cellStyleXfs>
  <cellXfs count="930">
    <xf numFmtId="0" fontId="0" fillId="0" borderId="0" xfId="0"/>
    <xf numFmtId="0" fontId="3" fillId="0" borderId="0" xfId="0" applyFont="1"/>
    <xf numFmtId="165" fontId="3" fillId="0" borderId="0" xfId="0" applyNumberFormat="1" applyFont="1"/>
    <xf numFmtId="166" fontId="3" fillId="0" borderId="0" xfId="0" applyNumberFormat="1" applyFont="1"/>
    <xf numFmtId="43" fontId="2" fillId="0" borderId="0" xfId="1" applyFont="1" applyBorder="1" applyAlignment="1">
      <alignment vertical="center"/>
    </xf>
    <xf numFmtId="0" fontId="4" fillId="0" borderId="0" xfId="0" applyFont="1"/>
    <xf numFmtId="0" fontId="5" fillId="0" borderId="0" xfId="0" applyFont="1"/>
    <xf numFmtId="0" fontId="0" fillId="0" borderId="0" xfId="0" applyFont="1"/>
    <xf numFmtId="165" fontId="4" fillId="0" borderId="0" xfId="0" applyNumberFormat="1" applyFont="1" applyAlignment="1">
      <alignment horizontal="center" vertical="center"/>
    </xf>
    <xf numFmtId="166" fontId="4" fillId="0" borderId="0" xfId="0" applyNumberFormat="1" applyFont="1" applyAlignment="1">
      <alignment horizontal="center" vertical="center"/>
    </xf>
    <xf numFmtId="0" fontId="7" fillId="0" borderId="0" xfId="0" applyFont="1" applyBorder="1" applyAlignment="1">
      <alignment horizontal="right"/>
    </xf>
    <xf numFmtId="0" fontId="7" fillId="0" borderId="0" xfId="0" applyFont="1" applyFill="1" applyBorder="1" applyAlignment="1">
      <alignment horizontal="left"/>
    </xf>
    <xf numFmtId="166" fontId="7" fillId="0" borderId="0" xfId="0" applyNumberFormat="1"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xf numFmtId="0" fontId="8" fillId="0" borderId="0" xfId="0" applyFont="1"/>
    <xf numFmtId="0" fontId="7" fillId="0" borderId="5" xfId="0" applyFont="1" applyFill="1" applyBorder="1" applyAlignment="1">
      <alignment horizontal="center" vertical="center" wrapText="1"/>
    </xf>
    <xf numFmtId="165" fontId="7" fillId="0" borderId="5" xfId="0" applyNumberFormat="1" applyFont="1" applyFill="1" applyBorder="1" applyAlignment="1">
      <alignment horizontal="center" vertical="center" wrapText="1"/>
    </xf>
    <xf numFmtId="166" fontId="7"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165" fontId="0" fillId="2" borderId="1" xfId="0" applyNumberFormat="1" applyFont="1" applyFill="1" applyBorder="1" applyAlignment="1">
      <alignment horizontal="center" vertical="center"/>
    </xf>
    <xf numFmtId="166" fontId="0" fillId="2" borderId="1" xfId="0" applyNumberFormat="1" applyFont="1" applyFill="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43" fontId="8" fillId="2" borderId="1" xfId="1" applyFont="1" applyFill="1" applyBorder="1" applyAlignment="1">
      <alignment vertical="center"/>
    </xf>
    <xf numFmtId="0" fontId="4" fillId="2" borderId="1" xfId="0" applyFont="1" applyFill="1" applyBorder="1" applyAlignment="1">
      <alignment horizontal="left" vertical="center"/>
    </xf>
    <xf numFmtId="0" fontId="7" fillId="2" borderId="1" xfId="0" applyFont="1" applyFill="1" applyBorder="1" applyAlignment="1">
      <alignment horizontal="left" vertical="center" wrapText="1"/>
    </xf>
    <xf numFmtId="43" fontId="7" fillId="2" borderId="3" xfId="1" applyFont="1" applyFill="1" applyBorder="1" applyAlignment="1">
      <alignment vertical="center"/>
    </xf>
    <xf numFmtId="165" fontId="0" fillId="0" borderId="0" xfId="0" applyNumberFormat="1" applyFont="1"/>
    <xf numFmtId="166" fontId="4" fillId="0" borderId="0" xfId="0" applyNumberFormat="1" applyFont="1"/>
    <xf numFmtId="43" fontId="0" fillId="0" borderId="0" xfId="1" applyFont="1"/>
    <xf numFmtId="165" fontId="0" fillId="0" borderId="0" xfId="0" applyNumberFormat="1" applyFont="1" applyFill="1"/>
    <xf numFmtId="166" fontId="0" fillId="0" borderId="0" xfId="0" applyNumberFormat="1" applyFont="1" applyFill="1"/>
    <xf numFmtId="0" fontId="0" fillId="0" borderId="0" xfId="0" applyFont="1" applyFill="1"/>
    <xf numFmtId="0" fontId="0" fillId="2" borderId="7" xfId="0" applyFont="1" applyFill="1" applyBorder="1" applyAlignment="1">
      <alignment horizontal="center" vertical="center"/>
    </xf>
    <xf numFmtId="165" fontId="0" fillId="2" borderId="7" xfId="0" applyNumberFormat="1" applyFont="1" applyFill="1" applyBorder="1" applyAlignment="1">
      <alignment horizontal="center" vertical="center"/>
    </xf>
    <xf numFmtId="166" fontId="0" fillId="2" borderId="7" xfId="0" applyNumberFormat="1" applyFont="1" applyFill="1" applyBorder="1" applyAlignment="1">
      <alignment horizontal="center" vertical="center"/>
    </xf>
    <xf numFmtId="0" fontId="8" fillId="2" borderId="7" xfId="0" applyFont="1" applyFill="1" applyBorder="1" applyAlignment="1">
      <alignment horizontal="left" vertical="center" wrapText="1"/>
    </xf>
    <xf numFmtId="43" fontId="8" fillId="2" borderId="7" xfId="1" applyFont="1" applyFill="1" applyBorder="1" applyAlignment="1">
      <alignment vertical="center"/>
    </xf>
    <xf numFmtId="0" fontId="7" fillId="2" borderId="8" xfId="0" applyFont="1" applyFill="1" applyBorder="1" applyAlignment="1">
      <alignment horizontal="left" vertical="center" wrapText="1"/>
    </xf>
    <xf numFmtId="0" fontId="4" fillId="0" borderId="0" xfId="0" applyFont="1" applyAlignment="1">
      <alignment horizontal="center" vertical="center"/>
    </xf>
    <xf numFmtId="0" fontId="7" fillId="0" borderId="0" xfId="0" applyFont="1" applyFill="1" applyBorder="1" applyAlignment="1">
      <alignment horizontal="left" vertical="center"/>
    </xf>
    <xf numFmtId="166"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NumberFormat="1" applyFont="1" applyFill="1" applyBorder="1" applyAlignment="1">
      <alignment horizontal="center" vertical="center"/>
    </xf>
    <xf numFmtId="0" fontId="7" fillId="2" borderId="1" xfId="0" applyFont="1" applyFill="1" applyBorder="1" applyAlignment="1">
      <alignment horizontal="left" vertical="center"/>
    </xf>
    <xf numFmtId="164" fontId="7" fillId="2" borderId="1" xfId="0" applyNumberFormat="1" applyFont="1" applyFill="1" applyBorder="1" applyAlignment="1">
      <alignment horizontal="left" vertical="center"/>
    </xf>
    <xf numFmtId="43" fontId="7" fillId="2" borderId="1" xfId="0" applyNumberFormat="1" applyFont="1" applyFill="1" applyBorder="1" applyAlignment="1">
      <alignment horizontal="left" vertical="center"/>
    </xf>
    <xf numFmtId="43" fontId="8" fillId="2" borderId="1" xfId="1" applyFont="1" applyFill="1" applyBorder="1" applyAlignment="1">
      <alignment horizontal="left" vertical="center" wrapText="1"/>
    </xf>
    <xf numFmtId="0" fontId="0" fillId="0" borderId="0" xfId="0" applyFont="1" applyBorder="1"/>
    <xf numFmtId="0" fontId="5" fillId="0" borderId="0" xfId="0" applyFont="1" applyBorder="1"/>
    <xf numFmtId="43" fontId="10" fillId="0" borderId="0" xfId="1" applyFont="1" applyBorder="1" applyAlignment="1">
      <alignment horizontal="center" vertical="center"/>
    </xf>
    <xf numFmtId="43" fontId="3" fillId="0" borderId="0" xfId="0" applyNumberFormat="1" applyFont="1"/>
    <xf numFmtId="0" fontId="14" fillId="0" borderId="0" xfId="0" applyFont="1" applyAlignment="1">
      <alignment horizontal="center" vertical="center"/>
    </xf>
    <xf numFmtId="0" fontId="13" fillId="0" borderId="0" xfId="0" applyFont="1" applyAlignment="1">
      <alignment horizontal="left" vertical="center"/>
    </xf>
    <xf numFmtId="0" fontId="12" fillId="2" borderId="12" xfId="1" applyNumberFormat="1" applyFont="1" applyFill="1" applyBorder="1" applyAlignment="1">
      <alignment horizontal="center" vertical="center" wrapText="1"/>
    </xf>
    <xf numFmtId="43" fontId="12" fillId="2" borderId="13" xfId="1" applyFont="1" applyFill="1" applyBorder="1" applyAlignment="1">
      <alignment horizontal="center" vertical="center" wrapText="1"/>
    </xf>
    <xf numFmtId="43" fontId="18" fillId="2" borderId="5" xfId="1" applyFont="1" applyFill="1" applyBorder="1" applyAlignment="1">
      <alignment horizontal="center" vertical="center" wrapText="1"/>
    </xf>
    <xf numFmtId="0" fontId="0" fillId="2" borderId="0" xfId="0" applyFill="1"/>
    <xf numFmtId="43" fontId="7" fillId="2" borderId="3" xfId="1" applyFont="1" applyFill="1" applyBorder="1" applyAlignment="1">
      <alignment horizontal="center" vertical="center"/>
    </xf>
    <xf numFmtId="4" fontId="3" fillId="0" borderId="0" xfId="0" applyNumberFormat="1" applyFont="1"/>
    <xf numFmtId="43" fontId="24" fillId="0" borderId="0" xfId="0" applyNumberFormat="1" applyFont="1"/>
    <xf numFmtId="0" fontId="0" fillId="0" borderId="0" xfId="0" applyAlignment="1">
      <alignment wrapText="1"/>
    </xf>
    <xf numFmtId="0" fontId="3" fillId="2" borderId="0" xfId="0" applyFont="1" applyFill="1"/>
    <xf numFmtId="0" fontId="4" fillId="2" borderId="0" xfId="0" applyFont="1" applyFill="1"/>
    <xf numFmtId="0" fontId="8" fillId="2" borderId="0" xfId="0" applyFont="1" applyFill="1"/>
    <xf numFmtId="164" fontId="8" fillId="2" borderId="1" xfId="0" applyNumberFormat="1" applyFont="1" applyFill="1" applyBorder="1" applyAlignment="1">
      <alignment horizontal="left" vertical="center"/>
    </xf>
    <xf numFmtId="43" fontId="8" fillId="2" borderId="1" xfId="0" applyNumberFormat="1" applyFont="1" applyFill="1" applyBorder="1" applyAlignment="1">
      <alignment horizontal="left" vertical="center"/>
    </xf>
    <xf numFmtId="43" fontId="26" fillId="0" borderId="0" xfId="0" applyNumberFormat="1" applyFont="1"/>
    <xf numFmtId="43" fontId="18" fillId="2" borderId="0" xfId="1" applyFont="1" applyFill="1" applyBorder="1" applyAlignment="1">
      <alignment horizontal="center" vertical="center" wrapText="1"/>
    </xf>
    <xf numFmtId="43" fontId="17" fillId="2" borderId="0" xfId="1" applyFont="1" applyFill="1" applyBorder="1" applyAlignment="1">
      <alignment horizontal="center" vertical="center" wrapText="1"/>
    </xf>
    <xf numFmtId="43" fontId="18" fillId="2" borderId="24" xfId="1" applyFont="1" applyFill="1" applyBorder="1" applyAlignment="1">
      <alignment horizontal="center" vertical="center" wrapText="1"/>
    </xf>
    <xf numFmtId="43" fontId="17" fillId="2" borderId="24" xfId="1" applyFont="1" applyFill="1" applyBorder="1" applyAlignment="1">
      <alignment horizontal="center" vertical="center" wrapText="1"/>
    </xf>
    <xf numFmtId="4" fontId="24" fillId="0" borderId="0" xfId="0" applyNumberFormat="1" applyFont="1"/>
    <xf numFmtId="0" fontId="18" fillId="2" borderId="1" xfId="0" applyFont="1" applyFill="1" applyBorder="1" applyAlignment="1">
      <alignment horizontal="left" vertical="center" wrapText="1"/>
    </xf>
    <xf numFmtId="0" fontId="0" fillId="0" borderId="24" xfId="0" applyFont="1" applyBorder="1"/>
    <xf numFmtId="0" fontId="12" fillId="0" borderId="0" xfId="0" applyFont="1"/>
    <xf numFmtId="0" fontId="12" fillId="0" borderId="0" xfId="0" applyFont="1" applyAlignment="1">
      <alignment horizontal="left"/>
    </xf>
    <xf numFmtId="0" fontId="19" fillId="0" borderId="24" xfId="0" applyFont="1" applyBorder="1" applyAlignment="1">
      <alignment wrapText="1"/>
    </xf>
    <xf numFmtId="0" fontId="12" fillId="0" borderId="24" xfId="0" applyFont="1" applyBorder="1" applyAlignment="1">
      <alignment horizontal="center" vertical="center" wrapText="1"/>
    </xf>
    <xf numFmtId="0" fontId="12" fillId="0" borderId="24" xfId="0" applyFont="1" applyBorder="1"/>
    <xf numFmtId="0" fontId="8" fillId="2" borderId="24" xfId="0" applyFont="1" applyFill="1" applyBorder="1" applyAlignment="1">
      <alignment horizontal="left" vertical="center" wrapText="1"/>
    </xf>
    <xf numFmtId="0" fontId="12" fillId="0" borderId="24" xfId="0" applyFont="1" applyBorder="1" applyAlignment="1">
      <alignment vertical="center" wrapText="1"/>
    </xf>
    <xf numFmtId="4" fontId="31" fillId="0" borderId="1" xfId="0" applyNumberFormat="1" applyFont="1" applyBorder="1" applyAlignment="1">
      <alignment horizontal="right"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4" fontId="4" fillId="0" borderId="3" xfId="0" applyNumberFormat="1" applyFont="1" applyBorder="1"/>
    <xf numFmtId="0" fontId="33" fillId="0" borderId="0" xfId="0" applyFont="1"/>
    <xf numFmtId="0" fontId="32" fillId="2" borderId="0" xfId="0" applyFont="1" applyFill="1"/>
    <xf numFmtId="0" fontId="33" fillId="2" borderId="0" xfId="0" applyFont="1" applyFill="1"/>
    <xf numFmtId="0" fontId="34" fillId="0" borderId="0" xfId="0" applyFont="1" applyFill="1" applyBorder="1" applyAlignment="1" applyProtection="1">
      <alignment horizontal="centerContinuous" vertical="center"/>
      <protection hidden="1"/>
    </xf>
    <xf numFmtId="0" fontId="35" fillId="0" borderId="0" xfId="0" applyFont="1" applyFill="1" applyBorder="1" applyAlignment="1" applyProtection="1">
      <alignment horizontal="centerContinuous" vertical="center"/>
      <protection hidden="1"/>
    </xf>
    <xf numFmtId="0" fontId="36" fillId="0" borderId="0" xfId="0" applyFont="1" applyFill="1" applyBorder="1" applyAlignment="1" applyProtection="1">
      <alignment horizontal="centerContinuous"/>
      <protection hidden="1"/>
    </xf>
    <xf numFmtId="0" fontId="37" fillId="0" borderId="0" xfId="0" applyFont="1" applyFill="1" applyBorder="1" applyAlignment="1" applyProtection="1">
      <alignment horizontal="centerContinuous"/>
      <protection hidden="1"/>
    </xf>
    <xf numFmtId="4" fontId="40" fillId="0" borderId="24" xfId="0" applyNumberFormat="1" applyFont="1" applyBorder="1" applyAlignment="1">
      <alignment horizontal="center" vertical="center" wrapText="1"/>
    </xf>
    <xf numFmtId="4" fontId="35" fillId="0" borderId="24" xfId="0" applyNumberFormat="1" applyFont="1" applyFill="1" applyBorder="1" applyAlignment="1" applyProtection="1">
      <alignment horizontal="center" vertical="center" wrapText="1"/>
      <protection hidden="1"/>
    </xf>
    <xf numFmtId="0" fontId="35" fillId="0" borderId="24" xfId="0" applyFont="1" applyFill="1" applyBorder="1" applyAlignment="1" applyProtection="1">
      <alignment horizontal="center" vertical="center" wrapText="1"/>
      <protection hidden="1"/>
    </xf>
    <xf numFmtId="0" fontId="33" fillId="0" borderId="0" xfId="0" applyFont="1" applyAlignment="1">
      <alignment wrapText="1"/>
    </xf>
    <xf numFmtId="0" fontId="29" fillId="0" borderId="24" xfId="0" applyFont="1" applyBorder="1" applyAlignment="1">
      <alignment vertical="center" wrapText="1"/>
    </xf>
    <xf numFmtId="43" fontId="12" fillId="0" borderId="24" xfId="1" applyFont="1" applyFill="1" applyBorder="1" applyAlignment="1">
      <alignment horizontal="center" vertical="center" wrapText="1"/>
    </xf>
    <xf numFmtId="4" fontId="12" fillId="0" borderId="24" xfId="0" applyNumberFormat="1" applyFont="1" applyFill="1" applyBorder="1" applyAlignment="1">
      <alignment vertical="center" wrapText="1"/>
    </xf>
    <xf numFmtId="43" fontId="18" fillId="0" borderId="24" xfId="1" applyFont="1" applyBorder="1" applyAlignment="1">
      <alignment vertical="center"/>
    </xf>
    <xf numFmtId="43" fontId="12" fillId="0" borderId="24" xfId="0" applyNumberFormat="1" applyFont="1" applyBorder="1" applyAlignment="1">
      <alignment vertical="center"/>
    </xf>
    <xf numFmtId="0" fontId="33" fillId="0" borderId="24" xfId="0" applyFont="1" applyBorder="1"/>
    <xf numFmtId="0" fontId="12" fillId="0" borderId="24" xfId="0" applyFont="1" applyFill="1" applyBorder="1" applyAlignment="1">
      <alignment vertical="center" wrapText="1"/>
    </xf>
    <xf numFmtId="43" fontId="41" fillId="0" borderId="24" xfId="1" applyFont="1" applyBorder="1" applyAlignment="1">
      <alignment vertical="center"/>
    </xf>
    <xf numFmtId="0" fontId="12" fillId="0" borderId="21" xfId="0" applyFont="1" applyBorder="1" applyAlignment="1">
      <alignment horizontal="left" vertical="center" wrapText="1"/>
    </xf>
    <xf numFmtId="43" fontId="12" fillId="0" borderId="24" xfId="1" applyFont="1" applyBorder="1" applyAlignment="1">
      <alignment vertical="center"/>
    </xf>
    <xf numFmtId="4" fontId="19" fillId="0" borderId="24" xfId="0" applyNumberFormat="1" applyFont="1" applyBorder="1" applyAlignment="1">
      <alignment horizontal="center" vertical="center" wrapText="1"/>
    </xf>
    <xf numFmtId="43" fontId="19" fillId="0" borderId="24" xfId="1" applyFont="1" applyBorder="1" applyAlignment="1">
      <alignment horizontal="center" vertical="center" wrapText="1"/>
    </xf>
    <xf numFmtId="4" fontId="12" fillId="0" borderId="0" xfId="0" applyNumberFormat="1" applyFont="1"/>
    <xf numFmtId="2" fontId="12" fillId="0" borderId="24" xfId="0" applyNumberFormat="1" applyFont="1" applyBorder="1" applyAlignment="1">
      <alignment horizontal="center"/>
    </xf>
    <xf numFmtId="43" fontId="12" fillId="0" borderId="0" xfId="0" applyNumberFormat="1" applyFont="1"/>
    <xf numFmtId="0" fontId="33" fillId="0" borderId="0" xfId="0" applyFont="1" applyAlignment="1">
      <alignment horizontal="left"/>
    </xf>
    <xf numFmtId="4" fontId="33" fillId="0" borderId="0" xfId="0" applyNumberFormat="1" applyFont="1"/>
    <xf numFmtId="0" fontId="40" fillId="0" borderId="0" xfId="0" applyFont="1"/>
    <xf numFmtId="0" fontId="33" fillId="0" borderId="0" xfId="0" applyFont="1" applyAlignment="1">
      <alignment horizontal="center"/>
    </xf>
    <xf numFmtId="0" fontId="33" fillId="0" borderId="0" xfId="0" applyFont="1" applyFill="1"/>
    <xf numFmtId="0" fontId="33" fillId="0" borderId="0" xfId="0" applyFont="1" applyFill="1" applyAlignment="1">
      <alignment horizontal="center"/>
    </xf>
    <xf numFmtId="43" fontId="33" fillId="0" borderId="0" xfId="0" applyNumberFormat="1" applyFont="1" applyAlignment="1">
      <alignment horizontal="center"/>
    </xf>
    <xf numFmtId="4" fontId="33" fillId="0" borderId="0" xfId="0" applyNumberFormat="1" applyFont="1" applyAlignment="1">
      <alignment horizontal="center"/>
    </xf>
    <xf numFmtId="0" fontId="29" fillId="0" borderId="4" xfId="0" applyFont="1" applyBorder="1" applyAlignment="1">
      <alignment vertical="center" wrapText="1"/>
    </xf>
    <xf numFmtId="0" fontId="0" fillId="2" borderId="25" xfId="0" applyFont="1" applyFill="1" applyBorder="1" applyAlignment="1">
      <alignment horizontal="center" vertical="center"/>
    </xf>
    <xf numFmtId="165" fontId="0" fillId="2" borderId="25" xfId="0" applyNumberFormat="1" applyFont="1" applyFill="1" applyBorder="1" applyAlignment="1">
      <alignment horizontal="center" vertical="center"/>
    </xf>
    <xf numFmtId="166" fontId="0" fillId="2" borderId="25" xfId="0" applyNumberFormat="1" applyFont="1" applyFill="1" applyBorder="1" applyAlignment="1">
      <alignment horizontal="center" vertical="center"/>
    </xf>
    <xf numFmtId="4" fontId="11" fillId="0" borderId="21" xfId="0" applyNumberFormat="1" applyFont="1" applyBorder="1" applyAlignment="1">
      <alignment horizontal="right" vertical="center" wrapText="1"/>
    </xf>
    <xf numFmtId="0" fontId="7" fillId="2" borderId="25" xfId="0" applyFont="1" applyFill="1" applyBorder="1" applyAlignment="1">
      <alignment horizontal="left" vertical="center" wrapText="1"/>
    </xf>
    <xf numFmtId="43" fontId="7" fillId="2" borderId="21" xfId="1" applyFont="1" applyFill="1" applyBorder="1" applyAlignment="1">
      <alignment horizontal="center" vertical="center"/>
    </xf>
    <xf numFmtId="43" fontId="7" fillId="2" borderId="21" xfId="1" applyFont="1" applyFill="1" applyBorder="1" applyAlignment="1">
      <alignment vertical="center"/>
    </xf>
    <xf numFmtId="166" fontId="0" fillId="2" borderId="24"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0" xfId="0" applyFont="1" applyFill="1" applyBorder="1" applyAlignment="1">
      <alignment horizontal="center" vertical="center"/>
    </xf>
    <xf numFmtId="165" fontId="0" fillId="2" borderId="0" xfId="0" applyNumberFormat="1" applyFont="1" applyFill="1" applyBorder="1" applyAlignment="1">
      <alignment horizontal="center" vertical="center"/>
    </xf>
    <xf numFmtId="166" fontId="0" fillId="2" borderId="0" xfId="0" applyNumberFormat="1" applyFont="1" applyFill="1" applyBorder="1" applyAlignment="1">
      <alignment horizontal="center" vertical="center"/>
    </xf>
    <xf numFmtId="165" fontId="0" fillId="2" borderId="24" xfId="0" applyNumberFormat="1" applyFont="1" applyFill="1" applyBorder="1" applyAlignment="1">
      <alignment horizontal="center" vertical="center"/>
    </xf>
    <xf numFmtId="0" fontId="50" fillId="2" borderId="24" xfId="0" applyFont="1" applyFill="1" applyBorder="1" applyAlignment="1">
      <alignment horizontal="left" vertical="center" wrapText="1"/>
    </xf>
    <xf numFmtId="0" fontId="49" fillId="2" borderId="0" xfId="0" applyFont="1" applyFill="1"/>
    <xf numFmtId="0" fontId="50" fillId="2" borderId="0" xfId="0" applyFont="1" applyFill="1"/>
    <xf numFmtId="0" fontId="49" fillId="2" borderId="0" xfId="0" applyFont="1" applyFill="1" applyAlignment="1">
      <alignment wrapText="1"/>
    </xf>
    <xf numFmtId="0" fontId="49" fillId="2" borderId="0" xfId="0" applyFont="1" applyFill="1" applyAlignment="1">
      <alignment horizontal="center"/>
    </xf>
    <xf numFmtId="0" fontId="50" fillId="2" borderId="0" xfId="0" applyFont="1" applyFill="1" applyBorder="1" applyAlignment="1">
      <alignment vertical="center" wrapText="1"/>
    </xf>
    <xf numFmtId="0" fontId="49" fillId="2" borderId="0" xfId="0" applyFont="1" applyFill="1" applyAlignment="1">
      <alignment horizontal="left" wrapText="1"/>
    </xf>
    <xf numFmtId="0" fontId="49" fillId="2" borderId="0" xfId="0" applyFont="1" applyFill="1" applyAlignment="1"/>
    <xf numFmtId="0" fontId="50" fillId="2" borderId="0" xfId="0" applyFont="1" applyFill="1" applyAlignment="1"/>
    <xf numFmtId="0" fontId="50" fillId="2" borderId="0" xfId="0" applyFont="1" applyFill="1" applyAlignment="1">
      <alignment horizontal="left"/>
    </xf>
    <xf numFmtId="0" fontId="49" fillId="2" borderId="24" xfId="0" applyFont="1" applyFill="1" applyBorder="1" applyAlignment="1">
      <alignment wrapText="1"/>
    </xf>
    <xf numFmtId="0" fontId="49" fillId="2" borderId="24" xfId="0" applyFont="1" applyFill="1" applyBorder="1" applyAlignment="1">
      <alignment horizontal="center" vertical="center"/>
    </xf>
    <xf numFmtId="0" fontId="49" fillId="2" borderId="24" xfId="0" applyFont="1" applyFill="1" applyBorder="1" applyAlignment="1">
      <alignment horizontal="center" vertical="center" wrapText="1"/>
    </xf>
    <xf numFmtId="0" fontId="50" fillId="2" borderId="24" xfId="0" applyFont="1" applyFill="1" applyBorder="1" applyAlignment="1">
      <alignment horizontal="center"/>
    </xf>
    <xf numFmtId="0" fontId="50" fillId="2" borderId="24" xfId="0" applyFont="1" applyFill="1" applyBorder="1" applyAlignment="1">
      <alignment horizontal="center" vertical="center"/>
    </xf>
    <xf numFmtId="168" fontId="50" fillId="2" borderId="24" xfId="0" applyNumberFormat="1" applyFont="1" applyFill="1" applyBorder="1" applyAlignment="1">
      <alignment horizontal="center" vertical="center"/>
    </xf>
    <xf numFmtId="0" fontId="50" fillId="2" borderId="24" xfId="0" applyFont="1" applyFill="1" applyBorder="1" applyAlignment="1">
      <alignment horizontal="center" vertical="center" wrapText="1"/>
    </xf>
    <xf numFmtId="0" fontId="49" fillId="2" borderId="31" xfId="0" applyFont="1" applyFill="1" applyBorder="1"/>
    <xf numFmtId="0" fontId="49" fillId="2" borderId="31" xfId="0" applyFont="1" applyFill="1" applyBorder="1" applyAlignment="1">
      <alignment horizontal="center"/>
    </xf>
    <xf numFmtId="0" fontId="50" fillId="2" borderId="24" xfId="0" applyFont="1" applyFill="1" applyBorder="1" applyAlignment="1">
      <alignment wrapText="1"/>
    </xf>
    <xf numFmtId="0" fontId="52" fillId="2" borderId="24" xfId="0" applyFont="1" applyFill="1" applyBorder="1"/>
    <xf numFmtId="0" fontId="50" fillId="2" borderId="21" xfId="0" applyFont="1" applyFill="1" applyBorder="1" applyAlignment="1">
      <alignment horizontal="center" vertical="center"/>
    </xf>
    <xf numFmtId="168" fontId="49" fillId="2" borderId="31" xfId="0" applyNumberFormat="1" applyFont="1" applyFill="1" applyBorder="1" applyAlignment="1">
      <alignment horizontal="center"/>
    </xf>
    <xf numFmtId="0" fontId="50" fillId="2" borderId="24" xfId="0" applyFont="1" applyFill="1" applyBorder="1" applyAlignment="1">
      <alignment horizontal="left" wrapText="1"/>
    </xf>
    <xf numFmtId="0" fontId="50" fillId="2" borderId="24" xfId="0" applyFont="1" applyFill="1" applyBorder="1" applyAlignment="1">
      <alignment vertical="center" wrapText="1"/>
    </xf>
    <xf numFmtId="0" fontId="50" fillId="2" borderId="0" xfId="3" applyFont="1" applyFill="1"/>
    <xf numFmtId="2" fontId="50" fillId="2" borderId="0" xfId="3" applyNumberFormat="1" applyFont="1" applyFill="1"/>
    <xf numFmtId="0" fontId="54" fillId="2" borderId="24" xfId="4" applyFont="1" applyFill="1" applyBorder="1" applyAlignment="1" applyProtection="1">
      <alignment vertical="center" wrapText="1"/>
    </xf>
    <xf numFmtId="0" fontId="50" fillId="2" borderId="26" xfId="0" applyFont="1" applyFill="1" applyBorder="1" applyAlignment="1">
      <alignment vertical="center" wrapText="1"/>
    </xf>
    <xf numFmtId="0" fontId="50" fillId="2" borderId="25" xfId="0" applyFont="1" applyFill="1" applyBorder="1" applyAlignment="1">
      <alignment vertical="center" wrapText="1"/>
    </xf>
    <xf numFmtId="0" fontId="50" fillId="2" borderId="21" xfId="0" applyFont="1" applyFill="1" applyBorder="1" applyAlignment="1">
      <alignment vertical="center" wrapText="1"/>
    </xf>
    <xf numFmtId="0" fontId="28" fillId="2" borderId="24" xfId="3" applyFont="1" applyFill="1" applyBorder="1" applyAlignment="1">
      <alignment horizontal="center" vertical="center" wrapText="1"/>
    </xf>
    <xf numFmtId="2" fontId="28" fillId="2" borderId="24" xfId="3" applyNumberFormat="1" applyFont="1" applyFill="1" applyBorder="1" applyAlignment="1">
      <alignment horizontal="center" vertical="center" wrapText="1"/>
    </xf>
    <xf numFmtId="0" fontId="53" fillId="7" borderId="24" xfId="5" applyNumberFormat="1" applyFont="1" applyFill="1" applyBorder="1" applyAlignment="1" applyProtection="1">
      <alignment horizontal="justify" vertical="center" wrapText="1"/>
    </xf>
    <xf numFmtId="0" fontId="53" fillId="7" borderId="24" xfId="5" applyNumberFormat="1" applyFont="1" applyFill="1" applyBorder="1" applyAlignment="1" applyProtection="1">
      <alignment horizontal="center" vertical="center" wrapText="1"/>
    </xf>
    <xf numFmtId="4" fontId="53" fillId="7" borderId="24" xfId="5" applyNumberFormat="1" applyFont="1" applyFill="1" applyBorder="1" applyAlignment="1" applyProtection="1">
      <alignment horizontal="right" vertical="center" wrapText="1"/>
    </xf>
    <xf numFmtId="0" fontId="50" fillId="2" borderId="24" xfId="3" applyFont="1" applyFill="1" applyBorder="1" applyAlignment="1">
      <alignment horizontal="center" vertical="center"/>
    </xf>
    <xf numFmtId="0" fontId="53" fillId="2" borderId="27" xfId="5" applyNumberFormat="1" applyFont="1" applyFill="1" applyBorder="1" applyAlignment="1" applyProtection="1">
      <alignment horizontal="center" vertical="center"/>
    </xf>
    <xf numFmtId="4" fontId="54" fillId="7" borderId="24" xfId="5" applyNumberFormat="1" applyFont="1" applyFill="1" applyBorder="1" applyAlignment="1" applyProtection="1">
      <alignment horizontal="right" vertical="center" wrapText="1"/>
    </xf>
    <xf numFmtId="0" fontId="50" fillId="2" borderId="0" xfId="3" applyFont="1" applyFill="1" applyAlignment="1">
      <alignment vertical="center" wrapText="1"/>
    </xf>
    <xf numFmtId="4" fontId="49" fillId="2" borderId="24" xfId="0" applyNumberFormat="1" applyFont="1" applyFill="1" applyBorder="1" applyAlignment="1">
      <alignment horizontal="right" vertical="center" wrapText="1"/>
    </xf>
    <xf numFmtId="4" fontId="49" fillId="2" borderId="24" xfId="0" applyNumberFormat="1" applyFont="1" applyFill="1" applyBorder="1" applyAlignment="1">
      <alignment vertical="center" wrapText="1"/>
    </xf>
    <xf numFmtId="0" fontId="50" fillId="2" borderId="0" xfId="3" applyFont="1" applyFill="1" applyBorder="1" applyAlignment="1">
      <alignment horizontal="center" vertical="center"/>
    </xf>
    <xf numFmtId="0" fontId="53" fillId="2" borderId="26" xfId="4" applyFont="1" applyFill="1" applyBorder="1" applyAlignment="1" applyProtection="1">
      <alignment vertical="center" wrapText="1"/>
    </xf>
    <xf numFmtId="0" fontId="53" fillId="2" borderId="25" xfId="4" applyFont="1" applyFill="1" applyBorder="1" applyAlignment="1" applyProtection="1">
      <alignment vertical="center" wrapText="1"/>
    </xf>
    <xf numFmtId="0" fontId="53" fillId="2" borderId="21" xfId="4" applyFont="1" applyFill="1" applyBorder="1" applyAlignment="1" applyProtection="1">
      <alignment vertical="center" wrapText="1"/>
    </xf>
    <xf numFmtId="0" fontId="49" fillId="2" borderId="24" xfId="3" applyFont="1" applyFill="1" applyBorder="1" applyAlignment="1">
      <alignment horizontal="left"/>
    </xf>
    <xf numFmtId="4" fontId="49" fillId="2" borderId="24" xfId="3" applyNumberFormat="1" applyFont="1" applyFill="1" applyBorder="1"/>
    <xf numFmtId="0" fontId="49" fillId="2" borderId="0" xfId="3" applyFont="1" applyFill="1"/>
    <xf numFmtId="0" fontId="53" fillId="2" borderId="24" xfId="5" applyNumberFormat="1" applyFont="1" applyFill="1" applyBorder="1" applyAlignment="1" applyProtection="1">
      <alignment horizontal="center" vertical="center"/>
    </xf>
    <xf numFmtId="2" fontId="50" fillId="2" borderId="24" xfId="3" applyNumberFormat="1" applyFont="1" applyFill="1" applyBorder="1"/>
    <xf numFmtId="0" fontId="50" fillId="2" borderId="25" xfId="0" applyFont="1" applyFill="1" applyBorder="1" applyAlignment="1">
      <alignment horizontal="left" vertical="center" wrapText="1"/>
    </xf>
    <xf numFmtId="0" fontId="50" fillId="2" borderId="21" xfId="0" applyFont="1" applyFill="1" applyBorder="1" applyAlignment="1">
      <alignment horizontal="left" vertical="center" wrapText="1"/>
    </xf>
    <xf numFmtId="2" fontId="50" fillId="2" borderId="24" xfId="0" applyNumberFormat="1" applyFont="1" applyFill="1" applyBorder="1" applyAlignment="1">
      <alignment horizontal="right"/>
    </xf>
    <xf numFmtId="0" fontId="50" fillId="2" borderId="24" xfId="0" applyFont="1" applyFill="1" applyBorder="1"/>
    <xf numFmtId="2" fontId="49" fillId="2" borderId="24" xfId="0" applyNumberFormat="1" applyFont="1" applyFill="1" applyBorder="1" applyAlignment="1">
      <alignment horizontal="right"/>
    </xf>
    <xf numFmtId="0" fontId="49" fillId="2" borderId="24" xfId="0" applyFont="1" applyFill="1" applyBorder="1"/>
    <xf numFmtId="0" fontId="50" fillId="2" borderId="0" xfId="0" applyFont="1" applyFill="1" applyBorder="1"/>
    <xf numFmtId="0" fontId="50" fillId="2" borderId="26" xfId="0" applyFont="1" applyFill="1" applyBorder="1" applyAlignment="1">
      <alignment horizontal="left" vertical="center" wrapText="1"/>
    </xf>
    <xf numFmtId="0" fontId="50" fillId="2" borderId="24" xfId="0" applyFont="1" applyFill="1" applyBorder="1" applyAlignment="1">
      <alignment horizontal="left" vertical="top" wrapText="1"/>
    </xf>
    <xf numFmtId="0" fontId="50" fillId="2" borderId="24" xfId="0" applyFont="1" applyFill="1" applyBorder="1" applyAlignment="1">
      <alignment horizontal="right" vertical="center"/>
    </xf>
    <xf numFmtId="2" fontId="50" fillId="2" borderId="24" xfId="0" applyNumberFormat="1" applyFont="1" applyFill="1" applyBorder="1" applyAlignment="1"/>
    <xf numFmtId="0" fontId="50" fillId="2" borderId="5" xfId="0" applyFont="1" applyFill="1" applyBorder="1"/>
    <xf numFmtId="0" fontId="50" fillId="2" borderId="24" xfId="3" applyFont="1" applyFill="1" applyBorder="1"/>
    <xf numFmtId="0" fontId="50" fillId="2" borderId="24" xfId="3" applyFont="1" applyFill="1" applyBorder="1" applyAlignment="1">
      <alignment horizontal="right" vertical="center"/>
    </xf>
    <xf numFmtId="2" fontId="49" fillId="2" borderId="24" xfId="0" applyNumberFormat="1" applyFont="1" applyFill="1" applyBorder="1" applyAlignment="1"/>
    <xf numFmtId="2" fontId="50" fillId="2" borderId="24" xfId="0" applyNumberFormat="1" applyFont="1" applyFill="1" applyBorder="1" applyAlignment="1">
      <alignment vertical="center"/>
    </xf>
    <xf numFmtId="2" fontId="50" fillId="2" borderId="5" xfId="0" applyNumberFormat="1" applyFont="1" applyFill="1" applyBorder="1" applyAlignment="1">
      <alignment vertical="center"/>
    </xf>
    <xf numFmtId="2" fontId="50" fillId="2" borderId="24" xfId="3" applyNumberFormat="1" applyFont="1" applyFill="1" applyBorder="1" applyAlignment="1">
      <alignment vertical="center"/>
    </xf>
    <xf numFmtId="2" fontId="49" fillId="2" borderId="24" xfId="0" applyNumberFormat="1" applyFont="1" applyFill="1" applyBorder="1" applyAlignment="1">
      <alignment vertical="center"/>
    </xf>
    <xf numFmtId="43" fontId="28" fillId="2" borderId="24" xfId="1" applyFont="1" applyFill="1" applyBorder="1" applyAlignment="1">
      <alignment horizontal="right" vertical="center"/>
    </xf>
    <xf numFmtId="0" fontId="49" fillId="2" borderId="26" xfId="0" applyFont="1" applyFill="1" applyBorder="1"/>
    <xf numFmtId="0" fontId="50" fillId="2" borderId="21" xfId="0" applyFont="1" applyFill="1" applyBorder="1" applyAlignment="1">
      <alignment horizontal="center"/>
    </xf>
    <xf numFmtId="0" fontId="50" fillId="2" borderId="26" xfId="0" applyFont="1" applyFill="1" applyBorder="1"/>
    <xf numFmtId="1" fontId="52" fillId="2" borderId="24" xfId="6" applyNumberFormat="1" applyFont="1" applyFill="1" applyBorder="1" applyAlignment="1">
      <alignment horizontal="center" vertical="center"/>
    </xf>
    <xf numFmtId="0" fontId="50" fillId="2" borderId="31" xfId="0" applyFont="1" applyFill="1" applyBorder="1"/>
    <xf numFmtId="0" fontId="50" fillId="2" borderId="31" xfId="0" applyFont="1" applyFill="1" applyBorder="1" applyAlignment="1">
      <alignment wrapText="1"/>
    </xf>
    <xf numFmtId="0" fontId="50" fillId="2" borderId="31" xfId="0" applyFont="1" applyFill="1" applyBorder="1" applyAlignment="1">
      <alignment horizontal="center"/>
    </xf>
    <xf numFmtId="0" fontId="50" fillId="2" borderId="24" xfId="3" applyFont="1" applyFill="1" applyBorder="1" applyAlignment="1">
      <alignment horizontal="center"/>
    </xf>
    <xf numFmtId="1" fontId="50" fillId="2" borderId="24" xfId="3" applyNumberFormat="1" applyFont="1" applyFill="1" applyBorder="1" applyAlignment="1">
      <alignment horizontal="center"/>
    </xf>
    <xf numFmtId="2" fontId="50" fillId="2" borderId="24" xfId="3" applyNumberFormat="1" applyFont="1" applyFill="1" applyBorder="1" applyAlignment="1">
      <alignment horizontal="right"/>
    </xf>
    <xf numFmtId="1" fontId="52" fillId="2" borderId="24" xfId="3" applyNumberFormat="1" applyFont="1" applyFill="1" applyBorder="1" applyAlignment="1">
      <alignment horizontal="center" vertical="center" wrapText="1"/>
    </xf>
    <xf numFmtId="0" fontId="49" fillId="2" borderId="24" xfId="0" applyFont="1" applyFill="1" applyBorder="1" applyAlignment="1">
      <alignment horizontal="center"/>
    </xf>
    <xf numFmtId="0" fontId="50" fillId="2" borderId="26" xfId="0" applyFont="1" applyFill="1" applyBorder="1" applyAlignment="1">
      <alignment horizontal="center"/>
    </xf>
    <xf numFmtId="0" fontId="12" fillId="0" borderId="31" xfId="0" applyFont="1" applyBorder="1" applyAlignment="1">
      <alignment horizontal="center" vertical="center" wrapText="1"/>
    </xf>
    <xf numFmtId="43" fontId="12" fillId="0" borderId="31" xfId="1"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56" fillId="2" borderId="24" xfId="0" applyFont="1" applyFill="1" applyBorder="1" applyAlignment="1">
      <alignment vertical="center" wrapText="1"/>
    </xf>
    <xf numFmtId="0" fontId="57" fillId="2" borderId="24" xfId="0" applyFont="1" applyFill="1" applyBorder="1"/>
    <xf numFmtId="0" fontId="57" fillId="2" borderId="24" xfId="0" applyFont="1" applyFill="1" applyBorder="1" applyAlignment="1">
      <alignment vertical="center"/>
    </xf>
    <xf numFmtId="0" fontId="57" fillId="2" borderId="24" xfId="0" applyFont="1" applyFill="1" applyBorder="1" applyAlignment="1">
      <alignment horizontal="center" vertical="center"/>
    </xf>
    <xf numFmtId="0" fontId="52" fillId="2" borderId="24" xfId="0" applyFont="1" applyFill="1" applyBorder="1" applyAlignment="1">
      <alignment horizontal="center"/>
    </xf>
    <xf numFmtId="0" fontId="52" fillId="2" borderId="0" xfId="0" applyFont="1" applyFill="1" applyBorder="1" applyAlignment="1">
      <alignment horizontal="left" vertical="center"/>
    </xf>
    <xf numFmtId="0" fontId="4" fillId="2" borderId="24" xfId="0" applyFont="1" applyFill="1" applyBorder="1" applyAlignment="1">
      <alignment horizontal="left" vertical="center"/>
    </xf>
    <xf numFmtId="0" fontId="7" fillId="2" borderId="24" xfId="0" applyFont="1" applyFill="1" applyBorder="1" applyAlignment="1">
      <alignment horizontal="left" vertical="center"/>
    </xf>
    <xf numFmtId="0" fontId="8" fillId="2" borderId="24" xfId="0" applyFont="1" applyFill="1" applyBorder="1" applyAlignment="1">
      <alignment horizontal="left" vertical="center"/>
    </xf>
    <xf numFmtId="43" fontId="8" fillId="2" borderId="24" xfId="1" applyFont="1" applyFill="1" applyBorder="1" applyAlignment="1">
      <alignment vertical="center"/>
    </xf>
    <xf numFmtId="164" fontId="7" fillId="2" borderId="24" xfId="0" applyNumberFormat="1" applyFont="1" applyFill="1" applyBorder="1" applyAlignment="1">
      <alignment horizontal="left" vertical="center"/>
    </xf>
    <xf numFmtId="43" fontId="8" fillId="2" borderId="24" xfId="0" applyNumberFormat="1" applyFont="1" applyFill="1" applyBorder="1" applyAlignment="1">
      <alignment horizontal="left" vertical="center"/>
    </xf>
    <xf numFmtId="0" fontId="4" fillId="2" borderId="24" xfId="0" applyFont="1" applyFill="1" applyBorder="1" applyAlignment="1">
      <alignment horizontal="center" vertical="center"/>
    </xf>
    <xf numFmtId="165" fontId="4" fillId="2" borderId="24" xfId="0" applyNumberFormat="1" applyFont="1" applyFill="1" applyBorder="1" applyAlignment="1">
      <alignment horizontal="left" vertical="center"/>
    </xf>
    <xf numFmtId="43" fontId="7" fillId="2" borderId="24" xfId="1" applyFont="1" applyFill="1" applyBorder="1" applyAlignment="1">
      <alignment horizontal="left" vertical="center"/>
    </xf>
    <xf numFmtId="43" fontId="8" fillId="2" borderId="24" xfId="1" applyFont="1" applyFill="1" applyBorder="1" applyAlignment="1">
      <alignment vertical="center" wrapText="1"/>
    </xf>
    <xf numFmtId="43" fontId="8" fillId="2" borderId="24" xfId="1" applyFont="1" applyFill="1" applyBorder="1" applyAlignment="1">
      <alignment horizontal="left" vertical="center"/>
    </xf>
    <xf numFmtId="0" fontId="8" fillId="2" borderId="24" xfId="0" applyFont="1" applyFill="1" applyBorder="1" applyAlignment="1">
      <alignment horizontal="center" vertical="center"/>
    </xf>
    <xf numFmtId="0" fontId="58" fillId="2" borderId="24" xfId="0" applyFont="1" applyFill="1" applyBorder="1" applyAlignment="1">
      <alignment horizontal="center" vertical="center"/>
    </xf>
    <xf numFmtId="0" fontId="12" fillId="0" borderId="1" xfId="0" applyFont="1" applyBorder="1" applyAlignment="1">
      <alignment vertical="center" wrapText="1"/>
    </xf>
    <xf numFmtId="0" fontId="12" fillId="0" borderId="24" xfId="0" applyFont="1" applyBorder="1" applyAlignment="1">
      <alignment horizontal="center"/>
    </xf>
    <xf numFmtId="0" fontId="12" fillId="0" borderId="24" xfId="0" applyFont="1" applyBorder="1" applyAlignment="1">
      <alignment horizontal="left" vertical="center" wrapText="1"/>
    </xf>
    <xf numFmtId="43" fontId="12" fillId="0" borderId="24" xfId="1"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43" fontId="12" fillId="0" borderId="1" xfId="1" applyFont="1" applyBorder="1" applyAlignment="1">
      <alignment horizontal="center" vertical="center"/>
    </xf>
    <xf numFmtId="0" fontId="18" fillId="2" borderId="24" xfId="0" applyFont="1" applyFill="1" applyBorder="1" applyAlignment="1">
      <alignment horizontal="left" vertical="center" wrapText="1"/>
    </xf>
    <xf numFmtId="0" fontId="12" fillId="0" borderId="24" xfId="0" applyFont="1" applyBorder="1" applyAlignment="1">
      <alignment vertical="center"/>
    </xf>
    <xf numFmtId="4" fontId="29" fillId="0" borderId="24" xfId="0" applyNumberFormat="1" applyFont="1" applyBorder="1" applyAlignment="1">
      <alignment horizontal="right" vertical="center" wrapText="1"/>
    </xf>
    <xf numFmtId="0" fontId="12" fillId="0" borderId="1" xfId="0" applyFont="1" applyBorder="1" applyAlignment="1">
      <alignment vertical="center"/>
    </xf>
    <xf numFmtId="4" fontId="29" fillId="0" borderId="1" xfId="0" applyNumberFormat="1" applyFont="1" applyBorder="1" applyAlignment="1">
      <alignment horizontal="right" vertical="center" wrapText="1"/>
    </xf>
    <xf numFmtId="0" fontId="15" fillId="0" borderId="0" xfId="0" applyFont="1"/>
    <xf numFmtId="0" fontId="12" fillId="0" borderId="31" xfId="0" applyFont="1" applyBorder="1" applyAlignment="1">
      <alignment horizontal="center"/>
    </xf>
    <xf numFmtId="0" fontId="12" fillId="0" borderId="31" xfId="0" applyFont="1" applyBorder="1" applyAlignment="1">
      <alignment horizontal="left" vertical="center" wrapText="1"/>
    </xf>
    <xf numFmtId="0" fontId="12" fillId="0" borderId="31" xfId="0" applyFont="1" applyBorder="1" applyAlignment="1">
      <alignment vertical="center" wrapText="1"/>
    </xf>
    <xf numFmtId="0" fontId="12" fillId="0" borderId="31" xfId="0" applyFont="1" applyBorder="1" applyAlignment="1">
      <alignment vertical="center"/>
    </xf>
    <xf numFmtId="4" fontId="29" fillId="0" borderId="31" xfId="0" applyNumberFormat="1" applyFont="1" applyBorder="1" applyAlignment="1">
      <alignment horizontal="right" vertical="center" wrapText="1"/>
    </xf>
    <xf numFmtId="0" fontId="0" fillId="0" borderId="26" xfId="0" applyFont="1" applyBorder="1"/>
    <xf numFmtId="0" fontId="4" fillId="0" borderId="25" xfId="0" applyFont="1" applyBorder="1" applyAlignment="1">
      <alignment horizontal="left" vertical="center"/>
    </xf>
    <xf numFmtId="0" fontId="10" fillId="0" borderId="26" xfId="0" applyFont="1" applyBorder="1"/>
    <xf numFmtId="0" fontId="9" fillId="0" borderId="25" xfId="0" applyFont="1" applyBorder="1" applyAlignment="1">
      <alignment horizontal="left" vertical="center"/>
    </xf>
    <xf numFmtId="0" fontId="9" fillId="0" borderId="25" xfId="0" applyFont="1" applyBorder="1" applyAlignment="1">
      <alignment horizontal="center" vertical="center"/>
    </xf>
    <xf numFmtId="43" fontId="9" fillId="0" borderId="21" xfId="1" applyFont="1" applyBorder="1" applyAlignment="1">
      <alignment horizontal="center" vertical="center"/>
    </xf>
    <xf numFmtId="0" fontId="4" fillId="0" borderId="26" xfId="0" applyFont="1" applyBorder="1" applyAlignment="1"/>
    <xf numFmtId="0" fontId="4" fillId="0" borderId="25" xfId="0" applyFont="1" applyBorder="1" applyAlignment="1">
      <alignment vertical="center" wrapText="1"/>
    </xf>
    <xf numFmtId="0" fontId="0" fillId="0" borderId="25" xfId="0" applyFont="1" applyBorder="1" applyAlignment="1">
      <alignment vertical="center"/>
    </xf>
    <xf numFmtId="0" fontId="0" fillId="0" borderId="5" xfId="0" applyFont="1" applyBorder="1"/>
    <xf numFmtId="43" fontId="4" fillId="0" borderId="5" xfId="1" applyFont="1" applyBorder="1" applyAlignment="1">
      <alignment horizontal="center" vertical="center"/>
    </xf>
    <xf numFmtId="0" fontId="30" fillId="0" borderId="21" xfId="0" applyFont="1" applyBorder="1" applyAlignment="1">
      <alignment horizontal="center" vertical="center" wrapText="1"/>
    </xf>
    <xf numFmtId="0" fontId="4" fillId="0" borderId="25" xfId="0" applyFont="1" applyFill="1" applyBorder="1" applyAlignment="1">
      <alignment vertical="center" wrapText="1"/>
    </xf>
    <xf numFmtId="0" fontId="12" fillId="0" borderId="0" xfId="0" applyFont="1" applyAlignment="1">
      <alignment horizontal="center"/>
    </xf>
    <xf numFmtId="0" fontId="52" fillId="2" borderId="24" xfId="0" applyFont="1" applyFill="1" applyBorder="1" applyAlignment="1">
      <alignment horizontal="left" vertical="center"/>
    </xf>
    <xf numFmtId="0" fontId="4" fillId="0" borderId="25" xfId="0" applyFont="1" applyBorder="1" applyAlignment="1">
      <alignment horizontal="center" vertical="center"/>
    </xf>
    <xf numFmtId="0" fontId="4" fillId="0" borderId="0" xfId="0" applyFont="1" applyAlignment="1">
      <alignment horizontal="center"/>
    </xf>
    <xf numFmtId="43" fontId="30" fillId="0" borderId="21" xfId="1" applyFont="1" applyBorder="1" applyAlignment="1">
      <alignment horizontal="center" vertical="center" wrapText="1"/>
    </xf>
    <xf numFmtId="0" fontId="61" fillId="2" borderId="24" xfId="0" applyFont="1" applyFill="1" applyBorder="1" applyAlignment="1">
      <alignment horizontal="center" vertical="center" wrapText="1"/>
    </xf>
    <xf numFmtId="0" fontId="60" fillId="2" borderId="24" xfId="0" applyFont="1" applyFill="1" applyBorder="1"/>
    <xf numFmtId="0" fontId="63" fillId="2" borderId="24" xfId="0" applyFont="1" applyFill="1" applyBorder="1" applyAlignment="1">
      <alignment horizontal="justify" vertical="center" wrapText="1"/>
    </xf>
    <xf numFmtId="0" fontId="63" fillId="2" borderId="24" xfId="0" applyFont="1" applyFill="1" applyBorder="1" applyAlignment="1">
      <alignment horizontal="center" vertical="center" wrapText="1"/>
    </xf>
    <xf numFmtId="0" fontId="63" fillId="4" borderId="24" xfId="0" applyFont="1" applyFill="1" applyBorder="1" applyAlignment="1">
      <alignment horizontal="justify" vertical="center" wrapText="1"/>
    </xf>
    <xf numFmtId="0" fontId="63" fillId="3" borderId="24" xfId="0" applyFont="1" applyFill="1" applyBorder="1" applyAlignment="1">
      <alignment horizontal="justify" vertical="center" wrapText="1"/>
    </xf>
    <xf numFmtId="0" fontId="63" fillId="3" borderId="24" xfId="0" applyFont="1" applyFill="1" applyBorder="1" applyAlignment="1">
      <alignment horizontal="center" vertical="center" wrapText="1"/>
    </xf>
    <xf numFmtId="0" fontId="60" fillId="2" borderId="24" xfId="0" applyFont="1" applyFill="1" applyBorder="1" applyAlignment="1">
      <alignment vertical="center" wrapText="1"/>
    </xf>
    <xf numFmtId="3" fontId="63" fillId="2" borderId="24" xfId="0" applyNumberFormat="1" applyFont="1" applyFill="1" applyBorder="1" applyAlignment="1">
      <alignment horizontal="center" vertical="center" wrapText="1"/>
    </xf>
    <xf numFmtId="0" fontId="5" fillId="2" borderId="0" xfId="0" applyFont="1" applyFill="1"/>
    <xf numFmtId="43" fontId="30" fillId="0" borderId="36" xfId="1" applyFont="1" applyBorder="1" applyAlignment="1">
      <alignment horizontal="center" vertical="center" wrapText="1"/>
    </xf>
    <xf numFmtId="43" fontId="9" fillId="0" borderId="25" xfId="1" applyFont="1" applyBorder="1" applyAlignment="1">
      <alignment horizontal="center" vertical="center"/>
    </xf>
    <xf numFmtId="0" fontId="12" fillId="0" borderId="24" xfId="0" applyFont="1" applyBorder="1" applyAlignment="1">
      <alignment horizontal="center" vertical="center"/>
    </xf>
    <xf numFmtId="43" fontId="4" fillId="0" borderId="24" xfId="1" applyFont="1" applyBorder="1" applyAlignment="1">
      <alignment horizontal="center" vertical="center"/>
    </xf>
    <xf numFmtId="43" fontId="4" fillId="0" borderId="25" xfId="1" applyFont="1" applyBorder="1" applyAlignment="1">
      <alignment horizontal="center" vertical="center"/>
    </xf>
    <xf numFmtId="0" fontId="18" fillId="0" borderId="24" xfId="0" applyFont="1" applyBorder="1" applyAlignment="1" applyProtection="1">
      <alignment vertical="center" wrapText="1"/>
      <protection locked="0"/>
    </xf>
    <xf numFmtId="0" fontId="12" fillId="0" borderId="26" xfId="0" applyFont="1" applyFill="1" applyBorder="1" applyAlignment="1">
      <alignment horizontal="center" vertical="center" wrapText="1"/>
    </xf>
    <xf numFmtId="43" fontId="12" fillId="0" borderId="21" xfId="1" applyFont="1" applyFill="1" applyBorder="1" applyAlignment="1">
      <alignment horizontal="center" vertical="center" wrapText="1"/>
    </xf>
    <xf numFmtId="43" fontId="19" fillId="0" borderId="31" xfId="1" applyFont="1" applyBorder="1" applyAlignment="1">
      <alignment horizontal="right" vertical="center" wrapText="1"/>
    </xf>
    <xf numFmtId="43" fontId="33" fillId="0" borderId="24" xfId="0" applyNumberFormat="1" applyFont="1" applyBorder="1" applyAlignment="1">
      <alignment vertical="center"/>
    </xf>
    <xf numFmtId="43" fontId="33" fillId="0" borderId="0" xfId="0" applyNumberFormat="1" applyFont="1"/>
    <xf numFmtId="0" fontId="35" fillId="2" borderId="24" xfId="0" applyFont="1" applyFill="1" applyBorder="1" applyAlignment="1" applyProtection="1">
      <alignment horizontal="center" vertical="center" wrapText="1"/>
      <protection hidden="1"/>
    </xf>
    <xf numFmtId="4" fontId="12" fillId="2" borderId="24" xfId="0" applyNumberFormat="1" applyFont="1" applyFill="1" applyBorder="1" applyAlignment="1">
      <alignment vertical="center" wrapText="1"/>
    </xf>
    <xf numFmtId="43" fontId="33" fillId="0" borderId="0" xfId="1" applyFont="1"/>
    <xf numFmtId="4" fontId="40" fillId="2" borderId="24" xfId="0" applyNumberFormat="1" applyFont="1" applyFill="1" applyBorder="1" applyAlignment="1">
      <alignment horizontal="center" vertical="center" wrapText="1"/>
    </xf>
    <xf numFmtId="4" fontId="19" fillId="2" borderId="24" xfId="0" applyNumberFormat="1" applyFont="1" applyFill="1" applyBorder="1" applyAlignment="1">
      <alignment horizontal="center" vertical="center" wrapText="1"/>
    </xf>
    <xf numFmtId="43" fontId="52" fillId="2" borderId="24" xfId="1" applyFont="1" applyFill="1" applyBorder="1" applyAlignment="1">
      <alignment horizontal="center" vertical="center" wrapText="1"/>
    </xf>
    <xf numFmtId="43" fontId="51" fillId="2" borderId="24" xfId="1" applyFont="1" applyFill="1" applyBorder="1" applyAlignment="1">
      <alignment horizontal="center" vertical="center" wrapText="1"/>
    </xf>
    <xf numFmtId="43" fontId="50" fillId="2" borderId="24" xfId="1" applyFont="1" applyFill="1" applyBorder="1" applyAlignment="1">
      <alignment horizontal="center" vertical="center" wrapText="1"/>
    </xf>
    <xf numFmtId="0" fontId="0" fillId="0" borderId="0" xfId="0" applyAlignment="1">
      <alignment horizontal="center"/>
    </xf>
    <xf numFmtId="0" fontId="0" fillId="0" borderId="25" xfId="0" applyBorder="1" applyAlignment="1">
      <alignment horizontal="center"/>
    </xf>
    <xf numFmtId="0" fontId="0" fillId="0" borderId="26" xfId="0" applyBorder="1"/>
    <xf numFmtId="0" fontId="0" fillId="0" borderId="25" xfId="0" applyBorder="1"/>
    <xf numFmtId="0" fontId="0" fillId="0" borderId="21" xfId="0" applyBorder="1"/>
    <xf numFmtId="0" fontId="0" fillId="0" borderId="24" xfId="0" applyBorder="1" applyAlignment="1">
      <alignment horizontal="center"/>
    </xf>
    <xf numFmtId="0" fontId="0" fillId="0" borderId="0" xfId="0" applyBorder="1"/>
    <xf numFmtId="4" fontId="12" fillId="0" borderId="24" xfId="0" applyNumberFormat="1" applyFont="1" applyBorder="1"/>
    <xf numFmtId="0" fontId="4" fillId="0" borderId="0" xfId="0" applyFont="1" applyAlignment="1">
      <alignment horizontal="center"/>
    </xf>
    <xf numFmtId="0" fontId="65" fillId="0" borderId="0" xfId="0" applyFont="1" applyBorder="1"/>
    <xf numFmtId="4" fontId="0" fillId="0" borderId="0" xfId="0" applyNumberFormat="1"/>
    <xf numFmtId="0" fontId="4" fillId="0" borderId="0" xfId="0" applyFont="1" applyAlignment="1">
      <alignment horizontal="center"/>
    </xf>
    <xf numFmtId="0" fontId="10" fillId="0" borderId="0" xfId="0" applyFont="1"/>
    <xf numFmtId="0" fontId="66" fillId="0" borderId="0" xfId="0" applyFont="1" applyBorder="1"/>
    <xf numFmtId="0" fontId="67" fillId="0" borderId="0" xfId="0" applyFont="1"/>
    <xf numFmtId="0" fontId="68" fillId="0" borderId="0" xfId="0" applyFont="1"/>
    <xf numFmtId="14" fontId="33" fillId="0" borderId="0" xfId="0" applyNumberFormat="1" applyFont="1"/>
    <xf numFmtId="43" fontId="49" fillId="2" borderId="0" xfId="0" applyNumberFormat="1" applyFont="1" applyFill="1" applyBorder="1" applyAlignment="1"/>
    <xf numFmtId="43" fontId="9" fillId="2" borderId="0" xfId="0" applyNumberFormat="1" applyFont="1" applyFill="1" applyBorder="1" applyAlignment="1"/>
    <xf numFmtId="15" fontId="12" fillId="0" borderId="24" xfId="0" applyNumberFormat="1" applyFont="1" applyBorder="1" applyAlignment="1">
      <alignment horizontal="center" vertical="center" wrapText="1"/>
    </xf>
    <xf numFmtId="4" fontId="19" fillId="2" borderId="24" xfId="0" applyNumberFormat="1" applyFont="1" applyFill="1" applyBorder="1" applyAlignment="1">
      <alignment horizontal="center" vertical="center" wrapText="1"/>
    </xf>
    <xf numFmtId="0" fontId="16" fillId="0" borderId="24"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6" borderId="41" xfId="0" applyFont="1" applyFill="1" applyBorder="1" applyAlignment="1">
      <alignment horizontal="center" vertical="center" wrapText="1"/>
    </xf>
    <xf numFmtId="0" fontId="16" fillId="0" borderId="25" xfId="0" applyFont="1" applyBorder="1" applyAlignment="1" applyProtection="1">
      <alignment vertical="center" wrapText="1"/>
      <protection locked="0"/>
    </xf>
    <xf numFmtId="0" fontId="16" fillId="0" borderId="21" xfId="0" applyFont="1" applyBorder="1" applyAlignment="1" applyProtection="1">
      <alignment vertical="center" wrapText="1"/>
      <protection locked="0"/>
    </xf>
    <xf numFmtId="0" fontId="18" fillId="6" borderId="26" xfId="0" applyFont="1" applyFill="1" applyBorder="1" applyAlignment="1">
      <alignment vertical="center" wrapText="1"/>
    </xf>
    <xf numFmtId="0" fontId="12" fillId="0" borderId="25" xfId="0" applyFont="1" applyBorder="1" applyAlignment="1">
      <alignment horizontal="center" vertical="center" wrapText="1"/>
    </xf>
    <xf numFmtId="0" fontId="12" fillId="0" borderId="25" xfId="0" applyFont="1" applyFill="1" applyBorder="1" applyAlignment="1">
      <alignment horizontal="center" vertical="center" wrapText="1"/>
    </xf>
    <xf numFmtId="0" fontId="19" fillId="0" borderId="25" xfId="0" applyFont="1" applyFill="1" applyBorder="1" applyAlignment="1">
      <alignment horizontal="center" vertical="center" wrapText="1"/>
    </xf>
    <xf numFmtId="15" fontId="12" fillId="0" borderId="25" xfId="0" applyNumberFormat="1" applyFont="1" applyBorder="1" applyAlignment="1">
      <alignment horizontal="center" vertical="center" wrapText="1"/>
    </xf>
    <xf numFmtId="15" fontId="12" fillId="0" borderId="21" xfId="0" applyNumberFormat="1" applyFont="1" applyBorder="1" applyAlignment="1">
      <alignment horizontal="center" vertical="center" wrapText="1"/>
    </xf>
    <xf numFmtId="43" fontId="33" fillId="0" borderId="24" xfId="0" applyNumberFormat="1" applyFont="1" applyBorder="1" applyAlignment="1">
      <alignment horizontal="center" vertical="center"/>
    </xf>
    <xf numFmtId="0" fontId="9" fillId="2" borderId="0" xfId="0" applyFont="1" applyFill="1" applyBorder="1" applyAlignment="1">
      <alignment horizontal="center"/>
    </xf>
    <xf numFmtId="0" fontId="6" fillId="2" borderId="0" xfId="0" applyFont="1" applyFill="1" applyBorder="1"/>
    <xf numFmtId="0" fontId="45" fillId="0" borderId="0" xfId="0" applyFont="1"/>
    <xf numFmtId="0" fontId="44" fillId="0" borderId="0" xfId="0" applyFont="1" applyAlignment="1">
      <alignment horizontal="center"/>
    </xf>
    <xf numFmtId="0" fontId="71" fillId="0" borderId="0" xfId="0" applyFont="1"/>
    <xf numFmtId="0" fontId="45" fillId="0" borderId="0" xfId="0" applyFont="1" applyFill="1"/>
    <xf numFmtId="0" fontId="45" fillId="0" borderId="0" xfId="0" applyFont="1" applyAlignment="1">
      <alignment horizontal="center"/>
    </xf>
    <xf numFmtId="0" fontId="44" fillId="0" borderId="0" xfId="0" applyFont="1"/>
    <xf numFmtId="0" fontId="7" fillId="0" borderId="35" xfId="0" applyFont="1" applyFill="1" applyBorder="1" applyAlignment="1">
      <alignment horizontal="left" vertical="center"/>
    </xf>
    <xf numFmtId="0" fontId="7" fillId="0" borderId="11" xfId="0" applyFont="1" applyFill="1" applyBorder="1" applyAlignment="1">
      <alignment horizontal="left"/>
    </xf>
    <xf numFmtId="166" fontId="8" fillId="0" borderId="11" xfId="0" applyNumberFormat="1" applyFont="1" applyFill="1" applyBorder="1" applyAlignment="1">
      <alignment horizontal="center" vertical="center"/>
    </xf>
    <xf numFmtId="166" fontId="7" fillId="0" borderId="11" xfId="0" applyNumberFormat="1" applyFont="1" applyFill="1" applyBorder="1" applyAlignment="1">
      <alignment horizontal="center"/>
    </xf>
    <xf numFmtId="0" fontId="7" fillId="0" borderId="11" xfId="0" applyFont="1" applyFill="1" applyBorder="1" applyAlignment="1">
      <alignment horizontal="left" vertical="center"/>
    </xf>
    <xf numFmtId="0" fontId="8" fillId="0" borderId="11" xfId="0" applyFont="1" applyFill="1" applyBorder="1" applyAlignment="1">
      <alignment horizontal="left" vertical="center"/>
    </xf>
    <xf numFmtId="0" fontId="8" fillId="0" borderId="11" xfId="0" applyFont="1" applyFill="1" applyBorder="1"/>
    <xf numFmtId="0" fontId="0" fillId="0" borderId="11" xfId="0" applyFont="1" applyBorder="1"/>
    <xf numFmtId="0" fontId="5" fillId="0" borderId="36" xfId="0" applyFont="1" applyBorder="1"/>
    <xf numFmtId="0" fontId="7" fillId="0" borderId="2" xfId="0" applyFont="1" applyBorder="1" applyAlignment="1">
      <alignment vertical="center"/>
    </xf>
    <xf numFmtId="0" fontId="7" fillId="0" borderId="0" xfId="0" applyFont="1" applyBorder="1"/>
    <xf numFmtId="0" fontId="3" fillId="0" borderId="44" xfId="0" applyFont="1" applyBorder="1"/>
    <xf numFmtId="0" fontId="7" fillId="0" borderId="2" xfId="0" applyFont="1" applyFill="1" applyBorder="1" applyAlignment="1">
      <alignment horizontal="left" vertical="center"/>
    </xf>
    <xf numFmtId="0" fontId="5" fillId="0" borderId="44" xfId="0" applyFont="1" applyBorder="1"/>
    <xf numFmtId="0" fontId="7" fillId="0" borderId="42" xfId="0" applyFont="1" applyFill="1" applyBorder="1" applyAlignment="1">
      <alignment horizontal="left" vertical="center"/>
    </xf>
    <xf numFmtId="0" fontId="7" fillId="0" borderId="41" xfId="0" applyFont="1" applyFill="1" applyBorder="1" applyAlignment="1">
      <alignment horizontal="left"/>
    </xf>
    <xf numFmtId="166" fontId="8" fillId="0" borderId="41" xfId="0" applyNumberFormat="1" applyFont="1" applyFill="1" applyBorder="1" applyAlignment="1">
      <alignment horizontal="center" vertical="center"/>
    </xf>
    <xf numFmtId="166" fontId="7" fillId="0" borderId="41" xfId="0" applyNumberFormat="1" applyFont="1" applyFill="1" applyBorder="1" applyAlignment="1">
      <alignment horizontal="center"/>
    </xf>
    <xf numFmtId="0" fontId="7" fillId="0" borderId="41" xfId="0" applyFont="1" applyFill="1" applyBorder="1" applyAlignment="1">
      <alignment horizontal="center"/>
    </xf>
    <xf numFmtId="0" fontId="7" fillId="0" borderId="41" xfId="0" applyFont="1" applyFill="1" applyBorder="1" applyAlignment="1">
      <alignment horizontal="right"/>
    </xf>
    <xf numFmtId="164" fontId="0" fillId="0" borderId="41" xfId="0" applyNumberFormat="1" applyFont="1" applyBorder="1"/>
    <xf numFmtId="0" fontId="5" fillId="0" borderId="43" xfId="0" applyFont="1" applyBorder="1"/>
    <xf numFmtId="0" fontId="4" fillId="2" borderId="6" xfId="0" applyFont="1" applyFill="1" applyBorder="1" applyAlignment="1">
      <alignment horizontal="left" vertical="center" wrapText="1"/>
    </xf>
    <xf numFmtId="166" fontId="4" fillId="2" borderId="8" xfId="0" applyNumberFormat="1" applyFont="1" applyFill="1" applyBorder="1" applyAlignment="1">
      <alignment horizontal="center" vertical="center"/>
    </xf>
    <xf numFmtId="0" fontId="4" fillId="2" borderId="8" xfId="0" applyFont="1" applyFill="1" applyBorder="1" applyAlignment="1">
      <alignment horizontal="left" vertical="center"/>
    </xf>
    <xf numFmtId="0" fontId="0" fillId="2" borderId="3" xfId="0" applyFont="1" applyFill="1" applyBorder="1" applyAlignment="1">
      <alignment vertical="center"/>
    </xf>
    <xf numFmtId="0" fontId="4" fillId="2" borderId="1" xfId="0" applyFont="1" applyFill="1" applyBorder="1" applyAlignment="1">
      <alignment horizontal="left" vertical="center" wrapText="1"/>
    </xf>
    <xf numFmtId="43" fontId="4" fillId="2" borderId="1" xfId="1" applyFont="1" applyFill="1" applyBorder="1" applyAlignment="1">
      <alignment horizontal="left" vertical="center"/>
    </xf>
    <xf numFmtId="0" fontId="7" fillId="2" borderId="8" xfId="0" applyFont="1" applyFill="1" applyBorder="1" applyAlignment="1">
      <alignment horizontal="center" vertical="center" wrapText="1"/>
    </xf>
    <xf numFmtId="0" fontId="7" fillId="2" borderId="8" xfId="0" applyFont="1" applyFill="1" applyBorder="1" applyAlignment="1">
      <alignment horizontal="left"/>
    </xf>
    <xf numFmtId="166" fontId="7" fillId="2" borderId="8"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6" xfId="0" applyFont="1" applyFill="1" applyBorder="1" applyAlignment="1">
      <alignment horizontal="left" vertical="center" wrapText="1"/>
    </xf>
    <xf numFmtId="43" fontId="7" fillId="2" borderId="3" xfId="0" applyNumberFormat="1" applyFont="1" applyFill="1" applyBorder="1" applyAlignment="1">
      <alignment horizontal="left" vertical="center" wrapText="1"/>
    </xf>
    <xf numFmtId="0" fontId="4" fillId="2" borderId="26" xfId="0" applyFont="1" applyFill="1" applyBorder="1" applyAlignment="1">
      <alignment horizontal="left" vertical="center"/>
    </xf>
    <xf numFmtId="166" fontId="4" fillId="2" borderId="25" xfId="0" applyNumberFormat="1" applyFont="1" applyFill="1" applyBorder="1" applyAlignment="1">
      <alignment horizontal="center" vertical="center"/>
    </xf>
    <xf numFmtId="0" fontId="7" fillId="2" borderId="25" xfId="0" applyFont="1" applyFill="1" applyBorder="1" applyAlignment="1">
      <alignment horizontal="left" vertical="center"/>
    </xf>
    <xf numFmtId="0" fontId="4" fillId="2" borderId="25" xfId="0" applyFont="1" applyFill="1" applyBorder="1" applyAlignment="1">
      <alignment horizontal="left" vertical="center"/>
    </xf>
    <xf numFmtId="0" fontId="0" fillId="2" borderId="21" xfId="0" applyFont="1" applyFill="1" applyBorder="1" applyAlignment="1">
      <alignment vertical="center"/>
    </xf>
    <xf numFmtId="43" fontId="7" fillId="2" borderId="24" xfId="1" applyFont="1" applyFill="1" applyBorder="1" applyAlignment="1">
      <alignment vertical="center"/>
    </xf>
    <xf numFmtId="0" fontId="9" fillId="2" borderId="26" xfId="0" applyFont="1" applyFill="1" applyBorder="1" applyAlignment="1">
      <alignment horizontal="left" vertical="center" wrapText="1"/>
    </xf>
    <xf numFmtId="166" fontId="9" fillId="2" borderId="25" xfId="0" applyNumberFormat="1" applyFont="1" applyFill="1" applyBorder="1" applyAlignment="1">
      <alignment horizontal="center" vertical="center"/>
    </xf>
    <xf numFmtId="0" fontId="9" fillId="2" borderId="25" xfId="0" applyFont="1" applyFill="1" applyBorder="1" applyAlignment="1">
      <alignment horizontal="left" vertical="center"/>
    </xf>
    <xf numFmtId="0" fontId="10" fillId="2" borderId="21" xfId="0" applyFont="1" applyFill="1" applyBorder="1" applyAlignment="1">
      <alignment vertical="center"/>
    </xf>
    <xf numFmtId="0" fontId="9" fillId="2" borderId="24"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 xfId="0" applyFont="1" applyFill="1" applyBorder="1" applyAlignment="1">
      <alignment horizontal="left" vertical="center"/>
    </xf>
    <xf numFmtId="166" fontId="4" fillId="2" borderId="0"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0" fillId="2" borderId="0" xfId="0" applyFont="1" applyFill="1" applyBorder="1" applyAlignment="1">
      <alignment vertical="center"/>
    </xf>
    <xf numFmtId="0" fontId="7" fillId="2" borderId="24" xfId="0" applyFont="1" applyFill="1" applyBorder="1" applyAlignment="1">
      <alignment horizontal="left" vertical="center" wrapText="1"/>
    </xf>
    <xf numFmtId="0" fontId="4" fillId="2" borderId="2" xfId="0" applyFont="1" applyFill="1" applyBorder="1" applyAlignment="1">
      <alignment horizontal="left"/>
    </xf>
    <xf numFmtId="166" fontId="4" fillId="2" borderId="0" xfId="0" applyNumberFormat="1" applyFont="1" applyFill="1" applyBorder="1" applyAlignment="1">
      <alignment horizontal="center"/>
    </xf>
    <xf numFmtId="0" fontId="4" fillId="2" borderId="0" xfId="0" applyFont="1" applyFill="1" applyBorder="1" applyAlignment="1">
      <alignment horizontal="left"/>
    </xf>
    <xf numFmtId="0" fontId="0" fillId="2" borderId="0" xfId="0" applyFont="1" applyFill="1" applyBorder="1"/>
    <xf numFmtId="0" fontId="4" fillId="2" borderId="24" xfId="0" applyFont="1" applyFill="1" applyBorder="1" applyAlignment="1">
      <alignment horizontal="left"/>
    </xf>
    <xf numFmtId="166" fontId="4" fillId="2" borderId="25" xfId="0" applyNumberFormat="1" applyFont="1" applyFill="1" applyBorder="1" applyAlignment="1">
      <alignment horizontal="center"/>
    </xf>
    <xf numFmtId="0" fontId="4" fillId="2" borderId="25" xfId="0" applyFont="1" applyFill="1" applyBorder="1" applyAlignment="1">
      <alignment horizontal="left"/>
    </xf>
    <xf numFmtId="0" fontId="0" fillId="2" borderId="25" xfId="0" applyFont="1" applyFill="1" applyBorder="1"/>
    <xf numFmtId="0" fontId="7" fillId="2" borderId="0" xfId="0" applyFont="1" applyFill="1" applyBorder="1" applyAlignment="1">
      <alignment horizontal="left" vertical="center"/>
    </xf>
    <xf numFmtId="0" fontId="7" fillId="2" borderId="0" xfId="0" applyFont="1" applyFill="1" applyBorder="1" applyAlignment="1">
      <alignment horizontal="left"/>
    </xf>
    <xf numFmtId="166" fontId="8" fillId="2" borderId="0" xfId="0" applyNumberFormat="1" applyFont="1" applyFill="1" applyBorder="1" applyAlignment="1">
      <alignment horizontal="center" vertical="center"/>
    </xf>
    <xf numFmtId="166" fontId="7" fillId="2" borderId="0" xfId="0" applyNumberFormat="1" applyFont="1" applyFill="1" applyBorder="1" applyAlignment="1">
      <alignment horizontal="center"/>
    </xf>
    <xf numFmtId="0" fontId="8" fillId="2" borderId="0" xfId="0" applyFont="1" applyFill="1" applyBorder="1" applyAlignment="1">
      <alignment horizontal="left" vertical="center"/>
    </xf>
    <xf numFmtId="0" fontId="8" fillId="2" borderId="0" xfId="0" applyFont="1" applyFill="1" applyBorder="1"/>
    <xf numFmtId="0" fontId="7" fillId="2" borderId="0" xfId="0" applyFont="1" applyFill="1" applyAlignment="1">
      <alignment vertical="center"/>
    </xf>
    <xf numFmtId="0" fontId="7" fillId="2" borderId="0" xfId="0" applyFont="1" applyFill="1"/>
    <xf numFmtId="0" fontId="8" fillId="2" borderId="0" xfId="0" applyNumberFormat="1" applyFont="1" applyFill="1" applyBorder="1" applyAlignment="1">
      <alignment horizontal="center" vertical="center"/>
    </xf>
    <xf numFmtId="0" fontId="7" fillId="2" borderId="0" xfId="0" applyFont="1" applyFill="1" applyBorder="1" applyAlignment="1">
      <alignment horizontal="right"/>
    </xf>
    <xf numFmtId="0" fontId="7" fillId="2" borderId="0" xfId="0" applyFont="1" applyFill="1" applyBorder="1" applyAlignment="1">
      <alignment horizontal="center"/>
    </xf>
    <xf numFmtId="0" fontId="7" fillId="2" borderId="5" xfId="0"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6" fontId="7" fillId="2" borderId="5"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26" xfId="0" applyFont="1" applyFill="1" applyBorder="1" applyAlignment="1">
      <alignment horizontal="left" vertical="center" wrapText="1"/>
    </xf>
    <xf numFmtId="166" fontId="4" fillId="2" borderId="25" xfId="0" applyNumberFormat="1" applyFont="1" applyFill="1" applyBorder="1" applyAlignment="1">
      <alignment vertical="center" wrapText="1"/>
    </xf>
    <xf numFmtId="0" fontId="4" fillId="2" borderId="42" xfId="0" applyFont="1" applyFill="1" applyBorder="1" applyAlignment="1">
      <alignment horizontal="left" vertical="center"/>
    </xf>
    <xf numFmtId="166" fontId="4" fillId="2" borderId="41" xfId="0" applyNumberFormat="1" applyFont="1" applyFill="1" applyBorder="1" applyAlignment="1">
      <alignment horizontal="center" vertical="center"/>
    </xf>
    <xf numFmtId="0" fontId="7" fillId="2" borderId="41" xfId="0" applyFont="1" applyFill="1" applyBorder="1" applyAlignment="1">
      <alignment horizontal="left" vertical="center"/>
    </xf>
    <xf numFmtId="0" fontId="4" fillId="2" borderId="41" xfId="0" applyFont="1" applyFill="1" applyBorder="1" applyAlignment="1">
      <alignment horizontal="left" vertical="center"/>
    </xf>
    <xf numFmtId="0" fontId="0" fillId="2" borderId="43" xfId="0" applyFont="1" applyFill="1" applyBorder="1" applyAlignment="1">
      <alignment vertical="center"/>
    </xf>
    <xf numFmtId="0" fontId="4" fillId="2" borderId="9" xfId="0" applyFont="1" applyFill="1" applyBorder="1" applyAlignment="1">
      <alignment horizontal="left" vertical="center"/>
    </xf>
    <xf numFmtId="166" fontId="4" fillId="2" borderId="10" xfId="0" applyNumberFormat="1" applyFont="1" applyFill="1" applyBorder="1" applyAlignment="1">
      <alignment horizontal="center" vertical="center"/>
    </xf>
    <xf numFmtId="0" fontId="7" fillId="2" borderId="10" xfId="0" applyFont="1" applyFill="1" applyBorder="1" applyAlignment="1">
      <alignment horizontal="left" vertical="center"/>
    </xf>
    <xf numFmtId="0" fontId="4" fillId="2" borderId="10" xfId="0" applyFont="1" applyFill="1" applyBorder="1" applyAlignment="1">
      <alignment horizontal="left" vertical="center"/>
    </xf>
    <xf numFmtId="0" fontId="0" fillId="2" borderId="10" xfId="0" applyFont="1" applyFill="1" applyBorder="1" applyAlignment="1">
      <alignment vertical="center"/>
    </xf>
    <xf numFmtId="0" fontId="4" fillId="2" borderId="8" xfId="0" applyFont="1" applyFill="1" applyBorder="1" applyAlignment="1">
      <alignment horizontal="left" vertical="center" wrapText="1"/>
    </xf>
    <xf numFmtId="0" fontId="4" fillId="2" borderId="25" xfId="0" applyFont="1" applyFill="1" applyBorder="1" applyAlignment="1">
      <alignment horizontal="left" vertical="center" wrapText="1"/>
    </xf>
    <xf numFmtId="166" fontId="4"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7" fillId="2" borderId="8" xfId="0" applyFont="1" applyFill="1" applyBorder="1" applyAlignment="1">
      <alignment horizontal="left" vertical="center"/>
    </xf>
    <xf numFmtId="43" fontId="7" fillId="2" borderId="1" xfId="1" applyFont="1" applyFill="1" applyBorder="1" applyAlignment="1">
      <alignmen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165" fontId="4" fillId="2" borderId="8" xfId="0" applyNumberFormat="1" applyFont="1" applyFill="1" applyBorder="1" applyAlignment="1">
      <alignment horizontal="center" vertical="center"/>
    </xf>
    <xf numFmtId="166" fontId="0" fillId="2" borderId="8" xfId="0" applyNumberFormat="1" applyFont="1" applyFill="1" applyBorder="1" applyAlignment="1">
      <alignment horizontal="center" vertical="center"/>
    </xf>
    <xf numFmtId="165" fontId="4" fillId="2" borderId="8" xfId="0" applyNumberFormat="1" applyFont="1" applyFill="1" applyBorder="1" applyAlignment="1">
      <alignment horizontal="left" vertical="center"/>
    </xf>
    <xf numFmtId="165" fontId="7" fillId="2" borderId="0" xfId="0" applyNumberFormat="1" applyFont="1" applyFill="1" applyBorder="1" applyAlignment="1">
      <alignment horizontal="left"/>
    </xf>
    <xf numFmtId="0" fontId="7" fillId="2" borderId="5" xfId="0" applyFont="1" applyFill="1" applyBorder="1" applyAlignment="1">
      <alignment horizontal="left" vertical="center"/>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xf>
    <xf numFmtId="166" fontId="0" fillId="2" borderId="1" xfId="0" quotePrefix="1" applyNumberFormat="1" applyFont="1" applyFill="1" applyBorder="1" applyAlignment="1">
      <alignment horizontal="center" vertical="center"/>
    </xf>
    <xf numFmtId="0" fontId="23"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0" fillId="2" borderId="26" xfId="0" applyFont="1" applyFill="1" applyBorder="1" applyAlignment="1">
      <alignment horizontal="center" vertical="center"/>
    </xf>
    <xf numFmtId="0" fontId="0" fillId="2" borderId="25" xfId="0" applyFont="1" applyFill="1" applyBorder="1" applyAlignment="1">
      <alignment horizontal="left" vertical="center" wrapText="1"/>
    </xf>
    <xf numFmtId="165" fontId="4" fillId="2" borderId="25" xfId="0" applyNumberFormat="1" applyFont="1" applyFill="1" applyBorder="1" applyAlignment="1">
      <alignment horizontal="center" vertical="center"/>
    </xf>
    <xf numFmtId="165" fontId="4" fillId="2" borderId="25" xfId="0" applyNumberFormat="1" applyFont="1" applyFill="1" applyBorder="1" applyAlignment="1">
      <alignment horizontal="left" vertical="center"/>
    </xf>
    <xf numFmtId="0" fontId="0" fillId="2" borderId="0" xfId="0" applyFont="1" applyFill="1" applyBorder="1" applyAlignment="1">
      <alignment horizontal="left" vertical="center" wrapText="1"/>
    </xf>
    <xf numFmtId="43" fontId="7" fillId="2" borderId="0" xfId="1" applyFont="1" applyFill="1" applyBorder="1" applyAlignment="1">
      <alignment vertical="center"/>
    </xf>
    <xf numFmtId="0" fontId="0" fillId="2" borderId="24" xfId="0" applyFont="1" applyFill="1" applyBorder="1" applyAlignment="1">
      <alignment horizontal="left" vertical="center" wrapText="1"/>
    </xf>
    <xf numFmtId="0" fontId="0" fillId="2" borderId="0" xfId="0" applyFont="1" applyFill="1"/>
    <xf numFmtId="165" fontId="0" fillId="2" borderId="0" xfId="0" applyNumberFormat="1" applyFont="1" applyFill="1"/>
    <xf numFmtId="166" fontId="0" fillId="2" borderId="0" xfId="0" applyNumberFormat="1" applyFont="1" applyFill="1"/>
    <xf numFmtId="166" fontId="4" fillId="2" borderId="0" xfId="0" applyNumberFormat="1" applyFont="1" applyFill="1"/>
    <xf numFmtId="43" fontId="7" fillId="2" borderId="1" xfId="1" applyFont="1" applyFill="1" applyBorder="1" applyAlignment="1">
      <alignment horizontal="left" vertical="center"/>
    </xf>
    <xf numFmtId="43" fontId="8" fillId="2" borderId="1" xfId="0" applyNumberFormat="1" applyFont="1" applyFill="1" applyBorder="1"/>
    <xf numFmtId="166" fontId="7" fillId="2" borderId="0" xfId="0" applyNumberFormat="1" applyFont="1" applyFill="1" applyBorder="1" applyAlignment="1">
      <alignment horizontal="left" wrapText="1"/>
    </xf>
    <xf numFmtId="43" fontId="7" fillId="2" borderId="1" xfId="0" applyNumberFormat="1" applyFont="1" applyFill="1" applyBorder="1"/>
    <xf numFmtId="43" fontId="7" fillId="2" borderId="24" xfId="0" applyNumberFormat="1" applyFont="1" applyFill="1" applyBorder="1"/>
    <xf numFmtId="0" fontId="6" fillId="2" borderId="24" xfId="0" applyFont="1" applyFill="1" applyBorder="1" applyAlignment="1">
      <alignment horizontal="left" vertical="center" wrapText="1"/>
    </xf>
    <xf numFmtId="43" fontId="6" fillId="2" borderId="24" xfId="1" applyFont="1" applyFill="1" applyBorder="1" applyAlignment="1">
      <alignment horizontal="left" vertical="center"/>
    </xf>
    <xf numFmtId="43" fontId="6" fillId="2" borderId="0" xfId="0" applyNumberFormat="1" applyFont="1" applyFill="1" applyBorder="1"/>
    <xf numFmtId="0" fontId="72" fillId="2" borderId="0" xfId="0" applyFont="1" applyFill="1" applyBorder="1"/>
    <xf numFmtId="43" fontId="73" fillId="2" borderId="0" xfId="1" applyFont="1" applyFill="1" applyBorder="1" applyAlignment="1">
      <alignment horizontal="center" vertical="center"/>
    </xf>
    <xf numFmtId="0" fontId="2" fillId="2" borderId="0" xfId="0" applyFont="1" applyFill="1"/>
    <xf numFmtId="164" fontId="8" fillId="2" borderId="0" xfId="0" applyNumberFormat="1" applyFont="1" applyFill="1"/>
    <xf numFmtId="0" fontId="72" fillId="2" borderId="0" xfId="0" applyFont="1" applyFill="1"/>
    <xf numFmtId="166" fontId="7" fillId="2" borderId="6" xfId="0" applyNumberFormat="1" applyFont="1" applyFill="1" applyBorder="1" applyAlignment="1">
      <alignment vertical="center" wrapText="1"/>
    </xf>
    <xf numFmtId="43" fontId="7" fillId="2" borderId="1" xfId="1" applyFont="1" applyFill="1" applyBorder="1" applyAlignment="1">
      <alignment vertical="center" wrapText="1"/>
    </xf>
    <xf numFmtId="0" fontId="2" fillId="2" borderId="25" xfId="0" applyFont="1" applyFill="1" applyBorder="1"/>
    <xf numFmtId="43" fontId="8" fillId="2" borderId="1" xfId="1" applyFont="1" applyFill="1" applyBorder="1"/>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4" fontId="8" fillId="2" borderId="21" xfId="0" applyNumberFormat="1" applyFont="1" applyFill="1" applyBorder="1" applyAlignment="1">
      <alignment horizontal="center" vertical="center" wrapText="1"/>
    </xf>
    <xf numFmtId="4" fontId="8" fillId="2" borderId="21" xfId="0" applyNumberFormat="1" applyFont="1" applyFill="1" applyBorder="1" applyAlignment="1">
      <alignment horizontal="right" vertical="center" wrapText="1"/>
    </xf>
    <xf numFmtId="0" fontId="8" fillId="2" borderId="1" xfId="0" applyFont="1" applyFill="1" applyBorder="1"/>
    <xf numFmtId="0" fontId="8" fillId="2" borderId="21" xfId="0" applyFont="1" applyFill="1" applyBorder="1"/>
    <xf numFmtId="4" fontId="8" fillId="2" borderId="0" xfId="0" applyNumberFormat="1" applyFont="1" applyFill="1" applyBorder="1" applyAlignment="1">
      <alignment horizontal="center" vertical="center" wrapText="1"/>
    </xf>
    <xf numFmtId="4" fontId="8" fillId="2" borderId="0" xfId="0" applyNumberFormat="1" applyFont="1" applyFill="1" applyBorder="1" applyAlignment="1">
      <alignment horizontal="right" vertical="center" wrapText="1"/>
    </xf>
    <xf numFmtId="4" fontId="8" fillId="2" borderId="24" xfId="0" applyNumberFormat="1" applyFont="1" applyFill="1" applyBorder="1" applyAlignment="1">
      <alignment horizontal="center" vertical="center" wrapText="1"/>
    </xf>
    <xf numFmtId="4" fontId="8" fillId="2" borderId="24" xfId="0" applyNumberFormat="1" applyFont="1" applyFill="1" applyBorder="1" applyAlignment="1">
      <alignment horizontal="right" vertical="center" wrapText="1"/>
    </xf>
    <xf numFmtId="43" fontId="8" fillId="2" borderId="0" xfId="0" applyNumberFormat="1" applyFont="1" applyFill="1"/>
    <xf numFmtId="0" fontId="2" fillId="0" borderId="0" xfId="0" applyFont="1"/>
    <xf numFmtId="43" fontId="2" fillId="0" borderId="0" xfId="0" applyNumberFormat="1" applyFont="1"/>
    <xf numFmtId="43" fontId="2" fillId="0" borderId="0" xfId="1" applyFont="1"/>
    <xf numFmtId="43" fontId="8" fillId="0" borderId="0" xfId="1" applyFont="1"/>
    <xf numFmtId="0" fontId="4" fillId="0" borderId="39" xfId="0" applyFont="1" applyBorder="1"/>
    <xf numFmtId="0" fontId="0" fillId="0" borderId="38" xfId="0" applyBorder="1"/>
    <xf numFmtId="0" fontId="0" fillId="0" borderId="16" xfId="0" applyBorder="1"/>
    <xf numFmtId="0" fontId="0" fillId="0" borderId="0" xfId="0" applyBorder="1" applyAlignment="1">
      <alignment wrapText="1"/>
    </xf>
    <xf numFmtId="43" fontId="0" fillId="0" borderId="17" xfId="1" applyFont="1" applyBorder="1"/>
    <xf numFmtId="0" fontId="0" fillId="0" borderId="45" xfId="0" applyBorder="1"/>
    <xf numFmtId="0" fontId="0" fillId="0" borderId="38" xfId="0" applyBorder="1" applyAlignment="1">
      <alignment wrapText="1"/>
    </xf>
    <xf numFmtId="43" fontId="0" fillId="0" borderId="40" xfId="1" applyFont="1" applyBorder="1"/>
    <xf numFmtId="0" fontId="0" fillId="0" borderId="18" xfId="0" applyBorder="1"/>
    <xf numFmtId="0" fontId="4" fillId="0" borderId="37" xfId="0" applyFont="1" applyBorder="1"/>
    <xf numFmtId="43" fontId="4" fillId="0" borderId="19" xfId="1" applyFont="1" applyBorder="1"/>
    <xf numFmtId="0" fontId="4" fillId="0" borderId="37" xfId="0" applyFont="1" applyBorder="1" applyAlignment="1">
      <alignment wrapText="1"/>
    </xf>
    <xf numFmtId="43" fontId="4" fillId="0" borderId="19" xfId="0" applyNumberFormat="1" applyFont="1" applyBorder="1"/>
    <xf numFmtId="0" fontId="0" fillId="0" borderId="46" xfId="0" applyBorder="1" applyAlignment="1">
      <alignment wrapText="1"/>
    </xf>
    <xf numFmtId="43" fontId="0" fillId="0" borderId="47" xfId="1" applyFont="1" applyBorder="1"/>
    <xf numFmtId="0" fontId="4" fillId="0" borderId="18" xfId="0" applyFont="1" applyBorder="1" applyAlignment="1">
      <alignment horizontal="center" vertical="center" wrapText="1"/>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35" fillId="4" borderId="21" xfId="0" applyFont="1" applyFill="1" applyBorder="1" applyAlignment="1" applyProtection="1">
      <alignment horizontal="centerContinuous" vertical="center"/>
      <protection hidden="1"/>
    </xf>
    <xf numFmtId="43" fontId="8" fillId="0" borderId="24" xfId="0" applyNumberFormat="1" applyFont="1" applyBorder="1" applyAlignment="1">
      <alignment horizontal="center" vertical="center"/>
    </xf>
    <xf numFmtId="43" fontId="7" fillId="0" borderId="24" xfId="0" applyNumberFormat="1" applyFont="1" applyBorder="1" applyAlignment="1">
      <alignment horizontal="center" vertical="center"/>
    </xf>
    <xf numFmtId="0" fontId="7" fillId="0" borderId="24" xfId="0" applyFont="1" applyBorder="1" applyAlignment="1">
      <alignment horizontal="center"/>
    </xf>
    <xf numFmtId="0" fontId="7" fillId="0" borderId="24" xfId="0" applyFont="1" applyBorder="1" applyAlignment="1">
      <alignment horizontal="center" vertical="center"/>
    </xf>
    <xf numFmtId="0" fontId="8" fillId="0" borderId="24" xfId="0" applyFont="1" applyBorder="1" applyAlignment="1">
      <alignment horizontal="center"/>
    </xf>
    <xf numFmtId="0" fontId="8" fillId="0" borderId="24" xfId="0" applyFont="1" applyBorder="1"/>
    <xf numFmtId="165" fontId="25" fillId="0" borderId="24" xfId="0" applyNumberFormat="1" applyFont="1" applyBorder="1"/>
    <xf numFmtId="43" fontId="12" fillId="2" borderId="24" xfId="1" applyFont="1" applyFill="1" applyBorder="1" applyAlignment="1">
      <alignment horizontal="center" vertical="center" wrapText="1"/>
    </xf>
    <xf numFmtId="2" fontId="12" fillId="2" borderId="24" xfId="1" applyNumberFormat="1" applyFont="1" applyFill="1" applyBorder="1" applyAlignment="1">
      <alignment horizontal="center" vertical="center" wrapText="1"/>
    </xf>
    <xf numFmtId="43" fontId="12" fillId="2" borderId="24" xfId="1" applyFont="1" applyFill="1" applyBorder="1" applyAlignment="1">
      <alignment horizontal="left" vertical="center" wrapText="1"/>
    </xf>
    <xf numFmtId="43" fontId="12" fillId="2" borderId="0" xfId="1" applyFont="1" applyFill="1" applyAlignment="1">
      <alignment horizontal="center"/>
    </xf>
    <xf numFmtId="43" fontId="12" fillId="2" borderId="24" xfId="1" applyFont="1" applyFill="1" applyBorder="1" applyAlignment="1">
      <alignment horizontal="right" vertical="center" wrapText="1"/>
    </xf>
    <xf numFmtId="0" fontId="7" fillId="8" borderId="6"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8" xfId="0" applyFont="1" applyFill="1" applyBorder="1" applyAlignment="1">
      <alignment horizontal="left"/>
    </xf>
    <xf numFmtId="166" fontId="7" fillId="8" borderId="8" xfId="0" applyNumberFormat="1"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3" xfId="0" applyFont="1" applyFill="1" applyBorder="1" applyAlignment="1">
      <alignment horizontal="left" vertical="center" wrapText="1"/>
    </xf>
    <xf numFmtId="43" fontId="7" fillId="8" borderId="1" xfId="1" applyFont="1" applyFill="1" applyBorder="1" applyAlignment="1">
      <alignment horizontal="left" vertical="center"/>
    </xf>
    <xf numFmtId="0" fontId="4" fillId="8" borderId="6" xfId="0" applyFont="1" applyFill="1" applyBorder="1" applyAlignment="1">
      <alignment horizontal="left"/>
    </xf>
    <xf numFmtId="166" fontId="4" fillId="8" borderId="8" xfId="0" applyNumberFormat="1" applyFont="1" applyFill="1" applyBorder="1" applyAlignment="1">
      <alignment horizontal="center"/>
    </xf>
    <xf numFmtId="0" fontId="4" fillId="8" borderId="8" xfId="0" applyFont="1" applyFill="1" applyBorder="1" applyAlignment="1">
      <alignment horizontal="left"/>
    </xf>
    <xf numFmtId="0" fontId="0" fillId="8" borderId="3" xfId="0" applyFont="1" applyFill="1" applyBorder="1"/>
    <xf numFmtId="166" fontId="4" fillId="8" borderId="6" xfId="0" applyNumberFormat="1" applyFont="1" applyFill="1" applyBorder="1" applyAlignment="1">
      <alignment horizontal="left" wrapText="1"/>
    </xf>
    <xf numFmtId="166" fontId="7" fillId="8" borderId="1" xfId="0" applyNumberFormat="1" applyFont="1" applyFill="1" applyBorder="1" applyAlignment="1">
      <alignment horizontal="left" wrapText="1"/>
    </xf>
    <xf numFmtId="0" fontId="4" fillId="8" borderId="26" xfId="0" applyFont="1" applyFill="1" applyBorder="1" applyAlignment="1">
      <alignment horizontal="left" vertical="center"/>
    </xf>
    <xf numFmtId="166" fontId="4" fillId="8" borderId="25" xfId="0" applyNumberFormat="1" applyFont="1" applyFill="1" applyBorder="1" applyAlignment="1">
      <alignment horizontal="center" vertical="center"/>
    </xf>
    <xf numFmtId="0" fontId="7" fillId="8" borderId="25" xfId="0" applyFont="1" applyFill="1" applyBorder="1" applyAlignment="1">
      <alignment horizontal="left" vertical="center"/>
    </xf>
    <xf numFmtId="0" fontId="4" fillId="8" borderId="25" xfId="0" applyFont="1" applyFill="1" applyBorder="1" applyAlignment="1">
      <alignment horizontal="left" vertical="center"/>
    </xf>
    <xf numFmtId="0" fontId="0" fillId="8" borderId="21" xfId="0" applyFont="1" applyFill="1" applyBorder="1" applyAlignment="1">
      <alignment vertical="center"/>
    </xf>
    <xf numFmtId="166" fontId="4" fillId="8" borderId="24" xfId="0" applyNumberFormat="1" applyFont="1" applyFill="1" applyBorder="1" applyAlignment="1">
      <alignment horizontal="left" vertical="center" wrapText="1"/>
    </xf>
    <xf numFmtId="166" fontId="7" fillId="8" borderId="24" xfId="0" applyNumberFormat="1" applyFont="1" applyFill="1" applyBorder="1" applyAlignment="1">
      <alignment horizontal="left" vertical="center" wrapText="1"/>
    </xf>
    <xf numFmtId="43" fontId="7" fillId="8" borderId="24" xfId="1" applyFont="1" applyFill="1" applyBorder="1" applyAlignment="1">
      <alignment horizontal="left" vertical="center"/>
    </xf>
    <xf numFmtId="43" fontId="7" fillId="5" borderId="24" xfId="1" applyFont="1" applyFill="1" applyBorder="1" applyAlignment="1">
      <alignment vertical="center"/>
    </xf>
    <xf numFmtId="43" fontId="6" fillId="5" borderId="24" xfId="0" applyNumberFormat="1" applyFont="1" applyFill="1" applyBorder="1"/>
    <xf numFmtId="0" fontId="9" fillId="5" borderId="1" xfId="0" applyFont="1" applyFill="1" applyBorder="1"/>
    <xf numFmtId="0" fontId="6" fillId="5" borderId="1" xfId="0" applyFont="1" applyFill="1" applyBorder="1"/>
    <xf numFmtId="0" fontId="6" fillId="5" borderId="24" xfId="0" applyFont="1" applyFill="1" applyBorder="1"/>
    <xf numFmtId="0" fontId="1" fillId="0" borderId="0" xfId="0" applyFont="1"/>
    <xf numFmtId="0" fontId="19" fillId="2" borderId="12" xfId="1" applyNumberFormat="1" applyFont="1" applyFill="1" applyBorder="1" applyAlignment="1">
      <alignment horizontal="center" vertical="center" wrapText="1"/>
    </xf>
    <xf numFmtId="43" fontId="19" fillId="2" borderId="24" xfId="1" applyFont="1" applyFill="1" applyBorder="1" applyAlignment="1">
      <alignment horizontal="center" vertical="center" wrapText="1"/>
    </xf>
    <xf numFmtId="2" fontId="19" fillId="2" borderId="24" xfId="1" applyNumberFormat="1" applyFont="1" applyFill="1" applyBorder="1" applyAlignment="1">
      <alignment horizontal="center" vertical="center" wrapText="1"/>
    </xf>
    <xf numFmtId="43" fontId="19" fillId="2" borderId="13" xfId="1" applyFont="1" applyFill="1" applyBorder="1" applyAlignment="1">
      <alignment horizontal="center" vertical="center" wrapText="1"/>
    </xf>
    <xf numFmtId="43" fontId="12" fillId="2" borderId="24" xfId="1" applyFont="1" applyFill="1" applyBorder="1" applyAlignment="1">
      <alignment vertical="center" wrapText="1"/>
    </xf>
    <xf numFmtId="0" fontId="1" fillId="2" borderId="0" xfId="0" applyFont="1" applyFill="1"/>
    <xf numFmtId="0" fontId="12" fillId="2" borderId="15" xfId="1" applyNumberFormat="1" applyFont="1" applyFill="1" applyBorder="1" applyAlignment="1">
      <alignment horizontal="center" vertical="center" wrapText="1"/>
    </xf>
    <xf numFmtId="43" fontId="12" fillId="2" borderId="26" xfId="1" applyFont="1" applyFill="1" applyBorder="1" applyAlignment="1">
      <alignment horizontal="center" vertical="center" wrapText="1"/>
    </xf>
    <xf numFmtId="0" fontId="12" fillId="2" borderId="24" xfId="1" applyNumberFormat="1" applyFont="1" applyFill="1" applyBorder="1" applyAlignment="1">
      <alignment horizontal="center" vertical="center" wrapText="1"/>
    </xf>
    <xf numFmtId="0" fontId="12" fillId="2" borderId="0" xfId="1" applyNumberFormat="1" applyFont="1" applyFill="1" applyBorder="1" applyAlignment="1">
      <alignment horizontal="center" vertical="center" wrapText="1"/>
    </xf>
    <xf numFmtId="43" fontId="19" fillId="2" borderId="0" xfId="1" applyFont="1" applyFill="1" applyBorder="1" applyAlignment="1">
      <alignment horizontal="center" vertical="center" wrapText="1"/>
    </xf>
    <xf numFmtId="2" fontId="19" fillId="2" borderId="0" xfId="1" applyNumberFormat="1" applyFont="1" applyFill="1" applyBorder="1" applyAlignment="1">
      <alignment horizontal="center" vertical="center" wrapText="1"/>
    </xf>
    <xf numFmtId="0" fontId="12" fillId="2" borderId="0" xfId="1" applyNumberFormat="1" applyFont="1" applyFill="1" applyAlignment="1">
      <alignment horizontal="center" vertical="center" wrapText="1"/>
    </xf>
    <xf numFmtId="43" fontId="12" fillId="2" borderId="0" xfId="1" applyFont="1" applyFill="1" applyAlignment="1">
      <alignment horizontal="center" vertical="center" wrapText="1"/>
    </xf>
    <xf numFmtId="43" fontId="12" fillId="2" borderId="0" xfId="1" applyFont="1" applyFill="1" applyBorder="1" applyAlignment="1">
      <alignment horizontal="center" vertical="center" wrapText="1"/>
    </xf>
    <xf numFmtId="2" fontId="12" fillId="2" borderId="0" xfId="1" applyNumberFormat="1" applyFont="1" applyFill="1" applyAlignment="1">
      <alignment horizontal="center" vertical="center" wrapText="1"/>
    </xf>
    <xf numFmtId="0" fontId="19" fillId="2" borderId="24" xfId="1" applyNumberFormat="1" applyFont="1" applyFill="1" applyBorder="1" applyAlignment="1">
      <alignment horizontal="center" vertical="center" wrapText="1"/>
    </xf>
    <xf numFmtId="43" fontId="12" fillId="2" borderId="5" xfId="1" applyFont="1" applyFill="1" applyBorder="1" applyAlignment="1">
      <alignment horizontal="left" vertical="center" wrapText="1"/>
    </xf>
    <xf numFmtId="43" fontId="1" fillId="2" borderId="0" xfId="0" applyNumberFormat="1" applyFont="1" applyFill="1"/>
    <xf numFmtId="0" fontId="1" fillId="3" borderId="0" xfId="0" applyFont="1" applyFill="1"/>
    <xf numFmtId="0" fontId="12" fillId="2" borderId="24" xfId="0" applyFont="1" applyFill="1" applyBorder="1" applyAlignment="1">
      <alignment horizontal="center" vertical="center" wrapText="1"/>
    </xf>
    <xf numFmtId="0" fontId="75" fillId="0" borderId="5" xfId="0" applyFont="1" applyBorder="1" applyAlignment="1">
      <alignment horizontal="center" vertical="center" wrapText="1"/>
    </xf>
    <xf numFmtId="0" fontId="75" fillId="0" borderId="5" xfId="1" applyNumberFormat="1" applyFont="1" applyFill="1" applyBorder="1" applyAlignment="1" applyProtection="1">
      <alignment horizontal="left" vertical="center" wrapText="1"/>
    </xf>
    <xf numFmtId="43" fontId="49" fillId="2" borderId="24" xfId="1" applyFont="1" applyFill="1" applyBorder="1" applyAlignment="1">
      <alignment horizontal="center" vertical="center" wrapText="1"/>
    </xf>
    <xf numFmtId="0" fontId="75" fillId="0" borderId="20" xfId="0" applyFont="1" applyBorder="1" applyAlignment="1">
      <alignment horizontal="center" vertical="center" wrapText="1"/>
    </xf>
    <xf numFmtId="43" fontId="49" fillId="2" borderId="21" xfId="1" applyFont="1" applyFill="1" applyBorder="1" applyAlignment="1">
      <alignment horizontal="center" vertical="center" wrapText="1"/>
    </xf>
    <xf numFmtId="167" fontId="75" fillId="0" borderId="22" xfId="1" applyNumberFormat="1" applyFont="1" applyFill="1" applyBorder="1" applyAlignment="1" applyProtection="1">
      <alignment horizontal="center" vertical="center" wrapText="1"/>
    </xf>
    <xf numFmtId="167" fontId="75" fillId="0" borderId="23" xfId="1" applyNumberFormat="1" applyFont="1" applyFill="1" applyBorder="1" applyAlignment="1" applyProtection="1">
      <alignment horizontal="center" vertical="center" wrapText="1"/>
    </xf>
    <xf numFmtId="0" fontId="75" fillId="0" borderId="24" xfId="2" applyFont="1" applyFill="1" applyBorder="1" applyAlignment="1">
      <alignment horizontal="center" vertical="center" wrapText="1"/>
    </xf>
    <xf numFmtId="167" fontId="75" fillId="2" borderId="22" xfId="1" applyNumberFormat="1" applyFont="1" applyFill="1" applyBorder="1" applyAlignment="1" applyProtection="1">
      <alignment horizontal="center" vertical="center" wrapText="1"/>
    </xf>
    <xf numFmtId="0" fontId="76" fillId="0" borderId="25" xfId="0" applyFont="1" applyBorder="1" applyAlignment="1">
      <alignment horizontal="center" vertical="center" wrapText="1"/>
    </xf>
    <xf numFmtId="0" fontId="56" fillId="0" borderId="24" xfId="0" applyFont="1" applyFill="1" applyBorder="1" applyAlignment="1">
      <alignment horizontal="left" vertical="center" wrapText="1"/>
    </xf>
    <xf numFmtId="0" fontId="56" fillId="0" borderId="24" xfId="0" applyFont="1" applyFill="1" applyBorder="1" applyAlignment="1">
      <alignment horizontal="center" vertical="center" wrapText="1"/>
    </xf>
    <xf numFmtId="0" fontId="56" fillId="0" borderId="26" xfId="0" applyFont="1" applyFill="1" applyBorder="1" applyAlignment="1">
      <alignment horizontal="center" vertical="center" wrapText="1"/>
    </xf>
    <xf numFmtId="2" fontId="56" fillId="0" borderId="24" xfId="0" applyNumberFormat="1" applyFont="1" applyFill="1" applyBorder="1" applyAlignment="1">
      <alignment horizontal="center" vertical="center" wrapText="1"/>
    </xf>
    <xf numFmtId="2" fontId="56" fillId="0" borderId="26" xfId="0" applyNumberFormat="1" applyFont="1" applyFill="1" applyBorder="1" applyAlignment="1">
      <alignment horizontal="center" vertical="center" wrapText="1"/>
    </xf>
    <xf numFmtId="2" fontId="56" fillId="2" borderId="24" xfId="0" applyNumberFormat="1" applyFont="1" applyFill="1" applyBorder="1" applyAlignment="1">
      <alignment horizontal="center" vertical="center" wrapText="1"/>
    </xf>
    <xf numFmtId="3" fontId="56" fillId="0" borderId="24" xfId="0" applyNumberFormat="1" applyFont="1" applyFill="1" applyBorder="1" applyAlignment="1">
      <alignment horizontal="center" vertical="center" wrapText="1"/>
    </xf>
    <xf numFmtId="0" fontId="56" fillId="0" borderId="48" xfId="0" applyFont="1" applyFill="1" applyBorder="1" applyAlignment="1">
      <alignment horizontal="center" vertical="center" wrapText="1"/>
    </xf>
    <xf numFmtId="2" fontId="74" fillId="2" borderId="24" xfId="0" applyNumberFormat="1" applyFont="1" applyFill="1" applyBorder="1" applyAlignment="1">
      <alignment wrapText="1"/>
    </xf>
    <xf numFmtId="2" fontId="74" fillId="2" borderId="24" xfId="0" applyNumberFormat="1" applyFont="1" applyFill="1" applyBorder="1" applyAlignment="1">
      <alignment horizontal="center" wrapText="1"/>
    </xf>
    <xf numFmtId="2" fontId="74" fillId="3" borderId="24" xfId="0" applyNumberFormat="1" applyFont="1" applyFill="1" applyBorder="1" applyAlignment="1">
      <alignment horizontal="center" wrapText="1"/>
    </xf>
    <xf numFmtId="0" fontId="1" fillId="0" borderId="0" xfId="0" applyFont="1" applyAlignment="1">
      <alignment horizontal="left"/>
    </xf>
    <xf numFmtId="0" fontId="1" fillId="0" borderId="0" xfId="0" applyFont="1" applyAlignment="1">
      <alignment horizontal="center" vertical="center"/>
    </xf>
    <xf numFmtId="43" fontId="77" fillId="2" borderId="5" xfId="1" applyFont="1" applyFill="1" applyBorder="1" applyAlignment="1">
      <alignment horizontal="center" vertical="center" wrapText="1"/>
    </xf>
    <xf numFmtId="2" fontId="77" fillId="2" borderId="5" xfId="1" applyNumberFormat="1" applyFont="1" applyFill="1" applyBorder="1" applyAlignment="1">
      <alignment horizontal="center" vertical="center" wrapText="1"/>
    </xf>
    <xf numFmtId="43" fontId="1" fillId="0" borderId="0" xfId="1" applyFont="1"/>
    <xf numFmtId="43" fontId="1" fillId="0" borderId="0" xfId="0" applyNumberFormat="1" applyFont="1"/>
    <xf numFmtId="43" fontId="12" fillId="2" borderId="24" xfId="1" applyFont="1" applyFill="1" applyBorder="1" applyAlignment="1">
      <alignment horizontal="right" wrapText="1"/>
    </xf>
    <xf numFmtId="43" fontId="9" fillId="2" borderId="0" xfId="1" applyFont="1" applyFill="1" applyBorder="1" applyAlignment="1">
      <alignment horizontal="center" vertical="center" wrapText="1"/>
    </xf>
    <xf numFmtId="43" fontId="19" fillId="2" borderId="24" xfId="1" applyFont="1" applyFill="1" applyBorder="1" applyAlignment="1">
      <alignment horizontal="right" vertical="center" wrapText="1"/>
    </xf>
    <xf numFmtId="43" fontId="19" fillId="2" borderId="0" xfId="1" applyFont="1" applyFill="1" applyBorder="1" applyAlignment="1">
      <alignment horizontal="left" vertical="center" wrapText="1"/>
    </xf>
    <xf numFmtId="43" fontId="77" fillId="2" borderId="24" xfId="1" applyFont="1" applyFill="1" applyBorder="1" applyAlignment="1">
      <alignment horizontal="center" vertical="center" wrapText="1"/>
    </xf>
    <xf numFmtId="2" fontId="77" fillId="2" borderId="24" xfId="1" applyNumberFormat="1" applyFont="1" applyFill="1" applyBorder="1" applyAlignment="1">
      <alignment horizontal="center" vertical="center" wrapText="1"/>
    </xf>
    <xf numFmtId="2" fontId="12" fillId="2" borderId="24" xfId="1" applyNumberFormat="1" applyFont="1" applyFill="1" applyBorder="1" applyAlignment="1">
      <alignment horizontal="right" vertical="center" wrapText="1"/>
    </xf>
    <xf numFmtId="0" fontId="50" fillId="2" borderId="5" xfId="3" applyFont="1" applyFill="1" applyBorder="1" applyAlignment="1">
      <alignment horizontal="left" vertical="center" wrapText="1"/>
    </xf>
    <xf numFmtId="0" fontId="50" fillId="2" borderId="31" xfId="3" applyFont="1" applyFill="1" applyBorder="1" applyAlignment="1">
      <alignment horizontal="left" vertical="center" wrapText="1"/>
    </xf>
    <xf numFmtId="0" fontId="50" fillId="2" borderId="5" xfId="0" applyFont="1" applyFill="1" applyBorder="1" applyAlignment="1">
      <alignment horizontal="center" vertical="center"/>
    </xf>
    <xf numFmtId="0" fontId="50" fillId="2" borderId="4" xfId="0" applyFont="1" applyFill="1" applyBorder="1" applyAlignment="1">
      <alignment horizontal="center" vertical="center"/>
    </xf>
    <xf numFmtId="0" fontId="49" fillId="2" borderId="0" xfId="0" applyFont="1" applyFill="1" applyAlignment="1">
      <alignment horizontal="left"/>
    </xf>
    <xf numFmtId="0" fontId="79" fillId="0" borderId="0" xfId="0" applyFont="1" applyFill="1" applyBorder="1" applyAlignment="1" applyProtection="1">
      <alignment horizontal="centerContinuous"/>
      <protection hidden="1"/>
    </xf>
    <xf numFmtId="0" fontId="80" fillId="0" borderId="0" xfId="0" applyFont="1" applyFill="1" applyBorder="1" applyAlignment="1" applyProtection="1">
      <alignment horizontal="left"/>
      <protection hidden="1"/>
    </xf>
    <xf numFmtId="0" fontId="78" fillId="0" borderId="0" xfId="0" applyFont="1" applyFill="1" applyBorder="1" applyAlignment="1" applyProtection="1">
      <protection hidden="1"/>
    </xf>
    <xf numFmtId="43" fontId="12" fillId="0" borderId="24" xfId="0" applyNumberFormat="1" applyFont="1" applyBorder="1" applyAlignment="1">
      <alignment horizontal="center" vertical="center" wrapText="1"/>
    </xf>
    <xf numFmtId="43" fontId="49" fillId="2" borderId="24" xfId="1" applyNumberFormat="1" applyFont="1" applyFill="1" applyBorder="1"/>
    <xf numFmtId="43" fontId="49" fillId="2" borderId="24" xfId="1" applyFont="1" applyFill="1" applyBorder="1"/>
    <xf numFmtId="43" fontId="49" fillId="2" borderId="24" xfId="0" applyNumberFormat="1" applyFont="1" applyFill="1" applyBorder="1"/>
    <xf numFmtId="43" fontId="49" fillId="2" borderId="31" xfId="1" applyFont="1" applyFill="1" applyBorder="1"/>
    <xf numFmtId="0" fontId="5" fillId="2" borderId="24" xfId="0" applyFont="1" applyFill="1" applyBorder="1" applyAlignment="1">
      <alignment horizontal="center" vertical="center"/>
    </xf>
    <xf numFmtId="0" fontId="5" fillId="2" borderId="24" xfId="0" applyFont="1" applyFill="1" applyBorder="1" applyAlignment="1">
      <alignment horizontal="center" vertical="center" wrapText="1"/>
    </xf>
    <xf numFmtId="0" fontId="49" fillId="2" borderId="0" xfId="0" applyFont="1" applyFill="1" applyAlignment="1">
      <alignment horizontal="center" wrapText="1"/>
    </xf>
    <xf numFmtId="0" fontId="50" fillId="2" borderId="0" xfId="0" applyFont="1" applyFill="1" applyAlignment="1">
      <alignment wrapText="1"/>
    </xf>
    <xf numFmtId="0" fontId="49" fillId="2" borderId="24" xfId="0" applyFont="1" applyFill="1" applyBorder="1" applyAlignment="1">
      <alignment horizontal="left" vertical="center" wrapText="1"/>
    </xf>
    <xf numFmtId="168" fontId="50" fillId="2" borderId="24" xfId="0" applyNumberFormat="1" applyFont="1" applyFill="1" applyBorder="1" applyAlignment="1">
      <alignment horizontal="center" vertical="center" wrapText="1"/>
    </xf>
    <xf numFmtId="2" fontId="50" fillId="2" borderId="24" xfId="0" applyNumberFormat="1" applyFont="1" applyFill="1" applyBorder="1" applyAlignment="1">
      <alignment horizontal="center" vertical="center" wrapText="1"/>
    </xf>
    <xf numFmtId="2" fontId="49" fillId="2" borderId="24" xfId="0" applyNumberFormat="1" applyFont="1" applyFill="1" applyBorder="1" applyAlignment="1">
      <alignment horizontal="center" wrapText="1"/>
    </xf>
    <xf numFmtId="168" fontId="49" fillId="2" borderId="24" xfId="0" applyNumberFormat="1" applyFont="1" applyFill="1" applyBorder="1" applyAlignment="1">
      <alignment horizontal="center" wrapText="1"/>
    </xf>
    <xf numFmtId="0" fontId="49" fillId="2" borderId="0" xfId="0" applyFont="1" applyFill="1" applyBorder="1" applyAlignment="1">
      <alignment wrapText="1"/>
    </xf>
    <xf numFmtId="0" fontId="49" fillId="2" borderId="0" xfId="0" applyFont="1" applyFill="1" applyBorder="1" applyAlignment="1">
      <alignment horizontal="center" wrapText="1"/>
    </xf>
    <xf numFmtId="0" fontId="49" fillId="2" borderId="24" xfId="0" applyFont="1" applyFill="1" applyBorder="1" applyAlignment="1">
      <alignment horizontal="center" wrapText="1"/>
    </xf>
    <xf numFmtId="0" fontId="50" fillId="2" borderId="24" xfId="0" applyFont="1" applyFill="1" applyBorder="1" applyAlignment="1">
      <alignment horizontal="center" wrapText="1"/>
    </xf>
    <xf numFmtId="43" fontId="49" fillId="2" borderId="24" xfId="1" applyFont="1" applyFill="1" applyBorder="1" applyAlignment="1">
      <alignment horizontal="center" wrapText="1"/>
    </xf>
    <xf numFmtId="168" fontId="49" fillId="2" borderId="0" xfId="0" applyNumberFormat="1" applyFont="1" applyFill="1" applyBorder="1" applyAlignment="1">
      <alignment horizontal="center" wrapText="1"/>
    </xf>
    <xf numFmtId="43" fontId="50" fillId="2" borderId="24" xfId="1" applyFont="1" applyFill="1" applyBorder="1" applyAlignment="1">
      <alignment horizontal="center" wrapText="1"/>
    </xf>
    <xf numFmtId="168" fontId="50" fillId="2" borderId="0" xfId="0" applyNumberFormat="1" applyFont="1" applyFill="1" applyAlignment="1">
      <alignment wrapText="1"/>
    </xf>
    <xf numFmtId="0" fontId="50" fillId="2" borderId="0" xfId="0" applyFont="1" applyFill="1" applyBorder="1" applyAlignment="1">
      <alignment wrapText="1"/>
    </xf>
    <xf numFmtId="0" fontId="50" fillId="2" borderId="31" xfId="0" applyFont="1" applyFill="1" applyBorder="1" applyAlignment="1">
      <alignment vertical="center" wrapText="1"/>
    </xf>
    <xf numFmtId="43" fontId="49" fillId="2" borderId="24" xfId="0" applyNumberFormat="1" applyFont="1" applyFill="1" applyBorder="1" applyAlignment="1">
      <alignment horizontal="center" vertical="center" wrapText="1"/>
    </xf>
    <xf numFmtId="2" fontId="49" fillId="2" borderId="24" xfId="0" applyNumberFormat="1" applyFont="1" applyFill="1" applyBorder="1" applyAlignment="1">
      <alignment horizontal="right" wrapText="1"/>
    </xf>
    <xf numFmtId="0" fontId="49" fillId="2" borderId="26" xfId="0" applyFont="1" applyFill="1" applyBorder="1" applyAlignment="1">
      <alignment horizontal="left" wrapText="1"/>
    </xf>
    <xf numFmtId="0" fontId="49" fillId="2" borderId="21" xfId="0" applyFont="1" applyFill="1" applyBorder="1" applyAlignment="1">
      <alignment horizontal="left" wrapText="1"/>
    </xf>
    <xf numFmtId="43" fontId="49" fillId="2" borderId="24" xfId="1" applyFont="1" applyFill="1" applyBorder="1" applyAlignment="1">
      <alignment wrapText="1"/>
    </xf>
    <xf numFmtId="0" fontId="33" fillId="2" borderId="26" xfId="0" applyFont="1" applyFill="1" applyBorder="1" applyAlignment="1">
      <alignment vertical="top" wrapText="1"/>
    </xf>
    <xf numFmtId="0" fontId="42" fillId="2" borderId="25" xfId="0" applyFont="1" applyFill="1" applyBorder="1" applyAlignment="1">
      <alignment vertical="top" wrapText="1"/>
    </xf>
    <xf numFmtId="0" fontId="42" fillId="2" borderId="21" xfId="0" applyFont="1" applyFill="1" applyBorder="1" applyAlignment="1">
      <alignment vertical="top" wrapText="1"/>
    </xf>
    <xf numFmtId="0" fontId="52" fillId="2" borderId="24" xfId="0" applyFont="1" applyFill="1" applyBorder="1" applyAlignment="1">
      <alignment vertical="center" wrapText="1"/>
    </xf>
    <xf numFmtId="2" fontId="50" fillId="2" borderId="24" xfId="0" applyNumberFormat="1" applyFont="1" applyFill="1" applyBorder="1"/>
    <xf numFmtId="43" fontId="50" fillId="2" borderId="24" xfId="1" applyFont="1" applyFill="1" applyBorder="1"/>
    <xf numFmtId="0" fontId="50" fillId="2" borderId="0" xfId="0" applyFont="1" applyFill="1" applyBorder="1" applyAlignment="1">
      <alignment horizontal="left"/>
    </xf>
    <xf numFmtId="2" fontId="50" fillId="2" borderId="24" xfId="0" applyNumberFormat="1" applyFont="1" applyFill="1" applyBorder="1" applyAlignment="1">
      <alignment vertical="center" wrapText="1"/>
    </xf>
    <xf numFmtId="43" fontId="50" fillId="2" borderId="24" xfId="0" applyNumberFormat="1" applyFont="1" applyFill="1" applyBorder="1" applyAlignment="1">
      <alignment vertical="center" wrapText="1"/>
    </xf>
    <xf numFmtId="43" fontId="50" fillId="2" borderId="24" xfId="1" applyFont="1" applyFill="1" applyBorder="1" applyAlignment="1">
      <alignment horizontal="right" vertical="center"/>
    </xf>
    <xf numFmtId="0" fontId="53" fillId="2" borderId="24" xfId="0" applyFont="1" applyFill="1" applyBorder="1"/>
    <xf numFmtId="0" fontId="53" fillId="2" borderId="24" xfId="0" applyFont="1" applyFill="1" applyBorder="1" applyAlignment="1">
      <alignment wrapText="1"/>
    </xf>
    <xf numFmtId="0" fontId="49" fillId="2" borderId="24" xfId="0" applyFont="1" applyFill="1" applyBorder="1" applyAlignment="1">
      <alignment horizontal="left" vertical="center"/>
    </xf>
    <xf numFmtId="43" fontId="50" fillId="2" borderId="24" xfId="1" applyNumberFormat="1" applyFont="1" applyFill="1" applyBorder="1" applyAlignment="1">
      <alignment horizontal="right" vertical="center" wrapText="1"/>
    </xf>
    <xf numFmtId="43" fontId="50" fillId="2" borderId="24" xfId="1" applyNumberFormat="1" applyFont="1" applyFill="1" applyBorder="1" applyAlignment="1">
      <alignment horizontal="right" vertical="center"/>
    </xf>
    <xf numFmtId="2" fontId="50" fillId="2" borderId="24" xfId="0" applyNumberFormat="1" applyFont="1" applyFill="1" applyBorder="1" applyAlignment="1">
      <alignment horizontal="right" vertical="center"/>
    </xf>
    <xf numFmtId="43" fontId="50" fillId="2" borderId="24" xfId="1" applyNumberFormat="1" applyFont="1" applyFill="1" applyBorder="1" applyAlignment="1">
      <alignment horizontal="right"/>
    </xf>
    <xf numFmtId="2" fontId="49" fillId="2" borderId="24" xfId="0" applyNumberFormat="1" applyFont="1" applyFill="1" applyBorder="1"/>
    <xf numFmtId="169" fontId="52" fillId="2" borderId="24" xfId="1" applyNumberFormat="1" applyFont="1" applyFill="1" applyBorder="1" applyAlignment="1">
      <alignment horizontal="right" wrapText="1"/>
    </xf>
    <xf numFmtId="0" fontId="50" fillId="2" borderId="0" xfId="0" applyFont="1" applyFill="1" applyBorder="1" applyAlignment="1">
      <alignment horizontal="center"/>
    </xf>
    <xf numFmtId="0" fontId="50" fillId="2" borderId="24" xfId="0" applyFont="1" applyFill="1" applyBorder="1" applyAlignment="1">
      <alignment horizontal="left" vertical="center"/>
    </xf>
    <xf numFmtId="2" fontId="50" fillId="2" borderId="24" xfId="0" applyNumberFormat="1" applyFont="1" applyFill="1" applyBorder="1" applyAlignment="1">
      <alignment horizontal="right" vertical="center" wrapText="1"/>
    </xf>
    <xf numFmtId="2" fontId="52" fillId="2" borderId="24" xfId="1" applyNumberFormat="1" applyFont="1" applyFill="1" applyBorder="1" applyAlignment="1">
      <alignment horizontal="right" wrapText="1"/>
    </xf>
    <xf numFmtId="0" fontId="12" fillId="0" borderId="24" xfId="0" applyFont="1" applyBorder="1" applyAlignment="1">
      <alignment horizontal="center" vertical="center" wrapText="1"/>
    </xf>
    <xf numFmtId="0" fontId="19" fillId="0" borderId="24" xfId="0" applyFont="1" applyBorder="1" applyAlignment="1">
      <alignment horizontal="center" vertical="center" wrapText="1"/>
    </xf>
    <xf numFmtId="15" fontId="12" fillId="0" borderId="24" xfId="0" applyNumberFormat="1" applyFont="1" applyBorder="1" applyAlignment="1">
      <alignment horizontal="center" vertical="center" wrapText="1"/>
    </xf>
    <xf numFmtId="0" fontId="12" fillId="0" borderId="24" xfId="0" applyFont="1" applyFill="1" applyBorder="1" applyAlignment="1">
      <alignment horizontal="center" vertical="center" wrapText="1"/>
    </xf>
    <xf numFmtId="4" fontId="19" fillId="2" borderId="24" xfId="0" applyNumberFormat="1" applyFont="1" applyFill="1" applyBorder="1" applyAlignment="1">
      <alignment horizontal="center" vertical="center" wrapText="1"/>
    </xf>
    <xf numFmtId="43" fontId="18" fillId="0" borderId="24" xfId="1" applyFont="1" applyFill="1" applyBorder="1" applyAlignment="1">
      <alignment horizontal="center" vertical="center" wrapText="1"/>
    </xf>
    <xf numFmtId="43" fontId="12" fillId="0" borderId="24" xfId="1" applyFont="1" applyFill="1" applyBorder="1" applyAlignment="1">
      <alignment horizontal="center" vertical="center" wrapText="1"/>
    </xf>
    <xf numFmtId="43" fontId="17" fillId="0" borderId="24" xfId="1" applyFont="1" applyFill="1" applyBorder="1" applyAlignment="1">
      <alignment horizontal="center" vertical="center" wrapText="1"/>
    </xf>
    <xf numFmtId="0" fontId="33" fillId="0" borderId="2" xfId="0" applyFont="1" applyBorder="1"/>
    <xf numFmtId="0" fontId="33" fillId="0" borderId="0" xfId="0" applyFont="1" applyBorder="1"/>
    <xf numFmtId="0" fontId="33" fillId="0" borderId="44" xfId="0" applyFont="1" applyBorder="1"/>
    <xf numFmtId="4" fontId="40" fillId="0" borderId="49" xfId="0" applyNumberFormat="1" applyFont="1" applyBorder="1" applyAlignment="1">
      <alignment horizontal="center" vertical="center" wrapText="1"/>
    </xf>
    <xf numFmtId="0" fontId="29" fillId="0" borderId="49" xfId="0" applyFont="1" applyBorder="1" applyAlignment="1">
      <alignment vertical="center" wrapText="1"/>
    </xf>
    <xf numFmtId="0" fontId="18" fillId="6" borderId="49" xfId="0" applyFont="1" applyFill="1" applyBorder="1" applyAlignment="1">
      <alignment vertical="center" wrapText="1"/>
    </xf>
    <xf numFmtId="0" fontId="18" fillId="6" borderId="24" xfId="0" applyFont="1" applyFill="1" applyBorder="1" applyAlignment="1">
      <alignment vertical="center" wrapText="1"/>
    </xf>
    <xf numFmtId="0" fontId="12" fillId="0" borderId="24" xfId="0" applyFont="1" applyFill="1" applyBorder="1" applyAlignment="1">
      <alignment horizontal="center" vertical="center" wrapText="1"/>
    </xf>
    <xf numFmtId="4" fontId="19" fillId="0" borderId="24" xfId="0" applyNumberFormat="1" applyFont="1" applyFill="1" applyBorder="1" applyAlignment="1">
      <alignment horizontal="center" vertical="center" wrapText="1"/>
    </xf>
    <xf numFmtId="43" fontId="12" fillId="0" borderId="24" xfId="1"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49" xfId="0" applyFont="1" applyFill="1" applyBorder="1" applyAlignment="1">
      <alignment vertical="center" wrapText="1"/>
    </xf>
    <xf numFmtId="0" fontId="12" fillId="3" borderId="4" xfId="0" applyFont="1" applyFill="1" applyBorder="1" applyAlignment="1">
      <alignment horizontal="center" vertical="center" wrapText="1"/>
    </xf>
    <xf numFmtId="0" fontId="12" fillId="3" borderId="49" xfId="0" applyFont="1" applyFill="1" applyBorder="1" applyAlignment="1">
      <alignment vertical="center" wrapText="1"/>
    </xf>
    <xf numFmtId="0" fontId="19" fillId="3" borderId="49" xfId="0" applyFont="1" applyFill="1" applyBorder="1" applyAlignment="1">
      <alignment horizontal="center" vertical="center" wrapText="1"/>
    </xf>
    <xf numFmtId="15" fontId="12" fillId="3" borderId="49" xfId="0" applyNumberFormat="1" applyFont="1" applyFill="1" applyBorder="1" applyAlignment="1">
      <alignment horizontal="center" vertical="center" wrapText="1"/>
    </xf>
    <xf numFmtId="0" fontId="12" fillId="3" borderId="49" xfId="0" applyFont="1" applyFill="1" applyBorder="1" applyAlignment="1">
      <alignment horizontal="center" vertical="center" wrapText="1"/>
    </xf>
    <xf numFmtId="43" fontId="18" fillId="3" borderId="49" xfId="1" applyFont="1" applyFill="1" applyBorder="1" applyAlignment="1">
      <alignment horizontal="center" vertical="center" wrapText="1"/>
    </xf>
    <xf numFmtId="43" fontId="12" fillId="3" borderId="49" xfId="1" applyFont="1" applyFill="1" applyBorder="1" applyAlignment="1">
      <alignment horizontal="center" vertical="center" wrapText="1"/>
    </xf>
    <xf numFmtId="4" fontId="12" fillId="3" borderId="49" xfId="0" applyNumberFormat="1" applyFont="1" applyFill="1" applyBorder="1" applyAlignment="1">
      <alignment vertical="center" wrapText="1"/>
    </xf>
    <xf numFmtId="4" fontId="19" fillId="3" borderId="49" xfId="0" applyNumberFormat="1" applyFont="1" applyFill="1" applyBorder="1" applyAlignment="1">
      <alignment horizontal="center" vertical="center" wrapText="1"/>
    </xf>
    <xf numFmtId="0" fontId="12" fillId="3" borderId="0" xfId="0" applyFont="1" applyFill="1"/>
    <xf numFmtId="0" fontId="33" fillId="3" borderId="0" xfId="0" applyFont="1" applyFill="1"/>
    <xf numFmtId="0" fontId="12"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15" fontId="12" fillId="3" borderId="24" xfId="0" applyNumberFormat="1" applyFont="1" applyFill="1" applyBorder="1" applyAlignment="1">
      <alignment horizontal="center" vertical="center" wrapText="1"/>
    </xf>
    <xf numFmtId="43" fontId="18" fillId="3" borderId="24" xfId="1" applyFont="1" applyFill="1" applyBorder="1" applyAlignment="1">
      <alignment vertical="center"/>
    </xf>
    <xf numFmtId="43" fontId="12" fillId="3" borderId="24" xfId="1" applyFont="1" applyFill="1" applyBorder="1" applyAlignment="1">
      <alignment horizontal="center" vertical="center" wrapText="1"/>
    </xf>
    <xf numFmtId="4" fontId="12" fillId="3" borderId="24" xfId="0" applyNumberFormat="1" applyFont="1" applyFill="1" applyBorder="1" applyAlignment="1">
      <alignment vertical="center" wrapText="1"/>
    </xf>
    <xf numFmtId="4" fontId="19" fillId="3" borderId="24"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15" fontId="12" fillId="0" borderId="24" xfId="0" applyNumberFormat="1" applyFont="1" applyFill="1" applyBorder="1" applyAlignment="1">
      <alignment horizontal="center" vertical="center" wrapText="1"/>
    </xf>
    <xf numFmtId="43" fontId="18" fillId="0" borderId="24" xfId="1" applyFont="1" applyFill="1" applyBorder="1" applyAlignment="1">
      <alignment vertical="center"/>
    </xf>
    <xf numFmtId="0" fontId="33" fillId="0" borderId="24" xfId="0" applyFont="1" applyFill="1" applyBorder="1"/>
    <xf numFmtId="0" fontId="12" fillId="0" borderId="0" xfId="0" applyFont="1" applyFill="1"/>
    <xf numFmtId="0" fontId="29" fillId="3" borderId="49" xfId="0" applyFont="1" applyFill="1" applyBorder="1" applyAlignment="1">
      <alignment horizontal="center" vertical="center" wrapText="1"/>
    </xf>
    <xf numFmtId="0" fontId="12" fillId="3" borderId="24" xfId="0" applyFont="1" applyFill="1" applyBorder="1" applyAlignment="1">
      <alignment vertical="center" wrapText="1"/>
    </xf>
    <xf numFmtId="0" fontId="33" fillId="3" borderId="24" xfId="0" applyFont="1" applyFill="1" applyBorder="1" applyAlignment="1">
      <alignment horizontal="center" vertical="center"/>
    </xf>
    <xf numFmtId="4" fontId="33" fillId="3" borderId="24" xfId="0" applyNumberFormat="1" applyFont="1" applyFill="1" applyBorder="1" applyAlignment="1">
      <alignment vertical="center"/>
    </xf>
    <xf numFmtId="0" fontId="80" fillId="0" borderId="0" xfId="0" applyFont="1" applyFill="1" applyBorder="1" applyAlignment="1" applyProtection="1">
      <alignment wrapText="1"/>
      <protection hidden="1"/>
    </xf>
    <xf numFmtId="0" fontId="80" fillId="0" borderId="0" xfId="0" applyFont="1" applyFill="1" applyBorder="1" applyAlignment="1" applyProtection="1">
      <protection hidden="1"/>
    </xf>
    <xf numFmtId="14" fontId="80" fillId="0" borderId="0" xfId="0" applyNumberFormat="1" applyFont="1" applyFill="1" applyBorder="1" applyAlignment="1" applyProtection="1">
      <alignment horizontal="left"/>
      <protection hidden="1"/>
    </xf>
    <xf numFmtId="0" fontId="7" fillId="0" borderId="24" xfId="0" applyFont="1" applyBorder="1" applyAlignment="1">
      <alignment horizontal="center"/>
    </xf>
    <xf numFmtId="0" fontId="8" fillId="0" borderId="24" xfId="0" applyFont="1" applyBorder="1" applyAlignment="1">
      <alignment horizontal="center"/>
    </xf>
    <xf numFmtId="0" fontId="6" fillId="0" borderId="24" xfId="0" applyFont="1" applyBorder="1" applyAlignment="1">
      <alignment horizontal="left"/>
    </xf>
    <xf numFmtId="43" fontId="6" fillId="5" borderId="26" xfId="0" applyNumberFormat="1" applyFont="1" applyFill="1" applyBorder="1" applyAlignment="1">
      <alignment horizontal="center"/>
    </xf>
    <xf numFmtId="43" fontId="6" fillId="5" borderId="21" xfId="0" applyNumberFormat="1" applyFont="1" applyFill="1" applyBorder="1" applyAlignment="1">
      <alignment horizontal="center"/>
    </xf>
    <xf numFmtId="0" fontId="9" fillId="5" borderId="26" xfId="0" applyFont="1" applyFill="1" applyBorder="1" applyAlignment="1">
      <alignment horizontal="left"/>
    </xf>
    <xf numFmtId="0" fontId="9" fillId="5" borderId="25" xfId="0" applyFont="1" applyFill="1" applyBorder="1" applyAlignment="1">
      <alignment horizontal="left"/>
    </xf>
    <xf numFmtId="0" fontId="9" fillId="5" borderId="21" xfId="0" applyFont="1" applyFill="1" applyBorder="1" applyAlignment="1">
      <alignment horizontal="left"/>
    </xf>
    <xf numFmtId="0" fontId="20" fillId="0" borderId="24" xfId="0" applyFont="1" applyBorder="1" applyAlignment="1">
      <alignment horizontal="center"/>
    </xf>
    <xf numFmtId="0" fontId="69" fillId="0" borderId="0" xfId="0" applyFont="1" applyAlignment="1">
      <alignment horizontal="left" vertical="center"/>
    </xf>
    <xf numFmtId="0" fontId="4" fillId="5" borderId="26"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1" xfId="0" applyFont="1" applyFill="1" applyBorder="1" applyAlignment="1">
      <alignment horizontal="center" vertical="center"/>
    </xf>
    <xf numFmtId="0" fontId="9" fillId="5" borderId="26" xfId="0" applyFont="1" applyFill="1" applyBorder="1" applyAlignment="1">
      <alignment horizontal="center"/>
    </xf>
    <xf numFmtId="0" fontId="9" fillId="5" borderId="25" xfId="0" applyFont="1" applyFill="1" applyBorder="1" applyAlignment="1">
      <alignment horizontal="center"/>
    </xf>
    <xf numFmtId="0" fontId="9" fillId="5" borderId="21" xfId="0" applyFont="1" applyFill="1" applyBorder="1" applyAlignment="1">
      <alignment horizontal="center"/>
    </xf>
    <xf numFmtId="0" fontId="14" fillId="0" borderId="0" xfId="0" applyFont="1" applyAlignment="1">
      <alignment horizontal="center" vertical="center"/>
    </xf>
    <xf numFmtId="0" fontId="4" fillId="2" borderId="2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20" fillId="0" borderId="24" xfId="0" applyFont="1" applyBorder="1" applyAlignment="1">
      <alignment horizontal="left"/>
    </xf>
    <xf numFmtId="0" fontId="20" fillId="0" borderId="24" xfId="0" applyFont="1" applyBorder="1" applyAlignment="1">
      <alignment horizontal="left" wrapText="1"/>
    </xf>
    <xf numFmtId="0" fontId="8" fillId="0" borderId="26" xfId="0" applyFont="1" applyBorder="1" applyAlignment="1">
      <alignment horizontal="left"/>
    </xf>
    <xf numFmtId="0" fontId="8" fillId="0" borderId="25" xfId="0" applyFont="1" applyBorder="1" applyAlignment="1">
      <alignment horizontal="left"/>
    </xf>
    <xf numFmtId="0" fontId="8" fillId="0" borderId="21" xfId="0" applyFont="1" applyBorder="1" applyAlignment="1">
      <alignment horizontal="left"/>
    </xf>
    <xf numFmtId="0" fontId="8" fillId="0" borderId="26" xfId="0" applyFont="1" applyBorder="1" applyAlignment="1">
      <alignment horizontal="left" wrapText="1"/>
    </xf>
    <xf numFmtId="0" fontId="8" fillId="0" borderId="25" xfId="0" applyFont="1" applyBorder="1" applyAlignment="1">
      <alignment horizontal="left" wrapText="1"/>
    </xf>
    <xf numFmtId="0" fontId="8" fillId="0" borderId="21" xfId="0" applyFont="1" applyBorder="1" applyAlignment="1">
      <alignment horizontal="left" wrapText="1"/>
    </xf>
    <xf numFmtId="0" fontId="29" fillId="0" borderId="49" xfId="0" applyFont="1" applyBorder="1" applyAlignment="1">
      <alignment horizontal="left" vertical="center" wrapText="1"/>
    </xf>
    <xf numFmtId="0" fontId="29" fillId="0" borderId="50" xfId="0" applyFont="1" applyBorder="1" applyAlignment="1">
      <alignment horizontal="left" vertical="center" wrapText="1"/>
    </xf>
    <xf numFmtId="0" fontId="29" fillId="0" borderId="49"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0" xfId="0" applyFont="1" applyBorder="1" applyAlignment="1">
      <alignment horizontal="center" vertical="center" wrapText="1"/>
    </xf>
    <xf numFmtId="0" fontId="38" fillId="4" borderId="26" xfId="0" applyFont="1" applyFill="1" applyBorder="1" applyAlignment="1" applyProtection="1">
      <alignment horizontal="center" vertical="center" wrapText="1"/>
      <protection hidden="1"/>
    </xf>
    <xf numFmtId="0" fontId="38" fillId="4" borderId="25" xfId="0" applyFont="1" applyFill="1" applyBorder="1" applyAlignment="1" applyProtection="1">
      <alignment horizontal="center" vertical="center" wrapText="1"/>
      <protection hidden="1"/>
    </xf>
    <xf numFmtId="0" fontId="39" fillId="4" borderId="51" xfId="0" applyFont="1" applyFill="1" applyBorder="1" applyAlignment="1" applyProtection="1">
      <alignment horizontal="center" vertical="center"/>
      <protection hidden="1"/>
    </xf>
    <xf numFmtId="0" fontId="39" fillId="4" borderId="32" xfId="0" applyFont="1" applyFill="1" applyBorder="1" applyAlignment="1" applyProtection="1">
      <alignment horizontal="center" vertical="center"/>
      <protection hidden="1"/>
    </xf>
    <xf numFmtId="0" fontId="39" fillId="4" borderId="33" xfId="0" applyFont="1" applyFill="1" applyBorder="1" applyAlignment="1" applyProtection="1">
      <alignment horizontal="center" vertical="center"/>
      <protection hidden="1"/>
    </xf>
    <xf numFmtId="0" fontId="39" fillId="4" borderId="49" xfId="0" applyFont="1" applyFill="1" applyBorder="1" applyAlignment="1" applyProtection="1">
      <alignment horizontal="center" vertical="center"/>
      <protection hidden="1"/>
    </xf>
    <xf numFmtId="0" fontId="64" fillId="4" borderId="34" xfId="0" applyFont="1" applyFill="1" applyBorder="1" applyAlignment="1" applyProtection="1">
      <alignment horizontal="center" vertical="center"/>
      <protection hidden="1"/>
    </xf>
    <xf numFmtId="0" fontId="64" fillId="4" borderId="32" xfId="0" applyFont="1" applyFill="1" applyBorder="1" applyAlignment="1" applyProtection="1">
      <alignment horizontal="center" vertical="center"/>
      <protection hidden="1"/>
    </xf>
    <xf numFmtId="0" fontId="64" fillId="4" borderId="52" xfId="0" applyFont="1" applyFill="1" applyBorder="1" applyAlignment="1" applyProtection="1">
      <alignment horizontal="center" vertical="center"/>
      <protection hidden="1"/>
    </xf>
    <xf numFmtId="0" fontId="12" fillId="0" borderId="4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0" xfId="0" applyFont="1" applyBorder="1" applyAlignment="1">
      <alignment horizontal="center" vertical="center" wrapText="1"/>
    </xf>
    <xf numFmtId="4" fontId="19" fillId="2" borderId="49" xfId="0" applyNumberFormat="1" applyFont="1" applyFill="1" applyBorder="1" applyAlignment="1">
      <alignment horizontal="center" vertical="center" wrapText="1"/>
    </xf>
    <xf numFmtId="4" fontId="19" fillId="2" borderId="4" xfId="0" applyNumberFormat="1" applyFont="1" applyFill="1" applyBorder="1" applyAlignment="1">
      <alignment horizontal="center" vertical="center" wrapText="1"/>
    </xf>
    <xf numFmtId="4" fontId="19" fillId="2" borderId="50" xfId="0" applyNumberFormat="1" applyFont="1" applyFill="1" applyBorder="1" applyAlignment="1">
      <alignment horizontal="center" vertical="center" wrapText="1"/>
    </xf>
    <xf numFmtId="4" fontId="12" fillId="0" borderId="49" xfId="0"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wrapText="1"/>
    </xf>
    <xf numFmtId="4" fontId="12" fillId="0" borderId="50" xfId="0" applyNumberFormat="1" applyFont="1" applyFill="1" applyBorder="1" applyAlignment="1">
      <alignment horizontal="center" vertical="center" wrapText="1"/>
    </xf>
    <xf numFmtId="0" fontId="40" fillId="0" borderId="0" xfId="0" applyFont="1" applyAlignment="1">
      <alignment horizontal="center"/>
    </xf>
    <xf numFmtId="15" fontId="12" fillId="0" borderId="49" xfId="0" applyNumberFormat="1" applyFont="1" applyBorder="1" applyAlignment="1">
      <alignment horizontal="center" vertical="center" wrapText="1"/>
    </xf>
    <xf numFmtId="15" fontId="12" fillId="0" borderId="4" xfId="0" applyNumberFormat="1" applyFont="1" applyBorder="1" applyAlignment="1">
      <alignment horizontal="center" vertical="center" wrapText="1"/>
    </xf>
    <xf numFmtId="15" fontId="12" fillId="0" borderId="50" xfId="0" applyNumberFormat="1" applyFont="1" applyBorder="1" applyAlignment="1">
      <alignment horizontal="center" vertical="center" wrapText="1"/>
    </xf>
    <xf numFmtId="43" fontId="12" fillId="0" borderId="49" xfId="1" applyFont="1" applyFill="1" applyBorder="1" applyAlignment="1">
      <alignment horizontal="center" vertical="center" wrapText="1"/>
    </xf>
    <xf numFmtId="43" fontId="12" fillId="0" borderId="4" xfId="1" applyFont="1" applyFill="1" applyBorder="1" applyAlignment="1">
      <alignment horizontal="center" vertical="center" wrapText="1"/>
    </xf>
    <xf numFmtId="43" fontId="12" fillId="0" borderId="50" xfId="1" applyFont="1" applyFill="1" applyBorder="1" applyAlignment="1">
      <alignment horizontal="center" vertical="center" wrapText="1"/>
    </xf>
    <xf numFmtId="0" fontId="19" fillId="0" borderId="4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0" xfId="0" applyFont="1" applyBorder="1" applyAlignment="1">
      <alignment horizontal="center" vertical="center" wrapText="1"/>
    </xf>
    <xf numFmtId="43" fontId="12" fillId="0" borderId="49" xfId="1" applyFont="1" applyBorder="1" applyAlignment="1">
      <alignment horizontal="center" vertical="center"/>
    </xf>
    <xf numFmtId="43" fontId="12" fillId="0" borderId="4" xfId="1" applyFont="1" applyBorder="1" applyAlignment="1">
      <alignment horizontal="center" vertical="center"/>
    </xf>
    <xf numFmtId="0" fontId="18" fillId="6" borderId="49"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9" fillId="0" borderId="25" xfId="0" applyFont="1" applyBorder="1" applyAlignment="1">
      <alignment horizontal="center" vertical="center" wrapText="1"/>
    </xf>
    <xf numFmtId="0" fontId="16" fillId="0" borderId="25" xfId="0" applyFont="1" applyBorder="1" applyAlignment="1" applyProtection="1">
      <alignment horizontal="center" vertical="center" wrapText="1"/>
      <protection locked="0"/>
    </xf>
    <xf numFmtId="0" fontId="45" fillId="0" borderId="0" xfId="0" applyFont="1" applyAlignment="1">
      <alignment horizontal="center"/>
    </xf>
    <xf numFmtId="0" fontId="19" fillId="0" borderId="4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0" xfId="0" applyFont="1" applyFill="1" applyBorder="1" applyAlignment="1">
      <alignment horizontal="center" vertical="center" wrapText="1"/>
    </xf>
    <xf numFmtId="43" fontId="33" fillId="0" borderId="49" xfId="0" applyNumberFormat="1" applyFont="1" applyBorder="1" applyAlignment="1">
      <alignment horizontal="center" vertical="center"/>
    </xf>
    <xf numFmtId="43" fontId="33" fillId="0" borderId="4" xfId="0" applyNumberFormat="1" applyFont="1" applyBorder="1" applyAlignment="1">
      <alignment horizontal="center" vertical="center"/>
    </xf>
    <xf numFmtId="43" fontId="33" fillId="0" borderId="50" xfId="0" applyNumberFormat="1" applyFont="1" applyBorder="1" applyAlignment="1">
      <alignment horizontal="center" vertical="center"/>
    </xf>
    <xf numFmtId="4" fontId="12" fillId="2" borderId="49" xfId="0" applyNumberFormat="1" applyFont="1" applyFill="1" applyBorder="1" applyAlignment="1">
      <alignment horizontal="center" vertical="center" wrapText="1"/>
    </xf>
    <xf numFmtId="4" fontId="12" fillId="2" borderId="4" xfId="0" applyNumberFormat="1" applyFont="1" applyFill="1" applyBorder="1" applyAlignment="1">
      <alignment horizontal="center" vertical="center" wrapText="1"/>
    </xf>
    <xf numFmtId="4" fontId="12" fillId="2" borderId="50" xfId="0" applyNumberFormat="1" applyFont="1" applyFill="1" applyBorder="1" applyAlignment="1">
      <alignment horizontal="center" vertical="center" wrapText="1"/>
    </xf>
    <xf numFmtId="0" fontId="33" fillId="0" borderId="49" xfId="0" applyFont="1" applyBorder="1" applyAlignment="1">
      <alignment horizontal="center"/>
    </xf>
    <xf numFmtId="0" fontId="33" fillId="0" borderId="4" xfId="0" applyFont="1" applyBorder="1" applyAlignment="1">
      <alignment horizontal="center"/>
    </xf>
    <xf numFmtId="0" fontId="33" fillId="0" borderId="50" xfId="0" applyFont="1" applyBorder="1" applyAlignment="1">
      <alignment horizontal="center"/>
    </xf>
    <xf numFmtId="0" fontId="12"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29" fillId="0" borderId="24" xfId="0" applyFont="1" applyBorder="1" applyAlignment="1">
      <alignment horizontal="center" vertical="center" wrapText="1"/>
    </xf>
    <xf numFmtId="15" fontId="12" fillId="0" borderId="24" xfId="0" applyNumberFormat="1" applyFont="1" applyBorder="1" applyAlignment="1">
      <alignment horizontal="center" vertical="center" wrapText="1"/>
    </xf>
    <xf numFmtId="0" fontId="12" fillId="0" borderId="24" xfId="0" applyFont="1" applyFill="1" applyBorder="1" applyAlignment="1">
      <alignment horizontal="center" vertical="center" wrapText="1"/>
    </xf>
    <xf numFmtId="43" fontId="18" fillId="0" borderId="24" xfId="1" applyFont="1" applyFill="1" applyBorder="1" applyAlignment="1">
      <alignment horizontal="center" vertical="center" wrapText="1"/>
    </xf>
    <xf numFmtId="43" fontId="12" fillId="0" borderId="24" xfId="1" applyFont="1" applyFill="1" applyBorder="1" applyAlignment="1">
      <alignment horizontal="center" vertical="center" wrapText="1"/>
    </xf>
    <xf numFmtId="43" fontId="17" fillId="0" borderId="24" xfId="1" applyFont="1" applyFill="1" applyBorder="1" applyAlignment="1">
      <alignment horizontal="center" vertical="center" wrapText="1"/>
    </xf>
    <xf numFmtId="0" fontId="33" fillId="0" borderId="24" xfId="0" applyFont="1" applyBorder="1" applyAlignment="1">
      <alignment horizontal="center"/>
    </xf>
    <xf numFmtId="4" fontId="12" fillId="0" borderId="24" xfId="0" applyNumberFormat="1" applyFont="1" applyFill="1" applyBorder="1" applyAlignment="1">
      <alignment horizontal="center" vertical="center" wrapText="1"/>
    </xf>
    <xf numFmtId="4" fontId="19" fillId="2" borderId="24" xfId="0" applyNumberFormat="1" applyFont="1" applyFill="1" applyBorder="1" applyAlignment="1">
      <alignment horizontal="center" vertical="center" wrapText="1"/>
    </xf>
    <xf numFmtId="4" fontId="19" fillId="0" borderId="24" xfId="0" applyNumberFormat="1" applyFont="1" applyFill="1" applyBorder="1" applyAlignment="1">
      <alignment horizontal="center" vertical="center" wrapText="1"/>
    </xf>
    <xf numFmtId="0" fontId="78" fillId="0" borderId="0" xfId="0" applyFont="1" applyFill="1" applyBorder="1" applyAlignment="1" applyProtection="1">
      <alignment horizontal="left" wrapText="1"/>
      <protection hidden="1"/>
    </xf>
    <xf numFmtId="43" fontId="12" fillId="0" borderId="50" xfId="1" applyFont="1" applyBorder="1" applyAlignment="1">
      <alignment horizontal="center" vertical="center"/>
    </xf>
    <xf numFmtId="0" fontId="33" fillId="0" borderId="0" xfId="0" applyFont="1" applyAlignment="1">
      <alignment horizontal="center"/>
    </xf>
    <xf numFmtId="0" fontId="12" fillId="0" borderId="26" xfId="0" applyFont="1" applyBorder="1" applyAlignment="1">
      <alignment horizontal="center"/>
    </xf>
    <xf numFmtId="0" fontId="12" fillId="0" borderId="25" xfId="0" applyFont="1" applyBorder="1" applyAlignment="1">
      <alignment horizontal="center"/>
    </xf>
    <xf numFmtId="0" fontId="12" fillId="0" borderId="21" xfId="0" applyFont="1" applyBorder="1" applyAlignment="1">
      <alignment horizontal="center"/>
    </xf>
    <xf numFmtId="0" fontId="71" fillId="0" borderId="0" xfId="0" applyFont="1" applyAlignment="1">
      <alignment horizontal="center"/>
    </xf>
    <xf numFmtId="0" fontId="18" fillId="0" borderId="49"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43" fontId="12" fillId="2" borderId="24" xfId="1" applyFont="1" applyFill="1" applyBorder="1" applyAlignment="1">
      <alignment vertical="center" wrapText="1"/>
    </xf>
    <xf numFmtId="43" fontId="19" fillId="2" borderId="24" xfId="1" applyFont="1" applyFill="1" applyBorder="1" applyAlignment="1">
      <alignment horizontal="center" vertical="center" wrapText="1"/>
    </xf>
    <xf numFmtId="43" fontId="19" fillId="2" borderId="26" xfId="1" applyFont="1" applyFill="1" applyBorder="1" applyAlignment="1">
      <alignment horizontal="center" vertical="center" wrapText="1"/>
    </xf>
    <xf numFmtId="43" fontId="19" fillId="2" borderId="25" xfId="1" applyFont="1" applyFill="1" applyBorder="1" applyAlignment="1">
      <alignment horizontal="center" vertical="center" wrapText="1"/>
    </xf>
    <xf numFmtId="43" fontId="19" fillId="2" borderId="21" xfId="1" applyFont="1" applyFill="1" applyBorder="1" applyAlignment="1">
      <alignment horizontal="center" vertical="center" wrapText="1"/>
    </xf>
    <xf numFmtId="0" fontId="19" fillId="2" borderId="14" xfId="1" applyNumberFormat="1" applyFont="1" applyFill="1" applyBorder="1" applyAlignment="1">
      <alignment horizontal="center" vertical="center" wrapText="1"/>
    </xf>
    <xf numFmtId="0" fontId="19" fillId="2" borderId="25" xfId="1" applyNumberFormat="1" applyFont="1" applyFill="1" applyBorder="1" applyAlignment="1">
      <alignment horizontal="center" vertical="center" wrapText="1"/>
    </xf>
    <xf numFmtId="0" fontId="19" fillId="2" borderId="30" xfId="1" applyNumberFormat="1" applyFont="1" applyFill="1" applyBorder="1" applyAlignment="1">
      <alignment horizontal="center" vertical="center" wrapText="1"/>
    </xf>
    <xf numFmtId="0" fontId="19" fillId="2" borderId="26" xfId="1" applyNumberFormat="1" applyFont="1" applyFill="1" applyBorder="1" applyAlignment="1">
      <alignment horizontal="center" vertical="center" wrapText="1"/>
    </xf>
    <xf numFmtId="0" fontId="19" fillId="2" borderId="21" xfId="1" applyNumberFormat="1" applyFont="1" applyFill="1" applyBorder="1" applyAlignment="1">
      <alignment horizontal="center" vertical="center" wrapText="1"/>
    </xf>
    <xf numFmtId="43" fontId="12" fillId="2" borderId="26" xfId="1" applyFont="1" applyFill="1" applyBorder="1" applyAlignment="1">
      <alignment horizontal="center" vertical="center" wrapText="1"/>
    </xf>
    <xf numFmtId="43" fontId="12" fillId="2" borderId="25" xfId="1" applyFont="1" applyFill="1" applyBorder="1" applyAlignment="1">
      <alignment horizontal="center" vertical="center" wrapText="1"/>
    </xf>
    <xf numFmtId="43" fontId="12" fillId="2" borderId="21" xfId="1" applyFont="1" applyFill="1" applyBorder="1" applyAlignment="1">
      <alignment horizontal="center" vertical="center" wrapText="1"/>
    </xf>
    <xf numFmtId="0" fontId="4" fillId="2" borderId="24" xfId="0" applyFont="1" applyFill="1" applyBorder="1" applyAlignment="1">
      <alignment horizontal="center" vertical="center"/>
    </xf>
    <xf numFmtId="0" fontId="19" fillId="2" borderId="28" xfId="1" applyNumberFormat="1" applyFont="1" applyFill="1" applyBorder="1" applyAlignment="1">
      <alignment horizontal="center" vertical="center" wrapText="1"/>
    </xf>
    <xf numFmtId="43" fontId="19" fillId="2" borderId="14" xfId="1" applyFont="1" applyFill="1" applyBorder="1" applyAlignment="1">
      <alignment horizontal="center" vertical="center" wrapText="1"/>
    </xf>
    <xf numFmtId="43" fontId="19" fillId="2" borderId="30" xfId="1" applyFont="1" applyFill="1" applyBorder="1" applyAlignment="1">
      <alignment horizontal="center" vertical="center" wrapText="1"/>
    </xf>
    <xf numFmtId="166" fontId="12" fillId="2" borderId="24" xfId="0" applyNumberFormat="1" applyFont="1" applyFill="1" applyBorder="1" applyAlignment="1">
      <alignment vertical="center" wrapText="1"/>
    </xf>
    <xf numFmtId="0" fontId="74" fillId="2" borderId="27" xfId="0" applyFont="1" applyFill="1" applyBorder="1" applyAlignment="1">
      <alignment horizontal="center" wrapText="1"/>
    </xf>
    <xf numFmtId="0" fontId="74" fillId="2" borderId="28" xfId="0" applyFont="1" applyFill="1" applyBorder="1" applyAlignment="1">
      <alignment horizontal="center" wrapText="1"/>
    </xf>
    <xf numFmtId="0" fontId="74" fillId="2" borderId="29" xfId="0" applyFont="1" applyFill="1" applyBorder="1" applyAlignment="1">
      <alignment horizontal="center" wrapText="1"/>
    </xf>
    <xf numFmtId="0" fontId="4" fillId="0" borderId="0" xfId="0" applyFont="1" applyAlignment="1">
      <alignment horizontal="center"/>
    </xf>
    <xf numFmtId="43" fontId="74" fillId="0" borderId="0" xfId="0" applyNumberFormat="1" applyFont="1" applyBorder="1" applyAlignment="1">
      <alignment horizontal="center" wrapText="1"/>
    </xf>
    <xf numFmtId="0" fontId="74" fillId="0" borderId="0" xfId="0" applyFont="1" applyBorder="1" applyAlignment="1">
      <alignment horizontal="center" wrapText="1"/>
    </xf>
    <xf numFmtId="0" fontId="75" fillId="0" borderId="24" xfId="0" applyFont="1" applyBorder="1" applyAlignment="1">
      <alignment horizontal="center" vertical="center" wrapText="1"/>
    </xf>
    <xf numFmtId="43" fontId="12" fillId="2" borderId="24" xfId="1" applyFont="1" applyFill="1" applyBorder="1" applyAlignment="1">
      <alignment horizontal="left" vertical="center" wrapText="1"/>
    </xf>
    <xf numFmtId="43" fontId="15" fillId="2" borderId="0" xfId="1" applyFont="1" applyFill="1" applyAlignment="1">
      <alignment horizontal="center" vertical="center" wrapText="1"/>
    </xf>
    <xf numFmtId="43" fontId="9" fillId="2" borderId="0" xfId="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1" xfId="0" applyFont="1" applyFill="1" applyBorder="1" applyAlignment="1">
      <alignment horizontal="center" vertical="center"/>
    </xf>
    <xf numFmtId="0" fontId="65" fillId="0" borderId="0" xfId="0" applyFont="1" applyBorder="1" applyAlignment="1">
      <alignment horizontal="left" vertical="top" wrapText="1"/>
    </xf>
    <xf numFmtId="0" fontId="50" fillId="2" borderId="5"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49" fillId="2" borderId="0" xfId="0" applyFont="1" applyFill="1" applyAlignment="1">
      <alignment horizontal="left" wrapText="1"/>
    </xf>
    <xf numFmtId="0" fontId="50" fillId="2" borderId="28" xfId="0" applyFont="1" applyFill="1" applyBorder="1" applyAlignment="1">
      <alignment horizontal="left" wrapText="1"/>
    </xf>
    <xf numFmtId="0" fontId="50" fillId="2" borderId="31" xfId="0" applyFont="1" applyFill="1" applyBorder="1" applyAlignment="1">
      <alignment horizontal="center" vertical="center" wrapText="1"/>
    </xf>
    <xf numFmtId="0" fontId="49" fillId="2" borderId="26" xfId="0" applyFont="1" applyFill="1" applyBorder="1" applyAlignment="1">
      <alignment horizontal="center" wrapText="1"/>
    </xf>
    <xf numFmtId="0" fontId="49" fillId="2" borderId="25" xfId="0" applyFont="1" applyFill="1" applyBorder="1" applyAlignment="1">
      <alignment horizontal="center" wrapText="1"/>
    </xf>
    <xf numFmtId="0" fontId="49" fillId="2" borderId="21" xfId="0" applyFont="1" applyFill="1" applyBorder="1" applyAlignment="1">
      <alignment horizontal="center" wrapText="1"/>
    </xf>
    <xf numFmtId="0" fontId="49" fillId="2" borderId="0" xfId="0" applyFont="1" applyFill="1" applyAlignment="1">
      <alignment horizontal="center" wrapText="1"/>
    </xf>
    <xf numFmtId="0" fontId="50" fillId="2" borderId="0" xfId="0" applyFont="1" applyFill="1" applyBorder="1" applyAlignment="1">
      <alignment horizontal="left" vertical="center" wrapText="1"/>
    </xf>
    <xf numFmtId="0" fontId="50" fillId="2" borderId="0" xfId="0" applyFont="1" applyFill="1" applyAlignment="1">
      <alignment horizontal="left" wrapText="1"/>
    </xf>
    <xf numFmtId="0" fontId="49" fillId="2" borderId="24" xfId="0" applyFont="1" applyFill="1" applyBorder="1" applyAlignment="1">
      <alignment horizontal="left" wrapText="1"/>
    </xf>
    <xf numFmtId="0" fontId="19" fillId="2" borderId="26" xfId="0" applyFont="1" applyFill="1" applyBorder="1" applyAlignment="1">
      <alignment horizontal="center" wrapText="1"/>
    </xf>
    <xf numFmtId="0" fontId="19" fillId="2" borderId="25" xfId="0" applyFont="1" applyFill="1" applyBorder="1" applyAlignment="1">
      <alignment horizontal="center" wrapText="1"/>
    </xf>
    <xf numFmtId="0" fontId="19" fillId="2" borderId="21" xfId="0" applyFont="1" applyFill="1" applyBorder="1" applyAlignment="1">
      <alignment horizontal="center" wrapText="1"/>
    </xf>
    <xf numFmtId="0" fontId="50" fillId="2" borderId="0" xfId="0" applyFont="1" applyFill="1" applyAlignment="1">
      <alignment horizontal="left"/>
    </xf>
    <xf numFmtId="0" fontId="49" fillId="2" borderId="26" xfId="3" applyFont="1" applyFill="1" applyBorder="1" applyAlignment="1">
      <alignment horizontal="center" vertical="center" wrapText="1"/>
    </xf>
    <xf numFmtId="0" fontId="49" fillId="2" borderId="25" xfId="3" applyFont="1" applyFill="1" applyBorder="1" applyAlignment="1">
      <alignment horizontal="center" vertical="center" wrapText="1"/>
    </xf>
    <xf numFmtId="0" fontId="49" fillId="2" borderId="21" xfId="3" applyFont="1" applyFill="1" applyBorder="1" applyAlignment="1">
      <alignment horizontal="center" vertical="center" wrapText="1"/>
    </xf>
    <xf numFmtId="0" fontId="54" fillId="2" borderId="26" xfId="4" applyFont="1" applyFill="1" applyBorder="1" applyAlignment="1" applyProtection="1">
      <alignment horizontal="center" vertical="center" wrapText="1"/>
    </xf>
    <xf numFmtId="0" fontId="54" fillId="2" borderId="25" xfId="4" applyFont="1" applyFill="1" applyBorder="1" applyAlignment="1" applyProtection="1">
      <alignment horizontal="center" vertical="center" wrapText="1"/>
    </xf>
    <xf numFmtId="0" fontId="54" fillId="2" borderId="21" xfId="4" applyFont="1" applyFill="1" applyBorder="1" applyAlignment="1" applyProtection="1">
      <alignment horizontal="center" vertical="center" wrapText="1"/>
    </xf>
    <xf numFmtId="0" fontId="54" fillId="2" borderId="26" xfId="4" applyFont="1" applyFill="1" applyBorder="1" applyAlignment="1">
      <alignment horizontal="center" vertical="center"/>
    </xf>
    <xf numFmtId="0" fontId="54" fillId="2" borderId="21" xfId="4" applyFont="1" applyFill="1" applyBorder="1" applyAlignment="1">
      <alignment horizontal="center" vertical="center"/>
    </xf>
    <xf numFmtId="0" fontId="49" fillId="2" borderId="0" xfId="0" applyFont="1" applyFill="1" applyAlignment="1">
      <alignment horizontal="center"/>
    </xf>
    <xf numFmtId="0" fontId="54" fillId="7" borderId="25" xfId="5" applyNumberFormat="1" applyFont="1" applyFill="1" applyBorder="1" applyAlignment="1" applyProtection="1">
      <alignment horizontal="right" vertical="center" wrapText="1"/>
    </xf>
    <xf numFmtId="0" fontId="54" fillId="7" borderId="21" xfId="5" applyNumberFormat="1" applyFont="1" applyFill="1" applyBorder="1" applyAlignment="1" applyProtection="1">
      <alignment horizontal="right" vertical="center" wrapText="1"/>
    </xf>
    <xf numFmtId="0" fontId="28" fillId="2" borderId="26" xfId="3" applyFont="1" applyFill="1" applyBorder="1" applyAlignment="1">
      <alignment horizontal="left" vertical="center" wrapText="1"/>
    </xf>
    <xf numFmtId="0" fontId="28" fillId="2" borderId="21" xfId="3" applyFont="1" applyFill="1" applyBorder="1" applyAlignment="1">
      <alignment horizontal="left" vertical="center" wrapText="1"/>
    </xf>
    <xf numFmtId="0" fontId="53" fillId="2" borderId="5" xfId="5" applyNumberFormat="1" applyFont="1" applyFill="1" applyBorder="1" applyAlignment="1" applyProtection="1">
      <alignment horizontal="center" vertical="center"/>
    </xf>
    <xf numFmtId="0" fontId="53" fillId="2" borderId="4" xfId="5" applyNumberFormat="1" applyFont="1" applyFill="1" applyBorder="1" applyAlignment="1" applyProtection="1">
      <alignment horizontal="center" vertical="center"/>
    </xf>
    <xf numFmtId="0" fontId="53" fillId="2" borderId="31" xfId="5" applyNumberFormat="1" applyFont="1" applyFill="1" applyBorder="1" applyAlignment="1" applyProtection="1">
      <alignment horizontal="center" vertical="center"/>
    </xf>
    <xf numFmtId="0" fontId="50" fillId="2" borderId="5" xfId="3" applyFont="1" applyFill="1" applyBorder="1" applyAlignment="1">
      <alignment horizontal="left" vertical="center" wrapText="1"/>
    </xf>
    <xf numFmtId="0" fontId="50" fillId="2" borderId="4" xfId="3" applyFont="1" applyFill="1" applyBorder="1" applyAlignment="1">
      <alignment horizontal="left" vertical="center" wrapText="1"/>
    </xf>
    <xf numFmtId="0" fontId="50" fillId="2" borderId="31" xfId="3" applyFont="1" applyFill="1" applyBorder="1" applyAlignment="1">
      <alignment horizontal="left" vertical="center" wrapText="1"/>
    </xf>
    <xf numFmtId="0" fontId="49" fillId="2" borderId="26" xfId="0" applyFont="1" applyFill="1" applyBorder="1" applyAlignment="1">
      <alignment horizontal="center"/>
    </xf>
    <xf numFmtId="0" fontId="49" fillId="2" borderId="25" xfId="0" applyFont="1" applyFill="1" applyBorder="1" applyAlignment="1">
      <alignment horizontal="center"/>
    </xf>
    <xf numFmtId="0" fontId="49" fillId="2" borderId="21" xfId="0" applyFont="1" applyFill="1" applyBorder="1" applyAlignment="1">
      <alignment horizontal="center"/>
    </xf>
    <xf numFmtId="0" fontId="54" fillId="2" borderId="24" xfId="4" applyFont="1" applyFill="1" applyBorder="1" applyAlignment="1">
      <alignment horizontal="center" vertical="center"/>
    </xf>
    <xf numFmtId="0" fontId="50" fillId="2" borderId="5" xfId="3" applyFont="1" applyFill="1" applyBorder="1" applyAlignment="1">
      <alignment horizontal="center" vertical="center"/>
    </xf>
    <xf numFmtId="0" fontId="50" fillId="2" borderId="4" xfId="3" applyFont="1" applyFill="1" applyBorder="1" applyAlignment="1">
      <alignment horizontal="center" vertical="center"/>
    </xf>
    <xf numFmtId="0" fontId="50" fillId="2" borderId="31" xfId="3" applyFont="1" applyFill="1" applyBorder="1" applyAlignment="1">
      <alignment horizontal="center" vertical="center"/>
    </xf>
    <xf numFmtId="0" fontId="50" fillId="2" borderId="5"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31" xfId="0" applyFont="1" applyFill="1" applyBorder="1" applyAlignment="1">
      <alignment horizontal="center" vertical="center"/>
    </xf>
    <xf numFmtId="2" fontId="52" fillId="2" borderId="5" xfId="3" applyNumberFormat="1" applyFont="1" applyFill="1" applyBorder="1" applyAlignment="1">
      <alignment horizontal="center" vertical="center" wrapText="1"/>
    </xf>
    <xf numFmtId="2" fontId="52" fillId="2" borderId="4" xfId="3" applyNumberFormat="1" applyFont="1" applyFill="1" applyBorder="1" applyAlignment="1">
      <alignment horizontal="center" vertical="center" wrapText="1"/>
    </xf>
    <xf numFmtId="2" fontId="52" fillId="2" borderId="31" xfId="3" applyNumberFormat="1" applyFont="1" applyFill="1" applyBorder="1" applyAlignment="1">
      <alignment horizontal="center" vertical="center" wrapText="1"/>
    </xf>
    <xf numFmtId="0" fontId="49" fillId="2" borderId="5" xfId="0" applyFont="1" applyFill="1" applyBorder="1" applyAlignment="1">
      <alignment vertical="center" wrapText="1"/>
    </xf>
    <xf numFmtId="0" fontId="49" fillId="2" borderId="4" xfId="0" applyFont="1" applyFill="1" applyBorder="1" applyAlignment="1">
      <alignment vertical="center" wrapText="1"/>
    </xf>
    <xf numFmtId="0" fontId="49" fillId="2" borderId="31" xfId="0" applyFont="1" applyFill="1" applyBorder="1" applyAlignment="1">
      <alignment vertical="center" wrapText="1"/>
    </xf>
    <xf numFmtId="0" fontId="49" fillId="2" borderId="0" xfId="0" applyFont="1" applyFill="1" applyAlignment="1">
      <alignment horizontal="left"/>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36" xfId="0" applyFont="1" applyBorder="1" applyAlignment="1">
      <alignment horizontal="center" vertical="center" wrapText="1"/>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xf>
    <xf numFmtId="0" fontId="4" fillId="0" borderId="27" xfId="0" applyFont="1" applyBorder="1" applyAlignment="1">
      <alignment horizontal="center"/>
    </xf>
    <xf numFmtId="0" fontId="59" fillId="0" borderId="0" xfId="0" applyFont="1" applyAlignment="1">
      <alignment horizontal="center"/>
    </xf>
    <xf numFmtId="0" fontId="60" fillId="2" borderId="24" xfId="0" applyFont="1" applyFill="1" applyBorder="1" applyAlignment="1">
      <alignment horizontal="center" vertical="center"/>
    </xf>
    <xf numFmtId="0" fontId="61" fillId="2" borderId="24" xfId="0" applyFont="1" applyFill="1" applyBorder="1" applyAlignment="1">
      <alignment horizontal="center" vertical="center" wrapText="1"/>
    </xf>
    <xf numFmtId="0" fontId="62" fillId="2" borderId="24" xfId="0" applyFont="1" applyFill="1" applyBorder="1" applyAlignment="1">
      <alignment horizontal="center"/>
    </xf>
    <xf numFmtId="0" fontId="61" fillId="3" borderId="24" xfId="0" applyFont="1" applyFill="1" applyBorder="1" applyAlignment="1">
      <alignment horizontal="center" vertical="center" wrapText="1"/>
    </xf>
  </cellXfs>
  <cellStyles count="7">
    <cellStyle name="Millares" xfId="1" builtinId="3"/>
    <cellStyle name="Millares 7" xfId="5"/>
    <cellStyle name="Normal" xfId="0" builtinId="0"/>
    <cellStyle name="Normal 2" xfId="6"/>
    <cellStyle name="Normal 2 2" xfId="3"/>
    <cellStyle name="Normal 4" xfId="4"/>
    <cellStyle name="Normal_Distributivo Sueldos ocasionales  P' Presupuesto del 2008" xfId="2"/>
  </cellStyles>
  <dxfs count="0"/>
  <tableStyles count="0" defaultTableStyle="TableStyleMedium2" defaultPivotStyle="PivotStyleLight16"/>
  <colors>
    <mruColors>
      <color rgb="FF04E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99686</xdr:colOff>
      <xdr:row>1</xdr:row>
      <xdr:rowOff>44648</xdr:rowOff>
    </xdr:from>
    <xdr:to>
      <xdr:col>28</xdr:col>
      <xdr:colOff>1012032</xdr:colOff>
      <xdr:row>6</xdr:row>
      <xdr:rowOff>183809</xdr:rowOff>
    </xdr:to>
    <xdr:pic>
      <xdr:nvPicPr>
        <xdr:cNvPr id="2" name="1 Imagen" descr="C:\Users\Gabriela\Desktop\GPL Planificación - 2014\FORMATOS\Logo prefectur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2342" y="282773"/>
          <a:ext cx="912346" cy="1387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Leon/Documents/RIDRENSUR%202015/GERENCIA%20DE%20PLANIFICACION/POA%202016/INSUMOS%20POA/GERENCIA%20PLANIFICACI&#211;N/poa%202016%20diciembre%201r0/PROFORMA%202016%20%20ENVIAR%20%20GPL%20LUNES/ANEXOS%20INSUMOS%20ENVIADOS/PROF%20%20lilia%202015-09-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OA%20C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OA%202016%20RIDNRESUR%2024-09-15\planfic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PROFORMA 2016 "/>
      <sheetName val="ANEXO 6 INSUMOS VALORADOS"/>
      <sheetName val="NOMINA TRABAJA"/>
      <sheetName val="NOMINA GERENTES "/>
      <sheetName val="RESUMEN"/>
      <sheetName val="ESCENARIOS"/>
      <sheetName val="Proyectos 2016"/>
      <sheetName val="Proyectos SENAGUA 2016"/>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ROF PRESUPUEST"/>
      <sheetName val="PROY 2016"/>
      <sheetName val="3. PERF PLAN "/>
      <sheetName val="3. PERF GT"/>
      <sheetName val="3. PERF O Y M"/>
      <sheetName val="5. CRONOGRAMA ACTIV"/>
      <sheetName val="6. ANEXO INSUMOS"/>
      <sheetName val="8. MATRIZ POA "/>
    </sheetNames>
    <sheetDataSet>
      <sheetData sheetId="0" refreshError="1"/>
      <sheetData sheetId="1" refreshError="1"/>
      <sheetData sheetId="2" refreshError="1"/>
      <sheetData sheetId="3" refreshError="1"/>
      <sheetData sheetId="4" refreshError="1"/>
      <sheetData sheetId="5" refreshError="1"/>
      <sheetData sheetId="6" refreshError="1">
        <row r="9">
          <cell r="B9" t="str">
            <v>Estudio geotécnico obras especiales</v>
          </cell>
          <cell r="H9">
            <v>730601</v>
          </cell>
          <cell r="I9" t="str">
            <v>Consultoría, asesoría e Investigación Especializada</v>
          </cell>
        </row>
        <row r="10">
          <cell r="H10">
            <v>730212</v>
          </cell>
        </row>
        <row r="12">
          <cell r="H12">
            <v>730204</v>
          </cell>
          <cell r="I12" t="str">
            <v>Edición, Impresión, Reproducción, Publicaciones, Suscripciones, Fotocopiado, Traducción, Empastado, Enmarcación, Serigrafía, Fotografía, Carnetización, Filmación e Imágenes Satelitales Gastos por edición, impresión, reproducción, emisión de especies fiscales; publicaciones oficiales; suscripciones; fotocopiado; traducción; empastado; enmarcación; carnetización; serigrafía, fotografía: filmación; e, imágenes satelitales.</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ROF PRESUPUEST"/>
      <sheetName val="PROY 2016"/>
      <sheetName val="ANEXO INSUMOS Planifica"/>
      <sheetName val="Perfil redes saraguro"/>
      <sheetName val="Perfil redes espindola"/>
      <sheetName val="Perf La Concha"/>
      <sheetName val="PERFIL CHANTACO"/>
      <sheetName val="PERFIL VERDUN"/>
      <sheetName val="PERFIL MACHAY"/>
      <sheetName val="Perfil Canal alto"/>
      <sheetName val="Perf Aguarongo"/>
      <sheetName val="PERF GT"/>
      <sheetName val="PERF O Y M"/>
      <sheetName val="MATRIZ POA "/>
      <sheetName val="ANEXO INSUMOS"/>
    </sheetNames>
    <sheetDataSet>
      <sheetData sheetId="0"/>
      <sheetData sheetId="1">
        <row r="115">
          <cell r="G115" t="str">
            <v xml:space="preserve">Investigaciones Profesionales y Exámenes de Laboratorio </v>
          </cell>
        </row>
        <row r="119">
          <cell r="B119">
            <v>730212</v>
          </cell>
        </row>
        <row r="123">
          <cell r="G123" t="str">
            <v>Consultoría, asesoría e Investigación Especializada</v>
          </cell>
        </row>
        <row r="129">
          <cell r="B129">
            <v>730601</v>
          </cell>
        </row>
      </sheetData>
      <sheetData sheetId="2">
        <row r="8">
          <cell r="D8" t="str">
            <v>ESTUDIOS DE OBRAS, CONSTRUCCIÓN Y REHABILITACIÓN DE SISTEMAS DE RIEGO Y DRENAJE</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70C0"/>
  </sheetPr>
  <dimension ref="A1:V286"/>
  <sheetViews>
    <sheetView topLeftCell="A184" zoomScale="85" zoomScaleNormal="85" zoomScaleSheetLayoutView="89" workbookViewId="0">
      <selection activeCell="G228" sqref="G228"/>
    </sheetView>
  </sheetViews>
  <sheetFormatPr baseColWidth="10" defaultRowHeight="12.75"/>
  <cols>
    <col min="1" max="1" width="2.42578125" style="1" customWidth="1"/>
    <col min="2" max="2" width="24.85546875" style="1" customWidth="1"/>
    <col min="3" max="3" width="8.28515625" style="1" customWidth="1"/>
    <col min="4" max="4" width="9.5703125" style="2" customWidth="1"/>
    <col min="5" max="5" width="6.7109375" style="3" customWidth="1"/>
    <col min="6" max="6" width="14.85546875" style="1" customWidth="1"/>
    <col min="7" max="7" width="65.140625" style="1" customWidth="1"/>
    <col min="8" max="8" width="6.7109375" style="1" hidden="1" customWidth="1"/>
    <col min="9" max="9" width="17.140625" style="1" customWidth="1"/>
    <col min="10" max="10" width="16.7109375" style="1" customWidth="1"/>
    <col min="11" max="11" width="7" style="1" customWidth="1"/>
    <col min="12" max="12" width="23" style="1" customWidth="1"/>
    <col min="13" max="13" width="14.42578125" style="1" bestFit="1" customWidth="1"/>
    <col min="14" max="16384" width="11.42578125" style="1"/>
  </cols>
  <sheetData>
    <row r="1" spans="1:22" ht="18.75">
      <c r="A1" s="7"/>
      <c r="B1" s="731" t="s">
        <v>1139</v>
      </c>
      <c r="C1" s="731"/>
      <c r="D1" s="731"/>
      <c r="E1" s="731"/>
      <c r="F1" s="731"/>
      <c r="G1" s="731"/>
      <c r="H1" s="55"/>
      <c r="I1" s="7"/>
      <c r="K1"/>
      <c r="L1"/>
    </row>
    <row r="2" spans="1:22" ht="18.75" customHeight="1">
      <c r="A2" s="7"/>
      <c r="B2" s="738" t="s">
        <v>42</v>
      </c>
      <c r="C2" s="738"/>
      <c r="D2" s="738"/>
      <c r="E2" s="738"/>
      <c r="F2" s="738"/>
      <c r="G2" s="738"/>
      <c r="H2" s="54"/>
      <c r="I2" s="7"/>
      <c r="J2" s="6"/>
      <c r="K2"/>
      <c r="L2"/>
    </row>
    <row r="3" spans="1:22" ht="17.25" customHeight="1">
      <c r="A3" s="7"/>
      <c r="B3" s="738" t="s">
        <v>97</v>
      </c>
      <c r="C3" s="738"/>
      <c r="D3" s="738"/>
      <c r="E3" s="738"/>
      <c r="F3" s="738"/>
      <c r="G3" s="738"/>
      <c r="H3" s="54"/>
      <c r="I3" s="50"/>
      <c r="J3" s="51"/>
      <c r="K3"/>
      <c r="L3"/>
    </row>
    <row r="4" spans="1:22" ht="17.25" customHeight="1">
      <c r="A4" s="7"/>
      <c r="B4" s="41"/>
      <c r="C4" s="41"/>
      <c r="D4" s="8"/>
      <c r="E4" s="9"/>
      <c r="F4" s="41"/>
      <c r="G4" s="10"/>
      <c r="H4" s="10"/>
      <c r="I4" s="50"/>
      <c r="J4" s="51"/>
      <c r="K4"/>
      <c r="L4"/>
    </row>
    <row r="5" spans="1:22" ht="17.25" customHeight="1">
      <c r="A5" s="7"/>
      <c r="B5" s="350" t="s">
        <v>46</v>
      </c>
      <c r="C5" s="351"/>
      <c r="D5" s="352">
        <v>2016</v>
      </c>
      <c r="E5" s="353"/>
      <c r="F5" s="354" t="s">
        <v>57</v>
      </c>
      <c r="G5" s="355" t="s">
        <v>0</v>
      </c>
      <c r="H5" s="356"/>
      <c r="I5" s="357"/>
      <c r="J5" s="358"/>
      <c r="K5"/>
      <c r="L5"/>
    </row>
    <row r="6" spans="1:22" ht="17.25" customHeight="1">
      <c r="A6" s="7"/>
      <c r="B6" s="359" t="s">
        <v>78</v>
      </c>
      <c r="C6" s="360"/>
      <c r="D6" s="45">
        <v>962</v>
      </c>
      <c r="E6" s="12"/>
      <c r="F6" s="42" t="s">
        <v>53</v>
      </c>
      <c r="G6" s="44" t="s">
        <v>54</v>
      </c>
      <c r="H6" s="14"/>
      <c r="I6" s="52"/>
      <c r="J6" s="361"/>
      <c r="K6"/>
      <c r="L6"/>
    </row>
    <row r="7" spans="1:22" ht="17.25" customHeight="1">
      <c r="A7" s="7"/>
      <c r="B7" s="362" t="s">
        <v>47</v>
      </c>
      <c r="C7" s="11"/>
      <c r="D7" s="43">
        <v>0</v>
      </c>
      <c r="E7" s="12"/>
      <c r="F7" s="13"/>
      <c r="G7" s="14"/>
      <c r="H7" s="14"/>
      <c r="I7" s="50"/>
      <c r="J7" s="363"/>
      <c r="K7"/>
      <c r="L7"/>
    </row>
    <row r="8" spans="1:22" ht="17.25" customHeight="1">
      <c r="A8" s="7"/>
      <c r="B8" s="364" t="s">
        <v>48</v>
      </c>
      <c r="C8" s="365"/>
      <c r="D8" s="366">
        <v>0</v>
      </c>
      <c r="E8" s="367"/>
      <c r="F8" s="368"/>
      <c r="G8" s="369"/>
      <c r="H8" s="369"/>
      <c r="I8" s="370"/>
      <c r="J8" s="371"/>
      <c r="K8"/>
      <c r="L8"/>
      <c r="M8"/>
    </row>
    <row r="9" spans="1:22" ht="15">
      <c r="A9" s="7"/>
      <c r="B9" s="11"/>
      <c r="C9" s="12"/>
      <c r="D9" s="11"/>
      <c r="E9" s="15"/>
      <c r="F9" s="15"/>
      <c r="G9" s="11"/>
      <c r="H9" s="11"/>
      <c r="I9" s="7"/>
      <c r="J9" s="6"/>
      <c r="K9"/>
      <c r="L9"/>
      <c r="M9"/>
    </row>
    <row r="10" spans="1:22" ht="33.75" customHeight="1">
      <c r="A10" s="7"/>
      <c r="B10" s="16" t="s">
        <v>79</v>
      </c>
      <c r="C10" s="16" t="s">
        <v>49</v>
      </c>
      <c r="D10" s="17" t="s">
        <v>50</v>
      </c>
      <c r="E10" s="18" t="s">
        <v>51</v>
      </c>
      <c r="F10" s="16" t="s">
        <v>52</v>
      </c>
      <c r="G10" s="19" t="s">
        <v>82</v>
      </c>
      <c r="H10" s="19" t="s">
        <v>227</v>
      </c>
      <c r="I10" s="19" t="s">
        <v>85</v>
      </c>
      <c r="J10" s="19" t="s">
        <v>1108</v>
      </c>
      <c r="K10"/>
      <c r="L10"/>
      <c r="M10"/>
    </row>
    <row r="11" spans="1:22" ht="34.5" customHeight="1">
      <c r="A11" s="7"/>
      <c r="B11" s="372" t="s">
        <v>44</v>
      </c>
      <c r="C11" s="373" t="s">
        <v>75</v>
      </c>
      <c r="D11" s="374" t="s">
        <v>77</v>
      </c>
      <c r="E11" s="374"/>
      <c r="F11" s="375"/>
      <c r="G11" s="376" t="s">
        <v>76</v>
      </c>
      <c r="H11" s="376"/>
      <c r="I11" s="376"/>
      <c r="J11" s="377">
        <f>+J12+J25+J44+J55</f>
        <v>734034.96160000004</v>
      </c>
      <c r="K11"/>
      <c r="L11"/>
      <c r="M11"/>
      <c r="N11"/>
      <c r="O11"/>
      <c r="P11"/>
      <c r="Q11"/>
      <c r="R11"/>
      <c r="S11"/>
      <c r="T11"/>
      <c r="U11"/>
      <c r="V11"/>
    </row>
    <row r="12" spans="1:22" ht="15">
      <c r="A12" s="7"/>
      <c r="B12" s="530"/>
      <c r="C12" s="531"/>
      <c r="D12" s="532" t="s">
        <v>45</v>
      </c>
      <c r="E12" s="533"/>
      <c r="F12" s="534"/>
      <c r="G12" s="535" t="s">
        <v>74</v>
      </c>
      <c r="H12" s="535"/>
      <c r="I12" s="535"/>
      <c r="J12" s="536">
        <f>SUM(I14:I24)</f>
        <v>387126.21919999999</v>
      </c>
      <c r="K12"/>
      <c r="L12"/>
      <c r="M12"/>
      <c r="N12"/>
      <c r="O12"/>
      <c r="P12"/>
      <c r="Q12"/>
      <c r="R12"/>
      <c r="S12"/>
      <c r="T12"/>
      <c r="U12"/>
      <c r="V12"/>
    </row>
    <row r="13" spans="1:22" ht="15">
      <c r="A13" s="7"/>
      <c r="B13" s="383">
        <v>510100</v>
      </c>
      <c r="C13" s="378"/>
      <c r="D13" s="379"/>
      <c r="E13" s="380"/>
      <c r="F13" s="381"/>
      <c r="G13" s="382" t="s">
        <v>86</v>
      </c>
      <c r="H13" s="384"/>
      <c r="I13" s="384"/>
      <c r="J13" s="467"/>
      <c r="K13"/>
      <c r="L13"/>
      <c r="M13"/>
      <c r="N13"/>
      <c r="O13"/>
      <c r="P13"/>
      <c r="Q13"/>
      <c r="R13"/>
      <c r="S13"/>
      <c r="T13"/>
      <c r="U13"/>
      <c r="V13"/>
    </row>
    <row r="14" spans="1:22" ht="15">
      <c r="A14" s="7"/>
      <c r="B14" s="20">
        <v>510105</v>
      </c>
      <c r="C14" s="20">
        <v>1100</v>
      </c>
      <c r="D14" s="21">
        <v>1</v>
      </c>
      <c r="E14" s="22">
        <v>0</v>
      </c>
      <c r="F14" s="22">
        <v>0</v>
      </c>
      <c r="G14" s="23" t="s">
        <v>15</v>
      </c>
      <c r="H14" s="25" t="s">
        <v>228</v>
      </c>
      <c r="I14" s="25">
        <f>+'NOMINA TRABAJA'!H82+'NOMINA TRABAJA'!H81</f>
        <v>287904</v>
      </c>
      <c r="J14" s="25"/>
      <c r="K14"/>
      <c r="L14"/>
      <c r="M14"/>
      <c r="N14"/>
      <c r="O14"/>
      <c r="P14"/>
      <c r="Q14"/>
      <c r="R14"/>
      <c r="S14"/>
      <c r="T14"/>
      <c r="U14"/>
      <c r="V14"/>
    </row>
    <row r="15" spans="1:22" ht="15">
      <c r="A15" s="7"/>
      <c r="B15" s="26">
        <v>510102</v>
      </c>
      <c r="C15" s="20"/>
      <c r="D15" s="21"/>
      <c r="E15" s="22"/>
      <c r="F15" s="22"/>
      <c r="G15" s="46" t="s">
        <v>87</v>
      </c>
      <c r="H15" s="47"/>
      <c r="I15" s="47"/>
      <c r="J15" s="442"/>
      <c r="K15"/>
      <c r="L15"/>
      <c r="M15"/>
      <c r="N15"/>
      <c r="O15"/>
      <c r="P15"/>
      <c r="Q15"/>
      <c r="R15"/>
      <c r="S15"/>
      <c r="T15"/>
      <c r="U15"/>
      <c r="V15"/>
    </row>
    <row r="16" spans="1:22" ht="15">
      <c r="A16" s="7"/>
      <c r="B16" s="20">
        <v>510203</v>
      </c>
      <c r="C16" s="20">
        <v>1100</v>
      </c>
      <c r="D16" s="21">
        <v>1</v>
      </c>
      <c r="E16" s="22">
        <v>0</v>
      </c>
      <c r="F16" s="22">
        <v>0</v>
      </c>
      <c r="G16" s="23" t="s">
        <v>16</v>
      </c>
      <c r="H16" s="25" t="s">
        <v>228</v>
      </c>
      <c r="I16" s="25">
        <f>+'NOMINA TRABAJA'!L81+'NOMINA TRABAJA'!L82</f>
        <v>23992</v>
      </c>
      <c r="J16" s="25"/>
      <c r="K16"/>
      <c r="L16"/>
      <c r="M16"/>
      <c r="N16"/>
      <c r="O16"/>
      <c r="P16"/>
      <c r="Q16"/>
      <c r="R16"/>
      <c r="S16"/>
      <c r="T16"/>
      <c r="U16"/>
      <c r="V16"/>
    </row>
    <row r="17" spans="1:22" ht="15">
      <c r="A17" s="7"/>
      <c r="B17" s="20">
        <v>510204</v>
      </c>
      <c r="C17" s="20">
        <v>1100</v>
      </c>
      <c r="D17" s="21">
        <v>1</v>
      </c>
      <c r="E17" s="22">
        <v>0</v>
      </c>
      <c r="F17" s="22">
        <v>0</v>
      </c>
      <c r="G17" s="23" t="s">
        <v>17</v>
      </c>
      <c r="H17" s="25" t="s">
        <v>228</v>
      </c>
      <c r="I17" s="25">
        <f>+'NOMINA TRABAJA'!N81+'NOMINA TRABAJA'!N82</f>
        <v>4956</v>
      </c>
      <c r="J17" s="25"/>
      <c r="K17"/>
      <c r="L17"/>
      <c r="M17"/>
      <c r="N17"/>
      <c r="O17"/>
      <c r="P17"/>
      <c r="Q17"/>
      <c r="R17"/>
      <c r="S17"/>
      <c r="T17"/>
      <c r="U17"/>
      <c r="V17"/>
    </row>
    <row r="18" spans="1:22" ht="15">
      <c r="A18" s="7"/>
      <c r="B18" s="26">
        <v>510500</v>
      </c>
      <c r="C18" s="20"/>
      <c r="D18" s="21"/>
      <c r="E18" s="22"/>
      <c r="F18" s="22"/>
      <c r="G18" s="46" t="s">
        <v>88</v>
      </c>
      <c r="H18" s="47"/>
      <c r="I18" s="47"/>
      <c r="J18" s="442"/>
      <c r="K18"/>
      <c r="L18"/>
      <c r="M18"/>
      <c r="N18"/>
      <c r="O18"/>
      <c r="P18"/>
      <c r="Q18"/>
      <c r="R18"/>
      <c r="S18"/>
      <c r="T18"/>
      <c r="U18"/>
      <c r="V18"/>
    </row>
    <row r="19" spans="1:22" ht="15">
      <c r="A19" s="7"/>
      <c r="B19" s="20">
        <v>510512</v>
      </c>
      <c r="C19" s="20">
        <v>1100</v>
      </c>
      <c r="D19" s="21">
        <v>1</v>
      </c>
      <c r="E19" s="22">
        <v>0</v>
      </c>
      <c r="F19" s="22">
        <v>0</v>
      </c>
      <c r="G19" s="23" t="s">
        <v>37</v>
      </c>
      <c r="H19" s="25" t="s">
        <v>228</v>
      </c>
      <c r="I19" s="25">
        <v>1000</v>
      </c>
      <c r="J19" s="25"/>
      <c r="K19"/>
      <c r="L19"/>
      <c r="M19"/>
      <c r="N19"/>
      <c r="O19"/>
      <c r="P19"/>
      <c r="Q19"/>
      <c r="R19"/>
      <c r="S19"/>
      <c r="T19"/>
      <c r="U19"/>
      <c r="V19"/>
    </row>
    <row r="20" spans="1:22" ht="15">
      <c r="A20" s="7"/>
      <c r="B20" s="26">
        <v>510600</v>
      </c>
      <c r="C20" s="20"/>
      <c r="D20" s="21"/>
      <c r="E20" s="22"/>
      <c r="F20" s="22"/>
      <c r="G20" s="46" t="s">
        <v>89</v>
      </c>
      <c r="H20" s="47"/>
      <c r="I20" s="67"/>
      <c r="J20" s="442"/>
      <c r="K20"/>
      <c r="L20"/>
      <c r="M20"/>
      <c r="N20"/>
      <c r="O20"/>
      <c r="P20"/>
      <c r="Q20"/>
      <c r="R20"/>
      <c r="S20"/>
      <c r="T20"/>
      <c r="U20"/>
      <c r="V20"/>
    </row>
    <row r="21" spans="1:22" ht="15">
      <c r="A21" s="7"/>
      <c r="B21" s="20">
        <v>510601</v>
      </c>
      <c r="C21" s="20">
        <v>1100</v>
      </c>
      <c r="D21" s="21">
        <v>1</v>
      </c>
      <c r="E21" s="22">
        <v>0</v>
      </c>
      <c r="F21" s="22">
        <v>0</v>
      </c>
      <c r="G21" s="23" t="s">
        <v>23</v>
      </c>
      <c r="H21" s="25" t="s">
        <v>228</v>
      </c>
      <c r="I21" s="468">
        <f>+'NOMINA TRABAJA'!I81+'NOMINA TRABAJA'!I82+'NOMINA TRABAJA'!J81+'NOMINA TRABAJA'!J82</f>
        <v>33540.815999999999</v>
      </c>
      <c r="J21" s="468"/>
      <c r="K21"/>
      <c r="L21"/>
      <c r="M21"/>
      <c r="N21"/>
      <c r="O21"/>
      <c r="P21"/>
      <c r="Q21"/>
      <c r="R21"/>
      <c r="S21"/>
      <c r="T21"/>
      <c r="U21"/>
      <c r="V21"/>
    </row>
    <row r="22" spans="1:22" ht="15">
      <c r="A22" s="7"/>
      <c r="B22" s="20">
        <v>510602</v>
      </c>
      <c r="C22" s="20">
        <v>1100</v>
      </c>
      <c r="D22" s="21">
        <v>1</v>
      </c>
      <c r="E22" s="22">
        <v>0</v>
      </c>
      <c r="F22" s="22">
        <v>0</v>
      </c>
      <c r="G22" s="23" t="s">
        <v>24</v>
      </c>
      <c r="H22" s="25" t="s">
        <v>228</v>
      </c>
      <c r="I22" s="25">
        <f>+'NOMINA TRABAJA'!K81+'NOMINA TRABAJA'!K82</f>
        <v>23982.403200000001</v>
      </c>
      <c r="J22" s="25"/>
      <c r="K22"/>
      <c r="L22"/>
      <c r="M22"/>
      <c r="N22"/>
      <c r="O22"/>
      <c r="P22"/>
      <c r="Q22"/>
      <c r="R22"/>
      <c r="S22"/>
      <c r="T22"/>
      <c r="U22"/>
      <c r="V22"/>
    </row>
    <row r="23" spans="1:22" ht="15">
      <c r="A23" s="7"/>
      <c r="B23" s="26">
        <v>510700</v>
      </c>
      <c r="C23" s="20"/>
      <c r="D23" s="21"/>
      <c r="E23" s="22"/>
      <c r="F23" s="22"/>
      <c r="G23" s="46" t="s">
        <v>96</v>
      </c>
      <c r="H23" s="48"/>
      <c r="I23" s="48"/>
      <c r="J23" s="442"/>
      <c r="K23"/>
      <c r="L23"/>
      <c r="M23"/>
      <c r="N23"/>
      <c r="O23"/>
      <c r="P23"/>
      <c r="Q23"/>
      <c r="R23"/>
      <c r="S23"/>
      <c r="T23"/>
      <c r="U23"/>
      <c r="V23"/>
    </row>
    <row r="24" spans="1:22" ht="15">
      <c r="A24" s="7"/>
      <c r="B24" s="20">
        <v>510707</v>
      </c>
      <c r="C24" s="20">
        <v>1100</v>
      </c>
      <c r="D24" s="21">
        <v>1</v>
      </c>
      <c r="E24" s="22">
        <v>0</v>
      </c>
      <c r="F24" s="22">
        <v>0</v>
      </c>
      <c r="G24" s="23" t="s">
        <v>38</v>
      </c>
      <c r="H24" s="25" t="s">
        <v>228</v>
      </c>
      <c r="I24" s="25">
        <f>+'NOMINA TRABAJA'!M81</f>
        <v>11751</v>
      </c>
      <c r="J24" s="25"/>
      <c r="K24"/>
      <c r="L24"/>
      <c r="M24"/>
      <c r="N24"/>
      <c r="O24"/>
      <c r="P24"/>
      <c r="Q24"/>
      <c r="R24"/>
      <c r="S24"/>
      <c r="T24"/>
      <c r="U24"/>
      <c r="V24"/>
    </row>
    <row r="25" spans="1:22" ht="15">
      <c r="A25" s="7"/>
      <c r="B25" s="537"/>
      <c r="C25" s="538"/>
      <c r="D25" s="532" t="s">
        <v>58</v>
      </c>
      <c r="E25" s="539"/>
      <c r="F25" s="540"/>
      <c r="G25" s="541" t="s">
        <v>59</v>
      </c>
      <c r="H25" s="542"/>
      <c r="I25" s="542"/>
      <c r="J25" s="536">
        <f>SUM(I27:I43)</f>
        <v>65807.188800000004</v>
      </c>
      <c r="K25"/>
      <c r="L25"/>
      <c r="M25"/>
      <c r="N25"/>
      <c r="O25"/>
      <c r="P25"/>
      <c r="Q25"/>
      <c r="R25"/>
      <c r="S25"/>
      <c r="T25"/>
      <c r="U25"/>
      <c r="V25"/>
    </row>
    <row r="26" spans="1:22" ht="15">
      <c r="A26" s="34"/>
      <c r="B26" s="383">
        <v>710100</v>
      </c>
      <c r="C26" s="378"/>
      <c r="D26" s="379"/>
      <c r="E26" s="380"/>
      <c r="F26" s="381"/>
      <c r="G26" s="382" t="s">
        <v>86</v>
      </c>
      <c r="H26" s="469"/>
      <c r="I26" s="469"/>
      <c r="J26" s="467"/>
      <c r="K26"/>
      <c r="L26"/>
      <c r="M26"/>
      <c r="N26"/>
      <c r="O26"/>
      <c r="P26"/>
      <c r="Q26"/>
      <c r="R26"/>
      <c r="S26"/>
      <c r="T26"/>
      <c r="U26"/>
      <c r="V26"/>
    </row>
    <row r="27" spans="1:22" ht="15">
      <c r="A27" s="7"/>
      <c r="B27" s="20">
        <v>710106</v>
      </c>
      <c r="C27" s="20">
        <v>1100</v>
      </c>
      <c r="D27" s="21">
        <v>1</v>
      </c>
      <c r="E27" s="22">
        <v>0</v>
      </c>
      <c r="F27" s="22">
        <v>0</v>
      </c>
      <c r="G27" s="23" t="s">
        <v>43</v>
      </c>
      <c r="H27" s="25" t="s">
        <v>228</v>
      </c>
      <c r="I27" s="25">
        <f>+'NOMINA TRABAJA'!H78</f>
        <v>43056</v>
      </c>
      <c r="J27" s="25"/>
      <c r="K27"/>
      <c r="L27"/>
      <c r="M27"/>
      <c r="N27"/>
      <c r="O27"/>
      <c r="P27"/>
      <c r="Q27"/>
      <c r="R27"/>
      <c r="S27"/>
      <c r="T27"/>
      <c r="U27"/>
      <c r="V27"/>
    </row>
    <row r="28" spans="1:22" ht="15">
      <c r="A28" s="7"/>
      <c r="B28" s="26">
        <v>710200</v>
      </c>
      <c r="C28" s="20"/>
      <c r="D28" s="21"/>
      <c r="E28" s="22"/>
      <c r="F28" s="22"/>
      <c r="G28" s="46" t="s">
        <v>87</v>
      </c>
      <c r="H28" s="23"/>
      <c r="I28" s="23"/>
      <c r="J28" s="442"/>
      <c r="K28"/>
      <c r="L28"/>
      <c r="M28"/>
      <c r="N28"/>
      <c r="O28"/>
      <c r="P28"/>
      <c r="Q28"/>
      <c r="R28"/>
      <c r="S28"/>
      <c r="T28"/>
      <c r="U28"/>
      <c r="V28"/>
    </row>
    <row r="29" spans="1:22" ht="15">
      <c r="A29" s="7"/>
      <c r="B29" s="20">
        <v>710203</v>
      </c>
      <c r="C29" s="20">
        <v>1100</v>
      </c>
      <c r="D29" s="21">
        <v>1</v>
      </c>
      <c r="E29" s="22">
        <v>0</v>
      </c>
      <c r="F29" s="22">
        <v>0</v>
      </c>
      <c r="G29" s="23" t="s">
        <v>16</v>
      </c>
      <c r="H29" s="25" t="s">
        <v>228</v>
      </c>
      <c r="I29" s="25">
        <f>+'NOMINA TRABAJA'!L78</f>
        <v>3588</v>
      </c>
      <c r="J29" s="442"/>
      <c r="K29"/>
      <c r="L29"/>
    </row>
    <row r="30" spans="1:22" ht="15">
      <c r="A30" s="7"/>
      <c r="B30" s="20">
        <v>710204</v>
      </c>
      <c r="C30" s="20">
        <v>1100</v>
      </c>
      <c r="D30" s="21">
        <v>1</v>
      </c>
      <c r="E30" s="22">
        <v>0</v>
      </c>
      <c r="F30" s="22">
        <v>0</v>
      </c>
      <c r="G30" s="23" t="s">
        <v>17</v>
      </c>
      <c r="H30" s="25" t="s">
        <v>228</v>
      </c>
      <c r="I30" s="25">
        <f>+'NOMINA TRABAJA'!N78</f>
        <v>2124</v>
      </c>
      <c r="J30" s="25"/>
      <c r="K30"/>
      <c r="L30"/>
    </row>
    <row r="31" spans="1:22" ht="15">
      <c r="A31" s="7"/>
      <c r="B31" s="26">
        <v>710300</v>
      </c>
      <c r="C31" s="20"/>
      <c r="D31" s="21"/>
      <c r="E31" s="22"/>
      <c r="F31" s="22"/>
      <c r="G31" s="46" t="s">
        <v>90</v>
      </c>
      <c r="H31" s="23"/>
      <c r="I31" s="23"/>
      <c r="J31" s="442"/>
      <c r="K31"/>
      <c r="L31"/>
    </row>
    <row r="32" spans="1:22" ht="15">
      <c r="A32" s="7"/>
      <c r="B32" s="20">
        <v>710304</v>
      </c>
      <c r="C32" s="20">
        <v>1100</v>
      </c>
      <c r="D32" s="21">
        <v>1</v>
      </c>
      <c r="E32" s="22">
        <v>0</v>
      </c>
      <c r="F32" s="22">
        <v>0</v>
      </c>
      <c r="G32" s="23" t="s">
        <v>18</v>
      </c>
      <c r="H32" s="25" t="s">
        <v>228</v>
      </c>
      <c r="I32" s="25">
        <f>+'NOMINA TRABAJA'!P70</f>
        <v>792</v>
      </c>
      <c r="J32" s="25"/>
      <c r="K32"/>
      <c r="L32"/>
    </row>
    <row r="33" spans="1:14" ht="15">
      <c r="A33" s="7"/>
      <c r="B33" s="20">
        <v>710306</v>
      </c>
      <c r="C33" s="20">
        <v>1100</v>
      </c>
      <c r="D33" s="21">
        <v>1</v>
      </c>
      <c r="E33" s="22">
        <v>0</v>
      </c>
      <c r="F33" s="22">
        <v>0</v>
      </c>
      <c r="G33" s="23" t="s">
        <v>19</v>
      </c>
      <c r="H33" s="25" t="s">
        <v>228</v>
      </c>
      <c r="I33" s="25">
        <f>+'NOMINA TRABAJA'!O70</f>
        <v>6336</v>
      </c>
      <c r="J33" s="25"/>
      <c r="K33"/>
      <c r="L33"/>
    </row>
    <row r="34" spans="1:14" ht="15">
      <c r="A34" s="7"/>
      <c r="B34" s="26">
        <v>710400</v>
      </c>
      <c r="C34" s="20"/>
      <c r="D34" s="21"/>
      <c r="E34" s="22"/>
      <c r="F34" s="22"/>
      <c r="G34" s="46" t="s">
        <v>91</v>
      </c>
      <c r="H34" s="23"/>
      <c r="I34" s="23"/>
      <c r="J34" s="442"/>
      <c r="K34"/>
      <c r="L34"/>
    </row>
    <row r="35" spans="1:14" ht="15">
      <c r="A35" s="7"/>
      <c r="B35" s="20">
        <v>710401</v>
      </c>
      <c r="C35" s="20">
        <v>1100</v>
      </c>
      <c r="D35" s="21">
        <v>1</v>
      </c>
      <c r="E35" s="22">
        <v>0</v>
      </c>
      <c r="F35" s="22">
        <v>0</v>
      </c>
      <c r="G35" s="23" t="s">
        <v>20</v>
      </c>
      <c r="H35" s="25" t="s">
        <v>228</v>
      </c>
      <c r="I35" s="25">
        <f>+'NOMINA TRABAJA'!N70</f>
        <v>339.84000000000003</v>
      </c>
      <c r="J35" s="25"/>
      <c r="K35"/>
      <c r="L35"/>
    </row>
    <row r="36" spans="1:14" ht="15">
      <c r="A36" s="7"/>
      <c r="B36" s="20">
        <v>710408</v>
      </c>
      <c r="C36" s="20">
        <v>1100</v>
      </c>
      <c r="D36" s="21">
        <v>1</v>
      </c>
      <c r="E36" s="22">
        <v>0</v>
      </c>
      <c r="F36" s="22">
        <v>0</v>
      </c>
      <c r="G36" s="23" t="s">
        <v>21</v>
      </c>
      <c r="H36" s="25" t="s">
        <v>228</v>
      </c>
      <c r="I36" s="468">
        <f>+'NOMINA TRABAJA'!L70</f>
        <v>753.48</v>
      </c>
      <c r="J36" s="468"/>
      <c r="K36"/>
      <c r="L36"/>
    </row>
    <row r="37" spans="1:14" ht="15">
      <c r="A37" s="7"/>
      <c r="B37" s="26">
        <v>710600</v>
      </c>
      <c r="C37" s="20"/>
      <c r="D37" s="21"/>
      <c r="E37" s="22"/>
      <c r="F37" s="22"/>
      <c r="G37" s="46" t="s">
        <v>89</v>
      </c>
      <c r="H37" s="23"/>
      <c r="I37" s="68" t="s">
        <v>100</v>
      </c>
      <c r="J37" s="470"/>
      <c r="K37"/>
      <c r="L37"/>
    </row>
    <row r="38" spans="1:14" ht="15">
      <c r="A38" s="7"/>
      <c r="B38" s="20">
        <v>710601</v>
      </c>
      <c r="C38" s="20">
        <v>1100</v>
      </c>
      <c r="D38" s="21">
        <v>1</v>
      </c>
      <c r="E38" s="22">
        <v>0</v>
      </c>
      <c r="F38" s="22">
        <v>0</v>
      </c>
      <c r="G38" s="23" t="s">
        <v>23</v>
      </c>
      <c r="H38" s="468" t="s">
        <v>228</v>
      </c>
      <c r="I38" s="468">
        <f>+'NOMINA TRABAJA'!I78+'NOMINA TRABAJA'!J78</f>
        <v>5231.3040000000001</v>
      </c>
      <c r="J38" s="468"/>
      <c r="K38"/>
      <c r="L38"/>
    </row>
    <row r="39" spans="1:14" ht="15">
      <c r="A39" s="7"/>
      <c r="B39" s="20">
        <v>710602</v>
      </c>
      <c r="C39" s="20">
        <v>1100</v>
      </c>
      <c r="D39" s="21">
        <v>1</v>
      </c>
      <c r="E39" s="22">
        <v>0</v>
      </c>
      <c r="F39" s="22">
        <v>0</v>
      </c>
      <c r="G39" s="23" t="s">
        <v>24</v>
      </c>
      <c r="H39" s="25" t="s">
        <v>228</v>
      </c>
      <c r="I39" s="25">
        <f>+'NOMINA TRABAJA'!K78</f>
        <v>3586.5648000000001</v>
      </c>
      <c r="J39" s="25"/>
      <c r="K39"/>
      <c r="L39"/>
    </row>
    <row r="40" spans="1:14" ht="15">
      <c r="A40" s="7"/>
      <c r="B40" s="26">
        <v>710700</v>
      </c>
      <c r="C40" s="20"/>
      <c r="D40" s="21"/>
      <c r="E40" s="22"/>
      <c r="F40" s="22"/>
      <c r="G40" s="46" t="s">
        <v>96</v>
      </c>
      <c r="H40" s="23"/>
      <c r="I40" s="23"/>
      <c r="J40" s="442"/>
      <c r="K40"/>
      <c r="L40"/>
    </row>
    <row r="41" spans="1:14" ht="15">
      <c r="A41" s="7"/>
      <c r="B41" s="20">
        <v>710707</v>
      </c>
      <c r="C41" s="20">
        <v>1100</v>
      </c>
      <c r="D41" s="21">
        <v>1</v>
      </c>
      <c r="E41" s="22">
        <v>0</v>
      </c>
      <c r="F41" s="22">
        <v>0</v>
      </c>
      <c r="G41" s="23" t="s">
        <v>36</v>
      </c>
      <c r="H41" s="25" t="s">
        <v>228</v>
      </c>
      <c r="I41" s="25">
        <f>+'NOMINA TRABAJA'!M90</f>
        <v>0</v>
      </c>
      <c r="J41" s="25"/>
      <c r="K41"/>
      <c r="L41"/>
    </row>
    <row r="42" spans="1:14" ht="15">
      <c r="A42" s="7"/>
      <c r="B42" s="26">
        <v>719900</v>
      </c>
      <c r="C42" s="20"/>
      <c r="D42" s="21"/>
      <c r="E42" s="22"/>
      <c r="F42" s="22"/>
      <c r="G42" s="46" t="s">
        <v>230</v>
      </c>
      <c r="H42" s="23"/>
      <c r="I42" s="23"/>
      <c r="J42" s="442">
        <f t="shared" ref="J42" si="0">+I43</f>
        <v>0</v>
      </c>
      <c r="K42"/>
      <c r="L42"/>
    </row>
    <row r="43" spans="1:14" ht="30">
      <c r="A43" s="7"/>
      <c r="B43" s="20">
        <v>719901</v>
      </c>
      <c r="C43" s="20">
        <v>1100</v>
      </c>
      <c r="D43" s="21">
        <v>1</v>
      </c>
      <c r="E43" s="22">
        <v>0</v>
      </c>
      <c r="F43" s="22">
        <v>0</v>
      </c>
      <c r="G43" s="24" t="s">
        <v>83</v>
      </c>
      <c r="H43" s="49" t="s">
        <v>228</v>
      </c>
      <c r="I43" s="49"/>
      <c r="J43" s="442"/>
      <c r="K43"/>
      <c r="L43"/>
      <c r="M43"/>
      <c r="N43"/>
    </row>
    <row r="44" spans="1:14" ht="26.25" customHeight="1">
      <c r="A44" s="7"/>
      <c r="B44" s="543"/>
      <c r="C44" s="544"/>
      <c r="D44" s="545" t="s">
        <v>60</v>
      </c>
      <c r="E44" s="546"/>
      <c r="F44" s="547"/>
      <c r="G44" s="548" t="s">
        <v>966</v>
      </c>
      <c r="H44" s="549"/>
      <c r="I44" s="549"/>
      <c r="J44" s="550">
        <f>SUM(I45:I54)</f>
        <v>21500.752800000002</v>
      </c>
      <c r="K44"/>
      <c r="L44"/>
      <c r="M44"/>
      <c r="N44"/>
    </row>
    <row r="45" spans="1:14" ht="19.5" customHeight="1">
      <c r="A45" s="7"/>
      <c r="B45" s="231">
        <v>710200</v>
      </c>
      <c r="C45" s="131"/>
      <c r="D45" s="135"/>
      <c r="E45" s="130"/>
      <c r="F45" s="130"/>
      <c r="G45" s="232" t="s">
        <v>87</v>
      </c>
      <c r="H45" s="233"/>
      <c r="I45" s="233"/>
      <c r="J45" s="390"/>
      <c r="K45"/>
      <c r="L45"/>
      <c r="M45"/>
      <c r="N45"/>
    </row>
    <row r="46" spans="1:14" ht="17.25" customHeight="1">
      <c r="A46" s="7"/>
      <c r="B46" s="131">
        <v>710203</v>
      </c>
      <c r="C46" s="131">
        <v>1100</v>
      </c>
      <c r="D46" s="135">
        <v>1</v>
      </c>
      <c r="E46" s="130">
        <v>0</v>
      </c>
      <c r="F46" s="130">
        <v>0</v>
      </c>
      <c r="G46" s="82" t="s">
        <v>16</v>
      </c>
      <c r="H46" s="234" t="s">
        <v>228</v>
      </c>
      <c r="I46" s="234">
        <f>+'NOMINA TRABAJA'!L79</f>
        <v>1303</v>
      </c>
      <c r="J46" s="234"/>
      <c r="K46"/>
      <c r="L46"/>
      <c r="M46"/>
      <c r="N46"/>
    </row>
    <row r="47" spans="1:14" ht="21.75" customHeight="1">
      <c r="A47" s="7"/>
      <c r="B47" s="131">
        <v>710204</v>
      </c>
      <c r="C47" s="131">
        <v>1100</v>
      </c>
      <c r="D47" s="135">
        <v>1</v>
      </c>
      <c r="E47" s="130">
        <v>0</v>
      </c>
      <c r="F47" s="130">
        <v>0</v>
      </c>
      <c r="G47" s="82" t="s">
        <v>17</v>
      </c>
      <c r="H47" s="234" t="s">
        <v>228</v>
      </c>
      <c r="I47" s="234">
        <f>+'NOMINA TRABAJA'!N79</f>
        <v>708</v>
      </c>
      <c r="J47" s="234"/>
      <c r="K47"/>
      <c r="L47"/>
    </row>
    <row r="48" spans="1:14" ht="13.5" customHeight="1">
      <c r="A48" s="7"/>
      <c r="B48" s="231">
        <v>710500</v>
      </c>
      <c r="C48" s="131"/>
      <c r="D48" s="135"/>
      <c r="E48" s="130"/>
      <c r="F48" s="130"/>
      <c r="G48" s="232" t="s">
        <v>88</v>
      </c>
      <c r="H48" s="235"/>
      <c r="I48" s="235"/>
      <c r="J48" s="390"/>
      <c r="K48"/>
      <c r="L48"/>
    </row>
    <row r="49" spans="1:12" ht="13.5" customHeight="1">
      <c r="A49" s="7"/>
      <c r="B49" s="131">
        <v>710510</v>
      </c>
      <c r="C49" s="131">
        <v>1100</v>
      </c>
      <c r="D49" s="135">
        <v>1</v>
      </c>
      <c r="E49" s="130">
        <v>0</v>
      </c>
      <c r="F49" s="130">
        <v>0</v>
      </c>
      <c r="G49" s="82" t="s">
        <v>22</v>
      </c>
      <c r="H49" s="234" t="s">
        <v>228</v>
      </c>
      <c r="I49" s="234">
        <f>+'NOMINA TRABAJA'!H79</f>
        <v>15636</v>
      </c>
      <c r="J49" s="234"/>
      <c r="K49"/>
      <c r="L49"/>
    </row>
    <row r="50" spans="1:12" ht="13.5" customHeight="1">
      <c r="A50" s="7"/>
      <c r="B50" s="231">
        <v>710600</v>
      </c>
      <c r="C50" s="131"/>
      <c r="D50" s="135"/>
      <c r="E50" s="130"/>
      <c r="F50" s="130"/>
      <c r="G50" s="232" t="s">
        <v>89</v>
      </c>
      <c r="H50" s="233"/>
      <c r="I50" s="236"/>
      <c r="J50" s="471"/>
      <c r="K50"/>
      <c r="L50"/>
    </row>
    <row r="51" spans="1:12" ht="13.5" customHeight="1">
      <c r="A51" s="7"/>
      <c r="B51" s="131">
        <v>710601</v>
      </c>
      <c r="C51" s="131">
        <v>1100</v>
      </c>
      <c r="D51" s="135">
        <v>1</v>
      </c>
      <c r="E51" s="130">
        <v>0</v>
      </c>
      <c r="F51" s="130">
        <v>0</v>
      </c>
      <c r="G51" s="82" t="s">
        <v>23</v>
      </c>
      <c r="H51" s="234" t="s">
        <v>228</v>
      </c>
      <c r="I51" s="234">
        <f>+'NOMINA TRABAJA'!I79+'NOMINA TRABAJA'!J79</f>
        <v>1899.7739999999999</v>
      </c>
      <c r="J51" s="234"/>
      <c r="K51"/>
      <c r="L51"/>
    </row>
    <row r="52" spans="1:12" ht="13.5" customHeight="1">
      <c r="A52" s="7"/>
      <c r="B52" s="131">
        <v>710602</v>
      </c>
      <c r="C52" s="131">
        <v>1100</v>
      </c>
      <c r="D52" s="135">
        <v>1</v>
      </c>
      <c r="E52" s="130">
        <v>0</v>
      </c>
      <c r="F52" s="130">
        <v>0</v>
      </c>
      <c r="G52" s="82" t="s">
        <v>24</v>
      </c>
      <c r="H52" s="234" t="s">
        <v>228</v>
      </c>
      <c r="I52" s="234">
        <f>+'NOMINA TRABAJA'!K79</f>
        <v>1302.4787999999999</v>
      </c>
      <c r="J52" s="234"/>
      <c r="K52"/>
      <c r="L52"/>
    </row>
    <row r="53" spans="1:12" ht="13.5" customHeight="1">
      <c r="A53" s="7"/>
      <c r="B53" s="231">
        <v>710700</v>
      </c>
      <c r="C53" s="131"/>
      <c r="D53" s="135"/>
      <c r="E53" s="130"/>
      <c r="F53" s="130"/>
      <c r="G53" s="232" t="s">
        <v>96</v>
      </c>
      <c r="H53" s="233"/>
      <c r="I53" s="233"/>
      <c r="J53" s="390"/>
      <c r="K53"/>
      <c r="L53"/>
    </row>
    <row r="54" spans="1:12" ht="31.5" customHeight="1">
      <c r="A54" s="7"/>
      <c r="B54" s="131">
        <v>710707</v>
      </c>
      <c r="C54" s="131">
        <v>1100</v>
      </c>
      <c r="D54" s="135">
        <v>1</v>
      </c>
      <c r="E54" s="130">
        <v>0</v>
      </c>
      <c r="F54" s="130">
        <v>0</v>
      </c>
      <c r="G54" s="82" t="s">
        <v>1</v>
      </c>
      <c r="H54" s="234" t="s">
        <v>228</v>
      </c>
      <c r="I54" s="234">
        <f>+'NOMINA TRABAJA'!M79</f>
        <v>651.5</v>
      </c>
      <c r="J54" s="234"/>
      <c r="K54"/>
      <c r="L54"/>
    </row>
    <row r="55" spans="1:12" ht="13.5" customHeight="1">
      <c r="A55" s="7"/>
      <c r="B55" s="543"/>
      <c r="C55" s="544"/>
      <c r="D55" s="545" t="s">
        <v>60</v>
      </c>
      <c r="E55" s="546"/>
      <c r="F55" s="547"/>
      <c r="G55" s="548" t="s">
        <v>952</v>
      </c>
      <c r="H55" s="549"/>
      <c r="I55" s="549"/>
      <c r="J55" s="550">
        <f>SUM(I56:I65)</f>
        <v>259600.8008</v>
      </c>
      <c r="K55"/>
      <c r="L55"/>
    </row>
    <row r="56" spans="1:12" ht="15">
      <c r="A56" s="7"/>
      <c r="B56" s="231">
        <v>710200</v>
      </c>
      <c r="C56" s="131"/>
      <c r="D56" s="135"/>
      <c r="E56" s="130"/>
      <c r="F56" s="130"/>
      <c r="G56" s="232" t="s">
        <v>87</v>
      </c>
      <c r="H56" s="233"/>
      <c r="I56" s="233"/>
      <c r="J56" s="390"/>
      <c r="K56"/>
      <c r="L56" s="1">
        <f>SUM(L57:L65)</f>
        <v>259600.8008</v>
      </c>
    </row>
    <row r="57" spans="1:12" ht="27" customHeight="1">
      <c r="A57" s="7"/>
      <c r="B57" s="131">
        <v>710203</v>
      </c>
      <c r="C57" s="131">
        <v>1100</v>
      </c>
      <c r="D57" s="135">
        <v>1</v>
      </c>
      <c r="E57" s="130">
        <v>0</v>
      </c>
      <c r="F57" s="130">
        <v>0</v>
      </c>
      <c r="G57" s="82" t="s">
        <v>16</v>
      </c>
      <c r="H57" s="234" t="s">
        <v>228</v>
      </c>
      <c r="I57" s="234">
        <f>+'NOMINA TRABAJA'!L83</f>
        <v>5233</v>
      </c>
      <c r="J57" s="234"/>
      <c r="K57"/>
      <c r="L57">
        <v>5233</v>
      </c>
    </row>
    <row r="58" spans="1:12" ht="16.5" customHeight="1">
      <c r="A58" s="7"/>
      <c r="B58" s="131">
        <v>710204</v>
      </c>
      <c r="C58" s="131">
        <v>1100</v>
      </c>
      <c r="D58" s="135">
        <v>1</v>
      </c>
      <c r="E58" s="130">
        <v>0</v>
      </c>
      <c r="F58" s="130">
        <v>0</v>
      </c>
      <c r="G58" s="82" t="s">
        <v>17</v>
      </c>
      <c r="H58" s="234" t="s">
        <v>228</v>
      </c>
      <c r="I58" s="234">
        <f>+'NOMINA TRABAJA'!N83</f>
        <v>2124</v>
      </c>
      <c r="J58" s="234"/>
      <c r="K58"/>
      <c r="L58">
        <v>173792.16</v>
      </c>
    </row>
    <row r="59" spans="1:12" ht="15">
      <c r="A59" s="7"/>
      <c r="B59" s="231">
        <v>710500</v>
      </c>
      <c r="C59" s="131"/>
      <c r="D59" s="135"/>
      <c r="E59" s="130"/>
      <c r="F59" s="130"/>
      <c r="G59" s="232" t="s">
        <v>88</v>
      </c>
      <c r="H59" s="235"/>
      <c r="I59" s="235"/>
      <c r="J59" s="390"/>
      <c r="K59"/>
      <c r="L59"/>
    </row>
    <row r="60" spans="1:12" ht="15">
      <c r="A60" s="7"/>
      <c r="B60" s="131">
        <v>710510</v>
      </c>
      <c r="C60" s="131">
        <v>1100</v>
      </c>
      <c r="D60" s="135">
        <v>1</v>
      </c>
      <c r="E60" s="130">
        <v>0</v>
      </c>
      <c r="F60" s="130">
        <v>0</v>
      </c>
      <c r="G60" s="82" t="s">
        <v>22</v>
      </c>
      <c r="H60" s="234" t="s">
        <v>228</v>
      </c>
      <c r="I60" s="234">
        <f>+'NOMINA TRABAJA'!H83+'NOMINA TRABAJA'!H84</f>
        <v>234464.16</v>
      </c>
      <c r="J60" s="234"/>
      <c r="K60"/>
      <c r="L60">
        <v>62796</v>
      </c>
    </row>
    <row r="61" spans="1:12" ht="15">
      <c r="A61" s="7"/>
      <c r="B61" s="231">
        <v>710600</v>
      </c>
      <c r="C61" s="131"/>
      <c r="D61" s="135"/>
      <c r="E61" s="130"/>
      <c r="F61" s="130"/>
      <c r="G61" s="232" t="s">
        <v>89</v>
      </c>
      <c r="H61" s="233"/>
      <c r="I61" s="236">
        <f>+'[1]NOMINA TRABAJA'!I118</f>
        <v>0</v>
      </c>
      <c r="J61" s="471"/>
      <c r="K61"/>
      <c r="L61">
        <v>0</v>
      </c>
    </row>
    <row r="62" spans="1:12" ht="15">
      <c r="A62" s="7"/>
      <c r="B62" s="131">
        <v>710601</v>
      </c>
      <c r="C62" s="131">
        <v>1100</v>
      </c>
      <c r="D62" s="135">
        <v>1</v>
      </c>
      <c r="E62" s="130">
        <v>0</v>
      </c>
      <c r="F62" s="130">
        <v>0</v>
      </c>
      <c r="G62" s="82" t="s">
        <v>23</v>
      </c>
      <c r="H62" s="234" t="s">
        <v>228</v>
      </c>
      <c r="I62" s="234">
        <f>+'NOMINA TRABAJA'!I83+'NOMINA TRABAJA'!J83</f>
        <v>7315.7340000000004</v>
      </c>
      <c r="J62" s="234"/>
      <c r="K62"/>
      <c r="L62">
        <v>7315.7340000000004</v>
      </c>
    </row>
    <row r="63" spans="1:12" ht="15">
      <c r="A63" s="7"/>
      <c r="B63" s="131">
        <v>710602</v>
      </c>
      <c r="C63" s="131">
        <v>1100</v>
      </c>
      <c r="D63" s="135">
        <v>1</v>
      </c>
      <c r="E63" s="130">
        <v>0</v>
      </c>
      <c r="F63" s="130">
        <v>0</v>
      </c>
      <c r="G63" s="82" t="s">
        <v>24</v>
      </c>
      <c r="H63" s="234" t="s">
        <v>228</v>
      </c>
      <c r="I63" s="234">
        <f>+'NOMINA TRABAJA'!K83</f>
        <v>5230.9067999999997</v>
      </c>
      <c r="J63" s="234"/>
      <c r="K63"/>
      <c r="L63">
        <v>5230.9067999999997</v>
      </c>
    </row>
    <row r="64" spans="1:12" ht="15">
      <c r="A64" s="7"/>
      <c r="B64" s="231">
        <v>710700</v>
      </c>
      <c r="C64" s="131"/>
      <c r="D64" s="135"/>
      <c r="E64" s="130"/>
      <c r="F64" s="130"/>
      <c r="G64" s="232" t="s">
        <v>96</v>
      </c>
      <c r="H64" s="233"/>
      <c r="I64" s="233"/>
      <c r="J64" s="390"/>
      <c r="K64"/>
      <c r="L64"/>
    </row>
    <row r="65" spans="1:14" ht="15">
      <c r="A65" s="7"/>
      <c r="B65" s="131">
        <v>710707</v>
      </c>
      <c r="C65" s="131">
        <v>1100</v>
      </c>
      <c r="D65" s="135">
        <v>1</v>
      </c>
      <c r="E65" s="130">
        <v>0</v>
      </c>
      <c r="F65" s="130">
        <v>0</v>
      </c>
      <c r="G65" s="82" t="s">
        <v>1</v>
      </c>
      <c r="H65" s="234" t="s">
        <v>228</v>
      </c>
      <c r="I65" s="234">
        <f>+'NOMINA TRABAJA'!M83</f>
        <v>5233</v>
      </c>
      <c r="J65" s="234"/>
      <c r="K65"/>
      <c r="L65">
        <v>5233</v>
      </c>
    </row>
    <row r="66" spans="1:14" ht="15">
      <c r="A66" s="7"/>
      <c r="B66" s="732" t="s">
        <v>266</v>
      </c>
      <c r="C66" s="733"/>
      <c r="D66" s="733"/>
      <c r="E66" s="733"/>
      <c r="F66" s="733"/>
      <c r="G66" s="734"/>
      <c r="H66" s="551"/>
      <c r="I66" s="551"/>
      <c r="J66" s="551">
        <f>SUM(J12:J55)</f>
        <v>734034.96160000004</v>
      </c>
      <c r="K66"/>
      <c r="L66"/>
    </row>
    <row r="67" spans="1:14" ht="15">
      <c r="A67" s="7"/>
      <c r="B67" s="59"/>
      <c r="C67" s="59"/>
      <c r="D67" s="59"/>
      <c r="E67" s="59"/>
      <c r="F67" s="59"/>
      <c r="G67" s="59"/>
      <c r="H67" s="66"/>
      <c r="I67" s="66"/>
      <c r="J67" s="66"/>
      <c r="K67"/>
      <c r="L67"/>
    </row>
    <row r="68" spans="1:14" s="4" customFormat="1" ht="31.5">
      <c r="A68" s="7"/>
      <c r="B68" s="391" t="s">
        <v>44</v>
      </c>
      <c r="C68" s="392" t="s">
        <v>75</v>
      </c>
      <c r="D68" s="393" t="s">
        <v>55</v>
      </c>
      <c r="E68" s="393"/>
      <c r="F68" s="394"/>
      <c r="G68" s="395" t="s">
        <v>80</v>
      </c>
      <c r="H68" s="472"/>
      <c r="I68" s="472"/>
      <c r="J68" s="473">
        <f>+J69+J99</f>
        <v>162217.56800000003</v>
      </c>
      <c r="K68"/>
      <c r="L68"/>
      <c r="M68" s="1"/>
      <c r="N68" s="1"/>
    </row>
    <row r="69" spans="1:14" s="4" customFormat="1" ht="15">
      <c r="A69" s="7"/>
      <c r="B69" s="385">
        <v>730000</v>
      </c>
      <c r="C69" s="386"/>
      <c r="D69" s="387"/>
      <c r="E69" s="388"/>
      <c r="F69" s="389"/>
      <c r="G69" s="396" t="s">
        <v>63</v>
      </c>
      <c r="H69" s="401"/>
      <c r="I69" s="401"/>
      <c r="J69" s="239">
        <f>+J70+J72+J74+J77+J82+J86+J88+J91</f>
        <v>129385.70240000001</v>
      </c>
      <c r="K69"/>
      <c r="L69"/>
      <c r="M69" s="1"/>
      <c r="N69" s="1"/>
    </row>
    <row r="70" spans="1:14" s="4" customFormat="1" ht="15">
      <c r="A70" s="7"/>
      <c r="B70" s="237">
        <v>730100</v>
      </c>
      <c r="C70" s="231"/>
      <c r="D70" s="238"/>
      <c r="E70" s="130"/>
      <c r="F70" s="130"/>
      <c r="G70" s="231" t="s">
        <v>64</v>
      </c>
      <c r="H70" s="239"/>
      <c r="I70" s="239"/>
      <c r="J70" s="239">
        <f>SUM(I71)</f>
        <v>4000</v>
      </c>
      <c r="K70"/>
      <c r="L70"/>
      <c r="M70" s="1"/>
      <c r="N70" s="1"/>
    </row>
    <row r="71" spans="1:14" s="4" customFormat="1" ht="15">
      <c r="A71" s="7"/>
      <c r="B71" s="131">
        <v>730105</v>
      </c>
      <c r="C71" s="131">
        <v>1100</v>
      </c>
      <c r="D71" s="135">
        <v>1</v>
      </c>
      <c r="E71" s="130">
        <v>0</v>
      </c>
      <c r="F71" s="130">
        <v>0</v>
      </c>
      <c r="G71" s="233" t="s">
        <v>2</v>
      </c>
      <c r="H71" s="234" t="s">
        <v>228</v>
      </c>
      <c r="I71" s="234">
        <v>4000</v>
      </c>
      <c r="J71" s="234"/>
      <c r="K71"/>
      <c r="L71"/>
      <c r="M71" s="1"/>
      <c r="N71" s="1"/>
    </row>
    <row r="72" spans="1:14" s="4" customFormat="1" ht="15">
      <c r="A72" s="7"/>
      <c r="B72" s="397">
        <v>730200</v>
      </c>
      <c r="C72" s="398"/>
      <c r="D72" s="399"/>
      <c r="E72" s="399"/>
      <c r="F72" s="400"/>
      <c r="G72" s="231" t="s">
        <v>65</v>
      </c>
      <c r="H72" s="232"/>
      <c r="I72" s="232"/>
      <c r="J72" s="239">
        <f>SUM(I73:I73)</f>
        <v>10776.166400000002</v>
      </c>
      <c r="K72"/>
      <c r="L72"/>
      <c r="M72" s="1"/>
      <c r="N72" s="1"/>
    </row>
    <row r="73" spans="1:14" s="4" customFormat="1" ht="60">
      <c r="A73" s="7"/>
      <c r="B73" s="131">
        <v>730204</v>
      </c>
      <c r="C73" s="131">
        <v>1100</v>
      </c>
      <c r="D73" s="135">
        <v>1</v>
      </c>
      <c r="E73" s="130">
        <v>0</v>
      </c>
      <c r="F73" s="130">
        <v>0</v>
      </c>
      <c r="G73" s="82" t="s">
        <v>1106</v>
      </c>
      <c r="H73" s="240" t="s">
        <v>953</v>
      </c>
      <c r="I73" s="234">
        <f>+'6. INSUMOS VALORADOS'!G12+'6. INSUMOS VALORADOS'!G24+'6. INSUMOS VALORADOS'!G44+'6. INSUMOS VALORADOS'!G64+'6. INSUMOS VALORADOS'!G84+'6. INSUMOS VALORADOS'!G104+'6. INSUMOS VALORADOS'!G124+'6. INSUMOS VALORADOS'!G144+'6. INSUMOS VALORADOS'!G163+'6. INSUMOS VALORADOS'!G179+1256.1664</f>
        <v>10776.166400000002</v>
      </c>
      <c r="J73" s="234"/>
      <c r="K73"/>
      <c r="L73"/>
      <c r="M73" s="1"/>
      <c r="N73" s="1"/>
    </row>
    <row r="74" spans="1:14" s="4" customFormat="1" ht="15">
      <c r="A74" s="7"/>
      <c r="B74" s="397">
        <v>730300</v>
      </c>
      <c r="C74" s="398"/>
      <c r="D74" s="399"/>
      <c r="E74" s="399"/>
      <c r="F74" s="400"/>
      <c r="G74" s="401" t="s">
        <v>93</v>
      </c>
      <c r="H74" s="401"/>
      <c r="I74" s="401"/>
      <c r="J74" s="390">
        <f>SUM(I75:I76)</f>
        <v>15000</v>
      </c>
      <c r="K74"/>
      <c r="L74"/>
      <c r="M74" s="1"/>
      <c r="N74" s="1"/>
    </row>
    <row r="75" spans="1:14" s="4" customFormat="1" ht="15">
      <c r="A75" s="7"/>
      <c r="B75" s="131">
        <v>730301</v>
      </c>
      <c r="C75" s="131">
        <v>1100</v>
      </c>
      <c r="D75" s="135">
        <v>1</v>
      </c>
      <c r="E75" s="130">
        <v>0</v>
      </c>
      <c r="F75" s="130">
        <v>0</v>
      </c>
      <c r="G75" s="233" t="s">
        <v>3</v>
      </c>
      <c r="H75" s="241" t="s">
        <v>228</v>
      </c>
      <c r="I75" s="234">
        <v>1000</v>
      </c>
      <c r="J75" s="234"/>
      <c r="K75"/>
      <c r="L75"/>
      <c r="M75" s="1"/>
      <c r="N75" s="53"/>
    </row>
    <row r="76" spans="1:14" s="4" customFormat="1" ht="15">
      <c r="A76" s="7"/>
      <c r="B76" s="131">
        <v>730303</v>
      </c>
      <c r="C76" s="131">
        <v>1100</v>
      </c>
      <c r="D76" s="135">
        <v>1</v>
      </c>
      <c r="E76" s="130">
        <v>0</v>
      </c>
      <c r="F76" s="130">
        <v>0</v>
      </c>
      <c r="G76" s="233" t="s">
        <v>4</v>
      </c>
      <c r="H76" s="234" t="s">
        <v>228</v>
      </c>
      <c r="I76" s="234">
        <v>14000</v>
      </c>
      <c r="J76" s="234"/>
      <c r="K76"/>
      <c r="L76"/>
      <c r="M76" s="1"/>
      <c r="N76" s="1"/>
    </row>
    <row r="77" spans="1:14" s="4" customFormat="1" ht="15">
      <c r="A77" s="7"/>
      <c r="B77" s="397">
        <v>730400</v>
      </c>
      <c r="C77" s="398"/>
      <c r="D77" s="399"/>
      <c r="E77" s="399"/>
      <c r="F77" s="400"/>
      <c r="G77" s="401" t="s">
        <v>66</v>
      </c>
      <c r="H77" s="401"/>
      <c r="I77" s="401"/>
      <c r="J77" s="239">
        <f>SUM(I78:I81)</f>
        <v>21328.159999999996</v>
      </c>
      <c r="K77"/>
      <c r="L77"/>
      <c r="M77" s="1"/>
      <c r="N77" s="1"/>
    </row>
    <row r="78" spans="1:14" s="4" customFormat="1" ht="15">
      <c r="A78" s="7"/>
      <c r="B78" s="131">
        <v>730402</v>
      </c>
      <c r="C78" s="131">
        <v>1100</v>
      </c>
      <c r="D78" s="135">
        <v>1</v>
      </c>
      <c r="E78" s="130">
        <v>0</v>
      </c>
      <c r="F78" s="130">
        <v>0</v>
      </c>
      <c r="G78" s="82" t="s">
        <v>98</v>
      </c>
      <c r="H78" s="234" t="s">
        <v>228</v>
      </c>
      <c r="I78" s="234">
        <f>+'6. INSUMOS VALORADOS'!G1327</f>
        <v>1960</v>
      </c>
      <c r="J78" s="234"/>
      <c r="K78"/>
      <c r="L78"/>
      <c r="M78" s="1"/>
      <c r="N78" s="1"/>
    </row>
    <row r="79" spans="1:14" s="4" customFormat="1" ht="15">
      <c r="A79" s="7"/>
      <c r="B79" s="131">
        <v>730403</v>
      </c>
      <c r="C79" s="131">
        <v>1100</v>
      </c>
      <c r="D79" s="135">
        <v>1</v>
      </c>
      <c r="E79" s="130">
        <v>0</v>
      </c>
      <c r="F79" s="130">
        <v>0</v>
      </c>
      <c r="G79" s="233" t="s">
        <v>5</v>
      </c>
      <c r="H79" s="234" t="s">
        <v>228</v>
      </c>
      <c r="I79" s="234">
        <f>+'6. INSUMOS VALORADOS'!G1338</f>
        <v>985.6</v>
      </c>
      <c r="J79" s="234"/>
      <c r="K79"/>
      <c r="L79"/>
      <c r="M79" s="1"/>
      <c r="N79" s="1"/>
    </row>
    <row r="80" spans="1:14" s="4" customFormat="1" ht="15">
      <c r="A80" s="7"/>
      <c r="B80" s="131">
        <v>730404</v>
      </c>
      <c r="C80" s="131">
        <v>1100</v>
      </c>
      <c r="D80" s="135">
        <v>1</v>
      </c>
      <c r="E80" s="130">
        <v>0</v>
      </c>
      <c r="F80" s="130">
        <v>0</v>
      </c>
      <c r="G80" s="233" t="s">
        <v>6</v>
      </c>
      <c r="H80" s="234" t="s">
        <v>228</v>
      </c>
      <c r="I80" s="234">
        <f>+'6. INSUMOS VALORADOS'!G1208</f>
        <v>7072.7999999999984</v>
      </c>
      <c r="J80" s="234"/>
      <c r="K80"/>
      <c r="L80"/>
      <c r="M80" s="1"/>
      <c r="N80" s="1"/>
    </row>
    <row r="81" spans="1:14" s="4" customFormat="1" ht="15">
      <c r="A81" s="7"/>
      <c r="B81" s="131">
        <v>730405</v>
      </c>
      <c r="C81" s="131">
        <v>1100</v>
      </c>
      <c r="D81" s="135">
        <v>1</v>
      </c>
      <c r="E81" s="130">
        <v>0</v>
      </c>
      <c r="F81" s="130">
        <v>0</v>
      </c>
      <c r="G81" s="233" t="s">
        <v>13</v>
      </c>
      <c r="H81" s="234" t="s">
        <v>228</v>
      </c>
      <c r="I81" s="234">
        <f>+'6. INSUMOS VALORADOS'!G1175</f>
        <v>11309.76</v>
      </c>
      <c r="J81" s="234"/>
      <c r="K81"/>
      <c r="L81"/>
      <c r="M81" s="1"/>
      <c r="N81" s="1"/>
    </row>
    <row r="82" spans="1:14" s="4" customFormat="1" ht="15">
      <c r="A82" s="7"/>
      <c r="B82" s="397">
        <v>730500</v>
      </c>
      <c r="C82" s="398"/>
      <c r="D82" s="399"/>
      <c r="E82" s="399"/>
      <c r="F82" s="400"/>
      <c r="G82" s="232" t="s">
        <v>67</v>
      </c>
      <c r="H82" s="232"/>
      <c r="I82" s="232"/>
      <c r="J82" s="239">
        <f>SUM(I83:I85)</f>
        <v>10824</v>
      </c>
      <c r="K82"/>
      <c r="L82"/>
      <c r="M82" s="1"/>
      <c r="N82" s="1"/>
    </row>
    <row r="83" spans="1:14" s="4" customFormat="1" ht="15">
      <c r="A83" s="7"/>
      <c r="B83" s="131">
        <v>730502</v>
      </c>
      <c r="C83" s="131">
        <v>1100</v>
      </c>
      <c r="D83" s="135">
        <v>1</v>
      </c>
      <c r="E83" s="130">
        <v>0</v>
      </c>
      <c r="F83" s="130">
        <v>0</v>
      </c>
      <c r="G83" s="82" t="s">
        <v>231</v>
      </c>
      <c r="H83" s="241" t="s">
        <v>229</v>
      </c>
      <c r="I83" s="241">
        <v>5000</v>
      </c>
      <c r="J83" s="241"/>
      <c r="K83"/>
      <c r="L83"/>
      <c r="M83" s="1"/>
      <c r="N83" s="1"/>
    </row>
    <row r="84" spans="1:14" s="4" customFormat="1" ht="15">
      <c r="A84" s="7"/>
      <c r="B84" s="131">
        <v>730504</v>
      </c>
      <c r="C84" s="131">
        <v>1100</v>
      </c>
      <c r="D84" s="135">
        <v>1</v>
      </c>
      <c r="E84" s="130">
        <v>0</v>
      </c>
      <c r="F84" s="130">
        <v>0</v>
      </c>
      <c r="G84" s="233" t="s">
        <v>28</v>
      </c>
      <c r="H84" s="234" t="s">
        <v>229</v>
      </c>
      <c r="I84" s="234">
        <f>+'6. INSUMOS VALORADOS'!G987</f>
        <v>3584.0000000000005</v>
      </c>
      <c r="J84" s="234"/>
      <c r="K84"/>
      <c r="L84"/>
      <c r="M84" s="1"/>
      <c r="N84" s="1"/>
    </row>
    <row r="85" spans="1:14" s="4" customFormat="1" ht="15">
      <c r="A85" s="7"/>
      <c r="B85" s="131">
        <v>730505</v>
      </c>
      <c r="C85" s="131">
        <v>1100</v>
      </c>
      <c r="D85" s="135">
        <v>1</v>
      </c>
      <c r="E85" s="130">
        <v>0</v>
      </c>
      <c r="F85" s="130">
        <v>0</v>
      </c>
      <c r="G85" s="233" t="s">
        <v>39</v>
      </c>
      <c r="H85" s="234" t="s">
        <v>229</v>
      </c>
      <c r="I85" s="234">
        <f>+'6. INSUMOS VALORADOS'!G999</f>
        <v>2240</v>
      </c>
      <c r="J85" s="234"/>
      <c r="K85"/>
      <c r="L85"/>
      <c r="M85" s="1"/>
      <c r="N85" s="1"/>
    </row>
    <row r="86" spans="1:14" s="4" customFormat="1" ht="30">
      <c r="A86" s="7"/>
      <c r="B86" s="397">
        <v>730600</v>
      </c>
      <c r="C86" s="398"/>
      <c r="D86" s="399"/>
      <c r="E86" s="399"/>
      <c r="F86" s="400"/>
      <c r="G86" s="401" t="s">
        <v>68</v>
      </c>
      <c r="H86" s="401"/>
      <c r="I86" s="401"/>
      <c r="J86" s="390">
        <f>SUM(I87:I87)</f>
        <v>469</v>
      </c>
      <c r="K86"/>
      <c r="L86"/>
      <c r="M86" s="1"/>
      <c r="N86" s="1"/>
    </row>
    <row r="87" spans="1:14" s="4" customFormat="1" ht="15">
      <c r="A87" s="7"/>
      <c r="B87" s="131">
        <v>730603</v>
      </c>
      <c r="C87" s="131">
        <v>1100</v>
      </c>
      <c r="D87" s="135">
        <v>1</v>
      </c>
      <c r="E87" s="130">
        <v>0</v>
      </c>
      <c r="F87" s="130">
        <v>0</v>
      </c>
      <c r="G87" s="82" t="s">
        <v>7</v>
      </c>
      <c r="H87" s="234" t="s">
        <v>228</v>
      </c>
      <c r="I87" s="234">
        <v>469</v>
      </c>
      <c r="J87" s="234"/>
      <c r="K87"/>
      <c r="L87"/>
      <c r="M87" s="1"/>
      <c r="N87" s="1"/>
    </row>
    <row r="88" spans="1:14" s="4" customFormat="1" ht="15">
      <c r="A88" s="7"/>
      <c r="B88" s="397">
        <v>730700</v>
      </c>
      <c r="C88" s="398"/>
      <c r="D88" s="399"/>
      <c r="E88" s="399"/>
      <c r="F88" s="400"/>
      <c r="G88" s="401" t="s">
        <v>33</v>
      </c>
      <c r="H88" s="401"/>
      <c r="I88" s="401"/>
      <c r="J88" s="390">
        <f>SUM(I89:I90)</f>
        <v>2968</v>
      </c>
      <c r="K88"/>
      <c r="L88"/>
      <c r="N88" s="53"/>
    </row>
    <row r="89" spans="1:14" s="4" customFormat="1" ht="15">
      <c r="A89" s="7"/>
      <c r="B89" s="131">
        <v>730701</v>
      </c>
      <c r="C89" s="131">
        <v>1100</v>
      </c>
      <c r="D89" s="135">
        <v>1</v>
      </c>
      <c r="E89" s="130">
        <v>0</v>
      </c>
      <c r="F89" s="130">
        <v>0</v>
      </c>
      <c r="G89" s="82" t="s">
        <v>29</v>
      </c>
      <c r="H89" s="234" t="s">
        <v>228</v>
      </c>
      <c r="I89" s="234"/>
      <c r="J89" s="234"/>
      <c r="K89"/>
      <c r="L89"/>
      <c r="M89" s="1"/>
      <c r="N89" s="69"/>
    </row>
    <row r="90" spans="1:14" s="4" customFormat="1" ht="15">
      <c r="A90" s="7"/>
      <c r="B90" s="131">
        <v>730704</v>
      </c>
      <c r="C90" s="131">
        <v>1100</v>
      </c>
      <c r="D90" s="135">
        <v>1</v>
      </c>
      <c r="E90" s="130">
        <v>0</v>
      </c>
      <c r="F90" s="130">
        <v>0</v>
      </c>
      <c r="G90" s="82" t="s">
        <v>30</v>
      </c>
      <c r="H90" s="234" t="s">
        <v>228</v>
      </c>
      <c r="I90" s="234">
        <f>+'6. INSUMOS VALORADOS'!G1354</f>
        <v>2968</v>
      </c>
      <c r="J90" s="234"/>
      <c r="K90"/>
      <c r="L90"/>
      <c r="M90" s="1"/>
      <c r="N90" s="1"/>
    </row>
    <row r="91" spans="1:14" s="4" customFormat="1" ht="15">
      <c r="A91" s="7"/>
      <c r="B91" s="402">
        <v>730800</v>
      </c>
      <c r="C91" s="403"/>
      <c r="D91" s="404"/>
      <c r="E91" s="404"/>
      <c r="F91" s="405"/>
      <c r="G91" s="231" t="s">
        <v>69</v>
      </c>
      <c r="H91" s="232"/>
      <c r="I91" s="232"/>
      <c r="J91" s="239">
        <f>SUM(I92:I97)</f>
        <v>64020.376000000011</v>
      </c>
      <c r="K91"/>
      <c r="L91"/>
      <c r="M91" s="1"/>
      <c r="N91" s="1"/>
    </row>
    <row r="92" spans="1:14" s="4" customFormat="1" ht="15">
      <c r="A92" s="7"/>
      <c r="B92" s="131">
        <v>730801</v>
      </c>
      <c r="C92" s="131">
        <v>1100</v>
      </c>
      <c r="D92" s="135">
        <v>1</v>
      </c>
      <c r="E92" s="130">
        <v>0</v>
      </c>
      <c r="F92" s="130">
        <v>0</v>
      </c>
      <c r="G92" s="82" t="s">
        <v>8</v>
      </c>
      <c r="H92" s="234" t="s">
        <v>228</v>
      </c>
      <c r="I92" s="234">
        <f>+'6. INSUMOS VALORADOS'!G1383</f>
        <v>1680</v>
      </c>
      <c r="J92" s="234"/>
      <c r="K92"/>
      <c r="L92"/>
      <c r="M92" s="1"/>
      <c r="N92" s="1"/>
    </row>
    <row r="93" spans="1:14" s="4" customFormat="1" ht="15">
      <c r="A93" s="7"/>
      <c r="B93" s="131">
        <v>730802</v>
      </c>
      <c r="C93" s="131">
        <v>1100</v>
      </c>
      <c r="D93" s="135">
        <v>1</v>
      </c>
      <c r="E93" s="130">
        <v>0</v>
      </c>
      <c r="F93" s="130">
        <v>0</v>
      </c>
      <c r="G93" s="82" t="s">
        <v>31</v>
      </c>
      <c r="H93" s="234" t="s">
        <v>228</v>
      </c>
      <c r="I93" s="234">
        <f>+'6. INSUMOS VALORADOS'!G1373</f>
        <v>3373.44</v>
      </c>
      <c r="J93" s="234"/>
      <c r="K93"/>
      <c r="L93"/>
      <c r="M93" s="1"/>
      <c r="N93" s="1"/>
    </row>
    <row r="94" spans="1:14" s="4" customFormat="1" ht="15">
      <c r="A94" s="7"/>
      <c r="B94" s="131">
        <v>730803</v>
      </c>
      <c r="C94" s="131">
        <v>1100</v>
      </c>
      <c r="D94" s="135">
        <v>1</v>
      </c>
      <c r="E94" s="130">
        <v>0</v>
      </c>
      <c r="F94" s="130">
        <v>0</v>
      </c>
      <c r="G94" s="82" t="s">
        <v>14</v>
      </c>
      <c r="H94" s="234" t="s">
        <v>228</v>
      </c>
      <c r="I94" s="234">
        <f>+'6. INSUMOS VALORADOS'!G943</f>
        <v>9184.6720000000005</v>
      </c>
      <c r="J94" s="234"/>
      <c r="K94"/>
      <c r="L94"/>
      <c r="M94" s="1"/>
      <c r="N94" s="1"/>
    </row>
    <row r="95" spans="1:14" s="4" customFormat="1" ht="15">
      <c r="A95" s="7"/>
      <c r="B95" s="131">
        <v>730804</v>
      </c>
      <c r="C95" s="131">
        <v>1100</v>
      </c>
      <c r="D95" s="135">
        <v>1</v>
      </c>
      <c r="E95" s="130">
        <v>0</v>
      </c>
      <c r="F95" s="130">
        <v>0</v>
      </c>
      <c r="G95" s="82" t="s">
        <v>9</v>
      </c>
      <c r="H95" s="234" t="s">
        <v>228</v>
      </c>
      <c r="I95" s="234">
        <f>+'6. INSUMOS VALORADOS'!G1243+'6. INSUMOS VALORADOS'!G1268</f>
        <v>9999.1919999999991</v>
      </c>
      <c r="J95" s="234"/>
      <c r="K95"/>
      <c r="L95"/>
      <c r="M95" s="1"/>
      <c r="N95" s="1"/>
    </row>
    <row r="96" spans="1:14" s="4" customFormat="1" ht="15">
      <c r="A96" s="7"/>
      <c r="B96" s="131">
        <v>730805</v>
      </c>
      <c r="C96" s="131">
        <v>1100</v>
      </c>
      <c r="D96" s="135">
        <v>1</v>
      </c>
      <c r="E96" s="130">
        <v>0</v>
      </c>
      <c r="F96" s="130">
        <v>0</v>
      </c>
      <c r="G96" s="82" t="s">
        <v>10</v>
      </c>
      <c r="H96" s="234" t="s">
        <v>228</v>
      </c>
      <c r="I96" s="234">
        <f>+'6. INSUMOS VALORADOS'!G1294</f>
        <v>1360.7999999999997</v>
      </c>
      <c r="J96" s="234"/>
      <c r="K96"/>
      <c r="L96"/>
      <c r="M96" s="1"/>
      <c r="N96" s="1"/>
    </row>
    <row r="97" spans="1:14" s="4" customFormat="1" ht="15">
      <c r="A97" s="7"/>
      <c r="B97" s="131">
        <v>730813</v>
      </c>
      <c r="C97" s="131">
        <v>1100</v>
      </c>
      <c r="D97" s="135">
        <v>1</v>
      </c>
      <c r="E97" s="130">
        <v>0</v>
      </c>
      <c r="F97" s="130">
        <v>0</v>
      </c>
      <c r="G97" s="82" t="s">
        <v>32</v>
      </c>
      <c r="H97" s="234" t="s">
        <v>228</v>
      </c>
      <c r="I97" s="234">
        <f>+'6. INSUMOS VALORADOS'!G1141+'6. INSUMOS VALORADOS'!G1086</f>
        <v>38422.272000000012</v>
      </c>
      <c r="J97" s="234"/>
      <c r="K97"/>
      <c r="L97"/>
      <c r="M97" s="1"/>
      <c r="N97" s="1"/>
    </row>
    <row r="98" spans="1:14" s="4" customFormat="1" ht="15">
      <c r="A98" s="7"/>
      <c r="B98" s="59"/>
      <c r="C98" s="59"/>
      <c r="D98" s="59"/>
      <c r="E98" s="59"/>
      <c r="F98" s="59"/>
      <c r="G98" s="59"/>
      <c r="H98" s="66"/>
      <c r="I98" s="66"/>
      <c r="J98" s="66"/>
      <c r="K98"/>
      <c r="L98"/>
      <c r="M98" s="1"/>
      <c r="N98" s="1"/>
    </row>
    <row r="99" spans="1:14" s="4" customFormat="1" ht="15">
      <c r="A99" s="7"/>
      <c r="B99" s="406">
        <v>770000</v>
      </c>
      <c r="C99" s="407"/>
      <c r="D99" s="408"/>
      <c r="E99" s="408"/>
      <c r="F99" s="409"/>
      <c r="G99" s="231" t="s">
        <v>70</v>
      </c>
      <c r="H99" s="232"/>
      <c r="I99" s="232"/>
      <c r="J99" s="239">
        <f>+J100+J102</f>
        <v>32831.865600000005</v>
      </c>
      <c r="K99"/>
      <c r="L99"/>
      <c r="M99" s="1"/>
      <c r="N99" s="1"/>
    </row>
    <row r="100" spans="1:14" s="4" customFormat="1" ht="15">
      <c r="A100"/>
      <c r="B100" s="131">
        <v>770100</v>
      </c>
      <c r="C100" s="131"/>
      <c r="D100" s="135"/>
      <c r="E100" s="130"/>
      <c r="F100" s="130"/>
      <c r="G100" s="231" t="s">
        <v>71</v>
      </c>
      <c r="H100" s="232"/>
      <c r="I100" s="232"/>
      <c r="J100" s="239">
        <f>SUM(I101)</f>
        <v>2331.7056000000002</v>
      </c>
      <c r="K100"/>
      <c r="L100"/>
      <c r="M100" s="1"/>
      <c r="N100" s="1"/>
    </row>
    <row r="101" spans="1:14" s="4" customFormat="1" ht="30">
      <c r="A101" s="7"/>
      <c r="B101" s="131">
        <v>770102</v>
      </c>
      <c r="C101" s="131">
        <v>1100</v>
      </c>
      <c r="D101" s="135">
        <v>1</v>
      </c>
      <c r="E101" s="130">
        <v>0</v>
      </c>
      <c r="F101" s="130">
        <v>0</v>
      </c>
      <c r="G101" s="82" t="s">
        <v>56</v>
      </c>
      <c r="H101" s="240" t="s">
        <v>234</v>
      </c>
      <c r="I101" s="234">
        <f>+'6. INSUMOS VALORADOS'!G975</f>
        <v>2331.7056000000002</v>
      </c>
      <c r="J101" s="234"/>
      <c r="K101"/>
      <c r="L101"/>
      <c r="M101" s="1"/>
      <c r="N101" s="1"/>
    </row>
    <row r="102" spans="1:14" s="4" customFormat="1" ht="15">
      <c r="A102" s="7"/>
      <c r="B102" s="131">
        <v>770200</v>
      </c>
      <c r="C102" s="131">
        <v>1100</v>
      </c>
      <c r="D102" s="135">
        <v>1</v>
      </c>
      <c r="E102" s="130">
        <v>0</v>
      </c>
      <c r="F102" s="130">
        <v>0</v>
      </c>
      <c r="G102" s="231" t="s">
        <v>72</v>
      </c>
      <c r="H102" s="232"/>
      <c r="I102" s="232"/>
      <c r="J102" s="239">
        <f>SUM(I103:I105)</f>
        <v>30500.160000000003</v>
      </c>
      <c r="K102"/>
      <c r="L102"/>
      <c r="M102" s="1"/>
      <c r="N102" s="1"/>
    </row>
    <row r="103" spans="1:14" s="4" customFormat="1" ht="15">
      <c r="A103" s="7"/>
      <c r="B103" s="242">
        <v>770201</v>
      </c>
      <c r="C103" s="131">
        <v>1100</v>
      </c>
      <c r="D103" s="135">
        <v>1</v>
      </c>
      <c r="E103" s="130">
        <v>0</v>
      </c>
      <c r="F103" s="130">
        <v>0</v>
      </c>
      <c r="G103" s="82" t="s">
        <v>41</v>
      </c>
      <c r="H103" s="234" t="s">
        <v>228</v>
      </c>
      <c r="I103" s="234">
        <f>+'6. INSUMOS VALORADOS'!G1313</f>
        <v>29000.160000000003</v>
      </c>
      <c r="J103" s="234"/>
      <c r="K103"/>
      <c r="L103"/>
      <c r="M103" s="1"/>
      <c r="N103" s="1"/>
    </row>
    <row r="104" spans="1:14" s="4" customFormat="1" ht="15">
      <c r="A104" s="7"/>
      <c r="B104" s="131">
        <v>770203</v>
      </c>
      <c r="C104" s="131">
        <v>1100</v>
      </c>
      <c r="D104" s="135">
        <v>1</v>
      </c>
      <c r="E104" s="130">
        <v>0</v>
      </c>
      <c r="F104" s="130">
        <v>0</v>
      </c>
      <c r="G104" s="82" t="s">
        <v>11</v>
      </c>
      <c r="H104" s="234" t="s">
        <v>228</v>
      </c>
      <c r="I104" s="234">
        <v>1000</v>
      </c>
      <c r="J104" s="234"/>
      <c r="K104"/>
      <c r="L104"/>
      <c r="M104" s="1"/>
      <c r="N104" s="1"/>
    </row>
    <row r="105" spans="1:14" s="4" customFormat="1" ht="15">
      <c r="A105" s="7"/>
      <c r="B105" s="131">
        <v>770206</v>
      </c>
      <c r="C105" s="131">
        <v>1100</v>
      </c>
      <c r="D105" s="135">
        <v>1</v>
      </c>
      <c r="E105" s="130">
        <v>0</v>
      </c>
      <c r="F105" s="130">
        <v>0</v>
      </c>
      <c r="G105" s="82" t="s">
        <v>12</v>
      </c>
      <c r="H105" s="234" t="s">
        <v>228</v>
      </c>
      <c r="I105" s="234">
        <v>500</v>
      </c>
      <c r="J105" s="234"/>
      <c r="K105"/>
      <c r="L105"/>
      <c r="M105" s="1"/>
      <c r="N105" s="1"/>
    </row>
    <row r="106" spans="1:14" s="4" customFormat="1" ht="15.75">
      <c r="A106" s="7"/>
      <c r="B106" s="735" t="s">
        <v>1068</v>
      </c>
      <c r="C106" s="736"/>
      <c r="D106" s="736"/>
      <c r="E106" s="736"/>
      <c r="F106" s="736"/>
      <c r="G106" s="737"/>
      <c r="H106" s="555"/>
      <c r="I106" s="555"/>
      <c r="J106" s="552">
        <f>+J68+J11</f>
        <v>896252.52960000001</v>
      </c>
      <c r="K106"/>
      <c r="L106"/>
      <c r="M106" s="1"/>
      <c r="N106" s="1"/>
    </row>
    <row r="107" spans="1:14" s="4" customFormat="1" ht="15.75">
      <c r="A107" s="7"/>
      <c r="B107" s="342"/>
      <c r="C107" s="342"/>
      <c r="D107" s="342"/>
      <c r="E107" s="342"/>
      <c r="F107" s="342"/>
      <c r="G107" s="342"/>
      <c r="H107" s="343"/>
      <c r="I107" s="343"/>
      <c r="J107" s="474"/>
      <c r="K107"/>
      <c r="L107"/>
      <c r="M107" s="1"/>
      <c r="N107" s="1"/>
    </row>
    <row r="108" spans="1:14" s="4" customFormat="1" ht="15.75">
      <c r="A108" s="7"/>
      <c r="B108" s="342"/>
      <c r="C108" s="342"/>
      <c r="D108" s="342"/>
      <c r="E108" s="342"/>
      <c r="F108" s="342"/>
      <c r="G108" s="342"/>
      <c r="H108" s="343"/>
      <c r="I108" s="343"/>
      <c r="J108" s="474"/>
      <c r="K108"/>
      <c r="L108"/>
      <c r="M108" s="1"/>
      <c r="N108" s="1"/>
    </row>
    <row r="109" spans="1:14" s="4" customFormat="1" ht="15.75">
      <c r="A109" s="7"/>
      <c r="B109" s="342"/>
      <c r="C109" s="342"/>
      <c r="D109" s="342"/>
      <c r="E109" s="342"/>
      <c r="F109" s="342"/>
      <c r="G109" s="342"/>
      <c r="H109" s="343"/>
      <c r="I109" s="343"/>
      <c r="J109" s="474"/>
      <c r="K109"/>
      <c r="L109"/>
      <c r="M109" s="1"/>
      <c r="N109" s="1"/>
    </row>
    <row r="110" spans="1:14" s="4" customFormat="1" ht="15.75">
      <c r="A110" s="7"/>
      <c r="B110" s="342"/>
      <c r="C110" s="342"/>
      <c r="D110" s="342"/>
      <c r="E110" s="342"/>
      <c r="F110" s="342"/>
      <c r="G110" s="342"/>
      <c r="H110" s="343"/>
      <c r="I110" s="343"/>
      <c r="J110" s="474"/>
      <c r="K110"/>
      <c r="L110"/>
      <c r="M110" s="1"/>
      <c r="N110" s="1"/>
    </row>
    <row r="111" spans="1:14" s="4" customFormat="1" ht="15.75">
      <c r="A111" s="7"/>
      <c r="B111" s="342"/>
      <c r="C111" s="342"/>
      <c r="D111" s="342"/>
      <c r="E111" s="342"/>
      <c r="F111" s="342"/>
      <c r="G111" s="342"/>
      <c r="H111" s="343"/>
      <c r="I111" s="343"/>
      <c r="J111" s="474"/>
      <c r="K111"/>
      <c r="L111"/>
      <c r="M111" s="1"/>
      <c r="N111" s="1"/>
    </row>
    <row r="112" spans="1:14" s="4" customFormat="1" ht="15.75">
      <c r="A112" s="7"/>
      <c r="B112" s="342"/>
      <c r="C112" s="342"/>
      <c r="D112" s="342"/>
      <c r="E112" s="342"/>
      <c r="F112" s="342"/>
      <c r="G112" s="342"/>
      <c r="H112" s="343"/>
      <c r="I112" s="343"/>
      <c r="J112" s="474"/>
      <c r="K112"/>
      <c r="L112"/>
      <c r="M112" s="1"/>
      <c r="N112" s="1"/>
    </row>
    <row r="113" spans="1:14" s="4" customFormat="1" ht="15.75">
      <c r="A113" s="7"/>
      <c r="B113" s="342"/>
      <c r="C113" s="342"/>
      <c r="D113" s="342"/>
      <c r="E113" s="342"/>
      <c r="F113" s="342"/>
      <c r="G113" s="342"/>
      <c r="H113" s="343"/>
      <c r="I113" s="343"/>
      <c r="J113" s="474"/>
      <c r="K113"/>
      <c r="L113"/>
      <c r="M113" s="1"/>
      <c r="N113" s="1"/>
    </row>
    <row r="114" spans="1:14" s="4" customFormat="1" ht="15.75">
      <c r="A114" s="7"/>
      <c r="B114" s="342"/>
      <c r="C114" s="342"/>
      <c r="D114" s="342"/>
      <c r="E114" s="342"/>
      <c r="F114" s="342"/>
      <c r="G114" s="342"/>
      <c r="H114" s="343"/>
      <c r="I114" s="343"/>
      <c r="J114" s="474"/>
      <c r="K114"/>
      <c r="L114"/>
      <c r="M114" s="1"/>
      <c r="N114" s="1"/>
    </row>
    <row r="115" spans="1:14" s="4" customFormat="1" ht="15.75">
      <c r="A115" s="7"/>
      <c r="B115" s="342"/>
      <c r="C115" s="342"/>
      <c r="D115" s="342"/>
      <c r="E115" s="342"/>
      <c r="F115" s="342"/>
      <c r="G115" s="342"/>
      <c r="H115" s="343"/>
      <c r="I115" s="343"/>
      <c r="J115" s="474"/>
      <c r="K115"/>
      <c r="L115"/>
      <c r="M115" s="1"/>
      <c r="N115" s="1"/>
    </row>
    <row r="116" spans="1:14" s="4" customFormat="1" ht="15.75">
      <c r="A116" s="7"/>
      <c r="B116" s="342"/>
      <c r="C116" s="342"/>
      <c r="D116" s="342"/>
      <c r="E116" s="342"/>
      <c r="F116" s="342"/>
      <c r="G116" s="342"/>
      <c r="H116" s="343"/>
      <c r="I116" s="343"/>
      <c r="J116" s="474"/>
      <c r="K116"/>
      <c r="L116"/>
      <c r="M116" s="1"/>
      <c r="N116" s="1"/>
    </row>
    <row r="117" spans="1:14" s="4" customFormat="1" ht="15.75">
      <c r="A117" s="7"/>
      <c r="B117" s="342"/>
      <c r="C117" s="342"/>
      <c r="D117" s="342"/>
      <c r="E117" s="342"/>
      <c r="F117" s="342"/>
      <c r="G117" s="342"/>
      <c r="H117" s="343"/>
      <c r="I117" s="343"/>
      <c r="J117" s="474"/>
      <c r="K117"/>
      <c r="L117"/>
      <c r="M117" s="1"/>
      <c r="N117" s="1"/>
    </row>
    <row r="118" spans="1:14" s="4" customFormat="1" ht="15.75">
      <c r="A118" s="7"/>
      <c r="B118" s="342"/>
      <c r="C118" s="342"/>
      <c r="D118" s="342"/>
      <c r="E118" s="342"/>
      <c r="F118" s="342"/>
      <c r="G118" s="342"/>
      <c r="H118" s="343"/>
      <c r="I118" s="343"/>
      <c r="J118" s="474"/>
      <c r="K118"/>
      <c r="L118"/>
      <c r="M118" s="1"/>
      <c r="N118" s="1"/>
    </row>
    <row r="119" spans="1:14" s="4" customFormat="1" ht="15.75">
      <c r="A119" s="7"/>
      <c r="B119" s="342"/>
      <c r="C119" s="342"/>
      <c r="D119" s="342"/>
      <c r="E119" s="342"/>
      <c r="F119" s="342"/>
      <c r="G119" s="342"/>
      <c r="H119" s="343"/>
      <c r="I119" s="343"/>
      <c r="J119" s="474"/>
      <c r="K119"/>
      <c r="L119"/>
      <c r="M119" s="1"/>
      <c r="N119" s="1"/>
    </row>
    <row r="120" spans="1:14" s="4" customFormat="1" ht="15.75">
      <c r="A120" s="7"/>
      <c r="B120" s="342"/>
      <c r="C120" s="342"/>
      <c r="D120" s="342"/>
      <c r="E120" s="342"/>
      <c r="F120" s="342"/>
      <c r="G120" s="342"/>
      <c r="H120" s="343"/>
      <c r="I120" s="343"/>
      <c r="J120" s="474"/>
      <c r="K120"/>
      <c r="L120"/>
      <c r="M120" s="1"/>
      <c r="N120" s="1"/>
    </row>
    <row r="121" spans="1:14" s="4" customFormat="1" ht="15.75">
      <c r="A121" s="7"/>
      <c r="B121" s="342"/>
      <c r="C121" s="342"/>
      <c r="D121" s="342"/>
      <c r="E121" s="342"/>
      <c r="F121" s="342"/>
      <c r="G121" s="342"/>
      <c r="H121" s="343"/>
      <c r="I121" s="343"/>
      <c r="J121" s="474"/>
      <c r="K121"/>
      <c r="L121"/>
      <c r="M121" s="1"/>
      <c r="N121" s="1"/>
    </row>
    <row r="122" spans="1:14" s="4" customFormat="1" ht="15.75">
      <c r="A122" s="7"/>
      <c r="B122" s="342"/>
      <c r="C122" s="342"/>
      <c r="D122" s="342"/>
      <c r="E122" s="342"/>
      <c r="F122" s="342"/>
      <c r="G122" s="342"/>
      <c r="H122" s="343"/>
      <c r="I122" s="343"/>
      <c r="J122" s="474"/>
      <c r="K122"/>
      <c r="L122"/>
      <c r="M122" s="1"/>
      <c r="N122" s="1"/>
    </row>
    <row r="123" spans="1:14" s="4" customFormat="1" ht="15.75">
      <c r="A123" s="7"/>
      <c r="B123" s="342"/>
      <c r="C123" s="342"/>
      <c r="D123" s="342"/>
      <c r="E123" s="342"/>
      <c r="F123" s="342"/>
      <c r="G123" s="342"/>
      <c r="H123" s="343"/>
      <c r="I123" s="343"/>
      <c r="J123" s="474"/>
      <c r="K123"/>
      <c r="L123"/>
      <c r="M123" s="1"/>
      <c r="N123" s="1"/>
    </row>
    <row r="124" spans="1:14" s="4" customFormat="1" ht="15.75">
      <c r="A124" s="7"/>
      <c r="B124" s="342"/>
      <c r="C124" s="342"/>
      <c r="D124" s="342"/>
      <c r="E124" s="342"/>
      <c r="F124" s="342"/>
      <c r="G124" s="342"/>
      <c r="H124" s="343"/>
      <c r="I124" s="343"/>
      <c r="J124" s="474"/>
      <c r="K124"/>
      <c r="L124"/>
      <c r="M124" s="1"/>
      <c r="N124" s="1"/>
    </row>
    <row r="125" spans="1:14" s="4" customFormat="1" ht="15">
      <c r="A125" s="7"/>
      <c r="B125" s="410" t="s">
        <v>46</v>
      </c>
      <c r="C125" s="411"/>
      <c r="D125" s="412">
        <v>2016</v>
      </c>
      <c r="E125" s="413"/>
      <c r="F125" s="410" t="s">
        <v>57</v>
      </c>
      <c r="G125" s="414" t="s">
        <v>1137</v>
      </c>
      <c r="H125" s="415"/>
      <c r="I125" s="415"/>
      <c r="J125" s="475"/>
      <c r="K125"/>
      <c r="L125"/>
      <c r="M125" s="1"/>
      <c r="N125" s="1"/>
    </row>
    <row r="126" spans="1:14" s="4" customFormat="1" ht="15.75">
      <c r="A126" s="7"/>
      <c r="B126" s="416" t="s">
        <v>78</v>
      </c>
      <c r="C126" s="417"/>
      <c r="D126" s="418">
        <v>962</v>
      </c>
      <c r="E126" s="413"/>
      <c r="F126" s="410" t="s">
        <v>53</v>
      </c>
      <c r="G126" s="414" t="s">
        <v>1138</v>
      </c>
      <c r="H126" s="415"/>
      <c r="I126" s="476"/>
      <c r="J126" s="477"/>
      <c r="K126"/>
      <c r="L126"/>
      <c r="M126" s="1"/>
      <c r="N126" s="1"/>
    </row>
    <row r="127" spans="1:14" s="4" customFormat="1" ht="15">
      <c r="A127" s="7"/>
      <c r="B127" s="410" t="s">
        <v>47</v>
      </c>
      <c r="C127" s="411"/>
      <c r="D127" s="412">
        <v>0</v>
      </c>
      <c r="E127" s="413"/>
      <c r="F127" s="419"/>
      <c r="G127" s="415"/>
      <c r="H127" s="415"/>
      <c r="I127" s="415"/>
      <c r="J127" s="475"/>
      <c r="K127"/>
      <c r="L127"/>
      <c r="M127" s="1"/>
      <c r="N127" s="1"/>
    </row>
    <row r="128" spans="1:14" s="4" customFormat="1" ht="15">
      <c r="A128" s="7"/>
      <c r="B128" s="410" t="s">
        <v>48</v>
      </c>
      <c r="C128" s="411"/>
      <c r="D128" s="412">
        <v>0</v>
      </c>
      <c r="E128" s="413"/>
      <c r="F128" s="420"/>
      <c r="G128" s="419"/>
      <c r="H128" s="419"/>
      <c r="I128" s="478"/>
      <c r="J128" s="479"/>
      <c r="K128"/>
      <c r="L128"/>
      <c r="M128" s="1"/>
      <c r="N128" s="1"/>
    </row>
    <row r="129" spans="1:15" s="4" customFormat="1" ht="36.75" customHeight="1">
      <c r="A129" s="7"/>
      <c r="B129" s="421" t="s">
        <v>79</v>
      </c>
      <c r="C129" s="421" t="s">
        <v>49</v>
      </c>
      <c r="D129" s="422" t="s">
        <v>50</v>
      </c>
      <c r="E129" s="423" t="s">
        <v>51</v>
      </c>
      <c r="F129" s="421" t="s">
        <v>52</v>
      </c>
      <c r="G129" s="424" t="s">
        <v>82</v>
      </c>
      <c r="H129" s="424"/>
      <c r="I129" s="424" t="s">
        <v>85</v>
      </c>
      <c r="J129" s="424" t="s">
        <v>1108</v>
      </c>
      <c r="K129"/>
      <c r="L129"/>
      <c r="M129"/>
      <c r="N129"/>
      <c r="O129"/>
    </row>
    <row r="130" spans="1:15" s="4" customFormat="1" ht="31.5" customHeight="1">
      <c r="A130" s="7"/>
      <c r="B130" s="425" t="s">
        <v>44</v>
      </c>
      <c r="C130" s="386" t="s">
        <v>75</v>
      </c>
      <c r="D130" s="739" t="s">
        <v>77</v>
      </c>
      <c r="E130" s="739"/>
      <c r="F130" s="740"/>
      <c r="G130" s="426" t="s">
        <v>92</v>
      </c>
      <c r="H130" s="480"/>
      <c r="I130" s="480"/>
      <c r="J130" s="481">
        <f>+J131</f>
        <v>49153.598400000003</v>
      </c>
      <c r="K130"/>
      <c r="L130"/>
      <c r="M130"/>
      <c r="N130"/>
      <c r="O130"/>
    </row>
    <row r="131" spans="1:15" s="4" customFormat="1" ht="15">
      <c r="A131" s="7"/>
      <c r="B131" s="427">
        <v>730000</v>
      </c>
      <c r="C131" s="428"/>
      <c r="D131" s="429"/>
      <c r="E131" s="430"/>
      <c r="F131" s="431"/>
      <c r="G131" s="376" t="s">
        <v>63</v>
      </c>
      <c r="H131" s="27"/>
      <c r="I131" s="27"/>
      <c r="J131" s="467">
        <f>+J132+J137</f>
        <v>49153.598400000003</v>
      </c>
      <c r="K131"/>
      <c r="L131"/>
      <c r="M131"/>
      <c r="N131"/>
      <c r="O131"/>
    </row>
    <row r="132" spans="1:15" s="4" customFormat="1" ht="15">
      <c r="A132" s="7"/>
      <c r="B132" s="432">
        <v>730200</v>
      </c>
      <c r="C132" s="433"/>
      <c r="D132" s="434"/>
      <c r="E132" s="435"/>
      <c r="F132" s="436"/>
      <c r="G132" s="437" t="s">
        <v>65</v>
      </c>
      <c r="H132" s="27"/>
      <c r="I132" s="27"/>
      <c r="J132" s="467">
        <f t="shared" ref="J132" si="1">+J133</f>
        <v>10953.6</v>
      </c>
      <c r="K132"/>
      <c r="L132"/>
      <c r="M132"/>
      <c r="N132"/>
      <c r="O132"/>
    </row>
    <row r="133" spans="1:15" ht="15">
      <c r="A133" s="7"/>
      <c r="B133" s="385">
        <v>730212</v>
      </c>
      <c r="C133" s="386"/>
      <c r="D133" s="387"/>
      <c r="E133" s="388"/>
      <c r="F133" s="389"/>
      <c r="G133" s="438" t="s">
        <v>81</v>
      </c>
      <c r="H133" s="482"/>
      <c r="I133" s="482"/>
      <c r="J133" s="390">
        <f>SUM(I134:I135)</f>
        <v>10953.6</v>
      </c>
      <c r="K133"/>
      <c r="L133"/>
      <c r="M133"/>
      <c r="N133"/>
      <c r="O133" s="53"/>
    </row>
    <row r="134" spans="1:15" ht="72" customHeight="1">
      <c r="A134" s="7"/>
      <c r="B134" s="35">
        <f>+'6. INSUMOS VALORADOS'!H10</f>
        <v>730212</v>
      </c>
      <c r="C134" s="35">
        <v>1100</v>
      </c>
      <c r="D134" s="36">
        <v>1</v>
      </c>
      <c r="E134" s="37">
        <v>0</v>
      </c>
      <c r="F134" s="37">
        <v>0</v>
      </c>
      <c r="G134" s="38" t="s">
        <v>1107</v>
      </c>
      <c r="H134" s="39" t="s">
        <v>232</v>
      </c>
      <c r="I134" s="39">
        <f>+'6. INSUMOS VALORADOS'!G11+'6. INSUMOS VALORADOS'!G23+'6. INSUMOS VALORADOS'!G43+'6. INSUMOS VALORADOS'!G63+'6. INSUMOS VALORADOS'!G83+'6. INSUMOS VALORADOS'!G103+'6. INSUMOS VALORADOS'!G123+'6. INSUMOS VALORADOS'!G143+'6. INSUMOS VALORADOS'!G162+'6. INSUMOS VALORADOS'!G178</f>
        <v>4132.8</v>
      </c>
      <c r="J134" s="39"/>
      <c r="K134"/>
      <c r="L134"/>
      <c r="M134"/>
      <c r="N134"/>
    </row>
    <row r="135" spans="1:15" ht="76.5" customHeight="1">
      <c r="A135" s="7"/>
      <c r="B135" s="20">
        <v>730212</v>
      </c>
      <c r="C135" s="20">
        <v>1100</v>
      </c>
      <c r="D135" s="21">
        <v>1</v>
      </c>
      <c r="E135" s="22">
        <v>0</v>
      </c>
      <c r="F135" s="22">
        <v>0</v>
      </c>
      <c r="G135" s="38" t="s">
        <v>1110</v>
      </c>
      <c r="H135" s="39" t="s">
        <v>232</v>
      </c>
      <c r="I135" s="25">
        <f>+'6. INSUMOS VALORADOS'!G10+'6. INSUMOS VALORADOS'!G22+'6. INSUMOS VALORADOS'!G42+'6. INSUMOS VALORADOS'!G62+'6. INSUMOS VALORADOS'!G82+'6. INSUMOS VALORADOS'!G102+'6. INSUMOS VALORADOS'!G122+'6. INSUMOS VALORADOS'!G142+'6. INSUMOS VALORADOS'!G177+'6. INSUMOS VALORADOS'!G211</f>
        <v>6820.8</v>
      </c>
      <c r="J135" s="25"/>
      <c r="K135"/>
      <c r="L135"/>
      <c r="M135"/>
      <c r="N135"/>
    </row>
    <row r="136" spans="1:15" ht="10.5" customHeight="1">
      <c r="A136" s="7"/>
      <c r="B136" s="59"/>
      <c r="C136" s="59"/>
      <c r="D136" s="59"/>
      <c r="E136" s="59"/>
      <c r="F136" s="59"/>
      <c r="G136" s="59"/>
      <c r="H136" s="66"/>
      <c r="I136" s="66"/>
      <c r="J136" s="66"/>
      <c r="K136"/>
      <c r="L136"/>
      <c r="M136"/>
      <c r="N136"/>
    </row>
    <row r="137" spans="1:15" ht="30" customHeight="1">
      <c r="A137" s="7"/>
      <c r="B137" s="26">
        <v>730600</v>
      </c>
      <c r="C137" s="439"/>
      <c r="D137" s="46"/>
      <c r="E137" s="26"/>
      <c r="F137" s="440"/>
      <c r="G137" s="376" t="s">
        <v>68</v>
      </c>
      <c r="H137" s="27"/>
      <c r="I137" s="27"/>
      <c r="J137" s="467">
        <f>+J138</f>
        <v>38199.998400000004</v>
      </c>
      <c r="K137"/>
      <c r="L137"/>
      <c r="M137"/>
      <c r="N137"/>
    </row>
    <row r="138" spans="1:15" ht="15">
      <c r="A138" s="7"/>
      <c r="B138" s="432">
        <v>730601</v>
      </c>
      <c r="C138" s="373"/>
      <c r="D138" s="441"/>
      <c r="E138" s="374"/>
      <c r="F138" s="375"/>
      <c r="G138" s="27" t="s">
        <v>40</v>
      </c>
      <c r="H138" s="477"/>
      <c r="I138" s="477"/>
      <c r="J138" s="442">
        <f>SUM(I140:I144)</f>
        <v>38199.998400000004</v>
      </c>
      <c r="K138"/>
      <c r="L138"/>
      <c r="M138"/>
      <c r="N138"/>
    </row>
    <row r="139" spans="1:15" ht="15">
      <c r="A139" s="7"/>
      <c r="B139" s="443"/>
      <c r="C139" s="444"/>
      <c r="D139" s="445"/>
      <c r="E139" s="446"/>
      <c r="F139" s="447" t="s">
        <v>45</v>
      </c>
      <c r="G139" s="40"/>
      <c r="H139" s="28"/>
      <c r="I139" s="28"/>
      <c r="J139" s="28"/>
      <c r="K139"/>
      <c r="L139"/>
      <c r="M139"/>
      <c r="N139"/>
    </row>
    <row r="140" spans="1:15" ht="15">
      <c r="A140" s="7"/>
      <c r="B140" s="20">
        <v>730601</v>
      </c>
      <c r="C140" s="20">
        <v>1100</v>
      </c>
      <c r="D140" s="21">
        <v>1</v>
      </c>
      <c r="E140" s="22">
        <v>2</v>
      </c>
      <c r="F140" s="22">
        <v>0</v>
      </c>
      <c r="G140" s="24" t="str">
        <f>+'6. INSUMOS VALORADOS'!B197</f>
        <v>Cumplimiento del Plan de Manejo Ambiental</v>
      </c>
      <c r="H140" s="39" t="s">
        <v>232</v>
      </c>
      <c r="I140" s="483">
        <f>+'6. INSUMOS VALORADOS'!G198</f>
        <v>9999.9984000000004</v>
      </c>
      <c r="J140" s="25"/>
      <c r="K140"/>
      <c r="L140"/>
      <c r="M140"/>
      <c r="N140"/>
    </row>
    <row r="141" spans="1:15" ht="15">
      <c r="A141" s="7"/>
      <c r="B141" s="443"/>
      <c r="C141" s="444"/>
      <c r="D141" s="445"/>
      <c r="E141" s="446"/>
      <c r="F141" s="447" t="s">
        <v>58</v>
      </c>
      <c r="G141" s="40"/>
      <c r="H141" s="28"/>
      <c r="I141" s="28"/>
      <c r="J141" s="28"/>
      <c r="K141"/>
      <c r="L141"/>
      <c r="M141"/>
      <c r="N141"/>
    </row>
    <row r="142" spans="1:15" ht="30" customHeight="1">
      <c r="A142" s="7"/>
      <c r="B142" s="20">
        <v>730601</v>
      </c>
      <c r="C142" s="20">
        <v>1100</v>
      </c>
      <c r="D142" s="21">
        <v>1</v>
      </c>
      <c r="E142" s="22">
        <v>4</v>
      </c>
      <c r="F142" s="22">
        <v>0</v>
      </c>
      <c r="G142" s="24" t="str">
        <f>+'6. INSUMOS VALORADOS'!B212</f>
        <v>Levantamiento Topográfico de Redes de sistemas de riego público</v>
      </c>
      <c r="H142" s="39" t="s">
        <v>232</v>
      </c>
      <c r="I142" s="25">
        <f>+'6. INSUMOS VALORADOS'!G213</f>
        <v>25200.000000000004</v>
      </c>
      <c r="J142" s="25"/>
      <c r="K142"/>
      <c r="L142"/>
      <c r="M142"/>
      <c r="N142"/>
    </row>
    <row r="143" spans="1:15" ht="15">
      <c r="A143" s="7"/>
      <c r="B143" s="443"/>
      <c r="C143" s="444"/>
      <c r="D143" s="445"/>
      <c r="E143" s="446"/>
      <c r="F143" s="447" t="s">
        <v>60</v>
      </c>
      <c r="G143" s="40"/>
      <c r="H143" s="28"/>
      <c r="I143" s="28"/>
      <c r="J143" s="28"/>
      <c r="K143"/>
      <c r="L143"/>
      <c r="M143"/>
      <c r="N143"/>
    </row>
    <row r="144" spans="1:15" ht="15">
      <c r="A144" s="7"/>
      <c r="B144" s="20">
        <v>730601</v>
      </c>
      <c r="C144" s="20">
        <v>1100</v>
      </c>
      <c r="D144" s="21">
        <v>1</v>
      </c>
      <c r="E144" s="22">
        <v>7</v>
      </c>
      <c r="F144" s="22">
        <v>0</v>
      </c>
      <c r="G144" s="24" t="str">
        <f>+'6. INSUMOS VALORADOS'!B9</f>
        <v>Estudio geotécnico obras especiales</v>
      </c>
      <c r="H144" s="39" t="s">
        <v>232</v>
      </c>
      <c r="I144" s="25">
        <f>+'6. INSUMOS VALORADOS'!G9</f>
        <v>3000</v>
      </c>
      <c r="J144" s="25"/>
      <c r="K144"/>
      <c r="L144"/>
    </row>
    <row r="145" spans="1:13" ht="11.25" customHeight="1">
      <c r="A145" s="7"/>
      <c r="B145" s="411"/>
      <c r="C145" s="411"/>
      <c r="D145" s="448"/>
      <c r="E145" s="413"/>
      <c r="F145" s="420"/>
      <c r="G145" s="419"/>
      <c r="H145" s="419"/>
      <c r="I145" s="419"/>
      <c r="J145" s="415"/>
      <c r="K145"/>
      <c r="L145"/>
    </row>
    <row r="146" spans="1:13" ht="16.5" customHeight="1">
      <c r="A146" s="7"/>
      <c r="B146" s="59"/>
      <c r="C146" s="59"/>
      <c r="D146" s="59"/>
      <c r="E146" s="59"/>
      <c r="F146" s="59"/>
      <c r="G146" s="59"/>
      <c r="H146" s="66"/>
      <c r="I146" s="66"/>
      <c r="J146" s="66"/>
      <c r="K146"/>
      <c r="L146"/>
    </row>
    <row r="147" spans="1:13" ht="15">
      <c r="A147" s="7"/>
      <c r="B147" s="372" t="s">
        <v>44</v>
      </c>
      <c r="C147" s="373" t="s">
        <v>75</v>
      </c>
      <c r="D147" s="374" t="s">
        <v>84</v>
      </c>
      <c r="E147" s="374"/>
      <c r="F147" s="375"/>
      <c r="G147" s="449" t="s">
        <v>27</v>
      </c>
      <c r="H147" s="449"/>
      <c r="I147" s="449"/>
      <c r="J147" s="442">
        <f t="shared" ref="J147" si="2">+J148</f>
        <v>678403.39200000034</v>
      </c>
      <c r="K147"/>
      <c r="L147"/>
    </row>
    <row r="148" spans="1:13" ht="15">
      <c r="A148" s="7"/>
      <c r="B148" s="450">
        <v>750000</v>
      </c>
      <c r="C148" s="450"/>
      <c r="D148" s="451"/>
      <c r="E148" s="452"/>
      <c r="F148" s="452"/>
      <c r="G148" s="46" t="s">
        <v>26</v>
      </c>
      <c r="H148" s="46"/>
      <c r="I148" s="46"/>
      <c r="J148" s="442">
        <f>SUM(I150:I206)</f>
        <v>678403.39200000034</v>
      </c>
      <c r="K148"/>
      <c r="L148"/>
    </row>
    <row r="149" spans="1:13" ht="15">
      <c r="A149" s="7"/>
      <c r="B149" s="443"/>
      <c r="C149" s="444"/>
      <c r="D149" s="445"/>
      <c r="E149" s="446"/>
      <c r="F149" s="447" t="s">
        <v>45</v>
      </c>
      <c r="G149" s="40"/>
      <c r="H149" s="28"/>
      <c r="I149" s="28"/>
      <c r="J149" s="28"/>
      <c r="K149"/>
      <c r="L149"/>
    </row>
    <row r="150" spans="1:13" ht="30" customHeight="1">
      <c r="A150" s="7"/>
      <c r="B150" s="20">
        <v>750102</v>
      </c>
      <c r="C150" s="20">
        <v>1100</v>
      </c>
      <c r="D150" s="21">
        <v>1</v>
      </c>
      <c r="E150" s="22">
        <v>0</v>
      </c>
      <c r="F150" s="22">
        <v>0</v>
      </c>
      <c r="G150" s="453" t="str">
        <f>+'6. INSUMOS VALORADOS'!B225</f>
        <v>Rehabilitación del Sistema de riego comunitario Sevillan-Lluzhapa-Seucer Etapa 1</v>
      </c>
      <c r="H150" s="484" t="s">
        <v>233</v>
      </c>
      <c r="I150" s="25">
        <f>+'6. INSUMOS VALORADOS'!G244</f>
        <v>42694.400000000001</v>
      </c>
      <c r="J150" s="28"/>
      <c r="K150"/>
      <c r="L150"/>
    </row>
    <row r="151" spans="1:13" ht="15">
      <c r="A151" s="7"/>
      <c r="B151" s="443"/>
      <c r="C151" s="444"/>
      <c r="D151" s="445"/>
      <c r="E151" s="446"/>
      <c r="F151" s="447" t="s">
        <v>58</v>
      </c>
      <c r="G151" s="40"/>
      <c r="H151" s="28"/>
      <c r="I151" s="28"/>
      <c r="J151" s="28"/>
      <c r="K151"/>
      <c r="L151"/>
    </row>
    <row r="152" spans="1:13" ht="30">
      <c r="A152" s="7"/>
      <c r="B152" s="20">
        <v>750102</v>
      </c>
      <c r="C152" s="20">
        <v>1100</v>
      </c>
      <c r="D152" s="21">
        <v>1</v>
      </c>
      <c r="E152" s="22">
        <v>0</v>
      </c>
      <c r="F152" s="22">
        <v>0</v>
      </c>
      <c r="G152" s="453" t="str">
        <f>+'6. INSUMOS VALORADOS'!B250</f>
        <v>Rehabilitación del Sistema de riego comunitario Balcones I etapa San Sebastian de Yulug Etapa 1</v>
      </c>
      <c r="H152" s="484" t="s">
        <v>233</v>
      </c>
      <c r="I152" s="25">
        <f>+'6. INSUMOS VALORADOS'!G268</f>
        <v>41652.799999999996</v>
      </c>
      <c r="J152" s="28"/>
      <c r="K152"/>
      <c r="L152"/>
    </row>
    <row r="153" spans="1:13" ht="15">
      <c r="A153" s="7"/>
      <c r="B153" s="443"/>
      <c r="C153" s="444"/>
      <c r="D153" s="445"/>
      <c r="E153" s="446"/>
      <c r="F153" s="447" t="s">
        <v>60</v>
      </c>
      <c r="G153" s="40"/>
      <c r="H153" s="28"/>
      <c r="I153" s="28"/>
      <c r="J153" s="28"/>
      <c r="K153"/>
      <c r="L153"/>
    </row>
    <row r="154" spans="1:13" ht="30">
      <c r="A154" s="7"/>
      <c r="B154" s="20">
        <v>750102</v>
      </c>
      <c r="C154" s="20">
        <v>1100</v>
      </c>
      <c r="D154" s="21">
        <v>1</v>
      </c>
      <c r="E154" s="22">
        <v>0</v>
      </c>
      <c r="F154" s="22">
        <v>0</v>
      </c>
      <c r="G154" s="453" t="str">
        <f>+'6. INSUMOS VALORADOS'!B273</f>
        <v>Rehabilitación del Sistema de Riego comunitario San Pedro de Vilcabamba Etapa 1</v>
      </c>
      <c r="H154" s="484" t="s">
        <v>233</v>
      </c>
      <c r="I154" s="25">
        <f>+'6. INSUMOS VALORADOS'!G291</f>
        <v>41070.400000000001</v>
      </c>
      <c r="J154" s="28"/>
      <c r="K154"/>
      <c r="L154"/>
    </row>
    <row r="155" spans="1:13" ht="15">
      <c r="A155" s="7"/>
      <c r="B155" s="443"/>
      <c r="C155" s="444"/>
      <c r="D155" s="445"/>
      <c r="E155" s="446"/>
      <c r="F155" s="447"/>
      <c r="G155" s="40"/>
      <c r="H155" s="28"/>
      <c r="I155" s="28"/>
      <c r="J155" s="28"/>
      <c r="K155"/>
      <c r="L155"/>
    </row>
    <row r="156" spans="1:13" ht="30" customHeight="1">
      <c r="A156" s="7"/>
      <c r="B156" s="20">
        <v>750102</v>
      </c>
      <c r="C156" s="20">
        <v>1100</v>
      </c>
      <c r="D156" s="21">
        <v>1</v>
      </c>
      <c r="E156" s="22">
        <v>0</v>
      </c>
      <c r="F156" s="22">
        <v>0</v>
      </c>
      <c r="G156" s="454" t="str">
        <f>+'6. INSUMOS VALORADOS'!B296</f>
        <v>Rehabilitación el Sistema de riego comunitario Palmas-Mercadillo-Cango Etapa 1</v>
      </c>
      <c r="H156" s="484" t="s">
        <v>233</v>
      </c>
      <c r="I156" s="25">
        <f>+'6. INSUMOS VALORADOS'!G314</f>
        <v>48686.400000000001</v>
      </c>
      <c r="J156" s="28"/>
      <c r="K156"/>
      <c r="L156"/>
    </row>
    <row r="157" spans="1:13" ht="15">
      <c r="A157" s="7"/>
      <c r="B157" s="443"/>
      <c r="C157" s="444"/>
      <c r="D157" s="445"/>
      <c r="E157" s="446"/>
      <c r="F157" s="447"/>
      <c r="G157" s="40"/>
      <c r="H157" s="28"/>
      <c r="I157" s="28"/>
      <c r="J157" s="28"/>
      <c r="K157"/>
      <c r="L157"/>
    </row>
    <row r="158" spans="1:13" ht="30" customHeight="1">
      <c r="A158" s="7"/>
      <c r="B158" s="20">
        <v>750102</v>
      </c>
      <c r="C158" s="20">
        <v>1100</v>
      </c>
      <c r="D158" s="21">
        <v>1</v>
      </c>
      <c r="E158" s="22">
        <v>0</v>
      </c>
      <c r="F158" s="22">
        <v>0</v>
      </c>
      <c r="G158" s="453" t="str">
        <f>+'6. INSUMOS VALORADOS'!B320</f>
        <v>Rehabilitación del Sistema de riego comunitario  Moquillo, Malacatos Etapa 1</v>
      </c>
      <c r="H158" s="484" t="s">
        <v>233</v>
      </c>
      <c r="I158" s="25">
        <f>+'6. INSUMOS VALORADOS'!G339</f>
        <v>38180.80000000001</v>
      </c>
      <c r="J158" s="28"/>
      <c r="K158"/>
      <c r="L158"/>
    </row>
    <row r="159" spans="1:13" ht="15">
      <c r="A159" s="7"/>
      <c r="B159" s="443"/>
      <c r="C159" s="444"/>
      <c r="D159" s="445"/>
      <c r="E159" s="446"/>
      <c r="F159" s="447"/>
      <c r="G159" s="40"/>
      <c r="H159" s="28"/>
      <c r="I159" s="28"/>
      <c r="J159" s="28"/>
      <c r="K159"/>
      <c r="L159"/>
    </row>
    <row r="160" spans="1:13" ht="30" customHeight="1">
      <c r="A160" s="7"/>
      <c r="B160" s="20">
        <v>750102</v>
      </c>
      <c r="C160" s="20">
        <v>1100</v>
      </c>
      <c r="D160" s="21">
        <v>1</v>
      </c>
      <c r="E160" s="22">
        <v>0</v>
      </c>
      <c r="F160" s="22">
        <v>0</v>
      </c>
      <c r="G160" s="453" t="str">
        <f>+'6. INSUMOS VALORADOS'!B343</f>
        <v>Rehabilitación del Sistema de riego comunitario  Purunuma Asnayacu Etapa 1</v>
      </c>
      <c r="H160" s="484" t="s">
        <v>233</v>
      </c>
      <c r="I160" s="25">
        <f>+'6. INSUMOS VALORADOS'!G362</f>
        <v>50411.199999999997</v>
      </c>
      <c r="J160" s="28"/>
      <c r="K160"/>
      <c r="L160"/>
      <c r="M160" s="53"/>
    </row>
    <row r="161" spans="1:15" ht="12.75" customHeight="1">
      <c r="A161" s="7"/>
      <c r="B161" s="443"/>
      <c r="C161" s="444"/>
      <c r="D161" s="445"/>
      <c r="E161" s="446"/>
      <c r="F161" s="447"/>
      <c r="G161" s="40"/>
      <c r="H161" s="28"/>
      <c r="I161" s="28"/>
      <c r="J161" s="28"/>
      <c r="K161"/>
      <c r="L161"/>
    </row>
    <row r="162" spans="1:15" ht="30" customHeight="1">
      <c r="A162" s="7"/>
      <c r="B162" s="20">
        <v>750102</v>
      </c>
      <c r="C162" s="20">
        <v>1100</v>
      </c>
      <c r="D162" s="21">
        <v>1</v>
      </c>
      <c r="E162" s="22">
        <v>0</v>
      </c>
      <c r="F162" s="22">
        <v>0</v>
      </c>
      <c r="G162" s="453" t="str">
        <f>+'6. INSUMOS VALORADOS'!B366</f>
        <v>Rehabilitación del Sistema de Riego comunitario Aguarango Etapa 1</v>
      </c>
      <c r="H162" s="484" t="s">
        <v>233</v>
      </c>
      <c r="I162" s="25">
        <f>+'6. INSUMOS VALORADOS'!G390</f>
        <v>44620.800000000003</v>
      </c>
      <c r="J162" s="28"/>
      <c r="K162"/>
      <c r="L162"/>
      <c r="O162" s="62"/>
    </row>
    <row r="163" spans="1:15" ht="15">
      <c r="A163" s="7"/>
      <c r="B163" s="443"/>
      <c r="C163" s="444"/>
      <c r="D163" s="445"/>
      <c r="E163" s="446"/>
      <c r="F163" s="447"/>
      <c r="G163" s="40"/>
      <c r="H163" s="28"/>
      <c r="I163" s="28"/>
      <c r="J163" s="28"/>
      <c r="K163"/>
      <c r="L163"/>
    </row>
    <row r="164" spans="1:15" ht="70.5" customHeight="1">
      <c r="A164" s="7"/>
      <c r="B164" s="20">
        <v>750102</v>
      </c>
      <c r="C164" s="20">
        <v>1100</v>
      </c>
      <c r="D164" s="21">
        <v>1</v>
      </c>
      <c r="E164" s="22">
        <v>0</v>
      </c>
      <c r="F164" s="22">
        <v>0</v>
      </c>
      <c r="G164" s="455" t="str">
        <f>+'6. INSUMOS VALORADOS'!B399</f>
        <v>Mejoramiento de la conducción principal y mantenimiento de plataformas de los sistemas de riego público La Palmira, Campana-Malacatos, Quinara-Tumianuma, Vilcabamba y Santiago, del cantón Loja</v>
      </c>
      <c r="H164" s="484" t="s">
        <v>229</v>
      </c>
      <c r="I164" s="485">
        <f>+'6. INSUMOS VALORADOS'!G428</f>
        <v>68556.723200000008</v>
      </c>
      <c r="J164" s="28"/>
      <c r="K164"/>
      <c r="L164"/>
      <c r="M164" s="61"/>
      <c r="N164" s="53"/>
      <c r="O164" s="74"/>
    </row>
    <row r="165" spans="1:15" ht="15">
      <c r="A165" s="7"/>
      <c r="B165" s="456"/>
      <c r="C165" s="123"/>
      <c r="D165" s="124"/>
      <c r="E165" s="125"/>
      <c r="F165" s="125"/>
      <c r="G165" s="457"/>
      <c r="H165" s="486"/>
      <c r="I165" s="487"/>
      <c r="J165" s="129"/>
      <c r="K165"/>
      <c r="L165"/>
      <c r="M165" s="61"/>
      <c r="N165" s="53"/>
      <c r="O165" s="74"/>
    </row>
    <row r="166" spans="1:15" ht="72" customHeight="1">
      <c r="A166" s="7"/>
      <c r="B166" s="20">
        <v>750102</v>
      </c>
      <c r="C166" s="20">
        <v>1100</v>
      </c>
      <c r="D166" s="21">
        <v>1</v>
      </c>
      <c r="E166" s="22">
        <v>0</v>
      </c>
      <c r="F166" s="22">
        <v>0</v>
      </c>
      <c r="G166" s="455" t="str">
        <f>+'6. INSUMOS VALORADOS'!B431</f>
        <v>Mejoramiento de la conducción principal y mantenimiento de plataformas de los sistemas de riego público Sanambay-Jimbura, Jorupe-Cangochara, Airo-Florida, Limas-Conduriacu y el Ingenio, del canton Espindola</v>
      </c>
      <c r="H166" s="484" t="s">
        <v>229</v>
      </c>
      <c r="I166" s="485">
        <f>+'6. INSUMOS VALORADOS'!G460</f>
        <v>54331.46880000001</v>
      </c>
      <c r="J166" s="28"/>
      <c r="K166"/>
      <c r="L166"/>
      <c r="M166" s="61"/>
      <c r="N166" s="53"/>
      <c r="O166" s="74"/>
    </row>
    <row r="167" spans="1:15" ht="15">
      <c r="A167" s="7"/>
      <c r="B167" s="456"/>
      <c r="C167" s="123"/>
      <c r="D167" s="124"/>
      <c r="E167" s="125"/>
      <c r="F167" s="125"/>
      <c r="G167" s="457"/>
      <c r="H167" s="486"/>
      <c r="I167" s="487"/>
      <c r="J167" s="129"/>
      <c r="K167"/>
      <c r="L167"/>
      <c r="M167" s="61"/>
      <c r="N167" s="53"/>
      <c r="O167" s="74"/>
    </row>
    <row r="168" spans="1:15" ht="63" customHeight="1">
      <c r="A168" s="7"/>
      <c r="B168" s="20">
        <v>750102</v>
      </c>
      <c r="C168" s="20">
        <v>1100</v>
      </c>
      <c r="D168" s="21">
        <v>1</v>
      </c>
      <c r="E168" s="22">
        <v>0</v>
      </c>
      <c r="F168" s="22">
        <v>0</v>
      </c>
      <c r="G168" s="455" t="str">
        <f>+'6. INSUMOS VALORADOS'!B463</f>
        <v>Mejoramiento de la conducción principal y mantenimiento de plataformas de los sistemas de riego público Tablón de Saraguro, La Papaya, Paquishapa y Chucchucchir del cantón Saraguro</v>
      </c>
      <c r="H168" s="484" t="s">
        <v>229</v>
      </c>
      <c r="I168" s="485">
        <f>+'6. INSUMOS VALORADOS'!G487</f>
        <v>20175.456000000002</v>
      </c>
      <c r="J168" s="28"/>
      <c r="K168"/>
      <c r="L168"/>
      <c r="M168" s="61"/>
      <c r="N168" s="53"/>
      <c r="O168" s="74"/>
    </row>
    <row r="169" spans="1:15" ht="15">
      <c r="A169" s="7"/>
      <c r="B169" s="456"/>
      <c r="C169" s="123"/>
      <c r="D169" s="124"/>
      <c r="E169" s="125"/>
      <c r="F169" s="125"/>
      <c r="G169" s="457"/>
      <c r="H169" s="486"/>
      <c r="I169" s="487"/>
      <c r="J169" s="129"/>
      <c r="K169"/>
      <c r="L169"/>
      <c r="M169" s="61"/>
      <c r="N169" s="53"/>
      <c r="O169" s="74"/>
    </row>
    <row r="170" spans="1:15" ht="60.75" customHeight="1">
      <c r="A170" s="7"/>
      <c r="B170" s="20">
        <v>750102</v>
      </c>
      <c r="C170" s="20">
        <v>1100</v>
      </c>
      <c r="D170" s="21">
        <v>1</v>
      </c>
      <c r="E170" s="22">
        <v>0</v>
      </c>
      <c r="F170" s="22">
        <v>0</v>
      </c>
      <c r="G170" s="455" t="str">
        <f>+'6. INSUMOS VALORADOS'!B489</f>
        <v>Mejoramiento de la conducción principal y mantenimiento de plataformas del sistema de riego público Zapotillo del cantón Zapotillo</v>
      </c>
      <c r="H170" s="484" t="s">
        <v>229</v>
      </c>
      <c r="I170" s="485">
        <f>+'6. INSUMOS VALORADOS'!G497</f>
        <v>29103.648000000005</v>
      </c>
      <c r="J170" s="28"/>
      <c r="K170"/>
      <c r="L170"/>
      <c r="M170" s="61"/>
      <c r="N170" s="53"/>
      <c r="O170" s="74"/>
    </row>
    <row r="171" spans="1:15" ht="15">
      <c r="A171" s="7"/>
      <c r="B171" s="456"/>
      <c r="C171" s="123"/>
      <c r="D171" s="124"/>
      <c r="E171" s="125"/>
      <c r="F171" s="125"/>
      <c r="G171" s="457"/>
      <c r="H171" s="486"/>
      <c r="I171" s="487"/>
      <c r="J171" s="129"/>
      <c r="K171"/>
      <c r="L171"/>
      <c r="M171" s="61"/>
      <c r="N171" s="53"/>
      <c r="O171" s="74"/>
    </row>
    <row r="172" spans="1:15" ht="45" customHeight="1">
      <c r="A172" s="7"/>
      <c r="B172" s="20">
        <v>750102</v>
      </c>
      <c r="C172" s="20">
        <v>1100</v>
      </c>
      <c r="D172" s="21">
        <v>1</v>
      </c>
      <c r="E172" s="22">
        <v>0</v>
      </c>
      <c r="F172" s="22">
        <v>0</v>
      </c>
      <c r="G172" s="455" t="str">
        <f>+'6. INSUMOS VALORADOS'!B499</f>
        <v>Mejoramiento de la conducción principal y mantenimiento de plataformas del sistema de riego público Macará del cantón Macará</v>
      </c>
      <c r="H172" s="484" t="s">
        <v>229</v>
      </c>
      <c r="I172" s="485">
        <f>+'6. INSUMOS VALORADOS'!G507</f>
        <v>14524.847999999998</v>
      </c>
      <c r="J172" s="28"/>
      <c r="K172"/>
      <c r="L172"/>
      <c r="M172" s="61"/>
      <c r="N172" s="53"/>
      <c r="O172" s="74"/>
    </row>
    <row r="173" spans="1:15" ht="15">
      <c r="A173" s="7"/>
      <c r="B173" s="443"/>
      <c r="C173" s="444"/>
      <c r="D173" s="445"/>
      <c r="E173" s="446"/>
      <c r="F173" s="447" t="s">
        <v>61</v>
      </c>
      <c r="G173" s="40"/>
      <c r="H173" s="60"/>
      <c r="I173" s="28"/>
      <c r="J173" s="28"/>
      <c r="K173"/>
      <c r="L173"/>
    </row>
    <row r="174" spans="1:15" ht="51" customHeight="1">
      <c r="A174" s="7"/>
      <c r="B174" s="20">
        <v>750102</v>
      </c>
      <c r="C174" s="20">
        <v>1100</v>
      </c>
      <c r="D174" s="21">
        <v>1</v>
      </c>
      <c r="E174" s="22">
        <v>0</v>
      </c>
      <c r="F174" s="22">
        <v>0</v>
      </c>
      <c r="G174" s="455" t="str">
        <f>+'6. INSUMOS VALORADOS'!B509</f>
        <v>Mejoramiento de la conducción principal y mantenimiento de plataformas del sistema de riego público Guápalas del cantón Puyango</v>
      </c>
      <c r="H174" s="484" t="s">
        <v>229</v>
      </c>
      <c r="I174" s="485">
        <f>+'6. INSUMOS VALORADOS'!G517</f>
        <v>6726.0480000000007</v>
      </c>
      <c r="J174" s="28"/>
      <c r="K174"/>
      <c r="L174"/>
    </row>
    <row r="175" spans="1:15" ht="15">
      <c r="A175" s="7"/>
      <c r="B175" s="443"/>
      <c r="C175" s="444"/>
      <c r="D175" s="445"/>
      <c r="E175" s="446"/>
      <c r="F175" s="447" t="s">
        <v>62</v>
      </c>
      <c r="G175" s="40"/>
      <c r="H175" s="60"/>
      <c r="I175" s="28"/>
      <c r="J175" s="488"/>
      <c r="K175"/>
      <c r="L175"/>
    </row>
    <row r="176" spans="1:15" ht="45" customHeight="1">
      <c r="A176" s="7"/>
      <c r="B176" s="20">
        <v>750102</v>
      </c>
      <c r="C176" s="20">
        <v>1100</v>
      </c>
      <c r="D176" s="21">
        <v>1</v>
      </c>
      <c r="E176" s="22">
        <v>0</v>
      </c>
      <c r="F176" s="22">
        <v>0</v>
      </c>
      <c r="G176" s="455" t="str">
        <f>+'6. INSUMOS VALORADOS'!B519</f>
        <v>Mejoramiento de la conducción principal y mantenimiento de plataformas del sistema de riego público La Era del cantón Catamayo</v>
      </c>
      <c r="H176" s="484" t="s">
        <v>229</v>
      </c>
      <c r="I176" s="485">
        <f>+'6. INSUMOS VALORADOS'!G527</f>
        <v>8226.8480000000018</v>
      </c>
      <c r="J176" s="28"/>
      <c r="K176"/>
      <c r="L176"/>
    </row>
    <row r="177" spans="1:12" ht="15">
      <c r="A177" s="7"/>
      <c r="B177" s="456"/>
      <c r="C177" s="123"/>
      <c r="D177" s="458"/>
      <c r="E177" s="125"/>
      <c r="F177" s="459"/>
      <c r="G177" s="127"/>
      <c r="H177" s="128"/>
      <c r="I177" s="129"/>
      <c r="J177" s="489"/>
      <c r="K177"/>
      <c r="L177"/>
    </row>
    <row r="178" spans="1:12" ht="45" customHeight="1">
      <c r="A178" s="7"/>
      <c r="B178" s="20">
        <v>750102</v>
      </c>
      <c r="C178" s="20">
        <v>1100</v>
      </c>
      <c r="D178" s="21">
        <v>1</v>
      </c>
      <c r="E178" s="22">
        <v>0</v>
      </c>
      <c r="F178" s="22">
        <v>0</v>
      </c>
      <c r="G178" s="455" t="str">
        <f>+'6. INSUMOS VALORADOS'!B529</f>
        <v>Mejoramiento de la conducción principal y mantenimiento de plataformas del sistema de riego público Cochas-San Vicente del cantón Paltas</v>
      </c>
      <c r="H178" s="484" t="s">
        <v>229</v>
      </c>
      <c r="I178" s="485">
        <f>+'6. INSUMOS VALORADOS'!G537</f>
        <v>8767.8080000000009</v>
      </c>
      <c r="J178" s="28"/>
      <c r="K178"/>
      <c r="L178"/>
    </row>
    <row r="179" spans="1:12" ht="15">
      <c r="A179" s="7"/>
      <c r="B179" s="132"/>
      <c r="C179" s="132"/>
      <c r="D179" s="133"/>
      <c r="E179" s="134"/>
      <c r="F179" s="134"/>
      <c r="G179" s="460"/>
      <c r="H179" s="490"/>
      <c r="I179" s="491"/>
      <c r="J179" s="461"/>
      <c r="K179"/>
      <c r="L179"/>
    </row>
    <row r="180" spans="1:12" ht="30">
      <c r="A180" s="7"/>
      <c r="B180" s="20">
        <v>750102</v>
      </c>
      <c r="C180" s="20">
        <v>1100</v>
      </c>
      <c r="D180" s="21">
        <v>1</v>
      </c>
      <c r="E180" s="22">
        <v>0</v>
      </c>
      <c r="F180" s="22">
        <v>0</v>
      </c>
      <c r="G180" s="24" t="str">
        <f>+'6. INSUMOS VALORADOS'!B543</f>
        <v>Mejoramiento de la red secundaria de los sistemas de riego público El ingenio, del cantón Espindola</v>
      </c>
      <c r="H180" s="484" t="s">
        <v>229</v>
      </c>
      <c r="I180" s="485">
        <f>+'6. INSUMOS VALORADOS'!G550</f>
        <v>46985.904000000002</v>
      </c>
      <c r="J180" s="28"/>
      <c r="K180"/>
      <c r="L180"/>
    </row>
    <row r="181" spans="1:12" ht="15">
      <c r="A181" s="7"/>
      <c r="B181" s="132"/>
      <c r="C181" s="132"/>
      <c r="D181" s="133"/>
      <c r="E181" s="134"/>
      <c r="F181" s="134"/>
      <c r="G181" s="460"/>
      <c r="H181" s="490"/>
      <c r="I181" s="491"/>
      <c r="J181" s="461"/>
      <c r="K181"/>
      <c r="L181"/>
    </row>
    <row r="182" spans="1:12" ht="39.75" customHeight="1">
      <c r="A182" s="7"/>
      <c r="B182" s="20">
        <v>750102</v>
      </c>
      <c r="C182" s="20">
        <v>1100</v>
      </c>
      <c r="D182" s="21">
        <v>1</v>
      </c>
      <c r="E182" s="22">
        <v>0</v>
      </c>
      <c r="F182" s="22">
        <v>0</v>
      </c>
      <c r="G182" s="462" t="str">
        <f>+'6. INSUMOS VALORADOS'!B555</f>
        <v>Mantenimiento preventivo, rutinario y correctivo del sistema de riego Vilcabamba</v>
      </c>
      <c r="H182" s="492"/>
      <c r="I182" s="493">
        <f>+'6. INSUMOS VALORADOS'!G571</f>
        <v>7106.4</v>
      </c>
      <c r="J182" s="390"/>
      <c r="K182"/>
      <c r="L182"/>
    </row>
    <row r="183" spans="1:12" ht="15">
      <c r="A183" s="7"/>
      <c r="B183" s="132"/>
      <c r="C183" s="132"/>
      <c r="D183" s="133"/>
      <c r="E183" s="134"/>
      <c r="F183" s="134"/>
      <c r="G183" s="460"/>
      <c r="H183" s="490"/>
      <c r="I183" s="491"/>
      <c r="J183" s="461"/>
      <c r="K183"/>
      <c r="L183"/>
    </row>
    <row r="184" spans="1:12" ht="32.25" customHeight="1">
      <c r="A184" s="7"/>
      <c r="B184" s="20">
        <v>750102</v>
      </c>
      <c r="C184" s="20">
        <v>1100</v>
      </c>
      <c r="D184" s="21">
        <v>1</v>
      </c>
      <c r="E184" s="22">
        <v>0</v>
      </c>
      <c r="F184" s="22">
        <v>0</v>
      </c>
      <c r="G184" s="462" t="str">
        <f>+'6. INSUMOS VALORADOS'!B573</f>
        <v>Mantenimiento preventivo, rutinario y correctivo del sistema de riego Santiago</v>
      </c>
      <c r="H184" s="492"/>
      <c r="I184" s="493">
        <f>+'6. INSUMOS VALORADOS'!G590</f>
        <v>7281.12</v>
      </c>
      <c r="J184" s="390"/>
      <c r="K184"/>
      <c r="L184"/>
    </row>
    <row r="185" spans="1:12" ht="15">
      <c r="A185" s="7"/>
      <c r="B185" s="132"/>
      <c r="C185" s="132"/>
      <c r="D185" s="133"/>
      <c r="E185" s="134"/>
      <c r="F185" s="134"/>
      <c r="G185" s="460"/>
      <c r="H185" s="490"/>
      <c r="I185" s="491"/>
      <c r="J185" s="461"/>
      <c r="K185"/>
      <c r="L185"/>
    </row>
    <row r="186" spans="1:12" ht="31.5" customHeight="1">
      <c r="A186" s="7"/>
      <c r="B186" s="20">
        <v>750102</v>
      </c>
      <c r="C186" s="20">
        <v>1100</v>
      </c>
      <c r="D186" s="21">
        <v>1</v>
      </c>
      <c r="E186" s="22">
        <v>0</v>
      </c>
      <c r="F186" s="22">
        <v>0</v>
      </c>
      <c r="G186" s="462" t="str">
        <f>+'6. INSUMOS VALORADOS'!B594</f>
        <v>Mantenimiento preventivo, rutinario y correctivo del sistema de riego Jorupe-Cangochara</v>
      </c>
      <c r="H186" s="492"/>
      <c r="I186" s="493">
        <f>+'6. INSUMOS VALORADOS'!G615</f>
        <v>8990.8000000000011</v>
      </c>
      <c r="J186" s="390"/>
      <c r="K186"/>
      <c r="L186"/>
    </row>
    <row r="187" spans="1:12" ht="15">
      <c r="A187" s="7"/>
      <c r="B187" s="132"/>
      <c r="C187" s="132"/>
      <c r="D187" s="133"/>
      <c r="E187" s="134"/>
      <c r="F187" s="134"/>
      <c r="G187" s="460"/>
      <c r="H187" s="490"/>
      <c r="I187" s="491"/>
      <c r="J187" s="461"/>
      <c r="K187"/>
      <c r="L187"/>
    </row>
    <row r="188" spans="1:12" ht="48" customHeight="1">
      <c r="A188" s="7"/>
      <c r="B188" s="20">
        <v>750102</v>
      </c>
      <c r="C188" s="20">
        <v>1100</v>
      </c>
      <c r="D188" s="21">
        <v>1</v>
      </c>
      <c r="E188" s="22">
        <v>0</v>
      </c>
      <c r="F188" s="22">
        <v>0</v>
      </c>
      <c r="G188" s="462" t="str">
        <f>+'6. INSUMOS VALORADOS'!B618</f>
        <v>Mantenimiento preventivo, rutinario y correctivo del sistema de riego Paquishapa</v>
      </c>
      <c r="H188" s="492"/>
      <c r="I188" s="493">
        <f>+'6. INSUMOS VALORADOS'!G633</f>
        <v>4726.4000000000005</v>
      </c>
      <c r="J188" s="390"/>
      <c r="K188"/>
      <c r="L188"/>
    </row>
    <row r="189" spans="1:12" ht="15">
      <c r="A189" s="7"/>
      <c r="B189" s="132"/>
      <c r="C189" s="132"/>
      <c r="D189" s="133"/>
      <c r="E189" s="134"/>
      <c r="F189" s="134"/>
      <c r="G189" s="460"/>
      <c r="H189" s="490"/>
      <c r="I189" s="491"/>
      <c r="J189" s="461"/>
      <c r="K189"/>
      <c r="L189"/>
    </row>
    <row r="190" spans="1:12" ht="31.5" customHeight="1">
      <c r="A190" s="7"/>
      <c r="B190" s="20">
        <v>750102</v>
      </c>
      <c r="C190" s="20">
        <v>1100</v>
      </c>
      <c r="D190" s="21">
        <v>1</v>
      </c>
      <c r="E190" s="22">
        <v>0</v>
      </c>
      <c r="F190" s="22">
        <v>0</v>
      </c>
      <c r="G190" s="462" t="str">
        <f>+'6. INSUMOS VALORADOS'!B640</f>
        <v>Mantenimiento preventivo, rutinario y correctivo del sistema de riego Limas-Conduriacu</v>
      </c>
      <c r="H190" s="492"/>
      <c r="I190" s="493">
        <f>+'6. INSUMOS VALORADOS'!G664</f>
        <v>6512.8000000000011</v>
      </c>
      <c r="J190" s="390"/>
      <c r="K190"/>
      <c r="L190"/>
    </row>
    <row r="191" spans="1:12" ht="15">
      <c r="A191" s="7"/>
      <c r="B191" s="132"/>
      <c r="C191" s="132"/>
      <c r="D191" s="133"/>
      <c r="E191" s="134"/>
      <c r="F191" s="134"/>
      <c r="G191" s="460"/>
      <c r="H191" s="490"/>
      <c r="I191" s="491"/>
      <c r="J191" s="461"/>
      <c r="K191"/>
      <c r="L191"/>
    </row>
    <row r="192" spans="1:12" ht="27" customHeight="1">
      <c r="A192" s="7"/>
      <c r="B192" s="20">
        <v>750102</v>
      </c>
      <c r="C192" s="20">
        <v>1100</v>
      </c>
      <c r="D192" s="21">
        <v>1</v>
      </c>
      <c r="E192" s="22">
        <v>0</v>
      </c>
      <c r="F192" s="22">
        <v>0</v>
      </c>
      <c r="G192" s="462" t="str">
        <f>+'6. INSUMOS VALORADOS'!B667</f>
        <v>Mantenimiento preventivo, rutinario y correctivo del sistema de riego Sanambay-Jimbura</v>
      </c>
      <c r="H192" s="492"/>
      <c r="I192" s="493">
        <f>+'6. INSUMOS VALORADOS'!G689</f>
        <v>9035.0399999999991</v>
      </c>
      <c r="J192" s="390"/>
      <c r="K192"/>
      <c r="L192"/>
    </row>
    <row r="193" spans="1:14" ht="15">
      <c r="A193" s="7"/>
      <c r="B193" s="132"/>
      <c r="C193" s="132"/>
      <c r="D193" s="133"/>
      <c r="E193" s="134"/>
      <c r="F193" s="134"/>
      <c r="G193" s="460"/>
      <c r="H193" s="490"/>
      <c r="I193" s="491"/>
      <c r="J193" s="461"/>
      <c r="K193"/>
      <c r="L193"/>
    </row>
    <row r="194" spans="1:14" ht="35.25" customHeight="1">
      <c r="A194" s="7"/>
      <c r="B194" s="20">
        <v>750102</v>
      </c>
      <c r="C194" s="20">
        <v>1100</v>
      </c>
      <c r="D194" s="21">
        <v>1</v>
      </c>
      <c r="E194" s="22">
        <v>0</v>
      </c>
      <c r="F194" s="22">
        <v>0</v>
      </c>
      <c r="G194" s="462" t="str">
        <f>+'6. INSUMOS VALORADOS'!B695</f>
        <v>Mantenimiento preventivo, rutinario y correctivo del sistema de riego El Ingenio</v>
      </c>
      <c r="H194" s="492"/>
      <c r="I194" s="493">
        <f>+'6. INSUMOS VALORADOS'!G716</f>
        <v>9852.6400000000012</v>
      </c>
      <c r="J194" s="390"/>
      <c r="K194"/>
      <c r="L194"/>
    </row>
    <row r="195" spans="1:14" ht="15">
      <c r="A195" s="7"/>
      <c r="B195" s="132"/>
      <c r="C195" s="132"/>
      <c r="D195" s="133"/>
      <c r="E195" s="134"/>
      <c r="F195" s="134"/>
      <c r="G195" s="460"/>
      <c r="H195" s="490"/>
      <c r="I195" s="491"/>
      <c r="J195" s="461"/>
      <c r="K195"/>
      <c r="L195"/>
    </row>
    <row r="196" spans="1:14" ht="27" customHeight="1">
      <c r="A196" s="7"/>
      <c r="B196" s="20">
        <v>750102</v>
      </c>
      <c r="C196" s="20">
        <v>1100</v>
      </c>
      <c r="D196" s="21">
        <v>1</v>
      </c>
      <c r="E196" s="22">
        <v>0</v>
      </c>
      <c r="F196" s="22">
        <v>0</v>
      </c>
      <c r="G196" s="462" t="str">
        <f>+'6. INSUMOS VALORADOS'!B721</f>
        <v>Mantenimiento preventivo, rutinario y correctivo del sistema de riego La Papaya</v>
      </c>
      <c r="H196" s="492"/>
      <c r="I196" s="493">
        <f>+'6. INSUMOS VALORADOS'!G745</f>
        <v>10862.880000000001</v>
      </c>
      <c r="J196" s="390"/>
      <c r="K196"/>
      <c r="L196"/>
    </row>
    <row r="197" spans="1:14" ht="12.75" customHeight="1">
      <c r="A197" s="7"/>
      <c r="B197" s="132"/>
      <c r="C197" s="132"/>
      <c r="D197" s="133"/>
      <c r="E197" s="134"/>
      <c r="F197" s="134"/>
      <c r="G197" s="460"/>
      <c r="H197" s="490"/>
      <c r="I197" s="491"/>
      <c r="J197" s="461"/>
      <c r="K197"/>
      <c r="L197"/>
    </row>
    <row r="198" spans="1:14" ht="27" customHeight="1">
      <c r="A198" s="7"/>
      <c r="B198" s="20">
        <v>750102</v>
      </c>
      <c r="C198" s="20">
        <v>1100</v>
      </c>
      <c r="D198" s="21">
        <v>1</v>
      </c>
      <c r="E198" s="22">
        <v>0</v>
      </c>
      <c r="F198" s="22">
        <v>0</v>
      </c>
      <c r="G198" s="462" t="str">
        <f>+'6. INSUMOS VALORADOS'!B749</f>
        <v>Mantenimiento preventivo, rutinario y correctivo del sistema de riego Cochas - San Vicente</v>
      </c>
      <c r="H198" s="492"/>
      <c r="I198" s="493">
        <f>+'6. INSUMOS VALORADOS'!G773</f>
        <v>11854.64</v>
      </c>
      <c r="J198" s="390"/>
      <c r="K198"/>
      <c r="L198"/>
    </row>
    <row r="199" spans="1:14" ht="15" customHeight="1">
      <c r="A199" s="7"/>
      <c r="B199" s="132"/>
      <c r="C199" s="132"/>
      <c r="D199" s="133"/>
      <c r="E199" s="134"/>
      <c r="F199" s="134"/>
      <c r="G199" s="460"/>
      <c r="H199" s="490"/>
      <c r="I199" s="491"/>
      <c r="J199" s="461"/>
      <c r="K199"/>
      <c r="L199"/>
    </row>
    <row r="200" spans="1:14" ht="27" customHeight="1">
      <c r="A200" s="7"/>
      <c r="B200" s="20">
        <v>750102</v>
      </c>
      <c r="C200" s="20">
        <v>1100</v>
      </c>
      <c r="D200" s="21">
        <v>1</v>
      </c>
      <c r="E200" s="22">
        <v>0</v>
      </c>
      <c r="F200" s="22">
        <v>0</v>
      </c>
      <c r="G200" s="462" t="str">
        <f>+'6. INSUMOS VALORADOS'!B777</f>
        <v>Mantenimiento preventivo, rutinario y correctivo del sistema de riego La Palmira</v>
      </c>
      <c r="H200" s="492"/>
      <c r="I200" s="493">
        <f>+'6. INSUMOS VALORADOS'!G800</f>
        <v>4114.8800000000019</v>
      </c>
      <c r="J200" s="390"/>
      <c r="K200"/>
      <c r="L200"/>
    </row>
    <row r="201" spans="1:14" ht="12.75" customHeight="1">
      <c r="A201" s="7"/>
      <c r="B201" s="132"/>
      <c r="C201" s="132"/>
      <c r="D201" s="133"/>
      <c r="E201" s="134"/>
      <c r="F201" s="134"/>
      <c r="G201" s="460"/>
      <c r="H201" s="490"/>
      <c r="I201" s="491"/>
      <c r="J201" s="461"/>
      <c r="K201"/>
      <c r="L201"/>
    </row>
    <row r="202" spans="1:14" ht="27" customHeight="1">
      <c r="A202" s="7"/>
      <c r="B202" s="20">
        <v>750102</v>
      </c>
      <c r="C202" s="20">
        <v>1100</v>
      </c>
      <c r="D202" s="21">
        <v>1</v>
      </c>
      <c r="E202" s="22">
        <v>0</v>
      </c>
      <c r="F202" s="22">
        <v>0</v>
      </c>
      <c r="G202" s="462" t="str">
        <f>+'6. INSUMOS VALORADOS'!B804</f>
        <v>Mantenimiento preventivo, rutinario y correctivo del sistema de riego Campana-Malacatos</v>
      </c>
      <c r="H202" s="492"/>
      <c r="I202" s="493">
        <f>+'6. INSUMOS VALORADOS'!G843</f>
        <v>13762.559999999998</v>
      </c>
      <c r="J202" s="390"/>
      <c r="K202"/>
      <c r="L202"/>
    </row>
    <row r="203" spans="1:14" ht="15.75" customHeight="1">
      <c r="A203" s="7"/>
      <c r="B203" s="132"/>
      <c r="C203" s="132"/>
      <c r="D203" s="133"/>
      <c r="E203" s="134"/>
      <c r="F203" s="134"/>
      <c r="G203" s="460"/>
      <c r="H203" s="490"/>
      <c r="I203" s="491"/>
      <c r="J203" s="461"/>
      <c r="K203"/>
      <c r="L203"/>
    </row>
    <row r="204" spans="1:14" ht="30.75" customHeight="1">
      <c r="A204" s="7"/>
      <c r="B204" s="20">
        <v>750102</v>
      </c>
      <c r="C204" s="20">
        <v>1100</v>
      </c>
      <c r="D204" s="21">
        <v>1</v>
      </c>
      <c r="E204" s="22">
        <v>0</v>
      </c>
      <c r="F204" s="22">
        <v>0</v>
      </c>
      <c r="G204" s="462" t="str">
        <f>+'6. INSUMOS VALORADOS'!B846</f>
        <v>Mantenimiento preventivo, rutinario y correctivo del sistema de riego Quinara-Tumianuma</v>
      </c>
      <c r="H204" s="492"/>
      <c r="I204" s="493">
        <f>+'6. INSUMOS VALORADOS'!G865</f>
        <v>5115.04</v>
      </c>
      <c r="J204" s="390"/>
      <c r="K204"/>
      <c r="L204"/>
    </row>
    <row r="205" spans="1:14" ht="14.25" customHeight="1">
      <c r="A205" s="7"/>
      <c r="B205" s="132"/>
      <c r="C205" s="132"/>
      <c r="D205" s="133"/>
      <c r="E205" s="134"/>
      <c r="F205" s="134"/>
      <c r="G205" s="460"/>
      <c r="H205" s="490"/>
      <c r="I205" s="491"/>
      <c r="J205" s="461"/>
      <c r="K205"/>
      <c r="L205"/>
    </row>
    <row r="206" spans="1:14" ht="27" customHeight="1">
      <c r="A206" s="7"/>
      <c r="B206" s="20">
        <v>750102</v>
      </c>
      <c r="C206" s="20">
        <v>1100</v>
      </c>
      <c r="D206" s="21">
        <v>1</v>
      </c>
      <c r="E206" s="22">
        <v>0</v>
      </c>
      <c r="F206" s="22">
        <v>0</v>
      </c>
      <c r="G206" s="462" t="str">
        <f>+'6. INSUMOS VALORADOS'!B868</f>
        <v>Mantenimiento preventivo, rutinario y correctivo del sistema de riego La Era</v>
      </c>
      <c r="H206" s="492"/>
      <c r="I206" s="493">
        <f>+'6. INSUMOS VALORADOS'!G905</f>
        <v>14472.64</v>
      </c>
      <c r="J206" s="390"/>
      <c r="K206"/>
      <c r="L206"/>
      <c r="N206" s="61"/>
    </row>
    <row r="207" spans="1:14" ht="11.25" customHeight="1">
      <c r="A207" s="7"/>
      <c r="B207" s="59"/>
      <c r="C207" s="59"/>
      <c r="D207" s="59"/>
      <c r="E207" s="59"/>
      <c r="F207" s="59"/>
      <c r="G207" s="59"/>
      <c r="H207" s="66"/>
      <c r="I207" s="66"/>
      <c r="J207" s="66"/>
      <c r="K207"/>
      <c r="L207"/>
      <c r="M207"/>
    </row>
    <row r="208" spans="1:14" ht="27" customHeight="1">
      <c r="A208" s="7"/>
      <c r="B208" s="727" t="s">
        <v>1069</v>
      </c>
      <c r="C208" s="728"/>
      <c r="D208" s="728"/>
      <c r="E208" s="728"/>
      <c r="F208" s="728"/>
      <c r="G208" s="728"/>
      <c r="H208" s="728"/>
      <c r="I208" s="729"/>
      <c r="J208" s="552">
        <f>+J147+J130</f>
        <v>727556.99040000036</v>
      </c>
      <c r="K208"/>
      <c r="L208"/>
      <c r="M208"/>
    </row>
    <row r="209" spans="1:16" ht="15">
      <c r="A209" s="7"/>
      <c r="B209" s="463"/>
      <c r="C209" s="463"/>
      <c r="D209" s="464"/>
      <c r="E209" s="465"/>
      <c r="F209" s="463"/>
      <c r="G209" s="463"/>
      <c r="H209" s="494"/>
      <c r="I209" s="494"/>
      <c r="J209" s="478"/>
      <c r="K209"/>
      <c r="L209"/>
      <c r="M209"/>
    </row>
    <row r="210" spans="1:16" ht="25.5" customHeight="1">
      <c r="A210" s="7"/>
      <c r="B210" s="463"/>
      <c r="C210" s="463"/>
      <c r="D210" s="464"/>
      <c r="E210" s="466"/>
      <c r="F210" s="65"/>
      <c r="G210" s="553" t="s">
        <v>250</v>
      </c>
      <c r="H210" s="554"/>
      <c r="I210" s="725">
        <f>+J208+J106</f>
        <v>1623809.5200000005</v>
      </c>
      <c r="J210" s="726"/>
      <c r="K210"/>
      <c r="L210"/>
      <c r="M210"/>
      <c r="N210"/>
      <c r="O210"/>
    </row>
    <row r="211" spans="1:16" ht="15">
      <c r="A211" s="7"/>
      <c r="B211" s="7"/>
      <c r="C211" s="7"/>
      <c r="D211" s="29"/>
      <c r="E211" s="30"/>
      <c r="F211" s="5"/>
      <c r="G211"/>
      <c r="H211" s="15"/>
      <c r="I211"/>
      <c r="J211"/>
      <c r="K211"/>
      <c r="L211"/>
      <c r="M211"/>
      <c r="N211"/>
      <c r="O211"/>
    </row>
    <row r="212" spans="1:16" ht="15">
      <c r="A212" s="7"/>
      <c r="B212" s="7"/>
      <c r="C212" s="7"/>
      <c r="D212" s="32"/>
      <c r="E212" s="33"/>
      <c r="F212" s="34"/>
      <c r="G212"/>
      <c r="H212" s="15"/>
      <c r="I212"/>
      <c r="J212"/>
      <c r="K212"/>
      <c r="L212"/>
      <c r="M212"/>
      <c r="N212"/>
      <c r="O212"/>
    </row>
    <row r="213" spans="1:16" ht="15">
      <c r="A213" s="7"/>
      <c r="B213"/>
      <c r="C213"/>
      <c r="D213"/>
      <c r="E213"/>
      <c r="F213"/>
      <c r="G213"/>
      <c r="H213" s="15"/>
      <c r="I213" s="495"/>
      <c r="J213" s="495"/>
      <c r="L213"/>
      <c r="M213"/>
      <c r="N213"/>
      <c r="O213"/>
      <c r="P213" s="53"/>
    </row>
    <row r="214" spans="1:16" ht="15">
      <c r="A214" s="7"/>
      <c r="B214"/>
      <c r="C214"/>
      <c r="D214"/>
      <c r="E214"/>
      <c r="F214"/>
      <c r="G214"/>
      <c r="H214" s="15"/>
      <c r="I214" s="495"/>
      <c r="J214" s="495"/>
      <c r="L214"/>
      <c r="M214"/>
      <c r="N214"/>
      <c r="O214"/>
    </row>
    <row r="215" spans="1:16" ht="15">
      <c r="A215" s="7"/>
      <c r="B215"/>
      <c r="C215"/>
      <c r="D215"/>
      <c r="E215"/>
      <c r="F215"/>
      <c r="L215"/>
      <c r="M215"/>
      <c r="N215"/>
      <c r="O215"/>
    </row>
    <row r="216" spans="1:16" ht="18.75">
      <c r="A216" s="7"/>
      <c r="B216" s="730" t="s">
        <v>73</v>
      </c>
      <c r="C216" s="730"/>
      <c r="D216" s="730"/>
      <c r="E216" s="730"/>
      <c r="F216" s="730"/>
      <c r="G216"/>
      <c r="L216"/>
      <c r="M216"/>
      <c r="N216"/>
      <c r="O216"/>
    </row>
    <row r="217" spans="1:16" ht="18.75">
      <c r="A217" s="7"/>
      <c r="B217" s="741" t="s">
        <v>34</v>
      </c>
      <c r="C217" s="741"/>
      <c r="D217" s="741"/>
      <c r="E217" s="741"/>
      <c r="F217" s="741"/>
      <c r="L217"/>
      <c r="M217"/>
      <c r="N217"/>
      <c r="O217"/>
    </row>
    <row r="218" spans="1:16" ht="15">
      <c r="A218" s="7"/>
      <c r="B218" s="520" t="s">
        <v>239</v>
      </c>
      <c r="C218" s="722" t="s">
        <v>240</v>
      </c>
      <c r="D218" s="722"/>
      <c r="E218" s="722"/>
      <c r="F218" s="521" t="s">
        <v>99</v>
      </c>
      <c r="L218"/>
      <c r="M218"/>
      <c r="N218"/>
      <c r="O218"/>
    </row>
    <row r="219" spans="1:16" ht="15">
      <c r="A219" s="7"/>
      <c r="B219" s="522">
        <v>1</v>
      </c>
      <c r="C219" s="723" t="s">
        <v>241</v>
      </c>
      <c r="D219" s="723"/>
      <c r="E219" s="723"/>
      <c r="F219" s="518">
        <v>681999.99840000004</v>
      </c>
      <c r="K219" s="53"/>
      <c r="L219"/>
      <c r="M219"/>
      <c r="N219"/>
      <c r="O219"/>
    </row>
    <row r="220" spans="1:16" ht="15">
      <c r="A220" s="7"/>
      <c r="B220" s="522">
        <v>2</v>
      </c>
      <c r="C220" s="723" t="s">
        <v>242</v>
      </c>
      <c r="D220" s="723"/>
      <c r="E220" s="723"/>
      <c r="F220" s="518">
        <v>941809.52159999998</v>
      </c>
      <c r="L220"/>
      <c r="M220"/>
      <c r="N220"/>
      <c r="O220"/>
    </row>
    <row r="221" spans="1:16" ht="15">
      <c r="A221" s="7"/>
      <c r="B221" s="522">
        <v>3</v>
      </c>
      <c r="C221" s="723" t="s">
        <v>1109</v>
      </c>
      <c r="D221" s="723"/>
      <c r="E221" s="723"/>
      <c r="F221" s="518">
        <v>0</v>
      </c>
      <c r="L221"/>
      <c r="M221"/>
      <c r="N221"/>
      <c r="O221"/>
    </row>
    <row r="222" spans="1:16" ht="18" customHeight="1">
      <c r="A222" s="7"/>
      <c r="B222" s="724" t="s">
        <v>256</v>
      </c>
      <c r="C222" s="724"/>
      <c r="D222" s="724"/>
      <c r="E222" s="724"/>
      <c r="F222" s="519">
        <f>SUM(F219:F221)</f>
        <v>1623809.52</v>
      </c>
      <c r="L222"/>
      <c r="M222"/>
      <c r="N222"/>
      <c r="O222"/>
    </row>
    <row r="223" spans="1:16" ht="18" customHeight="1">
      <c r="A223"/>
      <c r="B223"/>
      <c r="C223"/>
      <c r="D223"/>
      <c r="E223"/>
      <c r="F223"/>
      <c r="G223"/>
      <c r="L223"/>
      <c r="M223"/>
      <c r="N223"/>
      <c r="O223"/>
    </row>
    <row r="224" spans="1:16" ht="18.75">
      <c r="A224" s="7"/>
      <c r="B224" s="742" t="s">
        <v>243</v>
      </c>
      <c r="C224" s="742"/>
      <c r="D224" s="742"/>
      <c r="E224" s="742"/>
      <c r="F224" s="742"/>
      <c r="L224"/>
      <c r="M224"/>
      <c r="N224"/>
      <c r="O224"/>
    </row>
    <row r="225" spans="1:22" ht="34.5" customHeight="1">
      <c r="A225" s="7"/>
      <c r="B225" s="522">
        <v>51</v>
      </c>
      <c r="C225" s="746" t="s">
        <v>244</v>
      </c>
      <c r="D225" s="747"/>
      <c r="E225" s="748"/>
      <c r="F225" s="518">
        <f>+J12</f>
        <v>387126.21919999999</v>
      </c>
      <c r="L225"/>
      <c r="M225"/>
      <c r="N225"/>
      <c r="O225"/>
    </row>
    <row r="226" spans="1:22" ht="26.25" customHeight="1">
      <c r="A226" s="7"/>
      <c r="B226" s="522">
        <v>71</v>
      </c>
      <c r="C226" s="746" t="s">
        <v>245</v>
      </c>
      <c r="D226" s="747"/>
      <c r="E226" s="748"/>
      <c r="F226" s="518">
        <f>+J25+J44+J55</f>
        <v>346908.74239999999</v>
      </c>
      <c r="L226"/>
      <c r="M226"/>
      <c r="N226"/>
      <c r="O226"/>
    </row>
    <row r="227" spans="1:22" ht="16.5" customHeight="1">
      <c r="A227" s="7"/>
      <c r="B227" s="522">
        <v>73</v>
      </c>
      <c r="C227" s="743" t="s">
        <v>246</v>
      </c>
      <c r="D227" s="744"/>
      <c r="E227" s="745"/>
      <c r="F227" s="518">
        <f>+J69</f>
        <v>129385.70240000001</v>
      </c>
      <c r="L227"/>
      <c r="M227"/>
      <c r="N227"/>
      <c r="O227"/>
    </row>
    <row r="228" spans="1:22" ht="16.5" customHeight="1">
      <c r="A228" s="7"/>
      <c r="B228" s="522">
        <v>75</v>
      </c>
      <c r="C228" s="743" t="s">
        <v>247</v>
      </c>
      <c r="D228" s="744"/>
      <c r="E228" s="745"/>
      <c r="F228" s="518">
        <f>+J130+J147</f>
        <v>727556.99040000036</v>
      </c>
      <c r="L228"/>
      <c r="M228"/>
      <c r="N228"/>
      <c r="O228"/>
    </row>
    <row r="229" spans="1:22" ht="16.5">
      <c r="A229" s="7"/>
      <c r="B229" s="522">
        <v>77</v>
      </c>
      <c r="C229" s="523" t="s">
        <v>248</v>
      </c>
      <c r="D229" s="524"/>
      <c r="E229" s="76"/>
      <c r="F229" s="518">
        <f>+J99</f>
        <v>32831.865600000005</v>
      </c>
      <c r="L229"/>
      <c r="M229"/>
      <c r="N229"/>
      <c r="O229"/>
    </row>
    <row r="230" spans="1:22" ht="15.75">
      <c r="A230" s="7"/>
      <c r="B230" s="724" t="s">
        <v>257</v>
      </c>
      <c r="C230" s="724"/>
      <c r="D230" s="724"/>
      <c r="E230" s="724"/>
      <c r="F230" s="519">
        <f>SUM(F225:F229)</f>
        <v>1623809.5200000003</v>
      </c>
      <c r="H230" s="15"/>
      <c r="I230" s="495"/>
      <c r="J230" s="495"/>
      <c r="L230"/>
      <c r="M230"/>
      <c r="N230"/>
      <c r="O230"/>
    </row>
    <row r="231" spans="1:22" ht="15">
      <c r="A231" s="7"/>
      <c r="B231"/>
      <c r="C231"/>
      <c r="D231"/>
      <c r="E231"/>
      <c r="G231"/>
      <c r="H231" s="15"/>
      <c r="I231" s="495"/>
      <c r="J231" s="496"/>
      <c r="L231"/>
      <c r="M231"/>
      <c r="N231"/>
      <c r="O231"/>
    </row>
    <row r="232" spans="1:22" ht="15">
      <c r="A232" s="7"/>
      <c r="B232"/>
      <c r="C232"/>
      <c r="D232"/>
      <c r="E232"/>
      <c r="F232"/>
      <c r="G232"/>
      <c r="H232" s="15"/>
      <c r="I232" s="497"/>
      <c r="J232" s="495"/>
      <c r="L232"/>
      <c r="M232"/>
      <c r="N232"/>
      <c r="O232"/>
      <c r="P232"/>
      <c r="Q232"/>
      <c r="R232"/>
      <c r="S232"/>
      <c r="T232"/>
      <c r="U232"/>
      <c r="V232"/>
    </row>
    <row r="233" spans="1:22" ht="15">
      <c r="A233" s="7"/>
      <c r="H233" s="15"/>
      <c r="I233" s="497"/>
      <c r="J233" s="495"/>
      <c r="K233"/>
      <c r="L233"/>
      <c r="M233"/>
      <c r="N233"/>
      <c r="O233"/>
      <c r="P233"/>
      <c r="Q233"/>
      <c r="R233"/>
      <c r="S233"/>
      <c r="T233"/>
      <c r="U233"/>
      <c r="V233"/>
    </row>
    <row r="234" spans="1:22" ht="15">
      <c r="A234" s="7"/>
      <c r="B234"/>
      <c r="C234"/>
      <c r="D234"/>
      <c r="E234"/>
      <c r="F234"/>
      <c r="G234"/>
      <c r="H234" s="15"/>
      <c r="I234" s="498"/>
      <c r="J234" s="15"/>
      <c r="K234"/>
      <c r="L234"/>
      <c r="M234"/>
      <c r="N234"/>
      <c r="O234"/>
      <c r="P234"/>
      <c r="Q234"/>
      <c r="R234"/>
      <c r="S234"/>
      <c r="T234"/>
      <c r="U234"/>
      <c r="V234"/>
    </row>
    <row r="235" spans="1:22" ht="21.75" customHeight="1">
      <c r="A235" s="7"/>
      <c r="B235"/>
      <c r="C235"/>
      <c r="D235"/>
      <c r="E235"/>
      <c r="F235"/>
      <c r="G235"/>
      <c r="H235" s="15"/>
      <c r="I235" s="498"/>
      <c r="J235" s="15"/>
      <c r="L235"/>
      <c r="M235"/>
      <c r="N235"/>
      <c r="O235"/>
      <c r="P235"/>
      <c r="Q235"/>
      <c r="R235"/>
      <c r="S235"/>
      <c r="T235"/>
      <c r="U235"/>
      <c r="V235"/>
    </row>
    <row r="236" spans="1:22" ht="15">
      <c r="A236" s="7"/>
      <c r="B236"/>
      <c r="C236"/>
      <c r="D236"/>
      <c r="E236"/>
      <c r="F236"/>
      <c r="G236"/>
      <c r="H236" s="15"/>
      <c r="I236" s="498"/>
      <c r="J236" s="15"/>
      <c r="L236"/>
      <c r="M236"/>
      <c r="N236"/>
      <c r="O236"/>
      <c r="P236"/>
      <c r="Q236"/>
      <c r="R236"/>
      <c r="S236"/>
      <c r="T236"/>
      <c r="U236"/>
      <c r="V236"/>
    </row>
    <row r="237" spans="1:22" ht="15">
      <c r="A237" s="7"/>
      <c r="B237"/>
      <c r="C237"/>
      <c r="D237"/>
      <c r="E237"/>
      <c r="F237"/>
      <c r="G237"/>
      <c r="H237" s="15"/>
      <c r="I237" s="498"/>
      <c r="J237" s="15"/>
      <c r="L237"/>
      <c r="M237"/>
      <c r="N237"/>
      <c r="O237"/>
      <c r="P237"/>
      <c r="Q237"/>
      <c r="R237"/>
      <c r="S237"/>
      <c r="T237"/>
      <c r="U237"/>
      <c r="V237"/>
    </row>
    <row r="238" spans="1:22" ht="15">
      <c r="A238" s="7"/>
      <c r="B238"/>
      <c r="C238"/>
      <c r="D238"/>
      <c r="E238"/>
      <c r="F238"/>
      <c r="G238"/>
      <c r="H238" s="15"/>
      <c r="I238" s="15"/>
      <c r="J238" s="15"/>
      <c r="L238"/>
      <c r="M238"/>
      <c r="N238"/>
      <c r="O238"/>
      <c r="P238"/>
      <c r="Q238"/>
      <c r="R238"/>
      <c r="S238"/>
      <c r="T238"/>
      <c r="U238"/>
      <c r="V238"/>
    </row>
    <row r="239" spans="1:22" ht="15">
      <c r="A239" s="7"/>
      <c r="B239"/>
      <c r="C239"/>
      <c r="D239"/>
      <c r="E239"/>
      <c r="F239"/>
      <c r="G239"/>
      <c r="H239" s="15"/>
      <c r="I239" s="15"/>
      <c r="J239" s="15"/>
      <c r="O239"/>
      <c r="P239"/>
      <c r="Q239"/>
      <c r="R239"/>
      <c r="S239"/>
      <c r="T239"/>
      <c r="U239"/>
      <c r="V239"/>
    </row>
    <row r="240" spans="1:22" ht="15">
      <c r="A240" s="7"/>
      <c r="B240"/>
      <c r="C240"/>
      <c r="D240"/>
      <c r="E240"/>
      <c r="F240"/>
      <c r="G240"/>
      <c r="H240" s="15"/>
      <c r="I240" s="15"/>
      <c r="J240" s="15"/>
      <c r="O240"/>
      <c r="P240"/>
      <c r="Q240"/>
      <c r="R240"/>
      <c r="S240"/>
      <c r="T240"/>
      <c r="U240"/>
      <c r="V240"/>
    </row>
    <row r="241" spans="1:22" ht="15">
      <c r="A241" s="7"/>
      <c r="B241"/>
      <c r="C241"/>
      <c r="D241"/>
      <c r="E241"/>
      <c r="F241"/>
      <c r="G241"/>
      <c r="H241" s="15"/>
      <c r="I241" s="15"/>
      <c r="J241" s="15"/>
      <c r="O241"/>
      <c r="P241"/>
      <c r="Q241"/>
      <c r="R241"/>
      <c r="S241"/>
      <c r="T241"/>
      <c r="U241"/>
      <c r="V241"/>
    </row>
    <row r="242" spans="1:22" ht="15">
      <c r="A242" s="7"/>
      <c r="B242"/>
      <c r="C242"/>
      <c r="D242"/>
      <c r="E242"/>
      <c r="F242"/>
      <c r="G242"/>
      <c r="H242" s="15"/>
      <c r="I242" s="15"/>
      <c r="J242" s="15"/>
      <c r="O242"/>
      <c r="P242"/>
      <c r="Q242"/>
      <c r="R242"/>
      <c r="S242"/>
      <c r="T242"/>
      <c r="U242"/>
      <c r="V242"/>
    </row>
    <row r="243" spans="1:22" ht="15">
      <c r="A243" s="7"/>
      <c r="B243"/>
      <c r="C243"/>
      <c r="D243"/>
      <c r="E243"/>
      <c r="F243"/>
      <c r="G243"/>
      <c r="H243" s="15"/>
      <c r="I243" s="15"/>
      <c r="J243" s="15"/>
      <c r="O243"/>
      <c r="P243"/>
      <c r="Q243"/>
      <c r="R243"/>
      <c r="S243"/>
      <c r="T243"/>
      <c r="U243"/>
      <c r="V243"/>
    </row>
    <row r="244" spans="1:22" ht="15">
      <c r="A244" s="7"/>
      <c r="B244"/>
      <c r="C244"/>
      <c r="D244"/>
      <c r="E244"/>
      <c r="F244"/>
      <c r="G244"/>
      <c r="H244" s="15"/>
      <c r="I244" s="15"/>
      <c r="J244" s="15"/>
      <c r="O244"/>
      <c r="P244"/>
      <c r="Q244"/>
      <c r="R244"/>
      <c r="S244"/>
      <c r="T244"/>
      <c r="U244"/>
      <c r="V244"/>
    </row>
    <row r="245" spans="1:22" ht="15">
      <c r="A245" s="7"/>
      <c r="B245"/>
      <c r="C245"/>
      <c r="D245"/>
      <c r="E245"/>
      <c r="F245"/>
      <c r="G245"/>
      <c r="H245" s="15"/>
      <c r="I245" s="15"/>
      <c r="J245" s="15"/>
      <c r="O245"/>
      <c r="P245"/>
      <c r="Q245"/>
      <c r="R245"/>
      <c r="S245"/>
      <c r="T245"/>
      <c r="U245"/>
      <c r="V245"/>
    </row>
    <row r="246" spans="1:22" ht="15">
      <c r="A246" s="7"/>
      <c r="B246"/>
      <c r="C246"/>
      <c r="D246"/>
      <c r="E246"/>
      <c r="F246"/>
      <c r="G246"/>
      <c r="H246" s="15"/>
      <c r="I246" s="15"/>
      <c r="J246" s="15"/>
      <c r="O246"/>
      <c r="P246"/>
      <c r="Q246"/>
      <c r="R246"/>
      <c r="S246"/>
      <c r="T246"/>
      <c r="U246"/>
      <c r="V246"/>
    </row>
    <row r="247" spans="1:22" ht="15">
      <c r="A247" s="7"/>
      <c r="B247"/>
      <c r="C247"/>
      <c r="D247"/>
      <c r="E247"/>
      <c r="F247"/>
      <c r="G247"/>
      <c r="H247" s="15"/>
      <c r="I247" s="15"/>
      <c r="J247" s="15"/>
      <c r="O247"/>
      <c r="P247"/>
      <c r="Q247"/>
      <c r="R247"/>
      <c r="S247"/>
      <c r="T247"/>
      <c r="U247"/>
      <c r="V247"/>
    </row>
    <row r="248" spans="1:22" ht="15">
      <c r="A248" s="7"/>
      <c r="B248"/>
      <c r="C248"/>
      <c r="D248"/>
      <c r="E248"/>
      <c r="F248"/>
      <c r="G248"/>
      <c r="H248" s="15"/>
      <c r="I248" s="15"/>
      <c r="J248" s="15"/>
      <c r="O248"/>
      <c r="P248"/>
      <c r="Q248"/>
      <c r="R248"/>
      <c r="S248"/>
      <c r="T248"/>
      <c r="U248"/>
      <c r="V248"/>
    </row>
    <row r="249" spans="1:22" ht="15">
      <c r="A249" s="7"/>
      <c r="B249"/>
      <c r="C249"/>
      <c r="D249"/>
      <c r="E249"/>
      <c r="F249"/>
      <c r="G249"/>
      <c r="H249" s="15"/>
      <c r="I249" s="15"/>
      <c r="J249" s="15"/>
      <c r="O249"/>
      <c r="P249"/>
      <c r="Q249"/>
      <c r="R249"/>
      <c r="S249"/>
      <c r="T249"/>
      <c r="U249"/>
      <c r="V249"/>
    </row>
    <row r="250" spans="1:22" ht="15">
      <c r="A250" s="7"/>
      <c r="B250"/>
      <c r="C250"/>
      <c r="D250"/>
      <c r="E250"/>
      <c r="F250"/>
      <c r="G250"/>
      <c r="H250" s="15"/>
      <c r="I250" s="15"/>
      <c r="J250" s="15"/>
      <c r="O250"/>
      <c r="P250"/>
      <c r="Q250"/>
      <c r="R250"/>
      <c r="S250"/>
      <c r="T250"/>
      <c r="U250"/>
      <c r="V250"/>
    </row>
    <row r="251" spans="1:22" ht="31.5" customHeight="1">
      <c r="A251" s="7"/>
      <c r="B251"/>
      <c r="C251"/>
      <c r="D251"/>
      <c r="E251"/>
      <c r="F251"/>
      <c r="G251"/>
      <c r="H251"/>
      <c r="I251"/>
      <c r="J251"/>
      <c r="O251"/>
      <c r="P251"/>
      <c r="Q251"/>
      <c r="R251"/>
      <c r="S251"/>
      <c r="T251"/>
      <c r="U251"/>
      <c r="V251"/>
    </row>
    <row r="252" spans="1:22" ht="28.5" customHeight="1">
      <c r="A252" s="7"/>
      <c r="B252"/>
      <c r="C252"/>
      <c r="D252"/>
      <c r="E252"/>
      <c r="F252"/>
      <c r="G252"/>
      <c r="H252"/>
      <c r="I252"/>
      <c r="J252"/>
      <c r="O252"/>
      <c r="P252"/>
      <c r="Q252"/>
      <c r="R252"/>
      <c r="S252"/>
      <c r="T252"/>
      <c r="U252"/>
      <c r="V252"/>
    </row>
    <row r="253" spans="1:22" ht="30" customHeight="1">
      <c r="A253" s="7"/>
      <c r="B253"/>
      <c r="C253"/>
      <c r="D253"/>
      <c r="E253"/>
      <c r="F253"/>
      <c r="G253"/>
      <c r="H253"/>
      <c r="I253"/>
      <c r="J253"/>
      <c r="O253"/>
      <c r="P253"/>
      <c r="Q253"/>
      <c r="R253"/>
      <c r="S253"/>
      <c r="T253"/>
      <c r="U253"/>
      <c r="V253"/>
    </row>
    <row r="254" spans="1:22" ht="27" customHeight="1">
      <c r="A254" s="7"/>
      <c r="B254"/>
      <c r="C254"/>
      <c r="D254"/>
      <c r="E254"/>
      <c r="F254"/>
      <c r="G254"/>
      <c r="H254"/>
      <c r="I254"/>
      <c r="J254"/>
      <c r="L254" s="64"/>
      <c r="O254"/>
      <c r="P254"/>
      <c r="Q254"/>
      <c r="R254"/>
      <c r="S254"/>
      <c r="T254"/>
      <c r="U254"/>
      <c r="V254"/>
    </row>
    <row r="255" spans="1:22" ht="27" customHeight="1">
      <c r="A255" s="7"/>
      <c r="B255"/>
      <c r="C255"/>
      <c r="D255"/>
      <c r="E255"/>
      <c r="F255"/>
      <c r="G255"/>
      <c r="H255"/>
      <c r="I255"/>
      <c r="J255"/>
      <c r="O255"/>
      <c r="P255"/>
      <c r="Q255"/>
      <c r="R255"/>
      <c r="S255"/>
      <c r="T255"/>
      <c r="U255"/>
      <c r="V255"/>
    </row>
    <row r="256" spans="1:22" ht="27" customHeight="1">
      <c r="A256" s="7"/>
      <c r="B256"/>
      <c r="C256"/>
      <c r="D256"/>
      <c r="E256"/>
      <c r="F256"/>
      <c r="G256"/>
      <c r="H256"/>
      <c r="I256"/>
      <c r="J256"/>
      <c r="O256"/>
      <c r="P256"/>
      <c r="Q256"/>
      <c r="R256"/>
      <c r="S256"/>
      <c r="T256"/>
      <c r="U256"/>
      <c r="V256"/>
    </row>
    <row r="257" spans="1:22" ht="27" customHeight="1">
      <c r="A257" s="7"/>
      <c r="B257"/>
      <c r="C257"/>
      <c r="D257"/>
      <c r="E257"/>
      <c r="F257"/>
      <c r="G257"/>
      <c r="H257"/>
      <c r="I257"/>
      <c r="J257"/>
      <c r="O257"/>
      <c r="P257"/>
      <c r="Q257"/>
      <c r="R257"/>
      <c r="S257"/>
      <c r="T257"/>
      <c r="U257"/>
      <c r="V257"/>
    </row>
    <row r="258" spans="1:22" ht="27" customHeight="1">
      <c r="A258" s="7"/>
      <c r="B258"/>
      <c r="C258"/>
      <c r="D258"/>
      <c r="E258"/>
      <c r="F258"/>
      <c r="G258"/>
      <c r="H258"/>
      <c r="I258"/>
      <c r="J258"/>
      <c r="O258"/>
      <c r="P258"/>
      <c r="Q258"/>
      <c r="R258"/>
      <c r="S258"/>
      <c r="T258"/>
      <c r="U258"/>
      <c r="V258"/>
    </row>
    <row r="259" spans="1:22" ht="27" customHeight="1">
      <c r="A259" s="7"/>
      <c r="B259"/>
      <c r="C259"/>
      <c r="D259"/>
      <c r="E259"/>
      <c r="F259"/>
      <c r="G259"/>
      <c r="H259"/>
      <c r="I259"/>
      <c r="J259"/>
      <c r="L259" s="61"/>
      <c r="O259"/>
      <c r="P259"/>
      <c r="Q259"/>
      <c r="R259"/>
      <c r="S259"/>
      <c r="T259"/>
      <c r="U259"/>
      <c r="V259"/>
    </row>
    <row r="260" spans="1:22" ht="15">
      <c r="B260"/>
      <c r="C260"/>
      <c r="D260"/>
      <c r="E260"/>
      <c r="F260"/>
      <c r="G260"/>
      <c r="H260"/>
      <c r="I260"/>
      <c r="J260"/>
    </row>
    <row r="261" spans="1:22" ht="15">
      <c r="B261"/>
      <c r="C261"/>
      <c r="D261"/>
      <c r="E261"/>
      <c r="F261"/>
      <c r="G261"/>
      <c r="H261"/>
      <c r="I261"/>
      <c r="J261"/>
    </row>
    <row r="262" spans="1:22" ht="15">
      <c r="B262"/>
      <c r="C262"/>
      <c r="D262"/>
      <c r="E262"/>
      <c r="F262"/>
      <c r="G262"/>
      <c r="H262"/>
      <c r="I262"/>
      <c r="J262"/>
    </row>
    <row r="263" spans="1:22" ht="15">
      <c r="B263"/>
      <c r="C263"/>
      <c r="D263"/>
      <c r="E263"/>
      <c r="F263"/>
      <c r="G263"/>
      <c r="H263"/>
      <c r="I263"/>
      <c r="J263"/>
    </row>
    <row r="264" spans="1:22" ht="15">
      <c r="B264"/>
      <c r="C264"/>
      <c r="D264"/>
      <c r="E264"/>
      <c r="F264"/>
      <c r="G264"/>
      <c r="H264"/>
      <c r="I264"/>
      <c r="J264"/>
    </row>
    <row r="265" spans="1:22" ht="15">
      <c r="B265"/>
      <c r="C265"/>
      <c r="D265"/>
      <c r="E265"/>
      <c r="F265"/>
      <c r="G265"/>
      <c r="H265"/>
      <c r="I265"/>
      <c r="J265"/>
    </row>
    <row r="266" spans="1:22" ht="15">
      <c r="B266"/>
      <c r="C266"/>
      <c r="D266"/>
      <c r="E266"/>
      <c r="F266"/>
      <c r="G266"/>
      <c r="H266"/>
      <c r="I266"/>
      <c r="J266"/>
    </row>
    <row r="267" spans="1:22" ht="15">
      <c r="B267"/>
      <c r="C267"/>
      <c r="D267"/>
      <c r="E267"/>
      <c r="F267"/>
      <c r="G267"/>
      <c r="H267"/>
      <c r="I267"/>
      <c r="J267"/>
    </row>
    <row r="268" spans="1:22" ht="15">
      <c r="B268"/>
      <c r="C268"/>
      <c r="D268"/>
      <c r="E268"/>
      <c r="F268"/>
      <c r="G268"/>
      <c r="H268"/>
      <c r="I268"/>
      <c r="J268"/>
    </row>
    <row r="269" spans="1:22" ht="15">
      <c r="B269"/>
      <c r="C269"/>
      <c r="D269"/>
      <c r="E269"/>
      <c r="F269"/>
      <c r="G269"/>
      <c r="H269"/>
      <c r="I269"/>
      <c r="J269"/>
    </row>
    <row r="270" spans="1:22" ht="15">
      <c r="B270"/>
      <c r="C270"/>
      <c r="D270"/>
      <c r="E270"/>
      <c r="F270"/>
      <c r="G270"/>
      <c r="H270"/>
      <c r="I270"/>
      <c r="J270"/>
    </row>
    <row r="271" spans="1:22" ht="15">
      <c r="B271"/>
      <c r="C271"/>
      <c r="D271"/>
      <c r="E271"/>
      <c r="F271"/>
      <c r="G271"/>
      <c r="H271"/>
      <c r="I271"/>
      <c r="J271"/>
    </row>
    <row r="272" spans="1:22" ht="15">
      <c r="B272"/>
      <c r="C272"/>
      <c r="D272"/>
      <c r="E272"/>
      <c r="F272"/>
      <c r="G272"/>
      <c r="H272"/>
      <c r="I272"/>
      <c r="J272"/>
    </row>
    <row r="273" spans="2:10" ht="15">
      <c r="B273"/>
      <c r="C273"/>
      <c r="D273"/>
      <c r="E273"/>
      <c r="F273"/>
      <c r="G273"/>
      <c r="H273"/>
      <c r="I273"/>
      <c r="J273"/>
    </row>
    <row r="274" spans="2:10" ht="15">
      <c r="B274"/>
      <c r="C274"/>
      <c r="D274"/>
      <c r="E274"/>
      <c r="F274"/>
      <c r="G274"/>
      <c r="H274"/>
      <c r="I274"/>
      <c r="J274"/>
    </row>
    <row r="275" spans="2:10" ht="15">
      <c r="B275"/>
      <c r="C275"/>
      <c r="D275"/>
      <c r="E275"/>
      <c r="F275"/>
      <c r="G275"/>
      <c r="H275"/>
      <c r="I275"/>
      <c r="J275"/>
    </row>
    <row r="276" spans="2:10" ht="15">
      <c r="B276"/>
      <c r="C276"/>
      <c r="D276"/>
      <c r="E276"/>
      <c r="F276"/>
      <c r="G276"/>
      <c r="H276"/>
      <c r="I276"/>
      <c r="J276"/>
    </row>
    <row r="277" spans="2:10" ht="15">
      <c r="B277"/>
      <c r="C277"/>
      <c r="D277"/>
      <c r="E277"/>
      <c r="F277"/>
      <c r="G277"/>
      <c r="H277"/>
      <c r="I277"/>
      <c r="J277"/>
    </row>
    <row r="278" spans="2:10" ht="15">
      <c r="B278"/>
      <c r="C278"/>
      <c r="D278"/>
      <c r="E278"/>
      <c r="F278"/>
      <c r="G278"/>
      <c r="H278"/>
      <c r="I278"/>
      <c r="J278"/>
    </row>
    <row r="279" spans="2:10" ht="15">
      <c r="B279"/>
      <c r="C279"/>
      <c r="D279"/>
      <c r="E279"/>
      <c r="F279"/>
      <c r="G279"/>
      <c r="H279"/>
      <c r="I279"/>
      <c r="J279"/>
    </row>
    <row r="280" spans="2:10" ht="15">
      <c r="B280"/>
      <c r="C280"/>
      <c r="D280"/>
      <c r="E280"/>
      <c r="F280"/>
      <c r="G280"/>
      <c r="H280"/>
      <c r="I280"/>
      <c r="J280"/>
    </row>
    <row r="281" spans="2:10" ht="15">
      <c r="B281"/>
      <c r="C281"/>
      <c r="D281"/>
      <c r="E281"/>
      <c r="F281"/>
      <c r="G281"/>
      <c r="H281"/>
      <c r="I281"/>
      <c r="J281"/>
    </row>
    <row r="282" spans="2:10" ht="15">
      <c r="B282"/>
      <c r="C282"/>
      <c r="D282"/>
      <c r="E282"/>
      <c r="F282"/>
      <c r="G282"/>
      <c r="H282"/>
      <c r="I282"/>
      <c r="J282"/>
    </row>
    <row r="283" spans="2:10" ht="15">
      <c r="B283"/>
      <c r="C283"/>
      <c r="D283"/>
      <c r="E283"/>
      <c r="F283"/>
      <c r="G283"/>
      <c r="H283"/>
      <c r="I283"/>
      <c r="J283"/>
    </row>
    <row r="284" spans="2:10" ht="15">
      <c r="B284"/>
      <c r="C284"/>
      <c r="D284"/>
      <c r="E284"/>
      <c r="F284"/>
      <c r="G284"/>
      <c r="H284"/>
      <c r="I284"/>
      <c r="J284"/>
    </row>
    <row r="285" spans="2:10" ht="15">
      <c r="B285"/>
      <c r="C285"/>
      <c r="D285"/>
      <c r="E285"/>
      <c r="F285"/>
      <c r="G285"/>
      <c r="H285"/>
      <c r="I285"/>
      <c r="J285"/>
    </row>
    <row r="286" spans="2:10" ht="15">
      <c r="B286"/>
      <c r="C286"/>
      <c r="D286"/>
      <c r="E286"/>
      <c r="F286"/>
      <c r="G286"/>
      <c r="H286"/>
      <c r="I286"/>
      <c r="J286"/>
    </row>
  </sheetData>
  <mergeCells count="21">
    <mergeCell ref="I210:J210"/>
    <mergeCell ref="B208:I208"/>
    <mergeCell ref="B230:E230"/>
    <mergeCell ref="B216:F216"/>
    <mergeCell ref="B1:G1"/>
    <mergeCell ref="B66:G66"/>
    <mergeCell ref="B106:G106"/>
    <mergeCell ref="B2:G2"/>
    <mergeCell ref="B3:G3"/>
    <mergeCell ref="D130:F130"/>
    <mergeCell ref="B217:F217"/>
    <mergeCell ref="B224:F224"/>
    <mergeCell ref="C227:E227"/>
    <mergeCell ref="C228:E228"/>
    <mergeCell ref="C225:E225"/>
    <mergeCell ref="C226:E226"/>
    <mergeCell ref="C218:E218"/>
    <mergeCell ref="C219:E219"/>
    <mergeCell ref="C220:E220"/>
    <mergeCell ref="C221:E221"/>
    <mergeCell ref="B222:E222"/>
  </mergeCells>
  <pageMargins left="0.39370078740157483" right="0.19685039370078741" top="0.39370078740157483" bottom="0.19685039370078741" header="0.31496062992125984" footer="0.31496062992125984"/>
  <pageSetup paperSize="9" scale="45" orientation="portrait" r:id="rId1"/>
  <rowBreaks count="1" manualBreakCount="1">
    <brk id="1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E110"/>
  <sheetViews>
    <sheetView tabSelected="1" view="pageLayout" topLeftCell="B10" zoomScale="70" zoomScaleNormal="60" zoomScaleSheetLayoutView="70" zoomScalePageLayoutView="70" workbookViewId="0">
      <selection activeCell="J8" sqref="J8"/>
    </sheetView>
  </sheetViews>
  <sheetFormatPr baseColWidth="10" defaultRowHeight="12"/>
  <cols>
    <col min="1" max="1" width="11.42578125" style="88" customWidth="1"/>
    <col min="2" max="2" width="9.42578125" style="88" customWidth="1"/>
    <col min="3" max="3" width="53.42578125" style="88" customWidth="1"/>
    <col min="4" max="4" width="38.42578125" style="88" bestFit="1" customWidth="1"/>
    <col min="5" max="5" width="10.42578125" style="88" customWidth="1"/>
    <col min="6" max="6" width="19.28515625" style="88" customWidth="1"/>
    <col min="7" max="7" width="18.42578125" style="88" customWidth="1"/>
    <col min="8" max="8" width="22.42578125" style="88" customWidth="1"/>
    <col min="9" max="9" width="13" style="88" customWidth="1"/>
    <col min="10" max="10" width="29" style="88" customWidth="1"/>
    <col min="11" max="11" width="12.5703125" style="88" customWidth="1"/>
    <col min="12" max="12" width="10.85546875" style="88" customWidth="1"/>
    <col min="13" max="13" width="13.140625" style="88" customWidth="1"/>
    <col min="14" max="14" width="16.7109375" style="88" customWidth="1"/>
    <col min="15" max="15" width="11.140625" style="88" customWidth="1"/>
    <col min="16" max="16" width="17.5703125" style="88" customWidth="1"/>
    <col min="17" max="17" width="13.7109375" style="88" customWidth="1"/>
    <col min="18" max="18" width="13.140625" style="88" customWidth="1"/>
    <col min="19" max="19" width="16.7109375" style="88" customWidth="1"/>
    <col min="20" max="20" width="14" style="88" customWidth="1"/>
    <col min="21" max="21" width="12.7109375" style="88" customWidth="1"/>
    <col min="22" max="22" width="17" style="88" customWidth="1"/>
    <col min="23" max="23" width="15.7109375" style="88" customWidth="1"/>
    <col min="24" max="24" width="16.7109375" style="88" customWidth="1"/>
    <col min="25" max="25" width="13.85546875" style="88" customWidth="1"/>
    <col min="26" max="26" width="13.7109375" style="88" customWidth="1"/>
    <col min="27" max="27" width="14.7109375" style="88" customWidth="1"/>
    <col min="28" max="28" width="13.7109375" style="88" customWidth="1"/>
    <col min="29" max="29" width="17.28515625" style="88" customWidth="1"/>
    <col min="30" max="30" width="14.5703125" style="88" customWidth="1"/>
    <col min="31" max="257" width="11.42578125" style="88"/>
    <col min="258" max="258" width="19.7109375" style="88" customWidth="1"/>
    <col min="259" max="259" width="24.85546875" style="88" customWidth="1"/>
    <col min="260" max="260" width="43.42578125" style="88" customWidth="1"/>
    <col min="261" max="261" width="29.5703125" style="88" customWidth="1"/>
    <col min="262" max="262" width="10.85546875" style="88" customWidth="1"/>
    <col min="263" max="263" width="32.140625" style="88" customWidth="1"/>
    <col min="264" max="264" width="26.7109375" style="88" customWidth="1"/>
    <col min="265" max="265" width="0" style="88" hidden="1" customWidth="1"/>
    <col min="266" max="266" width="12.5703125" style="88" customWidth="1"/>
    <col min="267" max="267" width="14.42578125" style="88" customWidth="1"/>
    <col min="268" max="268" width="19" style="88" customWidth="1"/>
    <col min="269" max="269" width="13.140625" style="88" customWidth="1"/>
    <col min="270" max="272" width="13.7109375" style="88" customWidth="1"/>
    <col min="273" max="284" width="11.7109375" style="88" customWidth="1"/>
    <col min="285" max="285" width="14.140625" style="88" customWidth="1"/>
    <col min="286" max="513" width="11.42578125" style="88"/>
    <col min="514" max="514" width="19.7109375" style="88" customWidth="1"/>
    <col min="515" max="515" width="24.85546875" style="88" customWidth="1"/>
    <col min="516" max="516" width="43.42578125" style="88" customWidth="1"/>
    <col min="517" max="517" width="29.5703125" style="88" customWidth="1"/>
    <col min="518" max="518" width="10.85546875" style="88" customWidth="1"/>
    <col min="519" max="519" width="32.140625" style="88" customWidth="1"/>
    <col min="520" max="520" width="26.7109375" style="88" customWidth="1"/>
    <col min="521" max="521" width="0" style="88" hidden="1" customWidth="1"/>
    <col min="522" max="522" width="12.5703125" style="88" customWidth="1"/>
    <col min="523" max="523" width="14.42578125" style="88" customWidth="1"/>
    <col min="524" max="524" width="19" style="88" customWidth="1"/>
    <col min="525" max="525" width="13.140625" style="88" customWidth="1"/>
    <col min="526" max="528" width="13.7109375" style="88" customWidth="1"/>
    <col min="529" max="540" width="11.7109375" style="88" customWidth="1"/>
    <col min="541" max="541" width="14.140625" style="88" customWidth="1"/>
    <col min="542" max="769" width="11.42578125" style="88"/>
    <col min="770" max="770" width="19.7109375" style="88" customWidth="1"/>
    <col min="771" max="771" width="24.85546875" style="88" customWidth="1"/>
    <col min="772" max="772" width="43.42578125" style="88" customWidth="1"/>
    <col min="773" max="773" width="29.5703125" style="88" customWidth="1"/>
    <col min="774" max="774" width="10.85546875" style="88" customWidth="1"/>
    <col min="775" max="775" width="32.140625" style="88" customWidth="1"/>
    <col min="776" max="776" width="26.7109375" style="88" customWidth="1"/>
    <col min="777" max="777" width="0" style="88" hidden="1" customWidth="1"/>
    <col min="778" max="778" width="12.5703125" style="88" customWidth="1"/>
    <col min="779" max="779" width="14.42578125" style="88" customWidth="1"/>
    <col min="780" max="780" width="19" style="88" customWidth="1"/>
    <col min="781" max="781" width="13.140625" style="88" customWidth="1"/>
    <col min="782" max="784" width="13.7109375" style="88" customWidth="1"/>
    <col min="785" max="796" width="11.7109375" style="88" customWidth="1"/>
    <col min="797" max="797" width="14.140625" style="88" customWidth="1"/>
    <col min="798" max="1025" width="11.42578125" style="88"/>
    <col min="1026" max="1026" width="19.7109375" style="88" customWidth="1"/>
    <col min="1027" max="1027" width="24.85546875" style="88" customWidth="1"/>
    <col min="1028" max="1028" width="43.42578125" style="88" customWidth="1"/>
    <col min="1029" max="1029" width="29.5703125" style="88" customWidth="1"/>
    <col min="1030" max="1030" width="10.85546875" style="88" customWidth="1"/>
    <col min="1031" max="1031" width="32.140625" style="88" customWidth="1"/>
    <col min="1032" max="1032" width="26.7109375" style="88" customWidth="1"/>
    <col min="1033" max="1033" width="0" style="88" hidden="1" customWidth="1"/>
    <col min="1034" max="1034" width="12.5703125" style="88" customWidth="1"/>
    <col min="1035" max="1035" width="14.42578125" style="88" customWidth="1"/>
    <col min="1036" max="1036" width="19" style="88" customWidth="1"/>
    <col min="1037" max="1037" width="13.140625" style="88" customWidth="1"/>
    <col min="1038" max="1040" width="13.7109375" style="88" customWidth="1"/>
    <col min="1041" max="1052" width="11.7109375" style="88" customWidth="1"/>
    <col min="1053" max="1053" width="14.140625" style="88" customWidth="1"/>
    <col min="1054" max="1281" width="11.42578125" style="88"/>
    <col min="1282" max="1282" width="19.7109375" style="88" customWidth="1"/>
    <col min="1283" max="1283" width="24.85546875" style="88" customWidth="1"/>
    <col min="1284" max="1284" width="43.42578125" style="88" customWidth="1"/>
    <col min="1285" max="1285" width="29.5703125" style="88" customWidth="1"/>
    <col min="1286" max="1286" width="10.85546875" style="88" customWidth="1"/>
    <col min="1287" max="1287" width="32.140625" style="88" customWidth="1"/>
    <col min="1288" max="1288" width="26.7109375" style="88" customWidth="1"/>
    <col min="1289" max="1289" width="0" style="88" hidden="1" customWidth="1"/>
    <col min="1290" max="1290" width="12.5703125" style="88" customWidth="1"/>
    <col min="1291" max="1291" width="14.42578125" style="88" customWidth="1"/>
    <col min="1292" max="1292" width="19" style="88" customWidth="1"/>
    <col min="1293" max="1293" width="13.140625" style="88" customWidth="1"/>
    <col min="1294" max="1296" width="13.7109375" style="88" customWidth="1"/>
    <col min="1297" max="1308" width="11.7109375" style="88" customWidth="1"/>
    <col min="1309" max="1309" width="14.140625" style="88" customWidth="1"/>
    <col min="1310" max="1537" width="11.42578125" style="88"/>
    <col min="1538" max="1538" width="19.7109375" style="88" customWidth="1"/>
    <col min="1539" max="1539" width="24.85546875" style="88" customWidth="1"/>
    <col min="1540" max="1540" width="43.42578125" style="88" customWidth="1"/>
    <col min="1541" max="1541" width="29.5703125" style="88" customWidth="1"/>
    <col min="1542" max="1542" width="10.85546875" style="88" customWidth="1"/>
    <col min="1543" max="1543" width="32.140625" style="88" customWidth="1"/>
    <col min="1544" max="1544" width="26.7109375" style="88" customWidth="1"/>
    <col min="1545" max="1545" width="0" style="88" hidden="1" customWidth="1"/>
    <col min="1546" max="1546" width="12.5703125" style="88" customWidth="1"/>
    <col min="1547" max="1547" width="14.42578125" style="88" customWidth="1"/>
    <col min="1548" max="1548" width="19" style="88" customWidth="1"/>
    <col min="1549" max="1549" width="13.140625" style="88" customWidth="1"/>
    <col min="1550" max="1552" width="13.7109375" style="88" customWidth="1"/>
    <col min="1553" max="1564" width="11.7109375" style="88" customWidth="1"/>
    <col min="1565" max="1565" width="14.140625" style="88" customWidth="1"/>
    <col min="1566" max="1793" width="11.42578125" style="88"/>
    <col min="1794" max="1794" width="19.7109375" style="88" customWidth="1"/>
    <col min="1795" max="1795" width="24.85546875" style="88" customWidth="1"/>
    <col min="1796" max="1796" width="43.42578125" style="88" customWidth="1"/>
    <col min="1797" max="1797" width="29.5703125" style="88" customWidth="1"/>
    <col min="1798" max="1798" width="10.85546875" style="88" customWidth="1"/>
    <col min="1799" max="1799" width="32.140625" style="88" customWidth="1"/>
    <col min="1800" max="1800" width="26.7109375" style="88" customWidth="1"/>
    <col min="1801" max="1801" width="0" style="88" hidden="1" customWidth="1"/>
    <col min="1802" max="1802" width="12.5703125" style="88" customWidth="1"/>
    <col min="1803" max="1803" width="14.42578125" style="88" customWidth="1"/>
    <col min="1804" max="1804" width="19" style="88" customWidth="1"/>
    <col min="1805" max="1805" width="13.140625" style="88" customWidth="1"/>
    <col min="1806" max="1808" width="13.7109375" style="88" customWidth="1"/>
    <col min="1809" max="1820" width="11.7109375" style="88" customWidth="1"/>
    <col min="1821" max="1821" width="14.140625" style="88" customWidth="1"/>
    <col min="1822" max="2049" width="11.42578125" style="88"/>
    <col min="2050" max="2050" width="19.7109375" style="88" customWidth="1"/>
    <col min="2051" max="2051" width="24.85546875" style="88" customWidth="1"/>
    <col min="2052" max="2052" width="43.42578125" style="88" customWidth="1"/>
    <col min="2053" max="2053" width="29.5703125" style="88" customWidth="1"/>
    <col min="2054" max="2054" width="10.85546875" style="88" customWidth="1"/>
    <col min="2055" max="2055" width="32.140625" style="88" customWidth="1"/>
    <col min="2056" max="2056" width="26.7109375" style="88" customWidth="1"/>
    <col min="2057" max="2057" width="0" style="88" hidden="1" customWidth="1"/>
    <col min="2058" max="2058" width="12.5703125" style="88" customWidth="1"/>
    <col min="2059" max="2059" width="14.42578125" style="88" customWidth="1"/>
    <col min="2060" max="2060" width="19" style="88" customWidth="1"/>
    <col min="2061" max="2061" width="13.140625" style="88" customWidth="1"/>
    <col min="2062" max="2064" width="13.7109375" style="88" customWidth="1"/>
    <col min="2065" max="2076" width="11.7109375" style="88" customWidth="1"/>
    <col min="2077" max="2077" width="14.140625" style="88" customWidth="1"/>
    <col min="2078" max="2305" width="11.42578125" style="88"/>
    <col min="2306" max="2306" width="19.7109375" style="88" customWidth="1"/>
    <col min="2307" max="2307" width="24.85546875" style="88" customWidth="1"/>
    <col min="2308" max="2308" width="43.42578125" style="88" customWidth="1"/>
    <col min="2309" max="2309" width="29.5703125" style="88" customWidth="1"/>
    <col min="2310" max="2310" width="10.85546875" style="88" customWidth="1"/>
    <col min="2311" max="2311" width="32.140625" style="88" customWidth="1"/>
    <col min="2312" max="2312" width="26.7109375" style="88" customWidth="1"/>
    <col min="2313" max="2313" width="0" style="88" hidden="1" customWidth="1"/>
    <col min="2314" max="2314" width="12.5703125" style="88" customWidth="1"/>
    <col min="2315" max="2315" width="14.42578125" style="88" customWidth="1"/>
    <col min="2316" max="2316" width="19" style="88" customWidth="1"/>
    <col min="2317" max="2317" width="13.140625" style="88" customWidth="1"/>
    <col min="2318" max="2320" width="13.7109375" style="88" customWidth="1"/>
    <col min="2321" max="2332" width="11.7109375" style="88" customWidth="1"/>
    <col min="2333" max="2333" width="14.140625" style="88" customWidth="1"/>
    <col min="2334" max="2561" width="11.42578125" style="88"/>
    <col min="2562" max="2562" width="19.7109375" style="88" customWidth="1"/>
    <col min="2563" max="2563" width="24.85546875" style="88" customWidth="1"/>
    <col min="2564" max="2564" width="43.42578125" style="88" customWidth="1"/>
    <col min="2565" max="2565" width="29.5703125" style="88" customWidth="1"/>
    <col min="2566" max="2566" width="10.85546875" style="88" customWidth="1"/>
    <col min="2567" max="2567" width="32.140625" style="88" customWidth="1"/>
    <col min="2568" max="2568" width="26.7109375" style="88" customWidth="1"/>
    <col min="2569" max="2569" width="0" style="88" hidden="1" customWidth="1"/>
    <col min="2570" max="2570" width="12.5703125" style="88" customWidth="1"/>
    <col min="2571" max="2571" width="14.42578125" style="88" customWidth="1"/>
    <col min="2572" max="2572" width="19" style="88" customWidth="1"/>
    <col min="2573" max="2573" width="13.140625" style="88" customWidth="1"/>
    <col min="2574" max="2576" width="13.7109375" style="88" customWidth="1"/>
    <col min="2577" max="2588" width="11.7109375" style="88" customWidth="1"/>
    <col min="2589" max="2589" width="14.140625" style="88" customWidth="1"/>
    <col min="2590" max="2817" width="11.42578125" style="88"/>
    <col min="2818" max="2818" width="19.7109375" style="88" customWidth="1"/>
    <col min="2819" max="2819" width="24.85546875" style="88" customWidth="1"/>
    <col min="2820" max="2820" width="43.42578125" style="88" customWidth="1"/>
    <col min="2821" max="2821" width="29.5703125" style="88" customWidth="1"/>
    <col min="2822" max="2822" width="10.85546875" style="88" customWidth="1"/>
    <col min="2823" max="2823" width="32.140625" style="88" customWidth="1"/>
    <col min="2824" max="2824" width="26.7109375" style="88" customWidth="1"/>
    <col min="2825" max="2825" width="0" style="88" hidden="1" customWidth="1"/>
    <col min="2826" max="2826" width="12.5703125" style="88" customWidth="1"/>
    <col min="2827" max="2827" width="14.42578125" style="88" customWidth="1"/>
    <col min="2828" max="2828" width="19" style="88" customWidth="1"/>
    <col min="2829" max="2829" width="13.140625" style="88" customWidth="1"/>
    <col min="2830" max="2832" width="13.7109375" style="88" customWidth="1"/>
    <col min="2833" max="2844" width="11.7109375" style="88" customWidth="1"/>
    <col min="2845" max="2845" width="14.140625" style="88" customWidth="1"/>
    <col min="2846" max="3073" width="11.42578125" style="88"/>
    <col min="3074" max="3074" width="19.7109375" style="88" customWidth="1"/>
    <col min="3075" max="3075" width="24.85546875" style="88" customWidth="1"/>
    <col min="3076" max="3076" width="43.42578125" style="88" customWidth="1"/>
    <col min="3077" max="3077" width="29.5703125" style="88" customWidth="1"/>
    <col min="3078" max="3078" width="10.85546875" style="88" customWidth="1"/>
    <col min="3079" max="3079" width="32.140625" style="88" customWidth="1"/>
    <col min="3080" max="3080" width="26.7109375" style="88" customWidth="1"/>
    <col min="3081" max="3081" width="0" style="88" hidden="1" customWidth="1"/>
    <col min="3082" max="3082" width="12.5703125" style="88" customWidth="1"/>
    <col min="3083" max="3083" width="14.42578125" style="88" customWidth="1"/>
    <col min="3084" max="3084" width="19" style="88" customWidth="1"/>
    <col min="3085" max="3085" width="13.140625" style="88" customWidth="1"/>
    <col min="3086" max="3088" width="13.7109375" style="88" customWidth="1"/>
    <col min="3089" max="3100" width="11.7109375" style="88" customWidth="1"/>
    <col min="3101" max="3101" width="14.140625" style="88" customWidth="1"/>
    <col min="3102" max="3329" width="11.42578125" style="88"/>
    <col min="3330" max="3330" width="19.7109375" style="88" customWidth="1"/>
    <col min="3331" max="3331" width="24.85546875" style="88" customWidth="1"/>
    <col min="3332" max="3332" width="43.42578125" style="88" customWidth="1"/>
    <col min="3333" max="3333" width="29.5703125" style="88" customWidth="1"/>
    <col min="3334" max="3334" width="10.85546875" style="88" customWidth="1"/>
    <col min="3335" max="3335" width="32.140625" style="88" customWidth="1"/>
    <col min="3336" max="3336" width="26.7109375" style="88" customWidth="1"/>
    <col min="3337" max="3337" width="0" style="88" hidden="1" customWidth="1"/>
    <col min="3338" max="3338" width="12.5703125" style="88" customWidth="1"/>
    <col min="3339" max="3339" width="14.42578125" style="88" customWidth="1"/>
    <col min="3340" max="3340" width="19" style="88" customWidth="1"/>
    <col min="3341" max="3341" width="13.140625" style="88" customWidth="1"/>
    <col min="3342" max="3344" width="13.7109375" style="88" customWidth="1"/>
    <col min="3345" max="3356" width="11.7109375" style="88" customWidth="1"/>
    <col min="3357" max="3357" width="14.140625" style="88" customWidth="1"/>
    <col min="3358" max="3585" width="11.42578125" style="88"/>
    <col min="3586" max="3586" width="19.7109375" style="88" customWidth="1"/>
    <col min="3587" max="3587" width="24.85546875" style="88" customWidth="1"/>
    <col min="3588" max="3588" width="43.42578125" style="88" customWidth="1"/>
    <col min="3589" max="3589" width="29.5703125" style="88" customWidth="1"/>
    <col min="3590" max="3590" width="10.85546875" style="88" customWidth="1"/>
    <col min="3591" max="3591" width="32.140625" style="88" customWidth="1"/>
    <col min="3592" max="3592" width="26.7109375" style="88" customWidth="1"/>
    <col min="3593" max="3593" width="0" style="88" hidden="1" customWidth="1"/>
    <col min="3594" max="3594" width="12.5703125" style="88" customWidth="1"/>
    <col min="3595" max="3595" width="14.42578125" style="88" customWidth="1"/>
    <col min="3596" max="3596" width="19" style="88" customWidth="1"/>
    <col min="3597" max="3597" width="13.140625" style="88" customWidth="1"/>
    <col min="3598" max="3600" width="13.7109375" style="88" customWidth="1"/>
    <col min="3601" max="3612" width="11.7109375" style="88" customWidth="1"/>
    <col min="3613" max="3613" width="14.140625" style="88" customWidth="1"/>
    <col min="3614" max="3841" width="11.42578125" style="88"/>
    <col min="3842" max="3842" width="19.7109375" style="88" customWidth="1"/>
    <col min="3843" max="3843" width="24.85546875" style="88" customWidth="1"/>
    <col min="3844" max="3844" width="43.42578125" style="88" customWidth="1"/>
    <col min="3845" max="3845" width="29.5703125" style="88" customWidth="1"/>
    <col min="3846" max="3846" width="10.85546875" style="88" customWidth="1"/>
    <col min="3847" max="3847" width="32.140625" style="88" customWidth="1"/>
    <col min="3848" max="3848" width="26.7109375" style="88" customWidth="1"/>
    <col min="3849" max="3849" width="0" style="88" hidden="1" customWidth="1"/>
    <col min="3850" max="3850" width="12.5703125" style="88" customWidth="1"/>
    <col min="3851" max="3851" width="14.42578125" style="88" customWidth="1"/>
    <col min="3852" max="3852" width="19" style="88" customWidth="1"/>
    <col min="3853" max="3853" width="13.140625" style="88" customWidth="1"/>
    <col min="3854" max="3856" width="13.7109375" style="88" customWidth="1"/>
    <col min="3857" max="3868" width="11.7109375" style="88" customWidth="1"/>
    <col min="3869" max="3869" width="14.140625" style="88" customWidth="1"/>
    <col min="3870" max="4097" width="11.42578125" style="88"/>
    <col min="4098" max="4098" width="19.7109375" style="88" customWidth="1"/>
    <col min="4099" max="4099" width="24.85546875" style="88" customWidth="1"/>
    <col min="4100" max="4100" width="43.42578125" style="88" customWidth="1"/>
    <col min="4101" max="4101" width="29.5703125" style="88" customWidth="1"/>
    <col min="4102" max="4102" width="10.85546875" style="88" customWidth="1"/>
    <col min="4103" max="4103" width="32.140625" style="88" customWidth="1"/>
    <col min="4104" max="4104" width="26.7109375" style="88" customWidth="1"/>
    <col min="4105" max="4105" width="0" style="88" hidden="1" customWidth="1"/>
    <col min="4106" max="4106" width="12.5703125" style="88" customWidth="1"/>
    <col min="4107" max="4107" width="14.42578125" style="88" customWidth="1"/>
    <col min="4108" max="4108" width="19" style="88" customWidth="1"/>
    <col min="4109" max="4109" width="13.140625" style="88" customWidth="1"/>
    <col min="4110" max="4112" width="13.7109375" style="88" customWidth="1"/>
    <col min="4113" max="4124" width="11.7109375" style="88" customWidth="1"/>
    <col min="4125" max="4125" width="14.140625" style="88" customWidth="1"/>
    <col min="4126" max="4353" width="11.42578125" style="88"/>
    <col min="4354" max="4354" width="19.7109375" style="88" customWidth="1"/>
    <col min="4355" max="4355" width="24.85546875" style="88" customWidth="1"/>
    <col min="4356" max="4356" width="43.42578125" style="88" customWidth="1"/>
    <col min="4357" max="4357" width="29.5703125" style="88" customWidth="1"/>
    <col min="4358" max="4358" width="10.85546875" style="88" customWidth="1"/>
    <col min="4359" max="4359" width="32.140625" style="88" customWidth="1"/>
    <col min="4360" max="4360" width="26.7109375" style="88" customWidth="1"/>
    <col min="4361" max="4361" width="0" style="88" hidden="1" customWidth="1"/>
    <col min="4362" max="4362" width="12.5703125" style="88" customWidth="1"/>
    <col min="4363" max="4363" width="14.42578125" style="88" customWidth="1"/>
    <col min="4364" max="4364" width="19" style="88" customWidth="1"/>
    <col min="4365" max="4365" width="13.140625" style="88" customWidth="1"/>
    <col min="4366" max="4368" width="13.7109375" style="88" customWidth="1"/>
    <col min="4369" max="4380" width="11.7109375" style="88" customWidth="1"/>
    <col min="4381" max="4381" width="14.140625" style="88" customWidth="1"/>
    <col min="4382" max="4609" width="11.42578125" style="88"/>
    <col min="4610" max="4610" width="19.7109375" style="88" customWidth="1"/>
    <col min="4611" max="4611" width="24.85546875" style="88" customWidth="1"/>
    <col min="4612" max="4612" width="43.42578125" style="88" customWidth="1"/>
    <col min="4613" max="4613" width="29.5703125" style="88" customWidth="1"/>
    <col min="4614" max="4614" width="10.85546875" style="88" customWidth="1"/>
    <col min="4615" max="4615" width="32.140625" style="88" customWidth="1"/>
    <col min="4616" max="4616" width="26.7109375" style="88" customWidth="1"/>
    <col min="4617" max="4617" width="0" style="88" hidden="1" customWidth="1"/>
    <col min="4618" max="4618" width="12.5703125" style="88" customWidth="1"/>
    <col min="4619" max="4619" width="14.42578125" style="88" customWidth="1"/>
    <col min="4620" max="4620" width="19" style="88" customWidth="1"/>
    <col min="4621" max="4621" width="13.140625" style="88" customWidth="1"/>
    <col min="4622" max="4624" width="13.7109375" style="88" customWidth="1"/>
    <col min="4625" max="4636" width="11.7109375" style="88" customWidth="1"/>
    <col min="4637" max="4637" width="14.140625" style="88" customWidth="1"/>
    <col min="4638" max="4865" width="11.42578125" style="88"/>
    <col min="4866" max="4866" width="19.7109375" style="88" customWidth="1"/>
    <col min="4867" max="4867" width="24.85546875" style="88" customWidth="1"/>
    <col min="4868" max="4868" width="43.42578125" style="88" customWidth="1"/>
    <col min="4869" max="4869" width="29.5703125" style="88" customWidth="1"/>
    <col min="4870" max="4870" width="10.85546875" style="88" customWidth="1"/>
    <col min="4871" max="4871" width="32.140625" style="88" customWidth="1"/>
    <col min="4872" max="4872" width="26.7109375" style="88" customWidth="1"/>
    <col min="4873" max="4873" width="0" style="88" hidden="1" customWidth="1"/>
    <col min="4874" max="4874" width="12.5703125" style="88" customWidth="1"/>
    <col min="4875" max="4875" width="14.42578125" style="88" customWidth="1"/>
    <col min="4876" max="4876" width="19" style="88" customWidth="1"/>
    <col min="4877" max="4877" width="13.140625" style="88" customWidth="1"/>
    <col min="4878" max="4880" width="13.7109375" style="88" customWidth="1"/>
    <col min="4881" max="4892" width="11.7109375" style="88" customWidth="1"/>
    <col min="4893" max="4893" width="14.140625" style="88" customWidth="1"/>
    <col min="4894" max="5121" width="11.42578125" style="88"/>
    <col min="5122" max="5122" width="19.7109375" style="88" customWidth="1"/>
    <col min="5123" max="5123" width="24.85546875" style="88" customWidth="1"/>
    <col min="5124" max="5124" width="43.42578125" style="88" customWidth="1"/>
    <col min="5125" max="5125" width="29.5703125" style="88" customWidth="1"/>
    <col min="5126" max="5126" width="10.85546875" style="88" customWidth="1"/>
    <col min="5127" max="5127" width="32.140625" style="88" customWidth="1"/>
    <col min="5128" max="5128" width="26.7109375" style="88" customWidth="1"/>
    <col min="5129" max="5129" width="0" style="88" hidden="1" customWidth="1"/>
    <col min="5130" max="5130" width="12.5703125" style="88" customWidth="1"/>
    <col min="5131" max="5131" width="14.42578125" style="88" customWidth="1"/>
    <col min="5132" max="5132" width="19" style="88" customWidth="1"/>
    <col min="5133" max="5133" width="13.140625" style="88" customWidth="1"/>
    <col min="5134" max="5136" width="13.7109375" style="88" customWidth="1"/>
    <col min="5137" max="5148" width="11.7109375" style="88" customWidth="1"/>
    <col min="5149" max="5149" width="14.140625" style="88" customWidth="1"/>
    <col min="5150" max="5377" width="11.42578125" style="88"/>
    <col min="5378" max="5378" width="19.7109375" style="88" customWidth="1"/>
    <col min="5379" max="5379" width="24.85546875" style="88" customWidth="1"/>
    <col min="5380" max="5380" width="43.42578125" style="88" customWidth="1"/>
    <col min="5381" max="5381" width="29.5703125" style="88" customWidth="1"/>
    <col min="5382" max="5382" width="10.85546875" style="88" customWidth="1"/>
    <col min="5383" max="5383" width="32.140625" style="88" customWidth="1"/>
    <col min="5384" max="5384" width="26.7109375" style="88" customWidth="1"/>
    <col min="5385" max="5385" width="0" style="88" hidden="1" customWidth="1"/>
    <col min="5386" max="5386" width="12.5703125" style="88" customWidth="1"/>
    <col min="5387" max="5387" width="14.42578125" style="88" customWidth="1"/>
    <col min="5388" max="5388" width="19" style="88" customWidth="1"/>
    <col min="5389" max="5389" width="13.140625" style="88" customWidth="1"/>
    <col min="5390" max="5392" width="13.7109375" style="88" customWidth="1"/>
    <col min="5393" max="5404" width="11.7109375" style="88" customWidth="1"/>
    <col min="5405" max="5405" width="14.140625" style="88" customWidth="1"/>
    <col min="5406" max="5633" width="11.42578125" style="88"/>
    <col min="5634" max="5634" width="19.7109375" style="88" customWidth="1"/>
    <col min="5635" max="5635" width="24.85546875" style="88" customWidth="1"/>
    <col min="5636" max="5636" width="43.42578125" style="88" customWidth="1"/>
    <col min="5637" max="5637" width="29.5703125" style="88" customWidth="1"/>
    <col min="5638" max="5638" width="10.85546875" style="88" customWidth="1"/>
    <col min="5639" max="5639" width="32.140625" style="88" customWidth="1"/>
    <col min="5640" max="5640" width="26.7109375" style="88" customWidth="1"/>
    <col min="5641" max="5641" width="0" style="88" hidden="1" customWidth="1"/>
    <col min="5642" max="5642" width="12.5703125" style="88" customWidth="1"/>
    <col min="5643" max="5643" width="14.42578125" style="88" customWidth="1"/>
    <col min="5644" max="5644" width="19" style="88" customWidth="1"/>
    <col min="5645" max="5645" width="13.140625" style="88" customWidth="1"/>
    <col min="5646" max="5648" width="13.7109375" style="88" customWidth="1"/>
    <col min="5649" max="5660" width="11.7109375" style="88" customWidth="1"/>
    <col min="5661" max="5661" width="14.140625" style="88" customWidth="1"/>
    <col min="5662" max="5889" width="11.42578125" style="88"/>
    <col min="5890" max="5890" width="19.7109375" style="88" customWidth="1"/>
    <col min="5891" max="5891" width="24.85546875" style="88" customWidth="1"/>
    <col min="5892" max="5892" width="43.42578125" style="88" customWidth="1"/>
    <col min="5893" max="5893" width="29.5703125" style="88" customWidth="1"/>
    <col min="5894" max="5894" width="10.85546875" style="88" customWidth="1"/>
    <col min="5895" max="5895" width="32.140625" style="88" customWidth="1"/>
    <col min="5896" max="5896" width="26.7109375" style="88" customWidth="1"/>
    <col min="5897" max="5897" width="0" style="88" hidden="1" customWidth="1"/>
    <col min="5898" max="5898" width="12.5703125" style="88" customWidth="1"/>
    <col min="5899" max="5899" width="14.42578125" style="88" customWidth="1"/>
    <col min="5900" max="5900" width="19" style="88" customWidth="1"/>
    <col min="5901" max="5901" width="13.140625" style="88" customWidth="1"/>
    <col min="5902" max="5904" width="13.7109375" style="88" customWidth="1"/>
    <col min="5905" max="5916" width="11.7109375" style="88" customWidth="1"/>
    <col min="5917" max="5917" width="14.140625" style="88" customWidth="1"/>
    <col min="5918" max="6145" width="11.42578125" style="88"/>
    <col min="6146" max="6146" width="19.7109375" style="88" customWidth="1"/>
    <col min="6147" max="6147" width="24.85546875" style="88" customWidth="1"/>
    <col min="6148" max="6148" width="43.42578125" style="88" customWidth="1"/>
    <col min="6149" max="6149" width="29.5703125" style="88" customWidth="1"/>
    <col min="6150" max="6150" width="10.85546875" style="88" customWidth="1"/>
    <col min="6151" max="6151" width="32.140625" style="88" customWidth="1"/>
    <col min="6152" max="6152" width="26.7109375" style="88" customWidth="1"/>
    <col min="6153" max="6153" width="0" style="88" hidden="1" customWidth="1"/>
    <col min="6154" max="6154" width="12.5703125" style="88" customWidth="1"/>
    <col min="6155" max="6155" width="14.42578125" style="88" customWidth="1"/>
    <col min="6156" max="6156" width="19" style="88" customWidth="1"/>
    <col min="6157" max="6157" width="13.140625" style="88" customWidth="1"/>
    <col min="6158" max="6160" width="13.7109375" style="88" customWidth="1"/>
    <col min="6161" max="6172" width="11.7109375" style="88" customWidth="1"/>
    <col min="6173" max="6173" width="14.140625" style="88" customWidth="1"/>
    <col min="6174" max="6401" width="11.42578125" style="88"/>
    <col min="6402" max="6402" width="19.7109375" style="88" customWidth="1"/>
    <col min="6403" max="6403" width="24.85546875" style="88" customWidth="1"/>
    <col min="6404" max="6404" width="43.42578125" style="88" customWidth="1"/>
    <col min="6405" max="6405" width="29.5703125" style="88" customWidth="1"/>
    <col min="6406" max="6406" width="10.85546875" style="88" customWidth="1"/>
    <col min="6407" max="6407" width="32.140625" style="88" customWidth="1"/>
    <col min="6408" max="6408" width="26.7109375" style="88" customWidth="1"/>
    <col min="6409" max="6409" width="0" style="88" hidden="1" customWidth="1"/>
    <col min="6410" max="6410" width="12.5703125" style="88" customWidth="1"/>
    <col min="6411" max="6411" width="14.42578125" style="88" customWidth="1"/>
    <col min="6412" max="6412" width="19" style="88" customWidth="1"/>
    <col min="6413" max="6413" width="13.140625" style="88" customWidth="1"/>
    <col min="6414" max="6416" width="13.7109375" style="88" customWidth="1"/>
    <col min="6417" max="6428" width="11.7109375" style="88" customWidth="1"/>
    <col min="6429" max="6429" width="14.140625" style="88" customWidth="1"/>
    <col min="6430" max="6657" width="11.42578125" style="88"/>
    <col min="6658" max="6658" width="19.7109375" style="88" customWidth="1"/>
    <col min="6659" max="6659" width="24.85546875" style="88" customWidth="1"/>
    <col min="6660" max="6660" width="43.42578125" style="88" customWidth="1"/>
    <col min="6661" max="6661" width="29.5703125" style="88" customWidth="1"/>
    <col min="6662" max="6662" width="10.85546875" style="88" customWidth="1"/>
    <col min="6663" max="6663" width="32.140625" style="88" customWidth="1"/>
    <col min="6664" max="6664" width="26.7109375" style="88" customWidth="1"/>
    <col min="6665" max="6665" width="0" style="88" hidden="1" customWidth="1"/>
    <col min="6666" max="6666" width="12.5703125" style="88" customWidth="1"/>
    <col min="6667" max="6667" width="14.42578125" style="88" customWidth="1"/>
    <col min="6668" max="6668" width="19" style="88" customWidth="1"/>
    <col min="6669" max="6669" width="13.140625" style="88" customWidth="1"/>
    <col min="6670" max="6672" width="13.7109375" style="88" customWidth="1"/>
    <col min="6673" max="6684" width="11.7109375" style="88" customWidth="1"/>
    <col min="6685" max="6685" width="14.140625" style="88" customWidth="1"/>
    <col min="6686" max="6913" width="11.42578125" style="88"/>
    <col min="6914" max="6914" width="19.7109375" style="88" customWidth="1"/>
    <col min="6915" max="6915" width="24.85546875" style="88" customWidth="1"/>
    <col min="6916" max="6916" width="43.42578125" style="88" customWidth="1"/>
    <col min="6917" max="6917" width="29.5703125" style="88" customWidth="1"/>
    <col min="6918" max="6918" width="10.85546875" style="88" customWidth="1"/>
    <col min="6919" max="6919" width="32.140625" style="88" customWidth="1"/>
    <col min="6920" max="6920" width="26.7109375" style="88" customWidth="1"/>
    <col min="6921" max="6921" width="0" style="88" hidden="1" customWidth="1"/>
    <col min="6922" max="6922" width="12.5703125" style="88" customWidth="1"/>
    <col min="6923" max="6923" width="14.42578125" style="88" customWidth="1"/>
    <col min="6924" max="6924" width="19" style="88" customWidth="1"/>
    <col min="6925" max="6925" width="13.140625" style="88" customWidth="1"/>
    <col min="6926" max="6928" width="13.7109375" style="88" customWidth="1"/>
    <col min="6929" max="6940" width="11.7109375" style="88" customWidth="1"/>
    <col min="6941" max="6941" width="14.140625" style="88" customWidth="1"/>
    <col min="6942" max="7169" width="11.42578125" style="88"/>
    <col min="7170" max="7170" width="19.7109375" style="88" customWidth="1"/>
    <col min="7171" max="7171" width="24.85546875" style="88" customWidth="1"/>
    <col min="7172" max="7172" width="43.42578125" style="88" customWidth="1"/>
    <col min="7173" max="7173" width="29.5703125" style="88" customWidth="1"/>
    <col min="7174" max="7174" width="10.85546875" style="88" customWidth="1"/>
    <col min="7175" max="7175" width="32.140625" style="88" customWidth="1"/>
    <col min="7176" max="7176" width="26.7109375" style="88" customWidth="1"/>
    <col min="7177" max="7177" width="0" style="88" hidden="1" customWidth="1"/>
    <col min="7178" max="7178" width="12.5703125" style="88" customWidth="1"/>
    <col min="7179" max="7179" width="14.42578125" style="88" customWidth="1"/>
    <col min="7180" max="7180" width="19" style="88" customWidth="1"/>
    <col min="7181" max="7181" width="13.140625" style="88" customWidth="1"/>
    <col min="7182" max="7184" width="13.7109375" style="88" customWidth="1"/>
    <col min="7185" max="7196" width="11.7109375" style="88" customWidth="1"/>
    <col min="7197" max="7197" width="14.140625" style="88" customWidth="1"/>
    <col min="7198" max="7425" width="11.42578125" style="88"/>
    <col min="7426" max="7426" width="19.7109375" style="88" customWidth="1"/>
    <col min="7427" max="7427" width="24.85546875" style="88" customWidth="1"/>
    <col min="7428" max="7428" width="43.42578125" style="88" customWidth="1"/>
    <col min="7429" max="7429" width="29.5703125" style="88" customWidth="1"/>
    <col min="7430" max="7430" width="10.85546875" style="88" customWidth="1"/>
    <col min="7431" max="7431" width="32.140625" style="88" customWidth="1"/>
    <col min="7432" max="7432" width="26.7109375" style="88" customWidth="1"/>
    <col min="7433" max="7433" width="0" style="88" hidden="1" customWidth="1"/>
    <col min="7434" max="7434" width="12.5703125" style="88" customWidth="1"/>
    <col min="7435" max="7435" width="14.42578125" style="88" customWidth="1"/>
    <col min="7436" max="7436" width="19" style="88" customWidth="1"/>
    <col min="7437" max="7437" width="13.140625" style="88" customWidth="1"/>
    <col min="7438" max="7440" width="13.7109375" style="88" customWidth="1"/>
    <col min="7441" max="7452" width="11.7109375" style="88" customWidth="1"/>
    <col min="7453" max="7453" width="14.140625" style="88" customWidth="1"/>
    <col min="7454" max="7681" width="11.42578125" style="88"/>
    <col min="7682" max="7682" width="19.7109375" style="88" customWidth="1"/>
    <col min="7683" max="7683" width="24.85546875" style="88" customWidth="1"/>
    <col min="7684" max="7684" width="43.42578125" style="88" customWidth="1"/>
    <col min="7685" max="7685" width="29.5703125" style="88" customWidth="1"/>
    <col min="7686" max="7686" width="10.85546875" style="88" customWidth="1"/>
    <col min="7687" max="7687" width="32.140625" style="88" customWidth="1"/>
    <col min="7688" max="7688" width="26.7109375" style="88" customWidth="1"/>
    <col min="7689" max="7689" width="0" style="88" hidden="1" customWidth="1"/>
    <col min="7690" max="7690" width="12.5703125" style="88" customWidth="1"/>
    <col min="7691" max="7691" width="14.42578125" style="88" customWidth="1"/>
    <col min="7692" max="7692" width="19" style="88" customWidth="1"/>
    <col min="7693" max="7693" width="13.140625" style="88" customWidth="1"/>
    <col min="7694" max="7696" width="13.7109375" style="88" customWidth="1"/>
    <col min="7697" max="7708" width="11.7109375" style="88" customWidth="1"/>
    <col min="7709" max="7709" width="14.140625" style="88" customWidth="1"/>
    <col min="7710" max="7937" width="11.42578125" style="88"/>
    <col min="7938" max="7938" width="19.7109375" style="88" customWidth="1"/>
    <col min="7939" max="7939" width="24.85546875" style="88" customWidth="1"/>
    <col min="7940" max="7940" width="43.42578125" style="88" customWidth="1"/>
    <col min="7941" max="7941" width="29.5703125" style="88" customWidth="1"/>
    <col min="7942" max="7942" width="10.85546875" style="88" customWidth="1"/>
    <col min="7943" max="7943" width="32.140625" style="88" customWidth="1"/>
    <col min="7944" max="7944" width="26.7109375" style="88" customWidth="1"/>
    <col min="7945" max="7945" width="0" style="88" hidden="1" customWidth="1"/>
    <col min="7946" max="7946" width="12.5703125" style="88" customWidth="1"/>
    <col min="7947" max="7947" width="14.42578125" style="88" customWidth="1"/>
    <col min="7948" max="7948" width="19" style="88" customWidth="1"/>
    <col min="7949" max="7949" width="13.140625" style="88" customWidth="1"/>
    <col min="7950" max="7952" width="13.7109375" style="88" customWidth="1"/>
    <col min="7953" max="7964" width="11.7109375" style="88" customWidth="1"/>
    <col min="7965" max="7965" width="14.140625" style="88" customWidth="1"/>
    <col min="7966" max="8193" width="11.42578125" style="88"/>
    <col min="8194" max="8194" width="19.7109375" style="88" customWidth="1"/>
    <col min="8195" max="8195" width="24.85546875" style="88" customWidth="1"/>
    <col min="8196" max="8196" width="43.42578125" style="88" customWidth="1"/>
    <col min="8197" max="8197" width="29.5703125" style="88" customWidth="1"/>
    <col min="8198" max="8198" width="10.85546875" style="88" customWidth="1"/>
    <col min="8199" max="8199" width="32.140625" style="88" customWidth="1"/>
    <col min="8200" max="8200" width="26.7109375" style="88" customWidth="1"/>
    <col min="8201" max="8201" width="0" style="88" hidden="1" customWidth="1"/>
    <col min="8202" max="8202" width="12.5703125" style="88" customWidth="1"/>
    <col min="8203" max="8203" width="14.42578125" style="88" customWidth="1"/>
    <col min="8204" max="8204" width="19" style="88" customWidth="1"/>
    <col min="8205" max="8205" width="13.140625" style="88" customWidth="1"/>
    <col min="8206" max="8208" width="13.7109375" style="88" customWidth="1"/>
    <col min="8209" max="8220" width="11.7109375" style="88" customWidth="1"/>
    <col min="8221" max="8221" width="14.140625" style="88" customWidth="1"/>
    <col min="8222" max="8449" width="11.42578125" style="88"/>
    <col min="8450" max="8450" width="19.7109375" style="88" customWidth="1"/>
    <col min="8451" max="8451" width="24.85546875" style="88" customWidth="1"/>
    <col min="8452" max="8452" width="43.42578125" style="88" customWidth="1"/>
    <col min="8453" max="8453" width="29.5703125" style="88" customWidth="1"/>
    <col min="8454" max="8454" width="10.85546875" style="88" customWidth="1"/>
    <col min="8455" max="8455" width="32.140625" style="88" customWidth="1"/>
    <col min="8456" max="8456" width="26.7109375" style="88" customWidth="1"/>
    <col min="8457" max="8457" width="0" style="88" hidden="1" customWidth="1"/>
    <col min="8458" max="8458" width="12.5703125" style="88" customWidth="1"/>
    <col min="8459" max="8459" width="14.42578125" style="88" customWidth="1"/>
    <col min="8460" max="8460" width="19" style="88" customWidth="1"/>
    <col min="8461" max="8461" width="13.140625" style="88" customWidth="1"/>
    <col min="8462" max="8464" width="13.7109375" style="88" customWidth="1"/>
    <col min="8465" max="8476" width="11.7109375" style="88" customWidth="1"/>
    <col min="8477" max="8477" width="14.140625" style="88" customWidth="1"/>
    <col min="8478" max="8705" width="11.42578125" style="88"/>
    <col min="8706" max="8706" width="19.7109375" style="88" customWidth="1"/>
    <col min="8707" max="8707" width="24.85546875" style="88" customWidth="1"/>
    <col min="8708" max="8708" width="43.42578125" style="88" customWidth="1"/>
    <col min="8709" max="8709" width="29.5703125" style="88" customWidth="1"/>
    <col min="8710" max="8710" width="10.85546875" style="88" customWidth="1"/>
    <col min="8711" max="8711" width="32.140625" style="88" customWidth="1"/>
    <col min="8712" max="8712" width="26.7109375" style="88" customWidth="1"/>
    <col min="8713" max="8713" width="0" style="88" hidden="1" customWidth="1"/>
    <col min="8714" max="8714" width="12.5703125" style="88" customWidth="1"/>
    <col min="8715" max="8715" width="14.42578125" style="88" customWidth="1"/>
    <col min="8716" max="8716" width="19" style="88" customWidth="1"/>
    <col min="8717" max="8717" width="13.140625" style="88" customWidth="1"/>
    <col min="8718" max="8720" width="13.7109375" style="88" customWidth="1"/>
    <col min="8721" max="8732" width="11.7109375" style="88" customWidth="1"/>
    <col min="8733" max="8733" width="14.140625" style="88" customWidth="1"/>
    <col min="8734" max="8961" width="11.42578125" style="88"/>
    <col min="8962" max="8962" width="19.7109375" style="88" customWidth="1"/>
    <col min="8963" max="8963" width="24.85546875" style="88" customWidth="1"/>
    <col min="8964" max="8964" width="43.42578125" style="88" customWidth="1"/>
    <col min="8965" max="8965" width="29.5703125" style="88" customWidth="1"/>
    <col min="8966" max="8966" width="10.85546875" style="88" customWidth="1"/>
    <col min="8967" max="8967" width="32.140625" style="88" customWidth="1"/>
    <col min="8968" max="8968" width="26.7109375" style="88" customWidth="1"/>
    <col min="8969" max="8969" width="0" style="88" hidden="1" customWidth="1"/>
    <col min="8970" max="8970" width="12.5703125" style="88" customWidth="1"/>
    <col min="8971" max="8971" width="14.42578125" style="88" customWidth="1"/>
    <col min="8972" max="8972" width="19" style="88" customWidth="1"/>
    <col min="8973" max="8973" width="13.140625" style="88" customWidth="1"/>
    <col min="8974" max="8976" width="13.7109375" style="88" customWidth="1"/>
    <col min="8977" max="8988" width="11.7109375" style="88" customWidth="1"/>
    <col min="8989" max="8989" width="14.140625" style="88" customWidth="1"/>
    <col min="8990" max="9217" width="11.42578125" style="88"/>
    <col min="9218" max="9218" width="19.7109375" style="88" customWidth="1"/>
    <col min="9219" max="9219" width="24.85546875" style="88" customWidth="1"/>
    <col min="9220" max="9220" width="43.42578125" style="88" customWidth="1"/>
    <col min="9221" max="9221" width="29.5703125" style="88" customWidth="1"/>
    <col min="9222" max="9222" width="10.85546875" style="88" customWidth="1"/>
    <col min="9223" max="9223" width="32.140625" style="88" customWidth="1"/>
    <col min="9224" max="9224" width="26.7109375" style="88" customWidth="1"/>
    <col min="9225" max="9225" width="0" style="88" hidden="1" customWidth="1"/>
    <col min="9226" max="9226" width="12.5703125" style="88" customWidth="1"/>
    <col min="9227" max="9227" width="14.42578125" style="88" customWidth="1"/>
    <col min="9228" max="9228" width="19" style="88" customWidth="1"/>
    <col min="9229" max="9229" width="13.140625" style="88" customWidth="1"/>
    <col min="9230" max="9232" width="13.7109375" style="88" customWidth="1"/>
    <col min="9233" max="9244" width="11.7109375" style="88" customWidth="1"/>
    <col min="9245" max="9245" width="14.140625" style="88" customWidth="1"/>
    <col min="9246" max="9473" width="11.42578125" style="88"/>
    <col min="9474" max="9474" width="19.7109375" style="88" customWidth="1"/>
    <col min="9475" max="9475" width="24.85546875" style="88" customWidth="1"/>
    <col min="9476" max="9476" width="43.42578125" style="88" customWidth="1"/>
    <col min="9477" max="9477" width="29.5703125" style="88" customWidth="1"/>
    <col min="9478" max="9478" width="10.85546875" style="88" customWidth="1"/>
    <col min="9479" max="9479" width="32.140625" style="88" customWidth="1"/>
    <col min="9480" max="9480" width="26.7109375" style="88" customWidth="1"/>
    <col min="9481" max="9481" width="0" style="88" hidden="1" customWidth="1"/>
    <col min="9482" max="9482" width="12.5703125" style="88" customWidth="1"/>
    <col min="9483" max="9483" width="14.42578125" style="88" customWidth="1"/>
    <col min="9484" max="9484" width="19" style="88" customWidth="1"/>
    <col min="9485" max="9485" width="13.140625" style="88" customWidth="1"/>
    <col min="9486" max="9488" width="13.7109375" style="88" customWidth="1"/>
    <col min="9489" max="9500" width="11.7109375" style="88" customWidth="1"/>
    <col min="9501" max="9501" width="14.140625" style="88" customWidth="1"/>
    <col min="9502" max="9729" width="11.42578125" style="88"/>
    <col min="9730" max="9730" width="19.7109375" style="88" customWidth="1"/>
    <col min="9731" max="9731" width="24.85546875" style="88" customWidth="1"/>
    <col min="9732" max="9732" width="43.42578125" style="88" customWidth="1"/>
    <col min="9733" max="9733" width="29.5703125" style="88" customWidth="1"/>
    <col min="9734" max="9734" width="10.85546875" style="88" customWidth="1"/>
    <col min="9735" max="9735" width="32.140625" style="88" customWidth="1"/>
    <col min="9736" max="9736" width="26.7109375" style="88" customWidth="1"/>
    <col min="9737" max="9737" width="0" style="88" hidden="1" customWidth="1"/>
    <col min="9738" max="9738" width="12.5703125" style="88" customWidth="1"/>
    <col min="9739" max="9739" width="14.42578125" style="88" customWidth="1"/>
    <col min="9740" max="9740" width="19" style="88" customWidth="1"/>
    <col min="9741" max="9741" width="13.140625" style="88" customWidth="1"/>
    <col min="9742" max="9744" width="13.7109375" style="88" customWidth="1"/>
    <col min="9745" max="9756" width="11.7109375" style="88" customWidth="1"/>
    <col min="9757" max="9757" width="14.140625" style="88" customWidth="1"/>
    <col min="9758" max="9985" width="11.42578125" style="88"/>
    <col min="9986" max="9986" width="19.7109375" style="88" customWidth="1"/>
    <col min="9987" max="9987" width="24.85546875" style="88" customWidth="1"/>
    <col min="9988" max="9988" width="43.42578125" style="88" customWidth="1"/>
    <col min="9989" max="9989" width="29.5703125" style="88" customWidth="1"/>
    <col min="9990" max="9990" width="10.85546875" style="88" customWidth="1"/>
    <col min="9991" max="9991" width="32.140625" style="88" customWidth="1"/>
    <col min="9992" max="9992" width="26.7109375" style="88" customWidth="1"/>
    <col min="9993" max="9993" width="0" style="88" hidden="1" customWidth="1"/>
    <col min="9994" max="9994" width="12.5703125" style="88" customWidth="1"/>
    <col min="9995" max="9995" width="14.42578125" style="88" customWidth="1"/>
    <col min="9996" max="9996" width="19" style="88" customWidth="1"/>
    <col min="9997" max="9997" width="13.140625" style="88" customWidth="1"/>
    <col min="9998" max="10000" width="13.7109375" style="88" customWidth="1"/>
    <col min="10001" max="10012" width="11.7109375" style="88" customWidth="1"/>
    <col min="10013" max="10013" width="14.140625" style="88" customWidth="1"/>
    <col min="10014" max="10241" width="11.42578125" style="88"/>
    <col min="10242" max="10242" width="19.7109375" style="88" customWidth="1"/>
    <col min="10243" max="10243" width="24.85546875" style="88" customWidth="1"/>
    <col min="10244" max="10244" width="43.42578125" style="88" customWidth="1"/>
    <col min="10245" max="10245" width="29.5703125" style="88" customWidth="1"/>
    <col min="10246" max="10246" width="10.85546875" style="88" customWidth="1"/>
    <col min="10247" max="10247" width="32.140625" style="88" customWidth="1"/>
    <col min="10248" max="10248" width="26.7109375" style="88" customWidth="1"/>
    <col min="10249" max="10249" width="0" style="88" hidden="1" customWidth="1"/>
    <col min="10250" max="10250" width="12.5703125" style="88" customWidth="1"/>
    <col min="10251" max="10251" width="14.42578125" style="88" customWidth="1"/>
    <col min="10252" max="10252" width="19" style="88" customWidth="1"/>
    <col min="10253" max="10253" width="13.140625" style="88" customWidth="1"/>
    <col min="10254" max="10256" width="13.7109375" style="88" customWidth="1"/>
    <col min="10257" max="10268" width="11.7109375" style="88" customWidth="1"/>
    <col min="10269" max="10269" width="14.140625" style="88" customWidth="1"/>
    <col min="10270" max="10497" width="11.42578125" style="88"/>
    <col min="10498" max="10498" width="19.7109375" style="88" customWidth="1"/>
    <col min="10499" max="10499" width="24.85546875" style="88" customWidth="1"/>
    <col min="10500" max="10500" width="43.42578125" style="88" customWidth="1"/>
    <col min="10501" max="10501" width="29.5703125" style="88" customWidth="1"/>
    <col min="10502" max="10502" width="10.85546875" style="88" customWidth="1"/>
    <col min="10503" max="10503" width="32.140625" style="88" customWidth="1"/>
    <col min="10504" max="10504" width="26.7109375" style="88" customWidth="1"/>
    <col min="10505" max="10505" width="0" style="88" hidden="1" customWidth="1"/>
    <col min="10506" max="10506" width="12.5703125" style="88" customWidth="1"/>
    <col min="10507" max="10507" width="14.42578125" style="88" customWidth="1"/>
    <col min="10508" max="10508" width="19" style="88" customWidth="1"/>
    <col min="10509" max="10509" width="13.140625" style="88" customWidth="1"/>
    <col min="10510" max="10512" width="13.7109375" style="88" customWidth="1"/>
    <col min="10513" max="10524" width="11.7109375" style="88" customWidth="1"/>
    <col min="10525" max="10525" width="14.140625" style="88" customWidth="1"/>
    <col min="10526" max="10753" width="11.42578125" style="88"/>
    <col min="10754" max="10754" width="19.7109375" style="88" customWidth="1"/>
    <col min="10755" max="10755" width="24.85546875" style="88" customWidth="1"/>
    <col min="10756" max="10756" width="43.42578125" style="88" customWidth="1"/>
    <col min="10757" max="10757" width="29.5703125" style="88" customWidth="1"/>
    <col min="10758" max="10758" width="10.85546875" style="88" customWidth="1"/>
    <col min="10759" max="10759" width="32.140625" style="88" customWidth="1"/>
    <col min="10760" max="10760" width="26.7109375" style="88" customWidth="1"/>
    <col min="10761" max="10761" width="0" style="88" hidden="1" customWidth="1"/>
    <col min="10762" max="10762" width="12.5703125" style="88" customWidth="1"/>
    <col min="10763" max="10763" width="14.42578125" style="88" customWidth="1"/>
    <col min="10764" max="10764" width="19" style="88" customWidth="1"/>
    <col min="10765" max="10765" width="13.140625" style="88" customWidth="1"/>
    <col min="10766" max="10768" width="13.7109375" style="88" customWidth="1"/>
    <col min="10769" max="10780" width="11.7109375" style="88" customWidth="1"/>
    <col min="10781" max="10781" width="14.140625" style="88" customWidth="1"/>
    <col min="10782" max="11009" width="11.42578125" style="88"/>
    <col min="11010" max="11010" width="19.7109375" style="88" customWidth="1"/>
    <col min="11011" max="11011" width="24.85546875" style="88" customWidth="1"/>
    <col min="11012" max="11012" width="43.42578125" style="88" customWidth="1"/>
    <col min="11013" max="11013" width="29.5703125" style="88" customWidth="1"/>
    <col min="11014" max="11014" width="10.85546875" style="88" customWidth="1"/>
    <col min="11015" max="11015" width="32.140625" style="88" customWidth="1"/>
    <col min="11016" max="11016" width="26.7109375" style="88" customWidth="1"/>
    <col min="11017" max="11017" width="0" style="88" hidden="1" customWidth="1"/>
    <col min="11018" max="11018" width="12.5703125" style="88" customWidth="1"/>
    <col min="11019" max="11019" width="14.42578125" style="88" customWidth="1"/>
    <col min="11020" max="11020" width="19" style="88" customWidth="1"/>
    <col min="11021" max="11021" width="13.140625" style="88" customWidth="1"/>
    <col min="11022" max="11024" width="13.7109375" style="88" customWidth="1"/>
    <col min="11025" max="11036" width="11.7109375" style="88" customWidth="1"/>
    <col min="11037" max="11037" width="14.140625" style="88" customWidth="1"/>
    <col min="11038" max="11265" width="11.42578125" style="88"/>
    <col min="11266" max="11266" width="19.7109375" style="88" customWidth="1"/>
    <col min="11267" max="11267" width="24.85546875" style="88" customWidth="1"/>
    <col min="11268" max="11268" width="43.42578125" style="88" customWidth="1"/>
    <col min="11269" max="11269" width="29.5703125" style="88" customWidth="1"/>
    <col min="11270" max="11270" width="10.85546875" style="88" customWidth="1"/>
    <col min="11271" max="11271" width="32.140625" style="88" customWidth="1"/>
    <col min="11272" max="11272" width="26.7109375" style="88" customWidth="1"/>
    <col min="11273" max="11273" width="0" style="88" hidden="1" customWidth="1"/>
    <col min="11274" max="11274" width="12.5703125" style="88" customWidth="1"/>
    <col min="11275" max="11275" width="14.42578125" style="88" customWidth="1"/>
    <col min="11276" max="11276" width="19" style="88" customWidth="1"/>
    <col min="11277" max="11277" width="13.140625" style="88" customWidth="1"/>
    <col min="11278" max="11280" width="13.7109375" style="88" customWidth="1"/>
    <col min="11281" max="11292" width="11.7109375" style="88" customWidth="1"/>
    <col min="11293" max="11293" width="14.140625" style="88" customWidth="1"/>
    <col min="11294" max="11521" width="11.42578125" style="88"/>
    <col min="11522" max="11522" width="19.7109375" style="88" customWidth="1"/>
    <col min="11523" max="11523" width="24.85546875" style="88" customWidth="1"/>
    <col min="11524" max="11524" width="43.42578125" style="88" customWidth="1"/>
    <col min="11525" max="11525" width="29.5703125" style="88" customWidth="1"/>
    <col min="11526" max="11526" width="10.85546875" style="88" customWidth="1"/>
    <col min="11527" max="11527" width="32.140625" style="88" customWidth="1"/>
    <col min="11528" max="11528" width="26.7109375" style="88" customWidth="1"/>
    <col min="11529" max="11529" width="0" style="88" hidden="1" customWidth="1"/>
    <col min="11530" max="11530" width="12.5703125" style="88" customWidth="1"/>
    <col min="11531" max="11531" width="14.42578125" style="88" customWidth="1"/>
    <col min="11532" max="11532" width="19" style="88" customWidth="1"/>
    <col min="11533" max="11533" width="13.140625" style="88" customWidth="1"/>
    <col min="11534" max="11536" width="13.7109375" style="88" customWidth="1"/>
    <col min="11537" max="11548" width="11.7109375" style="88" customWidth="1"/>
    <col min="11549" max="11549" width="14.140625" style="88" customWidth="1"/>
    <col min="11550" max="11777" width="11.42578125" style="88"/>
    <col min="11778" max="11778" width="19.7109375" style="88" customWidth="1"/>
    <col min="11779" max="11779" width="24.85546875" style="88" customWidth="1"/>
    <col min="11780" max="11780" width="43.42578125" style="88" customWidth="1"/>
    <col min="11781" max="11781" width="29.5703125" style="88" customWidth="1"/>
    <col min="11782" max="11782" width="10.85546875" style="88" customWidth="1"/>
    <col min="11783" max="11783" width="32.140625" style="88" customWidth="1"/>
    <col min="11784" max="11784" width="26.7109375" style="88" customWidth="1"/>
    <col min="11785" max="11785" width="0" style="88" hidden="1" customWidth="1"/>
    <col min="11786" max="11786" width="12.5703125" style="88" customWidth="1"/>
    <col min="11787" max="11787" width="14.42578125" style="88" customWidth="1"/>
    <col min="11788" max="11788" width="19" style="88" customWidth="1"/>
    <col min="11789" max="11789" width="13.140625" style="88" customWidth="1"/>
    <col min="11790" max="11792" width="13.7109375" style="88" customWidth="1"/>
    <col min="11793" max="11804" width="11.7109375" style="88" customWidth="1"/>
    <col min="11805" max="11805" width="14.140625" style="88" customWidth="1"/>
    <col min="11806" max="12033" width="11.42578125" style="88"/>
    <col min="12034" max="12034" width="19.7109375" style="88" customWidth="1"/>
    <col min="12035" max="12035" width="24.85546875" style="88" customWidth="1"/>
    <col min="12036" max="12036" width="43.42578125" style="88" customWidth="1"/>
    <col min="12037" max="12037" width="29.5703125" style="88" customWidth="1"/>
    <col min="12038" max="12038" width="10.85546875" style="88" customWidth="1"/>
    <col min="12039" max="12039" width="32.140625" style="88" customWidth="1"/>
    <col min="12040" max="12040" width="26.7109375" style="88" customWidth="1"/>
    <col min="12041" max="12041" width="0" style="88" hidden="1" customWidth="1"/>
    <col min="12042" max="12042" width="12.5703125" style="88" customWidth="1"/>
    <col min="12043" max="12043" width="14.42578125" style="88" customWidth="1"/>
    <col min="12044" max="12044" width="19" style="88" customWidth="1"/>
    <col min="12045" max="12045" width="13.140625" style="88" customWidth="1"/>
    <col min="12046" max="12048" width="13.7109375" style="88" customWidth="1"/>
    <col min="12049" max="12060" width="11.7109375" style="88" customWidth="1"/>
    <col min="12061" max="12061" width="14.140625" style="88" customWidth="1"/>
    <col min="12062" max="12289" width="11.42578125" style="88"/>
    <col min="12290" max="12290" width="19.7109375" style="88" customWidth="1"/>
    <col min="12291" max="12291" width="24.85546875" style="88" customWidth="1"/>
    <col min="12292" max="12292" width="43.42578125" style="88" customWidth="1"/>
    <col min="12293" max="12293" width="29.5703125" style="88" customWidth="1"/>
    <col min="12294" max="12294" width="10.85546875" style="88" customWidth="1"/>
    <col min="12295" max="12295" width="32.140625" style="88" customWidth="1"/>
    <col min="12296" max="12296" width="26.7109375" style="88" customWidth="1"/>
    <col min="12297" max="12297" width="0" style="88" hidden="1" customWidth="1"/>
    <col min="12298" max="12298" width="12.5703125" style="88" customWidth="1"/>
    <col min="12299" max="12299" width="14.42578125" style="88" customWidth="1"/>
    <col min="12300" max="12300" width="19" style="88" customWidth="1"/>
    <col min="12301" max="12301" width="13.140625" style="88" customWidth="1"/>
    <col min="12302" max="12304" width="13.7109375" style="88" customWidth="1"/>
    <col min="12305" max="12316" width="11.7109375" style="88" customWidth="1"/>
    <col min="12317" max="12317" width="14.140625" style="88" customWidth="1"/>
    <col min="12318" max="12545" width="11.42578125" style="88"/>
    <col min="12546" max="12546" width="19.7109375" style="88" customWidth="1"/>
    <col min="12547" max="12547" width="24.85546875" style="88" customWidth="1"/>
    <col min="12548" max="12548" width="43.42578125" style="88" customWidth="1"/>
    <col min="12549" max="12549" width="29.5703125" style="88" customWidth="1"/>
    <col min="12550" max="12550" width="10.85546875" style="88" customWidth="1"/>
    <col min="12551" max="12551" width="32.140625" style="88" customWidth="1"/>
    <col min="12552" max="12552" width="26.7109375" style="88" customWidth="1"/>
    <col min="12553" max="12553" width="0" style="88" hidden="1" customWidth="1"/>
    <col min="12554" max="12554" width="12.5703125" style="88" customWidth="1"/>
    <col min="12555" max="12555" width="14.42578125" style="88" customWidth="1"/>
    <col min="12556" max="12556" width="19" style="88" customWidth="1"/>
    <col min="12557" max="12557" width="13.140625" style="88" customWidth="1"/>
    <col min="12558" max="12560" width="13.7109375" style="88" customWidth="1"/>
    <col min="12561" max="12572" width="11.7109375" style="88" customWidth="1"/>
    <col min="12573" max="12573" width="14.140625" style="88" customWidth="1"/>
    <col min="12574" max="12801" width="11.42578125" style="88"/>
    <col min="12802" max="12802" width="19.7109375" style="88" customWidth="1"/>
    <col min="12803" max="12803" width="24.85546875" style="88" customWidth="1"/>
    <col min="12804" max="12804" width="43.42578125" style="88" customWidth="1"/>
    <col min="12805" max="12805" width="29.5703125" style="88" customWidth="1"/>
    <col min="12806" max="12806" width="10.85546875" style="88" customWidth="1"/>
    <col min="12807" max="12807" width="32.140625" style="88" customWidth="1"/>
    <col min="12808" max="12808" width="26.7109375" style="88" customWidth="1"/>
    <col min="12809" max="12809" width="0" style="88" hidden="1" customWidth="1"/>
    <col min="12810" max="12810" width="12.5703125" style="88" customWidth="1"/>
    <col min="12811" max="12811" width="14.42578125" style="88" customWidth="1"/>
    <col min="12812" max="12812" width="19" style="88" customWidth="1"/>
    <col min="12813" max="12813" width="13.140625" style="88" customWidth="1"/>
    <col min="12814" max="12816" width="13.7109375" style="88" customWidth="1"/>
    <col min="12817" max="12828" width="11.7109375" style="88" customWidth="1"/>
    <col min="12829" max="12829" width="14.140625" style="88" customWidth="1"/>
    <col min="12830" max="13057" width="11.42578125" style="88"/>
    <col min="13058" max="13058" width="19.7109375" style="88" customWidth="1"/>
    <col min="13059" max="13059" width="24.85546875" style="88" customWidth="1"/>
    <col min="13060" max="13060" width="43.42578125" style="88" customWidth="1"/>
    <col min="13061" max="13061" width="29.5703125" style="88" customWidth="1"/>
    <col min="13062" max="13062" width="10.85546875" style="88" customWidth="1"/>
    <col min="13063" max="13063" width="32.140625" style="88" customWidth="1"/>
    <col min="13064" max="13064" width="26.7109375" style="88" customWidth="1"/>
    <col min="13065" max="13065" width="0" style="88" hidden="1" customWidth="1"/>
    <col min="13066" max="13066" width="12.5703125" style="88" customWidth="1"/>
    <col min="13067" max="13067" width="14.42578125" style="88" customWidth="1"/>
    <col min="13068" max="13068" width="19" style="88" customWidth="1"/>
    <col min="13069" max="13069" width="13.140625" style="88" customWidth="1"/>
    <col min="13070" max="13072" width="13.7109375" style="88" customWidth="1"/>
    <col min="13073" max="13084" width="11.7109375" style="88" customWidth="1"/>
    <col min="13085" max="13085" width="14.140625" style="88" customWidth="1"/>
    <col min="13086" max="13313" width="11.42578125" style="88"/>
    <col min="13314" max="13314" width="19.7109375" style="88" customWidth="1"/>
    <col min="13315" max="13315" width="24.85546875" style="88" customWidth="1"/>
    <col min="13316" max="13316" width="43.42578125" style="88" customWidth="1"/>
    <col min="13317" max="13317" width="29.5703125" style="88" customWidth="1"/>
    <col min="13318" max="13318" width="10.85546875" style="88" customWidth="1"/>
    <col min="13319" max="13319" width="32.140625" style="88" customWidth="1"/>
    <col min="13320" max="13320" width="26.7109375" style="88" customWidth="1"/>
    <col min="13321" max="13321" width="0" style="88" hidden="1" customWidth="1"/>
    <col min="13322" max="13322" width="12.5703125" style="88" customWidth="1"/>
    <col min="13323" max="13323" width="14.42578125" style="88" customWidth="1"/>
    <col min="13324" max="13324" width="19" style="88" customWidth="1"/>
    <col min="13325" max="13325" width="13.140625" style="88" customWidth="1"/>
    <col min="13326" max="13328" width="13.7109375" style="88" customWidth="1"/>
    <col min="13329" max="13340" width="11.7109375" style="88" customWidth="1"/>
    <col min="13341" max="13341" width="14.140625" style="88" customWidth="1"/>
    <col min="13342" max="13569" width="11.42578125" style="88"/>
    <col min="13570" max="13570" width="19.7109375" style="88" customWidth="1"/>
    <col min="13571" max="13571" width="24.85546875" style="88" customWidth="1"/>
    <col min="13572" max="13572" width="43.42578125" style="88" customWidth="1"/>
    <col min="13573" max="13573" width="29.5703125" style="88" customWidth="1"/>
    <col min="13574" max="13574" width="10.85546875" style="88" customWidth="1"/>
    <col min="13575" max="13575" width="32.140625" style="88" customWidth="1"/>
    <col min="13576" max="13576" width="26.7109375" style="88" customWidth="1"/>
    <col min="13577" max="13577" width="0" style="88" hidden="1" customWidth="1"/>
    <col min="13578" max="13578" width="12.5703125" style="88" customWidth="1"/>
    <col min="13579" max="13579" width="14.42578125" style="88" customWidth="1"/>
    <col min="13580" max="13580" width="19" style="88" customWidth="1"/>
    <col min="13581" max="13581" width="13.140625" style="88" customWidth="1"/>
    <col min="13582" max="13584" width="13.7109375" style="88" customWidth="1"/>
    <col min="13585" max="13596" width="11.7109375" style="88" customWidth="1"/>
    <col min="13597" max="13597" width="14.140625" style="88" customWidth="1"/>
    <col min="13598" max="13825" width="11.42578125" style="88"/>
    <col min="13826" max="13826" width="19.7109375" style="88" customWidth="1"/>
    <col min="13827" max="13827" width="24.85546875" style="88" customWidth="1"/>
    <col min="13828" max="13828" width="43.42578125" style="88" customWidth="1"/>
    <col min="13829" max="13829" width="29.5703125" style="88" customWidth="1"/>
    <col min="13830" max="13830" width="10.85546875" style="88" customWidth="1"/>
    <col min="13831" max="13831" width="32.140625" style="88" customWidth="1"/>
    <col min="13832" max="13832" width="26.7109375" style="88" customWidth="1"/>
    <col min="13833" max="13833" width="0" style="88" hidden="1" customWidth="1"/>
    <col min="13834" max="13834" width="12.5703125" style="88" customWidth="1"/>
    <col min="13835" max="13835" width="14.42578125" style="88" customWidth="1"/>
    <col min="13836" max="13836" width="19" style="88" customWidth="1"/>
    <col min="13837" max="13837" width="13.140625" style="88" customWidth="1"/>
    <col min="13838" max="13840" width="13.7109375" style="88" customWidth="1"/>
    <col min="13841" max="13852" width="11.7109375" style="88" customWidth="1"/>
    <col min="13853" max="13853" width="14.140625" style="88" customWidth="1"/>
    <col min="13854" max="14081" width="11.42578125" style="88"/>
    <col min="14082" max="14082" width="19.7109375" style="88" customWidth="1"/>
    <col min="14083" max="14083" width="24.85546875" style="88" customWidth="1"/>
    <col min="14084" max="14084" width="43.42578125" style="88" customWidth="1"/>
    <col min="14085" max="14085" width="29.5703125" style="88" customWidth="1"/>
    <col min="14086" max="14086" width="10.85546875" style="88" customWidth="1"/>
    <col min="14087" max="14087" width="32.140625" style="88" customWidth="1"/>
    <col min="14088" max="14088" width="26.7109375" style="88" customWidth="1"/>
    <col min="14089" max="14089" width="0" style="88" hidden="1" customWidth="1"/>
    <col min="14090" max="14090" width="12.5703125" style="88" customWidth="1"/>
    <col min="14091" max="14091" width="14.42578125" style="88" customWidth="1"/>
    <col min="14092" max="14092" width="19" style="88" customWidth="1"/>
    <col min="14093" max="14093" width="13.140625" style="88" customWidth="1"/>
    <col min="14094" max="14096" width="13.7109375" style="88" customWidth="1"/>
    <col min="14097" max="14108" width="11.7109375" style="88" customWidth="1"/>
    <col min="14109" max="14109" width="14.140625" style="88" customWidth="1"/>
    <col min="14110" max="14337" width="11.42578125" style="88"/>
    <col min="14338" max="14338" width="19.7109375" style="88" customWidth="1"/>
    <col min="14339" max="14339" width="24.85546875" style="88" customWidth="1"/>
    <col min="14340" max="14340" width="43.42578125" style="88" customWidth="1"/>
    <col min="14341" max="14341" width="29.5703125" style="88" customWidth="1"/>
    <col min="14342" max="14342" width="10.85546875" style="88" customWidth="1"/>
    <col min="14343" max="14343" width="32.140625" style="88" customWidth="1"/>
    <col min="14344" max="14344" width="26.7109375" style="88" customWidth="1"/>
    <col min="14345" max="14345" width="0" style="88" hidden="1" customWidth="1"/>
    <col min="14346" max="14346" width="12.5703125" style="88" customWidth="1"/>
    <col min="14347" max="14347" width="14.42578125" style="88" customWidth="1"/>
    <col min="14348" max="14348" width="19" style="88" customWidth="1"/>
    <col min="14349" max="14349" width="13.140625" style="88" customWidth="1"/>
    <col min="14350" max="14352" width="13.7109375" style="88" customWidth="1"/>
    <col min="14353" max="14364" width="11.7109375" style="88" customWidth="1"/>
    <col min="14365" max="14365" width="14.140625" style="88" customWidth="1"/>
    <col min="14366" max="14593" width="11.42578125" style="88"/>
    <col min="14594" max="14594" width="19.7109375" style="88" customWidth="1"/>
    <col min="14595" max="14595" width="24.85546875" style="88" customWidth="1"/>
    <col min="14596" max="14596" width="43.42578125" style="88" customWidth="1"/>
    <col min="14597" max="14597" width="29.5703125" style="88" customWidth="1"/>
    <col min="14598" max="14598" width="10.85546875" style="88" customWidth="1"/>
    <col min="14599" max="14599" width="32.140625" style="88" customWidth="1"/>
    <col min="14600" max="14600" width="26.7109375" style="88" customWidth="1"/>
    <col min="14601" max="14601" width="0" style="88" hidden="1" customWidth="1"/>
    <col min="14602" max="14602" width="12.5703125" style="88" customWidth="1"/>
    <col min="14603" max="14603" width="14.42578125" style="88" customWidth="1"/>
    <col min="14604" max="14604" width="19" style="88" customWidth="1"/>
    <col min="14605" max="14605" width="13.140625" style="88" customWidth="1"/>
    <col min="14606" max="14608" width="13.7109375" style="88" customWidth="1"/>
    <col min="14609" max="14620" width="11.7109375" style="88" customWidth="1"/>
    <col min="14621" max="14621" width="14.140625" style="88" customWidth="1"/>
    <col min="14622" max="14849" width="11.42578125" style="88"/>
    <col min="14850" max="14850" width="19.7109375" style="88" customWidth="1"/>
    <col min="14851" max="14851" width="24.85546875" style="88" customWidth="1"/>
    <col min="14852" max="14852" width="43.42578125" style="88" customWidth="1"/>
    <col min="14853" max="14853" width="29.5703125" style="88" customWidth="1"/>
    <col min="14854" max="14854" width="10.85546875" style="88" customWidth="1"/>
    <col min="14855" max="14855" width="32.140625" style="88" customWidth="1"/>
    <col min="14856" max="14856" width="26.7109375" style="88" customWidth="1"/>
    <col min="14857" max="14857" width="0" style="88" hidden="1" customWidth="1"/>
    <col min="14858" max="14858" width="12.5703125" style="88" customWidth="1"/>
    <col min="14859" max="14859" width="14.42578125" style="88" customWidth="1"/>
    <col min="14860" max="14860" width="19" style="88" customWidth="1"/>
    <col min="14861" max="14861" width="13.140625" style="88" customWidth="1"/>
    <col min="14862" max="14864" width="13.7109375" style="88" customWidth="1"/>
    <col min="14865" max="14876" width="11.7109375" style="88" customWidth="1"/>
    <col min="14877" max="14877" width="14.140625" style="88" customWidth="1"/>
    <col min="14878" max="15105" width="11.42578125" style="88"/>
    <col min="15106" max="15106" width="19.7109375" style="88" customWidth="1"/>
    <col min="15107" max="15107" width="24.85546875" style="88" customWidth="1"/>
    <col min="15108" max="15108" width="43.42578125" style="88" customWidth="1"/>
    <col min="15109" max="15109" width="29.5703125" style="88" customWidth="1"/>
    <col min="15110" max="15110" width="10.85546875" style="88" customWidth="1"/>
    <col min="15111" max="15111" width="32.140625" style="88" customWidth="1"/>
    <col min="15112" max="15112" width="26.7109375" style="88" customWidth="1"/>
    <col min="15113" max="15113" width="0" style="88" hidden="1" customWidth="1"/>
    <col min="15114" max="15114" width="12.5703125" style="88" customWidth="1"/>
    <col min="15115" max="15115" width="14.42578125" style="88" customWidth="1"/>
    <col min="15116" max="15116" width="19" style="88" customWidth="1"/>
    <col min="15117" max="15117" width="13.140625" style="88" customWidth="1"/>
    <col min="15118" max="15120" width="13.7109375" style="88" customWidth="1"/>
    <col min="15121" max="15132" width="11.7109375" style="88" customWidth="1"/>
    <col min="15133" max="15133" width="14.140625" style="88" customWidth="1"/>
    <col min="15134" max="15361" width="11.42578125" style="88"/>
    <col min="15362" max="15362" width="19.7109375" style="88" customWidth="1"/>
    <col min="15363" max="15363" width="24.85546875" style="88" customWidth="1"/>
    <col min="15364" max="15364" width="43.42578125" style="88" customWidth="1"/>
    <col min="15365" max="15365" width="29.5703125" style="88" customWidth="1"/>
    <col min="15366" max="15366" width="10.85546875" style="88" customWidth="1"/>
    <col min="15367" max="15367" width="32.140625" style="88" customWidth="1"/>
    <col min="15368" max="15368" width="26.7109375" style="88" customWidth="1"/>
    <col min="15369" max="15369" width="0" style="88" hidden="1" customWidth="1"/>
    <col min="15370" max="15370" width="12.5703125" style="88" customWidth="1"/>
    <col min="15371" max="15371" width="14.42578125" style="88" customWidth="1"/>
    <col min="15372" max="15372" width="19" style="88" customWidth="1"/>
    <col min="15373" max="15373" width="13.140625" style="88" customWidth="1"/>
    <col min="15374" max="15376" width="13.7109375" style="88" customWidth="1"/>
    <col min="15377" max="15388" width="11.7109375" style="88" customWidth="1"/>
    <col min="15389" max="15389" width="14.140625" style="88" customWidth="1"/>
    <col min="15390" max="15617" width="11.42578125" style="88"/>
    <col min="15618" max="15618" width="19.7109375" style="88" customWidth="1"/>
    <col min="15619" max="15619" width="24.85546875" style="88" customWidth="1"/>
    <col min="15620" max="15620" width="43.42578125" style="88" customWidth="1"/>
    <col min="15621" max="15621" width="29.5703125" style="88" customWidth="1"/>
    <col min="15622" max="15622" width="10.85546875" style="88" customWidth="1"/>
    <col min="15623" max="15623" width="32.140625" style="88" customWidth="1"/>
    <col min="15624" max="15624" width="26.7109375" style="88" customWidth="1"/>
    <col min="15625" max="15625" width="0" style="88" hidden="1" customWidth="1"/>
    <col min="15626" max="15626" width="12.5703125" style="88" customWidth="1"/>
    <col min="15627" max="15627" width="14.42578125" style="88" customWidth="1"/>
    <col min="15628" max="15628" width="19" style="88" customWidth="1"/>
    <col min="15629" max="15629" width="13.140625" style="88" customWidth="1"/>
    <col min="15630" max="15632" width="13.7109375" style="88" customWidth="1"/>
    <col min="15633" max="15644" width="11.7109375" style="88" customWidth="1"/>
    <col min="15645" max="15645" width="14.140625" style="88" customWidth="1"/>
    <col min="15646" max="15873" width="11.42578125" style="88"/>
    <col min="15874" max="15874" width="19.7109375" style="88" customWidth="1"/>
    <col min="15875" max="15875" width="24.85546875" style="88" customWidth="1"/>
    <col min="15876" max="15876" width="43.42578125" style="88" customWidth="1"/>
    <col min="15877" max="15877" width="29.5703125" style="88" customWidth="1"/>
    <col min="15878" max="15878" width="10.85546875" style="88" customWidth="1"/>
    <col min="15879" max="15879" width="32.140625" style="88" customWidth="1"/>
    <col min="15880" max="15880" width="26.7109375" style="88" customWidth="1"/>
    <col min="15881" max="15881" width="0" style="88" hidden="1" customWidth="1"/>
    <col min="15882" max="15882" width="12.5703125" style="88" customWidth="1"/>
    <col min="15883" max="15883" width="14.42578125" style="88" customWidth="1"/>
    <col min="15884" max="15884" width="19" style="88" customWidth="1"/>
    <col min="15885" max="15885" width="13.140625" style="88" customWidth="1"/>
    <col min="15886" max="15888" width="13.7109375" style="88" customWidth="1"/>
    <col min="15889" max="15900" width="11.7109375" style="88" customWidth="1"/>
    <col min="15901" max="15901" width="14.140625" style="88" customWidth="1"/>
    <col min="15902" max="16129" width="11.42578125" style="88"/>
    <col min="16130" max="16130" width="19.7109375" style="88" customWidth="1"/>
    <col min="16131" max="16131" width="24.85546875" style="88" customWidth="1"/>
    <col min="16132" max="16132" width="43.42578125" style="88" customWidth="1"/>
    <col min="16133" max="16133" width="29.5703125" style="88" customWidth="1"/>
    <col min="16134" max="16134" width="10.85546875" style="88" customWidth="1"/>
    <col min="16135" max="16135" width="32.140625" style="88" customWidth="1"/>
    <col min="16136" max="16136" width="26.7109375" style="88" customWidth="1"/>
    <col min="16137" max="16137" width="0" style="88" hidden="1" customWidth="1"/>
    <col min="16138" max="16138" width="12.5703125" style="88" customWidth="1"/>
    <col min="16139" max="16139" width="14.42578125" style="88" customWidth="1"/>
    <col min="16140" max="16140" width="19" style="88" customWidth="1"/>
    <col min="16141" max="16141" width="13.140625" style="88" customWidth="1"/>
    <col min="16142" max="16144" width="13.7109375" style="88" customWidth="1"/>
    <col min="16145" max="16156" width="11.7109375" style="88" customWidth="1"/>
    <col min="16157" max="16157" width="14.140625" style="88" customWidth="1"/>
    <col min="16158" max="16384" width="11.42578125" style="88"/>
  </cols>
  <sheetData>
    <row r="1" spans="1:30" ht="3" customHeight="1">
      <c r="A1" s="89"/>
      <c r="B1" s="90"/>
      <c r="C1" s="90"/>
    </row>
    <row r="2" spans="1:30" ht="18.75" hidden="1">
      <c r="A2" s="89"/>
      <c r="B2" s="90"/>
      <c r="C2" s="90"/>
    </row>
    <row r="3" spans="1:30" ht="24" customHeight="1">
      <c r="A3" s="91" t="s">
        <v>633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2"/>
    </row>
    <row r="4" spans="1:30" ht="20.25" customHeight="1">
      <c r="A4" s="93" t="s">
        <v>1141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4"/>
    </row>
    <row r="5" spans="1:30" ht="21" customHeight="1">
      <c r="A5" s="93" t="s">
        <v>1127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row>
    <row r="6" spans="1:30" ht="30.75" customHeight="1">
      <c r="A6" s="817" t="s">
        <v>1187</v>
      </c>
      <c r="B6" s="817"/>
      <c r="C6" s="719" t="s">
        <v>1188</v>
      </c>
      <c r="E6" s="617"/>
      <c r="F6" s="617"/>
      <c r="G6" s="617"/>
      <c r="H6" s="617"/>
      <c r="I6" s="617"/>
      <c r="J6" s="617"/>
      <c r="K6" s="93"/>
      <c r="L6" s="93"/>
      <c r="M6" s="93"/>
      <c r="N6" s="93"/>
      <c r="O6" s="93"/>
      <c r="P6" s="93"/>
      <c r="Q6" s="93"/>
      <c r="R6" s="93"/>
      <c r="S6" s="93"/>
      <c r="T6" s="93"/>
      <c r="U6" s="93"/>
      <c r="V6" s="93"/>
      <c r="W6" s="93"/>
      <c r="X6" s="93"/>
      <c r="Y6" s="93"/>
      <c r="Z6" s="93"/>
      <c r="AA6" s="93"/>
      <c r="AB6" s="93"/>
      <c r="AC6" s="94"/>
    </row>
    <row r="7" spans="1:30" ht="30.75" customHeight="1">
      <c r="A7" s="619" t="s">
        <v>1126</v>
      </c>
      <c r="B7" s="619"/>
      <c r="C7" s="618" t="s">
        <v>1128</v>
      </c>
      <c r="D7" s="618"/>
      <c r="E7" s="617"/>
      <c r="F7" s="617"/>
      <c r="G7" s="617"/>
      <c r="H7" s="617"/>
      <c r="I7" s="617"/>
      <c r="J7" s="617"/>
      <c r="K7" s="93"/>
      <c r="L7" s="93"/>
      <c r="M7" s="93"/>
      <c r="N7" s="93"/>
      <c r="O7" s="93"/>
      <c r="P7" s="93"/>
      <c r="Q7" s="93"/>
      <c r="R7" s="93"/>
      <c r="S7" s="93"/>
      <c r="T7" s="93"/>
      <c r="U7" s="93"/>
      <c r="V7" s="93"/>
      <c r="W7" s="93"/>
      <c r="X7" s="93"/>
      <c r="Y7" s="93"/>
      <c r="Z7" s="93"/>
      <c r="AA7" s="93"/>
      <c r="AB7" s="93"/>
      <c r="AC7" s="94"/>
    </row>
    <row r="8" spans="1:30" ht="30.75" customHeight="1">
      <c r="A8" s="619" t="s">
        <v>1129</v>
      </c>
      <c r="B8" s="619"/>
      <c r="C8" s="720" t="s">
        <v>1189</v>
      </c>
      <c r="D8" s="618"/>
      <c r="E8" s="617"/>
      <c r="F8" s="617"/>
      <c r="G8" s="617"/>
      <c r="H8" s="617"/>
      <c r="I8" s="617"/>
      <c r="J8" s="617"/>
      <c r="K8" s="93"/>
      <c r="L8" s="93"/>
      <c r="M8" s="93"/>
      <c r="N8" s="93"/>
      <c r="O8" s="93"/>
      <c r="P8" s="93"/>
      <c r="Q8" s="93"/>
      <c r="R8" s="93"/>
      <c r="S8" s="93"/>
      <c r="T8" s="93"/>
      <c r="U8" s="93"/>
      <c r="V8" s="93"/>
      <c r="W8" s="93"/>
      <c r="X8" s="93"/>
      <c r="Y8" s="93"/>
      <c r="Z8" s="93"/>
      <c r="AA8" s="93"/>
      <c r="AB8" s="93"/>
      <c r="AC8" s="94"/>
    </row>
    <row r="9" spans="1:30" ht="30.75" customHeight="1">
      <c r="A9" s="619" t="s">
        <v>1190</v>
      </c>
      <c r="B9" s="619"/>
      <c r="C9" s="721" t="s">
        <v>1191</v>
      </c>
      <c r="D9" s="618"/>
      <c r="E9" s="617"/>
      <c r="F9" s="617"/>
      <c r="G9" s="617"/>
      <c r="H9" s="617"/>
      <c r="I9" s="617"/>
      <c r="J9" s="617"/>
      <c r="K9" s="93"/>
      <c r="L9" s="93"/>
      <c r="M9" s="93"/>
      <c r="N9" s="93"/>
      <c r="O9" s="93"/>
      <c r="P9" s="93"/>
      <c r="Q9" s="93"/>
      <c r="R9" s="93"/>
      <c r="S9" s="93"/>
      <c r="T9" s="93"/>
      <c r="U9" s="93"/>
      <c r="V9" s="93"/>
      <c r="W9" s="93"/>
      <c r="X9" s="93"/>
      <c r="Y9" s="93"/>
      <c r="Z9" s="93"/>
      <c r="AA9" s="93"/>
      <c r="AB9" s="93"/>
      <c r="AC9" s="94"/>
    </row>
    <row r="10" spans="1:30" ht="11.25" customHeight="1">
      <c r="A10" s="617"/>
      <c r="B10" s="617"/>
      <c r="C10" s="617"/>
      <c r="D10" s="617"/>
      <c r="E10" s="617"/>
      <c r="F10" s="617"/>
      <c r="G10" s="617"/>
      <c r="H10" s="617"/>
      <c r="I10" s="617"/>
      <c r="J10" s="617"/>
      <c r="K10" s="93"/>
      <c r="L10" s="93"/>
      <c r="M10" s="93"/>
      <c r="N10" s="93"/>
      <c r="O10" s="93"/>
      <c r="P10" s="93"/>
      <c r="Q10" s="93"/>
      <c r="R10" s="93"/>
      <c r="S10" s="93"/>
      <c r="T10" s="93"/>
      <c r="U10" s="93"/>
      <c r="V10" s="93"/>
      <c r="W10" s="93"/>
      <c r="X10" s="93"/>
      <c r="Y10" s="93"/>
      <c r="Z10" s="93"/>
      <c r="AA10" s="93"/>
      <c r="AB10" s="93"/>
      <c r="AC10" s="94"/>
    </row>
    <row r="11" spans="1:30" ht="30.75" hidden="1" customHeight="1">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4"/>
    </row>
    <row r="12" spans="1:30" ht="28.5" customHeight="1">
      <c r="A12" s="754" t="s">
        <v>1192</v>
      </c>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517"/>
    </row>
    <row r="13" spans="1:30">
      <c r="A13" s="680"/>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2"/>
    </row>
    <row r="14" spans="1:30" ht="18.75">
      <c r="A14" s="756" t="s">
        <v>634</v>
      </c>
      <c r="B14" s="757"/>
      <c r="C14" s="757"/>
      <c r="D14" s="757"/>
      <c r="E14" s="757"/>
      <c r="F14" s="757"/>
      <c r="G14" s="757"/>
      <c r="H14" s="757"/>
      <c r="I14" s="757"/>
      <c r="J14" s="757"/>
      <c r="K14" s="757"/>
      <c r="L14" s="757"/>
      <c r="M14" s="758"/>
      <c r="N14" s="759" t="s">
        <v>635</v>
      </c>
      <c r="O14" s="759"/>
      <c r="P14" s="759"/>
      <c r="Q14" s="760" t="s">
        <v>636</v>
      </c>
      <c r="R14" s="761"/>
      <c r="S14" s="761"/>
      <c r="T14" s="761"/>
      <c r="U14" s="761"/>
      <c r="V14" s="761"/>
      <c r="W14" s="761"/>
      <c r="X14" s="761"/>
      <c r="Y14" s="761"/>
      <c r="Z14" s="761"/>
      <c r="AA14" s="761"/>
      <c r="AB14" s="761"/>
      <c r="AC14" s="762"/>
    </row>
    <row r="15" spans="1:30" s="98" customFormat="1" ht="33.75" customHeight="1">
      <c r="A15" s="95" t="s">
        <v>637</v>
      </c>
      <c r="B15" s="95" t="s">
        <v>638</v>
      </c>
      <c r="C15" s="683" t="s">
        <v>639</v>
      </c>
      <c r="D15" s="95" t="s">
        <v>640</v>
      </c>
      <c r="E15" s="95" t="s">
        <v>641</v>
      </c>
      <c r="F15" s="95" t="s">
        <v>642</v>
      </c>
      <c r="G15" s="95" t="s">
        <v>643</v>
      </c>
      <c r="H15" s="95" t="s">
        <v>644</v>
      </c>
      <c r="I15" s="96" t="s">
        <v>645</v>
      </c>
      <c r="J15" s="96" t="s">
        <v>646</v>
      </c>
      <c r="K15" s="95" t="s">
        <v>647</v>
      </c>
      <c r="L15" s="95" t="s">
        <v>648</v>
      </c>
      <c r="M15" s="95" t="s">
        <v>649</v>
      </c>
      <c r="N15" s="96" t="s">
        <v>650</v>
      </c>
      <c r="O15" s="97" t="s">
        <v>651</v>
      </c>
      <c r="P15" s="97" t="s">
        <v>255</v>
      </c>
      <c r="Q15" s="97" t="s">
        <v>652</v>
      </c>
      <c r="R15" s="97" t="s">
        <v>653</v>
      </c>
      <c r="S15" s="97" t="s">
        <v>654</v>
      </c>
      <c r="T15" s="301" t="s">
        <v>655</v>
      </c>
      <c r="U15" s="301" t="s">
        <v>656</v>
      </c>
      <c r="V15" s="97" t="s">
        <v>657</v>
      </c>
      <c r="W15" s="97" t="s">
        <v>658</v>
      </c>
      <c r="X15" s="97" t="s">
        <v>659</v>
      </c>
      <c r="Y15" s="97" t="s">
        <v>660</v>
      </c>
      <c r="Z15" s="97" t="s">
        <v>661</v>
      </c>
      <c r="AA15" s="97" t="s">
        <v>662</v>
      </c>
      <c r="AB15" s="97" t="s">
        <v>663</v>
      </c>
      <c r="AC15" s="304" t="s">
        <v>255</v>
      </c>
    </row>
    <row r="16" spans="1:30" ht="78.75" customHeight="1">
      <c r="A16" s="751" t="s">
        <v>664</v>
      </c>
      <c r="B16" s="751" t="s">
        <v>665</v>
      </c>
      <c r="C16" s="749" t="s">
        <v>1176</v>
      </c>
      <c r="D16" s="763" t="s">
        <v>666</v>
      </c>
      <c r="E16" s="763" t="s">
        <v>1042</v>
      </c>
      <c r="F16" s="763" t="s">
        <v>1041</v>
      </c>
      <c r="G16" s="763" t="s">
        <v>1043</v>
      </c>
      <c r="H16" s="805" t="s">
        <v>1115</v>
      </c>
      <c r="I16" s="806">
        <v>730212</v>
      </c>
      <c r="J16" s="807" t="s">
        <v>668</v>
      </c>
      <c r="K16" s="808">
        <v>42370</v>
      </c>
      <c r="L16" s="808">
        <v>42521</v>
      </c>
      <c r="M16" s="809" t="s">
        <v>669</v>
      </c>
      <c r="N16" s="810">
        <f>+'6. INSUMOS VALORADOS'!G10+'6. INSUMOS VALORADOS'!G22+'6. INSUMOS VALORADOS'!G42+'6. INSUMOS VALORADOS'!G62+'6. INSUMOS VALORADOS'!G82+'6. INSUMOS VALORADOS'!G102+'6. INSUMOS VALORADOS'!G122</f>
        <v>2469.6</v>
      </c>
      <c r="O16" s="811"/>
      <c r="P16" s="812">
        <f>SUM(N16:O16)</f>
        <v>2469.6</v>
      </c>
      <c r="Q16" s="814" t="s">
        <v>100</v>
      </c>
      <c r="R16" s="814"/>
      <c r="S16" s="814">
        <f>+P16</f>
        <v>2469.6</v>
      </c>
      <c r="T16" s="814"/>
      <c r="U16" s="814"/>
      <c r="V16" s="814"/>
      <c r="W16" s="814"/>
      <c r="X16" s="814"/>
      <c r="Y16" s="814"/>
      <c r="Z16" s="814"/>
      <c r="AA16" s="814"/>
      <c r="AB16" s="814"/>
      <c r="AC16" s="816">
        <f>SUM(Q16:AB16)</f>
        <v>2469.6</v>
      </c>
      <c r="AD16" s="77"/>
    </row>
    <row r="17" spans="1:30" ht="177.75" customHeight="1">
      <c r="A17" s="752"/>
      <c r="B17" s="752"/>
      <c r="C17" s="750"/>
      <c r="D17" s="764"/>
      <c r="E17" s="764"/>
      <c r="F17" s="764"/>
      <c r="G17" s="764"/>
      <c r="H17" s="805"/>
      <c r="I17" s="806"/>
      <c r="J17" s="807"/>
      <c r="K17" s="808"/>
      <c r="L17" s="808"/>
      <c r="M17" s="809"/>
      <c r="N17" s="810"/>
      <c r="O17" s="811"/>
      <c r="P17" s="812"/>
      <c r="Q17" s="814"/>
      <c r="R17" s="814"/>
      <c r="S17" s="814"/>
      <c r="T17" s="814"/>
      <c r="U17" s="814"/>
      <c r="V17" s="814"/>
      <c r="W17" s="814"/>
      <c r="X17" s="814"/>
      <c r="Y17" s="814"/>
      <c r="Z17" s="814"/>
      <c r="AA17" s="814"/>
      <c r="AB17" s="814"/>
      <c r="AC17" s="816">
        <f t="shared" ref="AC17:AC23" si="0">SUM(Q17:AB17)</f>
        <v>0</v>
      </c>
      <c r="AD17" s="77"/>
    </row>
    <row r="18" spans="1:30" ht="71.25" customHeight="1">
      <c r="A18" s="752"/>
      <c r="B18" s="752"/>
      <c r="C18" s="749" t="s">
        <v>1176</v>
      </c>
      <c r="D18" s="764"/>
      <c r="E18" s="764"/>
      <c r="F18" s="764"/>
      <c r="G18" s="764"/>
      <c r="H18" s="805" t="s">
        <v>1119</v>
      </c>
      <c r="I18" s="806">
        <f>+'[2]6. ANEXO INSUMOS'!H10</f>
        <v>730212</v>
      </c>
      <c r="J18" s="807" t="s">
        <v>668</v>
      </c>
      <c r="K18" s="808">
        <v>42370</v>
      </c>
      <c r="L18" s="808">
        <v>42521</v>
      </c>
      <c r="M18" s="809" t="s">
        <v>669</v>
      </c>
      <c r="N18" s="810">
        <f>+'6. INSUMOS VALORADOS'!G11+'6. INSUMOS VALORADOS'!G23+'6. INSUMOS VALORADOS'!G43+'6. INSUMOS VALORADOS'!G63+'6. INSUMOS VALORADOS'!G83+'6. INSUMOS VALORADOS'!G103+'6. INSUMOS VALORADOS'!G123</f>
        <v>705.60000000000014</v>
      </c>
      <c r="O18" s="811"/>
      <c r="P18" s="811">
        <f>SUM(N18:O18)</f>
        <v>705.60000000000014</v>
      </c>
      <c r="Q18" s="814"/>
      <c r="R18" s="814"/>
      <c r="S18" s="814">
        <f>+P18</f>
        <v>705.60000000000014</v>
      </c>
      <c r="T18" s="814"/>
      <c r="U18" s="814"/>
      <c r="V18" s="814"/>
      <c r="W18" s="814"/>
      <c r="X18" s="814"/>
      <c r="Y18" s="814"/>
      <c r="Z18" s="814"/>
      <c r="AA18" s="814"/>
      <c r="AB18" s="814"/>
      <c r="AC18" s="815">
        <f t="shared" si="0"/>
        <v>705.60000000000014</v>
      </c>
      <c r="AD18" s="77"/>
    </row>
    <row r="19" spans="1:30" ht="165.75" customHeight="1">
      <c r="A19" s="752"/>
      <c r="B19" s="752"/>
      <c r="C19" s="750"/>
      <c r="D19" s="764"/>
      <c r="E19" s="764"/>
      <c r="F19" s="764"/>
      <c r="G19" s="764"/>
      <c r="H19" s="805"/>
      <c r="I19" s="806"/>
      <c r="J19" s="807"/>
      <c r="K19" s="808"/>
      <c r="L19" s="808"/>
      <c r="M19" s="809"/>
      <c r="N19" s="810"/>
      <c r="O19" s="811"/>
      <c r="P19" s="811"/>
      <c r="Q19" s="814"/>
      <c r="R19" s="814"/>
      <c r="S19" s="814"/>
      <c r="T19" s="814"/>
      <c r="U19" s="814"/>
      <c r="V19" s="814"/>
      <c r="W19" s="814"/>
      <c r="X19" s="814"/>
      <c r="Y19" s="814"/>
      <c r="Z19" s="814"/>
      <c r="AA19" s="814"/>
      <c r="AB19" s="814"/>
      <c r="AC19" s="815"/>
      <c r="AD19" s="77"/>
    </row>
    <row r="20" spans="1:30" ht="55.5" customHeight="1">
      <c r="A20" s="752"/>
      <c r="B20" s="752"/>
      <c r="C20" s="749" t="s">
        <v>604</v>
      </c>
      <c r="D20" s="764"/>
      <c r="E20" s="764"/>
      <c r="F20" s="764"/>
      <c r="G20" s="764"/>
      <c r="H20" s="763" t="s">
        <v>1120</v>
      </c>
      <c r="I20" s="806">
        <f>+'[2]6. ANEXO INSUMOS'!H9</f>
        <v>730601</v>
      </c>
      <c r="J20" s="807" t="str">
        <f>+'[2]6. ANEXO INSUMOS'!I9</f>
        <v>Consultoría, asesoría e Investigación Especializada</v>
      </c>
      <c r="K20" s="808">
        <v>42370</v>
      </c>
      <c r="L20" s="808">
        <v>42521</v>
      </c>
      <c r="M20" s="809" t="s">
        <v>669</v>
      </c>
      <c r="N20" s="810">
        <f>+'6. INSUMOS VALORADOS'!G9</f>
        <v>3000</v>
      </c>
      <c r="O20" s="811"/>
      <c r="P20" s="811">
        <f>SUM(N20:O20)</f>
        <v>3000</v>
      </c>
      <c r="Q20" s="814"/>
      <c r="R20" s="814"/>
      <c r="S20" s="814">
        <f>+P20</f>
        <v>3000</v>
      </c>
      <c r="T20" s="813"/>
      <c r="U20" s="813"/>
      <c r="V20" s="813"/>
      <c r="W20" s="813"/>
      <c r="X20" s="813"/>
      <c r="Y20" s="813"/>
      <c r="Z20" s="813"/>
      <c r="AA20" s="813"/>
      <c r="AB20" s="813"/>
      <c r="AC20" s="815">
        <f t="shared" si="0"/>
        <v>3000</v>
      </c>
      <c r="AD20" s="77"/>
    </row>
    <row r="21" spans="1:30" ht="47.25" customHeight="1">
      <c r="A21" s="752"/>
      <c r="B21" s="752"/>
      <c r="C21" s="750"/>
      <c r="D21" s="764"/>
      <c r="E21" s="764"/>
      <c r="F21" s="764"/>
      <c r="G21" s="764"/>
      <c r="H21" s="768"/>
      <c r="I21" s="806"/>
      <c r="J21" s="807"/>
      <c r="K21" s="808"/>
      <c r="L21" s="808"/>
      <c r="M21" s="809"/>
      <c r="N21" s="810"/>
      <c r="O21" s="811"/>
      <c r="P21" s="811"/>
      <c r="Q21" s="814"/>
      <c r="R21" s="814"/>
      <c r="S21" s="814"/>
      <c r="T21" s="813"/>
      <c r="U21" s="813"/>
      <c r="V21" s="813"/>
      <c r="W21" s="813"/>
      <c r="X21" s="813"/>
      <c r="Y21" s="813"/>
      <c r="Z21" s="813"/>
      <c r="AA21" s="813"/>
      <c r="AB21" s="813"/>
      <c r="AC21" s="815"/>
      <c r="AD21" s="77"/>
    </row>
    <row r="22" spans="1:30" ht="67.5" customHeight="1">
      <c r="A22" s="752"/>
      <c r="B22" s="752"/>
      <c r="C22" s="99" t="str">
        <f>+'6. INSUMOS VALORADOS'!B117</f>
        <v>Estudios de evaluación y diseño integral del sistema de riego comunitario Santa Rosa Cristales</v>
      </c>
      <c r="D22" s="764"/>
      <c r="E22" s="764"/>
      <c r="F22" s="764"/>
      <c r="G22" s="764"/>
      <c r="H22" s="83" t="s">
        <v>1121</v>
      </c>
      <c r="I22" s="673">
        <f>+'[2]6. ANEXO INSUMOS'!H12</f>
        <v>730204</v>
      </c>
      <c r="J22" s="99" t="str">
        <f>+'[2]6. ANEXO INSUMOS'!I12</f>
        <v>Edición, Impresión, Reproducción, Publicaciones, Suscripciones, Fotocopiado, Traducción, Empastado, Enmarcación, Serigrafía, Fotografía, Carnetización, Filmación e Imágenes Satelitales Gastos por edición, impresión, reproducción, emisión de especies fiscales; publicaciones oficiales; suscripciones; fotocopiado; traducción; empastado; enmarcación; carnetización; serigrafía, fotografía: filmación; e, imágenes satelitales.</v>
      </c>
      <c r="K22" s="674">
        <v>42370</v>
      </c>
      <c r="L22" s="674">
        <v>42521</v>
      </c>
      <c r="M22" s="675" t="s">
        <v>669</v>
      </c>
      <c r="N22" s="677"/>
      <c r="O22" s="678"/>
      <c r="P22" s="678"/>
      <c r="Q22" s="101"/>
      <c r="R22" s="101"/>
      <c r="S22" s="104"/>
      <c r="T22" s="104"/>
      <c r="U22" s="302"/>
      <c r="V22" s="101">
        <f>+P22</f>
        <v>0</v>
      </c>
      <c r="W22" s="101"/>
      <c r="X22" s="101"/>
      <c r="Y22" s="101"/>
      <c r="Z22" s="101"/>
      <c r="AA22" s="101"/>
      <c r="AB22" s="101"/>
      <c r="AC22" s="676"/>
      <c r="AD22" s="77"/>
    </row>
    <row r="23" spans="1:30" ht="72.75" customHeight="1">
      <c r="A23" s="752"/>
      <c r="B23" s="752"/>
      <c r="C23" s="763" t="s">
        <v>1044</v>
      </c>
      <c r="D23" s="763" t="s">
        <v>671</v>
      </c>
      <c r="E23" s="765" t="s">
        <v>1045</v>
      </c>
      <c r="F23" s="763" t="s">
        <v>1046</v>
      </c>
      <c r="G23" s="763" t="s">
        <v>672</v>
      </c>
      <c r="H23" s="672" t="s">
        <v>1122</v>
      </c>
      <c r="I23" s="673">
        <v>730212</v>
      </c>
      <c r="J23" s="99" t="s">
        <v>668</v>
      </c>
      <c r="K23" s="674">
        <v>42370</v>
      </c>
      <c r="L23" s="674">
        <v>42055</v>
      </c>
      <c r="M23" s="675" t="s">
        <v>669</v>
      </c>
      <c r="N23" s="677">
        <f>+'6. INSUMOS VALORADOS'!G162</f>
        <v>3225.6000000000004</v>
      </c>
      <c r="O23" s="678"/>
      <c r="P23" s="678">
        <f t="shared" ref="P23:P28" si="1">SUM(N23:O23)</f>
        <v>3225.6000000000004</v>
      </c>
      <c r="Q23" s="101" t="s">
        <v>100</v>
      </c>
      <c r="R23" s="101">
        <f>+P23</f>
        <v>3225.6000000000004</v>
      </c>
      <c r="S23" s="101"/>
      <c r="T23" s="302"/>
      <c r="U23" s="302"/>
      <c r="V23" s="104"/>
      <c r="W23" s="101"/>
      <c r="X23" s="101"/>
      <c r="Y23" s="101"/>
      <c r="Z23" s="101"/>
      <c r="AA23" s="101"/>
      <c r="AB23" s="101"/>
      <c r="AC23" s="676">
        <f t="shared" si="0"/>
        <v>3225.6000000000004</v>
      </c>
      <c r="AD23" s="77"/>
    </row>
    <row r="24" spans="1:30" ht="69" customHeight="1">
      <c r="A24" s="752"/>
      <c r="B24" s="752"/>
      <c r="C24" s="764"/>
      <c r="D24" s="764"/>
      <c r="E24" s="766"/>
      <c r="F24" s="764"/>
      <c r="G24" s="764"/>
      <c r="H24" s="672" t="s">
        <v>673</v>
      </c>
      <c r="I24" s="330">
        <v>730204</v>
      </c>
      <c r="J24" s="99" t="s">
        <v>674</v>
      </c>
      <c r="K24" s="674">
        <v>42370</v>
      </c>
      <c r="L24" s="674" t="s">
        <v>675</v>
      </c>
      <c r="M24" s="675" t="s">
        <v>669</v>
      </c>
      <c r="N24" s="102"/>
      <c r="O24" s="678"/>
      <c r="P24" s="678"/>
      <c r="Q24" s="101"/>
      <c r="R24" s="101" t="s">
        <v>100</v>
      </c>
      <c r="S24" s="103">
        <f>+P24</f>
        <v>0</v>
      </c>
      <c r="T24" s="302"/>
      <c r="U24" s="302"/>
      <c r="V24" s="104"/>
      <c r="W24" s="104"/>
      <c r="X24" s="101"/>
      <c r="Y24" s="101"/>
      <c r="Z24" s="101"/>
      <c r="AA24" s="101"/>
      <c r="AB24" s="101"/>
      <c r="AC24" s="676"/>
      <c r="AD24" s="77"/>
    </row>
    <row r="25" spans="1:30" ht="81" customHeight="1">
      <c r="A25" s="752"/>
      <c r="B25" s="752"/>
      <c r="C25" s="768"/>
      <c r="D25" s="768"/>
      <c r="E25" s="767"/>
      <c r="F25" s="768"/>
      <c r="G25" s="768"/>
      <c r="H25" s="672" t="s">
        <v>676</v>
      </c>
      <c r="I25" s="330">
        <v>730811</v>
      </c>
      <c r="J25" s="672" t="s">
        <v>677</v>
      </c>
      <c r="K25" s="674">
        <v>42370</v>
      </c>
      <c r="L25" s="674" t="s">
        <v>675</v>
      </c>
      <c r="M25" s="675" t="s">
        <v>669</v>
      </c>
      <c r="N25" s="102">
        <f>+'6. INSUMOS VALORADOS'!G197</f>
        <v>9999.9984000000004</v>
      </c>
      <c r="O25" s="678"/>
      <c r="P25" s="678">
        <f t="shared" si="1"/>
        <v>9999.9984000000004</v>
      </c>
      <c r="Q25" s="101"/>
      <c r="R25" s="101" t="s">
        <v>100</v>
      </c>
      <c r="S25" s="101"/>
      <c r="T25" s="302"/>
      <c r="U25" s="302"/>
      <c r="V25" s="103">
        <f>+P25</f>
        <v>9999.9984000000004</v>
      </c>
      <c r="W25" s="104"/>
      <c r="X25" s="101"/>
      <c r="Y25" s="101"/>
      <c r="Z25" s="101"/>
      <c r="AA25" s="101"/>
      <c r="AB25" s="101"/>
      <c r="AC25" s="676">
        <f t="shared" ref="AC25:AC28" si="2">SUM(Q25:AB25)</f>
        <v>9999.9984000000004</v>
      </c>
      <c r="AD25" s="77"/>
    </row>
    <row r="26" spans="1:30" s="702" customFormat="1" ht="90.75" customHeight="1">
      <c r="A26" s="752"/>
      <c r="B26" s="752"/>
      <c r="C26" s="715" t="str">
        <f>+'6. INSUMOS VALORADOS'!B206</f>
        <v>Optimización hidráulica de  Redes de riego  de Sistemas de Riego Público  para los cantones Loja, Zapotillo, Puyango y Paltas</v>
      </c>
      <c r="D26" s="696" t="s">
        <v>678</v>
      </c>
      <c r="E26" s="716" t="s">
        <v>1047</v>
      </c>
      <c r="F26" s="716" t="s">
        <v>1048</v>
      </c>
      <c r="G26" s="696" t="s">
        <v>667</v>
      </c>
      <c r="H26" s="716" t="s">
        <v>1116</v>
      </c>
      <c r="I26" s="704">
        <v>730601</v>
      </c>
      <c r="J26" s="703" t="s">
        <v>670</v>
      </c>
      <c r="K26" s="705">
        <v>42430</v>
      </c>
      <c r="L26" s="705">
        <v>42624</v>
      </c>
      <c r="M26" s="703" t="s">
        <v>669</v>
      </c>
      <c r="N26" s="706">
        <f>+('6. INSUMOS VALORADOS'!G213)/1.12</f>
        <v>22500</v>
      </c>
      <c r="O26" s="707"/>
      <c r="P26" s="707">
        <f t="shared" si="1"/>
        <v>22500</v>
      </c>
      <c r="Q26" s="708"/>
      <c r="R26" s="708"/>
      <c r="S26" s="708"/>
      <c r="T26" s="717"/>
      <c r="U26" s="708">
        <f>+P26/2</f>
        <v>11250</v>
      </c>
      <c r="V26" s="718"/>
      <c r="W26" s="708">
        <f>+U26</f>
        <v>11250</v>
      </c>
      <c r="X26" s="708"/>
      <c r="Y26" s="708"/>
      <c r="Z26" s="708"/>
      <c r="AA26" s="708"/>
      <c r="AB26" s="708"/>
      <c r="AC26" s="709">
        <f t="shared" si="2"/>
        <v>22500</v>
      </c>
      <c r="AD26" s="701"/>
    </row>
    <row r="27" spans="1:30" s="118" customFormat="1" ht="67.5" customHeight="1">
      <c r="A27" s="752"/>
      <c r="B27" s="752"/>
      <c r="C27" s="751" t="s">
        <v>1177</v>
      </c>
      <c r="D27" s="763" t="s">
        <v>679</v>
      </c>
      <c r="E27" s="763" t="s">
        <v>1051</v>
      </c>
      <c r="F27" s="763" t="s">
        <v>1052</v>
      </c>
      <c r="G27" s="763" t="s">
        <v>1053</v>
      </c>
      <c r="H27" s="687" t="s">
        <v>1117</v>
      </c>
      <c r="I27" s="710">
        <v>730212</v>
      </c>
      <c r="J27" s="687" t="s">
        <v>668</v>
      </c>
      <c r="K27" s="711">
        <v>42401</v>
      </c>
      <c r="L27" s="711">
        <v>42521</v>
      </c>
      <c r="M27" s="687" t="s">
        <v>669</v>
      </c>
      <c r="N27" s="712">
        <f>+'6. INSUMOS VALORADOS'!G143+'6. INSUMOS VALORADOS'!G178</f>
        <v>201.60000000000002</v>
      </c>
      <c r="O27" s="689"/>
      <c r="P27" s="689">
        <f t="shared" si="1"/>
        <v>201.60000000000002</v>
      </c>
      <c r="Q27" s="101"/>
      <c r="R27" s="101"/>
      <c r="S27" s="101">
        <f>+P27</f>
        <v>201.60000000000002</v>
      </c>
      <c r="T27" s="101"/>
      <c r="U27" s="101"/>
      <c r="V27" s="713"/>
      <c r="W27" s="101"/>
      <c r="X27" s="101"/>
      <c r="Y27" s="101"/>
      <c r="Z27" s="101"/>
      <c r="AA27" s="101"/>
      <c r="AB27" s="101"/>
      <c r="AC27" s="688">
        <f t="shared" si="2"/>
        <v>201.60000000000002</v>
      </c>
      <c r="AD27" s="714"/>
    </row>
    <row r="28" spans="1:30" ht="67.5" customHeight="1">
      <c r="A28" s="752"/>
      <c r="B28" s="752"/>
      <c r="C28" s="752"/>
      <c r="D28" s="764"/>
      <c r="E28" s="764"/>
      <c r="F28" s="764"/>
      <c r="G28" s="764"/>
      <c r="H28" s="83" t="s">
        <v>1118</v>
      </c>
      <c r="I28" s="673">
        <v>730212</v>
      </c>
      <c r="J28" s="672" t="s">
        <v>668</v>
      </c>
      <c r="K28" s="674">
        <v>42401</v>
      </c>
      <c r="L28" s="674">
        <v>42521</v>
      </c>
      <c r="M28" s="675" t="s">
        <v>669</v>
      </c>
      <c r="N28" s="106">
        <f>+'6. INSUMOS VALORADOS'!G142+'6. INSUMOS VALORADOS'!G177+'6. INSUMOS VALORADOS'!G211</f>
        <v>4351.2000000000007</v>
      </c>
      <c r="O28" s="678"/>
      <c r="P28" s="679">
        <f t="shared" si="1"/>
        <v>4351.2000000000007</v>
      </c>
      <c r="Q28" s="101"/>
      <c r="R28" s="101"/>
      <c r="S28" s="101">
        <f>+P28</f>
        <v>4351.2000000000007</v>
      </c>
      <c r="T28" s="104"/>
      <c r="U28" s="302"/>
      <c r="V28" s="104"/>
      <c r="W28" s="101"/>
      <c r="X28" s="101"/>
      <c r="Y28" s="101"/>
      <c r="Z28" s="101"/>
      <c r="AA28" s="101"/>
      <c r="AB28" s="101"/>
      <c r="AC28" s="676">
        <f t="shared" si="2"/>
        <v>4351.2000000000007</v>
      </c>
      <c r="AD28" s="77"/>
    </row>
    <row r="29" spans="1:30" ht="177" customHeight="1">
      <c r="A29" s="752"/>
      <c r="B29" s="752"/>
      <c r="C29" s="753"/>
      <c r="D29" s="768"/>
      <c r="E29" s="768"/>
      <c r="F29" s="768"/>
      <c r="G29" s="768"/>
      <c r="H29" s="83" t="s">
        <v>1123</v>
      </c>
      <c r="I29" s="673">
        <v>730204</v>
      </c>
      <c r="J29" s="99" t="s">
        <v>579</v>
      </c>
      <c r="K29" s="674">
        <v>42370</v>
      </c>
      <c r="L29" s="674">
        <v>42521</v>
      </c>
      <c r="M29" s="675" t="s">
        <v>669</v>
      </c>
      <c r="N29" s="677"/>
      <c r="O29" s="678"/>
      <c r="P29" s="678"/>
      <c r="Q29" s="101"/>
      <c r="R29" s="101"/>
      <c r="S29" s="101"/>
      <c r="T29" s="302"/>
      <c r="U29" s="302"/>
      <c r="V29" s="101">
        <f>+P29</f>
        <v>0</v>
      </c>
      <c r="W29" s="101"/>
      <c r="X29" s="101"/>
      <c r="Y29" s="101"/>
      <c r="Z29" s="101"/>
      <c r="AA29" s="101"/>
      <c r="AB29" s="101"/>
      <c r="AC29" s="676"/>
      <c r="AD29" s="77"/>
    </row>
    <row r="30" spans="1:30" s="702" customFormat="1" ht="120.75" customHeight="1">
      <c r="A30" s="752"/>
      <c r="B30" s="690"/>
      <c r="C30" s="691" t="s">
        <v>1185</v>
      </c>
      <c r="D30" s="692" t="s">
        <v>1184</v>
      </c>
      <c r="E30" s="692" t="s">
        <v>1183</v>
      </c>
      <c r="F30" s="692" t="s">
        <v>1182</v>
      </c>
      <c r="G30" s="692" t="s">
        <v>1181</v>
      </c>
      <c r="H30" s="693" t="s">
        <v>1180</v>
      </c>
      <c r="I30" s="694">
        <v>730602</v>
      </c>
      <c r="J30" s="691" t="s">
        <v>1186</v>
      </c>
      <c r="K30" s="695">
        <v>42064</v>
      </c>
      <c r="L30" s="695">
        <f>+K30+30</f>
        <v>42094</v>
      </c>
      <c r="M30" s="696" t="s">
        <v>669</v>
      </c>
      <c r="N30" s="697">
        <v>5000</v>
      </c>
      <c r="O30" s="698"/>
      <c r="P30" s="698">
        <f>+N30</f>
        <v>5000</v>
      </c>
      <c r="Q30" s="699"/>
      <c r="R30" s="699"/>
      <c r="S30" s="699">
        <v>3000</v>
      </c>
      <c r="T30" s="699">
        <v>2000</v>
      </c>
      <c r="U30" s="699"/>
      <c r="V30" s="699"/>
      <c r="W30" s="699"/>
      <c r="X30" s="699"/>
      <c r="Y30" s="699"/>
      <c r="Z30" s="699"/>
      <c r="AA30" s="699"/>
      <c r="AB30" s="699"/>
      <c r="AC30" s="700">
        <f>+SUM(Q30:AB30)</f>
        <v>5000</v>
      </c>
      <c r="AD30" s="701"/>
    </row>
    <row r="31" spans="1:30" ht="93.75" customHeight="1">
      <c r="A31" s="752"/>
      <c r="B31" s="751" t="s">
        <v>680</v>
      </c>
      <c r="C31" s="684" t="str">
        <f>+'6. INSUMOS VALORADOS'!B225</f>
        <v>Rehabilitación del Sistema de riego comunitario Sevillan-Lluzhapa-Seucer Etapa 1</v>
      </c>
      <c r="D31" s="763" t="s">
        <v>681</v>
      </c>
      <c r="E31" s="765" t="s">
        <v>682</v>
      </c>
      <c r="F31" s="763" t="s">
        <v>683</v>
      </c>
      <c r="G31" s="765" t="s">
        <v>684</v>
      </c>
      <c r="H31" s="765" t="s">
        <v>685</v>
      </c>
      <c r="I31" s="782">
        <v>750102</v>
      </c>
      <c r="J31" s="751" t="s">
        <v>309</v>
      </c>
      <c r="K31" s="776">
        <v>42370</v>
      </c>
      <c r="L31" s="776" t="s">
        <v>686</v>
      </c>
      <c r="M31" s="765" t="s">
        <v>260</v>
      </c>
      <c r="N31" s="785">
        <f>+'Proyectos 2016'!H26</f>
        <v>307316.8</v>
      </c>
      <c r="O31" s="779"/>
      <c r="P31" s="779">
        <f>SUM(N31:O37)</f>
        <v>307316.8</v>
      </c>
      <c r="Q31" s="772"/>
      <c r="R31" s="772"/>
      <c r="S31" s="772"/>
      <c r="T31" s="799"/>
      <c r="U31" s="799"/>
      <c r="V31" s="802"/>
      <c r="W31" s="772">
        <f>+P31</f>
        <v>307316.8</v>
      </c>
      <c r="X31" s="772"/>
      <c r="Y31" s="772"/>
      <c r="Z31" s="772"/>
      <c r="AA31" s="772"/>
      <c r="AB31" s="772"/>
      <c r="AC31" s="769">
        <f>SUM(Q31:AB37)</f>
        <v>307316.8</v>
      </c>
      <c r="AD31" s="77"/>
    </row>
    <row r="32" spans="1:30" ht="45.75" customHeight="1">
      <c r="A32" s="752"/>
      <c r="B32" s="752"/>
      <c r="C32" s="122" t="str">
        <f>+'6. INSUMOS VALORADOS'!B250</f>
        <v>Rehabilitación del Sistema de riego comunitario Balcones I etapa San Sebastian de Yulug Etapa 1</v>
      </c>
      <c r="D32" s="764"/>
      <c r="E32" s="766"/>
      <c r="F32" s="764"/>
      <c r="G32" s="766"/>
      <c r="H32" s="766"/>
      <c r="I32" s="783"/>
      <c r="J32" s="752"/>
      <c r="K32" s="777"/>
      <c r="L32" s="777"/>
      <c r="M32" s="766"/>
      <c r="N32" s="786"/>
      <c r="O32" s="780"/>
      <c r="P32" s="780"/>
      <c r="Q32" s="773"/>
      <c r="R32" s="773"/>
      <c r="S32" s="773"/>
      <c r="T32" s="800"/>
      <c r="U32" s="800"/>
      <c r="V32" s="803"/>
      <c r="W32" s="773"/>
      <c r="X32" s="773"/>
      <c r="Y32" s="773"/>
      <c r="Z32" s="773"/>
      <c r="AA32" s="773"/>
      <c r="AB32" s="773"/>
      <c r="AC32" s="770"/>
      <c r="AD32" s="77"/>
    </row>
    <row r="33" spans="1:31" ht="61.5" customHeight="1">
      <c r="A33" s="752"/>
      <c r="B33" s="752"/>
      <c r="C33" s="122" t="str">
        <f>+'6. INSUMOS VALORADOS'!B273</f>
        <v>Rehabilitación del Sistema de Riego comunitario San Pedro de Vilcabamba Etapa 1</v>
      </c>
      <c r="D33" s="764"/>
      <c r="E33" s="766"/>
      <c r="F33" s="764"/>
      <c r="G33" s="766"/>
      <c r="H33" s="766"/>
      <c r="I33" s="783"/>
      <c r="J33" s="752"/>
      <c r="K33" s="777"/>
      <c r="L33" s="777"/>
      <c r="M33" s="766"/>
      <c r="N33" s="786"/>
      <c r="O33" s="780"/>
      <c r="P33" s="780"/>
      <c r="Q33" s="773"/>
      <c r="R33" s="773"/>
      <c r="S33" s="773"/>
      <c r="T33" s="800"/>
      <c r="U33" s="800"/>
      <c r="V33" s="803"/>
      <c r="W33" s="773"/>
      <c r="X33" s="773"/>
      <c r="Y33" s="773"/>
      <c r="Z33" s="773"/>
      <c r="AA33" s="773"/>
      <c r="AB33" s="773"/>
      <c r="AC33" s="770"/>
      <c r="AD33" s="77"/>
    </row>
    <row r="34" spans="1:31" ht="38.25" customHeight="1">
      <c r="A34" s="752"/>
      <c r="B34" s="752"/>
      <c r="C34" s="122" t="str">
        <f>+'6. INSUMOS VALORADOS'!B296</f>
        <v>Rehabilitación el Sistema de riego comunitario Palmas-Mercadillo-Cango Etapa 1</v>
      </c>
      <c r="D34" s="764"/>
      <c r="E34" s="766"/>
      <c r="F34" s="764"/>
      <c r="G34" s="766"/>
      <c r="H34" s="766"/>
      <c r="I34" s="783"/>
      <c r="J34" s="752"/>
      <c r="K34" s="777"/>
      <c r="L34" s="777"/>
      <c r="M34" s="766"/>
      <c r="N34" s="786"/>
      <c r="O34" s="780"/>
      <c r="P34" s="780"/>
      <c r="Q34" s="773"/>
      <c r="R34" s="773"/>
      <c r="S34" s="773"/>
      <c r="T34" s="800"/>
      <c r="U34" s="800"/>
      <c r="V34" s="803"/>
      <c r="W34" s="773"/>
      <c r="X34" s="773"/>
      <c r="Y34" s="773"/>
      <c r="Z34" s="773"/>
      <c r="AA34" s="773"/>
      <c r="AB34" s="773"/>
      <c r="AC34" s="770"/>
      <c r="AD34" s="77"/>
    </row>
    <row r="35" spans="1:31" ht="39" customHeight="1">
      <c r="A35" s="752"/>
      <c r="B35" s="752"/>
      <c r="C35" s="122" t="str">
        <f>+'6. INSUMOS VALORADOS'!B320</f>
        <v>Rehabilitación del Sistema de riego comunitario  Moquillo, Malacatos Etapa 1</v>
      </c>
      <c r="D35" s="764"/>
      <c r="E35" s="766"/>
      <c r="F35" s="764"/>
      <c r="G35" s="766"/>
      <c r="H35" s="766"/>
      <c r="I35" s="783"/>
      <c r="J35" s="752"/>
      <c r="K35" s="777"/>
      <c r="L35" s="777"/>
      <c r="M35" s="766"/>
      <c r="N35" s="786"/>
      <c r="O35" s="780"/>
      <c r="P35" s="780"/>
      <c r="Q35" s="773"/>
      <c r="R35" s="773"/>
      <c r="S35" s="773"/>
      <c r="T35" s="800"/>
      <c r="U35" s="800"/>
      <c r="V35" s="803"/>
      <c r="W35" s="773"/>
      <c r="X35" s="773"/>
      <c r="Y35" s="773"/>
      <c r="Z35" s="773"/>
      <c r="AA35" s="773"/>
      <c r="AB35" s="773"/>
      <c r="AC35" s="770"/>
      <c r="AD35" s="77"/>
    </row>
    <row r="36" spans="1:31" ht="43.5" customHeight="1">
      <c r="A36" s="752"/>
      <c r="B36" s="752"/>
      <c r="C36" s="122" t="str">
        <f>+'6. INSUMOS VALORADOS'!B343</f>
        <v>Rehabilitación del Sistema de riego comunitario  Purunuma Asnayacu Etapa 1</v>
      </c>
      <c r="D36" s="764"/>
      <c r="E36" s="766"/>
      <c r="F36" s="764"/>
      <c r="G36" s="766"/>
      <c r="H36" s="766"/>
      <c r="I36" s="783"/>
      <c r="J36" s="752"/>
      <c r="K36" s="777"/>
      <c r="L36" s="777"/>
      <c r="M36" s="766"/>
      <c r="N36" s="786"/>
      <c r="O36" s="780"/>
      <c r="P36" s="780"/>
      <c r="Q36" s="773"/>
      <c r="R36" s="773"/>
      <c r="S36" s="773"/>
      <c r="T36" s="800"/>
      <c r="U36" s="800"/>
      <c r="V36" s="803"/>
      <c r="W36" s="773"/>
      <c r="X36" s="773"/>
      <c r="Y36" s="773"/>
      <c r="Z36" s="773"/>
      <c r="AA36" s="773"/>
      <c r="AB36" s="773"/>
      <c r="AC36" s="770"/>
      <c r="AD36" s="77"/>
    </row>
    <row r="37" spans="1:31" ht="23.25" customHeight="1">
      <c r="A37" s="752"/>
      <c r="B37" s="752"/>
      <c r="C37" s="122" t="str">
        <f>+'6. INSUMOS VALORADOS'!B366</f>
        <v>Rehabilitación del Sistema de Riego comunitario Aguarango Etapa 1</v>
      </c>
      <c r="D37" s="768"/>
      <c r="E37" s="767"/>
      <c r="F37" s="768"/>
      <c r="G37" s="767"/>
      <c r="H37" s="767"/>
      <c r="I37" s="784"/>
      <c r="J37" s="753"/>
      <c r="K37" s="778"/>
      <c r="L37" s="778"/>
      <c r="M37" s="767"/>
      <c r="N37" s="786"/>
      <c r="O37" s="781"/>
      <c r="P37" s="781"/>
      <c r="Q37" s="774"/>
      <c r="R37" s="774"/>
      <c r="S37" s="774"/>
      <c r="T37" s="801"/>
      <c r="U37" s="801"/>
      <c r="V37" s="804"/>
      <c r="W37" s="774"/>
      <c r="X37" s="774"/>
      <c r="Y37" s="774"/>
      <c r="Z37" s="774"/>
      <c r="AA37" s="774"/>
      <c r="AB37" s="774"/>
      <c r="AC37" s="771"/>
      <c r="AD37" s="77"/>
    </row>
    <row r="38" spans="1:31" ht="69" customHeight="1">
      <c r="A38" s="824" t="s">
        <v>687</v>
      </c>
      <c r="B38" s="787" t="s">
        <v>1054</v>
      </c>
      <c r="C38" s="685" t="str">
        <f>+'Proyectos 2016'!B29</f>
        <v>Mejoramiento de la conducción principal y mantenimiento de plataformas de los sistemas de riego público La Palmira, Campana-Malacatos, Quinara-Tumianuma, Vilcabamba y Santiago, del cantón Loja</v>
      </c>
      <c r="D38" s="763" t="s">
        <v>1055</v>
      </c>
      <c r="E38" s="765" t="s">
        <v>1058</v>
      </c>
      <c r="F38" s="763" t="s">
        <v>688</v>
      </c>
      <c r="G38" s="765" t="s">
        <v>684</v>
      </c>
      <c r="H38" s="765" t="s">
        <v>685</v>
      </c>
      <c r="I38" s="782">
        <v>750102</v>
      </c>
      <c r="J38" s="763" t="s">
        <v>309</v>
      </c>
      <c r="K38" s="776">
        <v>42370</v>
      </c>
      <c r="L38" s="776" t="s">
        <v>686</v>
      </c>
      <c r="M38" s="765" t="s">
        <v>261</v>
      </c>
      <c r="N38" s="785">
        <f>+'Proyectos 2016'!H51</f>
        <v>371086.59200000006</v>
      </c>
      <c r="O38" s="779"/>
      <c r="P38" s="779">
        <f>+N38+O38</f>
        <v>371086.59200000006</v>
      </c>
      <c r="Q38" s="772"/>
      <c r="R38" s="772"/>
      <c r="S38" s="772"/>
      <c r="T38" s="799"/>
      <c r="U38" s="799"/>
      <c r="V38" s="772"/>
      <c r="W38" s="772">
        <f>+P38</f>
        <v>371086.59200000006</v>
      </c>
      <c r="X38" s="772"/>
      <c r="Y38" s="772"/>
      <c r="Z38" s="772"/>
      <c r="AA38" s="772"/>
      <c r="AB38" s="772"/>
      <c r="AC38" s="769">
        <f t="shared" ref="AC38" si="3">SUM(Q38:AB38)</f>
        <v>371086.59200000006</v>
      </c>
      <c r="AD38" s="77"/>
    </row>
    <row r="39" spans="1:31" ht="69" customHeight="1">
      <c r="A39" s="825"/>
      <c r="B39" s="788"/>
      <c r="C39" s="685" t="str">
        <f>+'Proyectos 2016'!B30</f>
        <v>Mejoramiento de la conducción principal y mantenimiento de plataformas de los sistemas de riego público Sanambay-Jimbura, Jorupe-Cangochara, Airo-Florida, Limas-Conduriacu y el Ingenio, del canton Espindola</v>
      </c>
      <c r="D39" s="764"/>
      <c r="E39" s="766"/>
      <c r="F39" s="764"/>
      <c r="G39" s="766"/>
      <c r="H39" s="766"/>
      <c r="I39" s="783"/>
      <c r="J39" s="764"/>
      <c r="K39" s="777"/>
      <c r="L39" s="777"/>
      <c r="M39" s="766"/>
      <c r="N39" s="786"/>
      <c r="O39" s="780"/>
      <c r="P39" s="780"/>
      <c r="Q39" s="773"/>
      <c r="R39" s="773"/>
      <c r="S39" s="773"/>
      <c r="T39" s="800"/>
      <c r="U39" s="800"/>
      <c r="V39" s="773"/>
      <c r="W39" s="773"/>
      <c r="X39" s="773"/>
      <c r="Y39" s="773"/>
      <c r="Z39" s="773"/>
      <c r="AA39" s="773"/>
      <c r="AB39" s="773"/>
      <c r="AC39" s="770"/>
      <c r="AD39" s="77"/>
    </row>
    <row r="40" spans="1:31" ht="69" customHeight="1">
      <c r="A40" s="825"/>
      <c r="B40" s="788"/>
      <c r="C40" s="685" t="str">
        <f>+'Proyectos 2016'!B31</f>
        <v>Mejoramiento de la conducción principal y mantenimiento de plataformas de los sistemas de riego público Tablón de Saraguro, La Papaya, Paquishapa y Chucchucchir del cantón Saraguro</v>
      </c>
      <c r="D40" s="764"/>
      <c r="E40" s="766"/>
      <c r="F40" s="764"/>
      <c r="G40" s="766"/>
      <c r="H40" s="766"/>
      <c r="I40" s="783"/>
      <c r="J40" s="764"/>
      <c r="K40" s="777"/>
      <c r="L40" s="777"/>
      <c r="M40" s="766"/>
      <c r="N40" s="786"/>
      <c r="O40" s="780"/>
      <c r="P40" s="780"/>
      <c r="Q40" s="773"/>
      <c r="R40" s="773"/>
      <c r="S40" s="773"/>
      <c r="T40" s="800"/>
      <c r="U40" s="800"/>
      <c r="V40" s="773"/>
      <c r="W40" s="773"/>
      <c r="X40" s="773"/>
      <c r="Y40" s="773"/>
      <c r="Z40" s="773"/>
      <c r="AA40" s="773"/>
      <c r="AB40" s="773"/>
      <c r="AC40" s="770"/>
      <c r="AD40" s="77"/>
    </row>
    <row r="41" spans="1:31" ht="69" customHeight="1">
      <c r="A41" s="825"/>
      <c r="B41" s="788"/>
      <c r="C41" s="685" t="str">
        <f>+'Proyectos 2016'!B32</f>
        <v>Mejoramiento de la conducción principal y mantenimiento de plataformas del sistema de riego público Zapotillo del cantón Zapotillo</v>
      </c>
      <c r="D41" s="764"/>
      <c r="E41" s="766"/>
      <c r="F41" s="764"/>
      <c r="G41" s="766"/>
      <c r="H41" s="766"/>
      <c r="I41" s="783"/>
      <c r="J41" s="764"/>
      <c r="K41" s="777"/>
      <c r="L41" s="777"/>
      <c r="M41" s="766"/>
      <c r="N41" s="786"/>
      <c r="O41" s="780"/>
      <c r="P41" s="780"/>
      <c r="Q41" s="773"/>
      <c r="R41" s="773"/>
      <c r="S41" s="773"/>
      <c r="T41" s="800"/>
      <c r="U41" s="800"/>
      <c r="V41" s="773"/>
      <c r="W41" s="773"/>
      <c r="X41" s="773"/>
      <c r="Y41" s="773"/>
      <c r="Z41" s="773"/>
      <c r="AA41" s="773"/>
      <c r="AB41" s="773"/>
      <c r="AC41" s="770"/>
      <c r="AD41" s="77"/>
    </row>
    <row r="42" spans="1:31" ht="69" customHeight="1">
      <c r="A42" s="825"/>
      <c r="B42" s="788"/>
      <c r="C42" s="685" t="str">
        <f>+'Proyectos 2016'!B33</f>
        <v>Mejoramiento de la conducción principal y mantenimiento de plataformas del sistema de riego público Macará del cantón Macará</v>
      </c>
      <c r="D42" s="764"/>
      <c r="E42" s="766"/>
      <c r="F42" s="764"/>
      <c r="G42" s="766"/>
      <c r="H42" s="766"/>
      <c r="I42" s="783"/>
      <c r="J42" s="764"/>
      <c r="K42" s="777"/>
      <c r="L42" s="777"/>
      <c r="M42" s="766"/>
      <c r="N42" s="786"/>
      <c r="O42" s="780"/>
      <c r="P42" s="780"/>
      <c r="Q42" s="773"/>
      <c r="R42" s="773"/>
      <c r="S42" s="773"/>
      <c r="T42" s="800"/>
      <c r="U42" s="800"/>
      <c r="V42" s="773"/>
      <c r="W42" s="773"/>
      <c r="X42" s="773"/>
      <c r="Y42" s="773"/>
      <c r="Z42" s="773"/>
      <c r="AA42" s="773"/>
      <c r="AB42" s="773"/>
      <c r="AC42" s="770"/>
      <c r="AD42" s="77"/>
    </row>
    <row r="43" spans="1:31" ht="69" customHeight="1">
      <c r="A43" s="825"/>
      <c r="B43" s="788"/>
      <c r="C43" s="685" t="str">
        <f>+'Proyectos 2016'!B34</f>
        <v>Mejoramiento de la conducción principal y mantenimiento de plataformas del sistema de riego público Guápalas del cantón Puyango</v>
      </c>
      <c r="D43" s="764"/>
      <c r="E43" s="766"/>
      <c r="F43" s="764"/>
      <c r="G43" s="766"/>
      <c r="H43" s="766"/>
      <c r="I43" s="783"/>
      <c r="J43" s="764"/>
      <c r="K43" s="777"/>
      <c r="L43" s="777"/>
      <c r="M43" s="766"/>
      <c r="N43" s="786"/>
      <c r="O43" s="780"/>
      <c r="P43" s="780"/>
      <c r="Q43" s="773"/>
      <c r="R43" s="773"/>
      <c r="S43" s="773"/>
      <c r="T43" s="800"/>
      <c r="U43" s="800"/>
      <c r="V43" s="773"/>
      <c r="W43" s="773"/>
      <c r="X43" s="773"/>
      <c r="Y43" s="773"/>
      <c r="Z43" s="773"/>
      <c r="AA43" s="773"/>
      <c r="AB43" s="773"/>
      <c r="AC43" s="770"/>
      <c r="AD43" s="77"/>
    </row>
    <row r="44" spans="1:31" ht="69" customHeight="1">
      <c r="A44" s="825"/>
      <c r="B44" s="788"/>
      <c r="C44" s="685" t="str">
        <f>+'Proyectos 2016'!B35</f>
        <v>Mejoramiento de la conducción principal y mantenimiento de plataformas del sistema de riego público La Era del cantón Catamayo</v>
      </c>
      <c r="D44" s="764"/>
      <c r="E44" s="766"/>
      <c r="F44" s="764"/>
      <c r="G44" s="766"/>
      <c r="H44" s="766"/>
      <c r="I44" s="783"/>
      <c r="J44" s="764"/>
      <c r="K44" s="777"/>
      <c r="L44" s="777"/>
      <c r="M44" s="766"/>
      <c r="N44" s="786"/>
      <c r="O44" s="780"/>
      <c r="P44" s="780"/>
      <c r="Q44" s="773"/>
      <c r="R44" s="773"/>
      <c r="S44" s="773"/>
      <c r="T44" s="800"/>
      <c r="U44" s="800"/>
      <c r="V44" s="773"/>
      <c r="W44" s="773"/>
      <c r="X44" s="773"/>
      <c r="Y44" s="773"/>
      <c r="Z44" s="773"/>
      <c r="AA44" s="773"/>
      <c r="AB44" s="773"/>
      <c r="AC44" s="770"/>
      <c r="AD44" s="77"/>
    </row>
    <row r="45" spans="1:31" ht="69" customHeight="1">
      <c r="A45" s="825"/>
      <c r="B45" s="788"/>
      <c r="C45" s="685" t="str">
        <f>+'Proyectos 2016'!B36</f>
        <v>Mejoramiento de la conducción principal y mantenimiento de plataformas del sistema de riego público Cochas-San Vicente del cantón Paltas</v>
      </c>
      <c r="D45" s="768"/>
      <c r="E45" s="767"/>
      <c r="F45" s="768"/>
      <c r="G45" s="767"/>
      <c r="H45" s="767"/>
      <c r="I45" s="784"/>
      <c r="J45" s="768"/>
      <c r="K45" s="778"/>
      <c r="L45" s="778"/>
      <c r="M45" s="767"/>
      <c r="N45" s="786"/>
      <c r="O45" s="781"/>
      <c r="P45" s="781"/>
      <c r="Q45" s="774"/>
      <c r="R45" s="774"/>
      <c r="S45" s="774"/>
      <c r="T45" s="801"/>
      <c r="U45" s="801"/>
      <c r="V45" s="774"/>
      <c r="W45" s="774"/>
      <c r="X45" s="774"/>
      <c r="Y45" s="774"/>
      <c r="Z45" s="774"/>
      <c r="AA45" s="774"/>
      <c r="AB45" s="774"/>
      <c r="AC45" s="771"/>
      <c r="AD45" s="77"/>
    </row>
    <row r="46" spans="1:31" ht="69" customHeight="1">
      <c r="A46" s="825"/>
      <c r="B46" s="788"/>
      <c r="C46" s="685" t="str">
        <f>+'Proyectos 2016'!B37</f>
        <v>Mejoramiento de la red secundaria de los sistemas de riego público El ingenio, del cantón Espindola</v>
      </c>
      <c r="D46" s="107" t="s">
        <v>1056</v>
      </c>
      <c r="E46" s="105" t="s">
        <v>1059</v>
      </c>
      <c r="F46" s="83" t="s">
        <v>688</v>
      </c>
      <c r="G46" s="105" t="s">
        <v>684</v>
      </c>
      <c r="H46" s="105" t="s">
        <v>685</v>
      </c>
      <c r="I46" s="673">
        <v>750102</v>
      </c>
      <c r="J46" s="672" t="s">
        <v>309</v>
      </c>
      <c r="K46" s="674">
        <v>42370</v>
      </c>
      <c r="L46" s="674" t="s">
        <v>686</v>
      </c>
      <c r="M46" s="296" t="s">
        <v>261</v>
      </c>
      <c r="N46" s="786"/>
      <c r="O46" s="678"/>
      <c r="P46" s="299">
        <f>SUM(N46:O46)</f>
        <v>0</v>
      </c>
      <c r="Q46" s="101"/>
      <c r="R46" s="101"/>
      <c r="S46" s="101"/>
      <c r="T46" s="302"/>
      <c r="U46" s="302"/>
      <c r="V46" s="101"/>
      <c r="W46" s="299">
        <f>+P46</f>
        <v>0</v>
      </c>
      <c r="X46" s="101"/>
      <c r="Y46" s="101"/>
      <c r="Z46" s="101"/>
      <c r="AA46" s="101"/>
      <c r="AB46" s="101"/>
      <c r="AC46" s="676">
        <f>SUM(V46:AB46)</f>
        <v>0</v>
      </c>
      <c r="AD46" s="77"/>
    </row>
    <row r="47" spans="1:31" ht="86.25" customHeight="1">
      <c r="A47" s="825"/>
      <c r="B47" s="788"/>
      <c r="C47" s="685" t="str">
        <f>+'Proyectos 2016'!B38</f>
        <v>Mantenimiento preventivo, rutinario y correctivo del sistema de riego Vilcabamba</v>
      </c>
      <c r="D47" s="763" t="s">
        <v>1057</v>
      </c>
      <c r="E47" s="765" t="s">
        <v>1058</v>
      </c>
      <c r="F47" s="763" t="s">
        <v>688</v>
      </c>
      <c r="G47" s="765" t="s">
        <v>684</v>
      </c>
      <c r="H47" s="765" t="s">
        <v>685</v>
      </c>
      <c r="I47" s="793">
        <v>750102</v>
      </c>
      <c r="J47" s="765" t="s">
        <v>309</v>
      </c>
      <c r="K47" s="776">
        <v>42370</v>
      </c>
      <c r="L47" s="776" t="s">
        <v>686</v>
      </c>
      <c r="M47" s="776" t="s">
        <v>261</v>
      </c>
      <c r="N47" s="786"/>
      <c r="O47" s="776"/>
      <c r="P47" s="796">
        <f>SUM(N47:O47)</f>
        <v>0</v>
      </c>
      <c r="Q47" s="772"/>
      <c r="R47" s="772"/>
      <c r="S47" s="772"/>
      <c r="T47" s="772"/>
      <c r="U47" s="772"/>
      <c r="V47" s="772">
        <f>+N47</f>
        <v>0</v>
      </c>
      <c r="W47" s="802"/>
      <c r="X47" s="802"/>
      <c r="Y47" s="802"/>
      <c r="Z47" s="802"/>
      <c r="AA47" s="802"/>
      <c r="AB47" s="802"/>
      <c r="AC47" s="769">
        <f t="shared" ref="AC47" si="4">SUM(V47:AB47)</f>
        <v>0</v>
      </c>
      <c r="AD47" s="77"/>
      <c r="AE47" s="115"/>
    </row>
    <row r="48" spans="1:31" ht="69" customHeight="1">
      <c r="A48" s="825"/>
      <c r="B48" s="788"/>
      <c r="C48" s="685" t="str">
        <f>+'Proyectos 2016'!B39</f>
        <v>Mantenimiento preventivo, rutinario y correctivo del sistema de riego Santiago</v>
      </c>
      <c r="D48" s="764"/>
      <c r="E48" s="766"/>
      <c r="F48" s="764"/>
      <c r="G48" s="766"/>
      <c r="H48" s="766"/>
      <c r="I48" s="794"/>
      <c r="J48" s="766"/>
      <c r="K48" s="777"/>
      <c r="L48" s="777"/>
      <c r="M48" s="777"/>
      <c r="N48" s="786"/>
      <c r="O48" s="777"/>
      <c r="P48" s="797"/>
      <c r="Q48" s="773"/>
      <c r="R48" s="773"/>
      <c r="S48" s="773"/>
      <c r="T48" s="773"/>
      <c r="U48" s="773"/>
      <c r="V48" s="773"/>
      <c r="W48" s="803"/>
      <c r="X48" s="803"/>
      <c r="Y48" s="803"/>
      <c r="Z48" s="803"/>
      <c r="AA48" s="803"/>
      <c r="AB48" s="803"/>
      <c r="AC48" s="770"/>
      <c r="AD48" s="77"/>
    </row>
    <row r="49" spans="1:30" ht="69" customHeight="1">
      <c r="A49" s="825"/>
      <c r="B49" s="788"/>
      <c r="C49" s="685" t="str">
        <f>+'Proyectos 2016'!B40</f>
        <v>Mantenimiento preventivo, rutinario y correctivo del sistema de riego Jorupe-Cangochara</v>
      </c>
      <c r="D49" s="764"/>
      <c r="E49" s="766"/>
      <c r="F49" s="764"/>
      <c r="G49" s="766"/>
      <c r="H49" s="766"/>
      <c r="I49" s="794"/>
      <c r="J49" s="766"/>
      <c r="K49" s="777"/>
      <c r="L49" s="777"/>
      <c r="M49" s="777"/>
      <c r="N49" s="786"/>
      <c r="O49" s="777"/>
      <c r="P49" s="797"/>
      <c r="Q49" s="773"/>
      <c r="R49" s="773"/>
      <c r="S49" s="773"/>
      <c r="T49" s="773"/>
      <c r="U49" s="773"/>
      <c r="V49" s="773"/>
      <c r="W49" s="803"/>
      <c r="X49" s="803"/>
      <c r="Y49" s="803"/>
      <c r="Z49" s="803"/>
      <c r="AA49" s="803"/>
      <c r="AB49" s="803"/>
      <c r="AC49" s="770"/>
      <c r="AD49" s="77"/>
    </row>
    <row r="50" spans="1:30" ht="69" customHeight="1">
      <c r="A50" s="825"/>
      <c r="B50" s="788"/>
      <c r="C50" s="685" t="str">
        <f>+'Proyectos 2016'!B41</f>
        <v>Mantenimiento preventivo, rutinario y correctivo del sistema de riego Paquishapa</v>
      </c>
      <c r="D50" s="764"/>
      <c r="E50" s="766"/>
      <c r="F50" s="764"/>
      <c r="G50" s="766"/>
      <c r="H50" s="766"/>
      <c r="I50" s="794"/>
      <c r="J50" s="766"/>
      <c r="K50" s="777"/>
      <c r="L50" s="777"/>
      <c r="M50" s="777"/>
      <c r="N50" s="786"/>
      <c r="O50" s="777"/>
      <c r="P50" s="797"/>
      <c r="Q50" s="773"/>
      <c r="R50" s="773"/>
      <c r="S50" s="773"/>
      <c r="T50" s="773"/>
      <c r="U50" s="773"/>
      <c r="V50" s="773"/>
      <c r="W50" s="803"/>
      <c r="X50" s="803"/>
      <c r="Y50" s="803"/>
      <c r="Z50" s="803"/>
      <c r="AA50" s="803"/>
      <c r="AB50" s="803"/>
      <c r="AC50" s="770"/>
      <c r="AD50" s="77"/>
    </row>
    <row r="51" spans="1:30" ht="69" customHeight="1">
      <c r="A51" s="825"/>
      <c r="B51" s="788"/>
      <c r="C51" s="685" t="str">
        <f>+'Proyectos 2016'!B42</f>
        <v>Mantenimiento preventivo, rutinario y correctivo del sistema de riego Limas-Conduriacu</v>
      </c>
      <c r="D51" s="764"/>
      <c r="E51" s="766"/>
      <c r="F51" s="764"/>
      <c r="G51" s="766"/>
      <c r="H51" s="766"/>
      <c r="I51" s="794"/>
      <c r="J51" s="766"/>
      <c r="K51" s="777"/>
      <c r="L51" s="777"/>
      <c r="M51" s="777"/>
      <c r="N51" s="786"/>
      <c r="O51" s="777"/>
      <c r="P51" s="797"/>
      <c r="Q51" s="773"/>
      <c r="R51" s="773"/>
      <c r="S51" s="773"/>
      <c r="T51" s="773"/>
      <c r="U51" s="773"/>
      <c r="V51" s="773"/>
      <c r="W51" s="803"/>
      <c r="X51" s="803"/>
      <c r="Y51" s="803"/>
      <c r="Z51" s="803"/>
      <c r="AA51" s="803"/>
      <c r="AB51" s="803"/>
      <c r="AC51" s="770"/>
      <c r="AD51" s="77"/>
    </row>
    <row r="52" spans="1:30" ht="69" customHeight="1">
      <c r="A52" s="825"/>
      <c r="B52" s="788"/>
      <c r="C52" s="685" t="str">
        <f>+'Proyectos 2016'!B43</f>
        <v>Mantenimiento preventivo, rutinario y correctivo del sistema de riego Sanambay-Jimbura</v>
      </c>
      <c r="D52" s="764"/>
      <c r="E52" s="766"/>
      <c r="F52" s="764"/>
      <c r="G52" s="766"/>
      <c r="H52" s="766"/>
      <c r="I52" s="794"/>
      <c r="J52" s="766"/>
      <c r="K52" s="777"/>
      <c r="L52" s="777"/>
      <c r="M52" s="777"/>
      <c r="N52" s="786"/>
      <c r="O52" s="777"/>
      <c r="P52" s="797"/>
      <c r="Q52" s="773"/>
      <c r="R52" s="773"/>
      <c r="S52" s="773"/>
      <c r="T52" s="773"/>
      <c r="U52" s="773"/>
      <c r="V52" s="773"/>
      <c r="W52" s="803"/>
      <c r="X52" s="803"/>
      <c r="Y52" s="803"/>
      <c r="Z52" s="803"/>
      <c r="AA52" s="803"/>
      <c r="AB52" s="803"/>
      <c r="AC52" s="770"/>
      <c r="AD52" s="77"/>
    </row>
    <row r="53" spans="1:30" ht="114" customHeight="1">
      <c r="A53" s="825"/>
      <c r="B53" s="788"/>
      <c r="C53" s="685" t="str">
        <f>+'Proyectos 2016'!B44</f>
        <v>Mantenimiento preventivo, rutinario y correctivo del sistema de riego El Ingenio</v>
      </c>
      <c r="D53" s="764"/>
      <c r="E53" s="766"/>
      <c r="F53" s="764"/>
      <c r="G53" s="766"/>
      <c r="H53" s="766"/>
      <c r="I53" s="794"/>
      <c r="J53" s="766"/>
      <c r="K53" s="777"/>
      <c r="L53" s="777"/>
      <c r="M53" s="777"/>
      <c r="N53" s="786"/>
      <c r="O53" s="777"/>
      <c r="P53" s="797"/>
      <c r="Q53" s="773"/>
      <c r="R53" s="773"/>
      <c r="S53" s="773"/>
      <c r="T53" s="773"/>
      <c r="U53" s="773"/>
      <c r="V53" s="773"/>
      <c r="W53" s="803"/>
      <c r="X53" s="803"/>
      <c r="Y53" s="803"/>
      <c r="Z53" s="803"/>
      <c r="AA53" s="803"/>
      <c r="AB53" s="803"/>
      <c r="AC53" s="770"/>
      <c r="AD53" s="77"/>
    </row>
    <row r="54" spans="1:30" ht="78" customHeight="1">
      <c r="A54" s="825"/>
      <c r="B54" s="788"/>
      <c r="C54" s="685" t="str">
        <f>+'Proyectos 2016'!B45</f>
        <v>Mantenimiento preventivo, rutinario y correctivo del sistema de riego La Papaya</v>
      </c>
      <c r="D54" s="764"/>
      <c r="E54" s="766"/>
      <c r="F54" s="764"/>
      <c r="G54" s="766"/>
      <c r="H54" s="766"/>
      <c r="I54" s="794"/>
      <c r="J54" s="766"/>
      <c r="K54" s="777"/>
      <c r="L54" s="777"/>
      <c r="M54" s="777"/>
      <c r="N54" s="786"/>
      <c r="O54" s="777"/>
      <c r="P54" s="797"/>
      <c r="Q54" s="773"/>
      <c r="R54" s="773"/>
      <c r="S54" s="773"/>
      <c r="T54" s="773"/>
      <c r="U54" s="773"/>
      <c r="V54" s="773"/>
      <c r="W54" s="803"/>
      <c r="X54" s="803"/>
      <c r="Y54" s="803"/>
      <c r="Z54" s="803"/>
      <c r="AA54" s="803"/>
      <c r="AB54" s="803"/>
      <c r="AC54" s="770"/>
      <c r="AD54" s="77"/>
    </row>
    <row r="55" spans="1:30" ht="78" customHeight="1">
      <c r="A55" s="825"/>
      <c r="B55" s="788"/>
      <c r="C55" s="685" t="str">
        <f>+'Proyectos 2016'!B46</f>
        <v>Mantenimiento preventivo, rutinario y correctivo del sistema de riego Cochas - San Vicente</v>
      </c>
      <c r="D55" s="764"/>
      <c r="E55" s="766"/>
      <c r="F55" s="764"/>
      <c r="G55" s="766"/>
      <c r="H55" s="766"/>
      <c r="I55" s="794"/>
      <c r="J55" s="766"/>
      <c r="K55" s="777"/>
      <c r="L55" s="777"/>
      <c r="M55" s="777"/>
      <c r="N55" s="786"/>
      <c r="O55" s="777"/>
      <c r="P55" s="797"/>
      <c r="Q55" s="773"/>
      <c r="R55" s="773"/>
      <c r="S55" s="773"/>
      <c r="T55" s="773"/>
      <c r="U55" s="773"/>
      <c r="V55" s="773"/>
      <c r="W55" s="803"/>
      <c r="X55" s="803"/>
      <c r="Y55" s="803"/>
      <c r="Z55" s="803"/>
      <c r="AA55" s="803"/>
      <c r="AB55" s="803"/>
      <c r="AC55" s="770"/>
      <c r="AD55" s="77"/>
    </row>
    <row r="56" spans="1:30" ht="78" customHeight="1">
      <c r="A56" s="825"/>
      <c r="B56" s="788"/>
      <c r="C56" s="685" t="str">
        <f>+'Proyectos 2016'!B47</f>
        <v>Mantenimiento preventivo, rutinario y correctivo del sistema de riego La Palmira</v>
      </c>
      <c r="D56" s="764"/>
      <c r="E56" s="766"/>
      <c r="F56" s="764"/>
      <c r="G56" s="766"/>
      <c r="H56" s="766"/>
      <c r="I56" s="794"/>
      <c r="J56" s="766"/>
      <c r="K56" s="777"/>
      <c r="L56" s="777"/>
      <c r="M56" s="777"/>
      <c r="N56" s="786"/>
      <c r="O56" s="777"/>
      <c r="P56" s="797"/>
      <c r="Q56" s="773"/>
      <c r="R56" s="773"/>
      <c r="S56" s="773"/>
      <c r="T56" s="773"/>
      <c r="U56" s="773"/>
      <c r="V56" s="773"/>
      <c r="W56" s="803"/>
      <c r="X56" s="803"/>
      <c r="Y56" s="803"/>
      <c r="Z56" s="803"/>
      <c r="AA56" s="803"/>
      <c r="AB56" s="803"/>
      <c r="AC56" s="770"/>
      <c r="AD56" s="77"/>
    </row>
    <row r="57" spans="1:30" ht="78" customHeight="1">
      <c r="A57" s="825"/>
      <c r="B57" s="788"/>
      <c r="C57" s="685" t="str">
        <f>+'Proyectos 2016'!B48</f>
        <v>Mantenimiento preventivo, rutinario y correctivo del sistema de riego Campana-Malacatos</v>
      </c>
      <c r="D57" s="764"/>
      <c r="E57" s="766"/>
      <c r="F57" s="764"/>
      <c r="G57" s="766"/>
      <c r="H57" s="766"/>
      <c r="I57" s="794"/>
      <c r="J57" s="766"/>
      <c r="K57" s="777"/>
      <c r="L57" s="777"/>
      <c r="M57" s="777"/>
      <c r="N57" s="786"/>
      <c r="O57" s="777"/>
      <c r="P57" s="797"/>
      <c r="Q57" s="773"/>
      <c r="R57" s="773"/>
      <c r="S57" s="773"/>
      <c r="T57" s="773"/>
      <c r="U57" s="773"/>
      <c r="V57" s="773"/>
      <c r="W57" s="803"/>
      <c r="X57" s="803"/>
      <c r="Y57" s="803"/>
      <c r="Z57" s="803"/>
      <c r="AA57" s="803"/>
      <c r="AB57" s="803"/>
      <c r="AC57" s="770"/>
      <c r="AD57" s="77"/>
    </row>
    <row r="58" spans="1:30" ht="78" customHeight="1">
      <c r="A58" s="825"/>
      <c r="B58" s="788"/>
      <c r="C58" s="685" t="str">
        <f>+'Proyectos 2016'!B49</f>
        <v>Mantenimiento preventivo, rutinario y correctivo del sistema de riego Quinara-Tumianuma</v>
      </c>
      <c r="D58" s="764"/>
      <c r="E58" s="766"/>
      <c r="F58" s="764"/>
      <c r="G58" s="766"/>
      <c r="H58" s="766"/>
      <c r="I58" s="794"/>
      <c r="J58" s="766"/>
      <c r="K58" s="777"/>
      <c r="L58" s="777"/>
      <c r="M58" s="777"/>
      <c r="N58" s="786"/>
      <c r="O58" s="777"/>
      <c r="P58" s="797"/>
      <c r="Q58" s="773"/>
      <c r="R58" s="773"/>
      <c r="S58" s="773"/>
      <c r="T58" s="773"/>
      <c r="U58" s="773"/>
      <c r="V58" s="773"/>
      <c r="W58" s="803"/>
      <c r="X58" s="803"/>
      <c r="Y58" s="803"/>
      <c r="Z58" s="803"/>
      <c r="AA58" s="803"/>
      <c r="AB58" s="803"/>
      <c r="AC58" s="770"/>
      <c r="AD58" s="77"/>
    </row>
    <row r="59" spans="1:30" ht="78" customHeight="1">
      <c r="A59" s="826"/>
      <c r="B59" s="789"/>
      <c r="C59" s="686" t="str">
        <f>+'Proyectos 2016'!B50</f>
        <v>Mantenimiento preventivo, rutinario y correctivo del sistema de riego La Era</v>
      </c>
      <c r="D59" s="768"/>
      <c r="E59" s="767"/>
      <c r="F59" s="768"/>
      <c r="G59" s="767"/>
      <c r="H59" s="767"/>
      <c r="I59" s="795"/>
      <c r="J59" s="767"/>
      <c r="K59" s="778"/>
      <c r="L59" s="778"/>
      <c r="M59" s="778"/>
      <c r="N59" s="818"/>
      <c r="O59" s="778"/>
      <c r="P59" s="798"/>
      <c r="Q59" s="774"/>
      <c r="R59" s="774"/>
      <c r="S59" s="774"/>
      <c r="T59" s="774"/>
      <c r="U59" s="774"/>
      <c r="V59" s="774"/>
      <c r="W59" s="804"/>
      <c r="X59" s="804"/>
      <c r="Y59" s="804"/>
      <c r="Z59" s="804"/>
      <c r="AA59" s="804"/>
      <c r="AB59" s="804"/>
      <c r="AC59" s="771"/>
      <c r="AD59" s="77"/>
    </row>
    <row r="60" spans="1:30" ht="52.5" customHeight="1">
      <c r="A60" s="331"/>
      <c r="B60" s="332"/>
      <c r="C60" s="335"/>
      <c r="D60" s="336"/>
      <c r="E60" s="337"/>
      <c r="F60" s="790" t="s">
        <v>1124</v>
      </c>
      <c r="G60" s="790"/>
      <c r="H60" s="337"/>
      <c r="I60" s="338"/>
      <c r="J60" s="337"/>
      <c r="K60" s="339"/>
      <c r="L60" s="339"/>
      <c r="M60" s="328"/>
      <c r="N60" s="620">
        <f>SUM(N16:N59)</f>
        <v>729856.99040000001</v>
      </c>
      <c r="O60" s="340"/>
      <c r="P60" s="341">
        <f t="shared" ref="P60:AC60" si="5">SUM(P16:P59)</f>
        <v>729856.99040000001</v>
      </c>
      <c r="Q60" s="341">
        <f t="shared" si="5"/>
        <v>0</v>
      </c>
      <c r="R60" s="341">
        <f t="shared" si="5"/>
        <v>3225.6000000000004</v>
      </c>
      <c r="S60" s="341">
        <f t="shared" si="5"/>
        <v>13728</v>
      </c>
      <c r="T60" s="341">
        <f t="shared" si="5"/>
        <v>2000</v>
      </c>
      <c r="U60" s="341">
        <f t="shared" si="5"/>
        <v>11250</v>
      </c>
      <c r="V60" s="341">
        <f t="shared" si="5"/>
        <v>9999.9984000000004</v>
      </c>
      <c r="W60" s="341">
        <f t="shared" si="5"/>
        <v>689653.39199999999</v>
      </c>
      <c r="X60" s="341">
        <f t="shared" si="5"/>
        <v>0</v>
      </c>
      <c r="Y60" s="341">
        <f t="shared" si="5"/>
        <v>0</v>
      </c>
      <c r="Z60" s="341">
        <f t="shared" si="5"/>
        <v>0</v>
      </c>
      <c r="AA60" s="341">
        <f t="shared" si="5"/>
        <v>0</v>
      </c>
      <c r="AB60" s="341">
        <f t="shared" si="5"/>
        <v>0</v>
      </c>
      <c r="AC60" s="329">
        <f t="shared" si="5"/>
        <v>729856.99040000001</v>
      </c>
      <c r="AD60" s="113"/>
    </row>
    <row r="61" spans="1:30" ht="50.25" customHeight="1">
      <c r="B61" s="333"/>
      <c r="C61" s="333"/>
      <c r="D61" s="333"/>
      <c r="E61" s="333"/>
      <c r="F61" s="791" t="s">
        <v>1125</v>
      </c>
      <c r="G61" s="791"/>
      <c r="H61" s="333"/>
      <c r="I61" s="333"/>
      <c r="J61" s="333"/>
      <c r="K61" s="333"/>
      <c r="L61" s="334"/>
      <c r="M61" s="295" t="s">
        <v>1061</v>
      </c>
      <c r="N61" s="108">
        <f>+'1.PROFORMA 2016 '!J106</f>
        <v>896252.52960000001</v>
      </c>
      <c r="O61" s="297"/>
      <c r="P61" s="100">
        <f>+N61</f>
        <v>896252.52960000001</v>
      </c>
      <c r="Q61" s="101">
        <f>+P61/12</f>
        <v>74687.710800000001</v>
      </c>
      <c r="R61" s="101">
        <f>+Q61</f>
        <v>74687.710800000001</v>
      </c>
      <c r="S61" s="101">
        <f t="shared" ref="S61:AB61" si="6">+R61</f>
        <v>74687.710800000001</v>
      </c>
      <c r="T61" s="101">
        <f t="shared" si="6"/>
        <v>74687.710800000001</v>
      </c>
      <c r="U61" s="101">
        <f t="shared" si="6"/>
        <v>74687.710800000001</v>
      </c>
      <c r="V61" s="101">
        <f t="shared" si="6"/>
        <v>74687.710800000001</v>
      </c>
      <c r="W61" s="101">
        <f t="shared" si="6"/>
        <v>74687.710800000001</v>
      </c>
      <c r="X61" s="101">
        <f t="shared" si="6"/>
        <v>74687.710800000001</v>
      </c>
      <c r="Y61" s="101">
        <f t="shared" si="6"/>
        <v>74687.710800000001</v>
      </c>
      <c r="Z61" s="101">
        <f t="shared" si="6"/>
        <v>74687.710800000001</v>
      </c>
      <c r="AA61" s="101">
        <f t="shared" si="6"/>
        <v>74687.710800000001</v>
      </c>
      <c r="AB61" s="101">
        <f t="shared" si="6"/>
        <v>74687.710800000001</v>
      </c>
      <c r="AC61" s="305">
        <f>SUM(Q61:AB61)</f>
        <v>896252.52960000001</v>
      </c>
      <c r="AD61" s="111"/>
    </row>
    <row r="62" spans="1:30" ht="22.5" customHeight="1">
      <c r="A62" s="820"/>
      <c r="B62" s="821"/>
      <c r="C62" s="821"/>
      <c r="D62" s="821"/>
      <c r="E62" s="821"/>
      <c r="F62" s="821"/>
      <c r="G62" s="821"/>
      <c r="H62" s="821"/>
      <c r="I62" s="821"/>
      <c r="J62" s="821"/>
      <c r="K62" s="821"/>
      <c r="L62" s="822"/>
      <c r="M62" s="109" t="s">
        <v>255</v>
      </c>
      <c r="N62" s="298">
        <f>+N61+N60</f>
        <v>1626109.52</v>
      </c>
      <c r="O62" s="110">
        <f>SUM(O16:O59)</f>
        <v>0</v>
      </c>
      <c r="P62" s="298">
        <f>+P61+P60</f>
        <v>1626109.52</v>
      </c>
      <c r="Q62" s="298">
        <f t="shared" ref="Q62:AB62" si="7">+Q61+Q60</f>
        <v>74687.710800000001</v>
      </c>
      <c r="R62" s="298">
        <f t="shared" si="7"/>
        <v>77913.310800000007</v>
      </c>
      <c r="S62" s="298">
        <f t="shared" si="7"/>
        <v>88415.710800000001</v>
      </c>
      <c r="T62" s="298">
        <f t="shared" si="7"/>
        <v>76687.710800000001</v>
      </c>
      <c r="U62" s="298">
        <f t="shared" si="7"/>
        <v>85937.710800000001</v>
      </c>
      <c r="V62" s="298">
        <f t="shared" si="7"/>
        <v>84687.709199999998</v>
      </c>
      <c r="W62" s="298">
        <f t="shared" si="7"/>
        <v>764341.10279999999</v>
      </c>
      <c r="X62" s="298">
        <f t="shared" si="7"/>
        <v>74687.710800000001</v>
      </c>
      <c r="Y62" s="298">
        <f t="shared" si="7"/>
        <v>74687.710800000001</v>
      </c>
      <c r="Z62" s="298">
        <f t="shared" si="7"/>
        <v>74687.710800000001</v>
      </c>
      <c r="AA62" s="298">
        <f t="shared" si="7"/>
        <v>74687.710800000001</v>
      </c>
      <c r="AB62" s="298">
        <f t="shared" si="7"/>
        <v>74687.710800000001</v>
      </c>
      <c r="AC62" s="305">
        <f>+AC61+AC60</f>
        <v>1626109.52</v>
      </c>
      <c r="AD62" s="111"/>
    </row>
    <row r="63" spans="1:30">
      <c r="A63" s="77"/>
      <c r="B63" s="77"/>
      <c r="C63" s="77"/>
      <c r="D63" s="78"/>
      <c r="E63" s="77"/>
      <c r="F63" s="77"/>
      <c r="G63" s="77"/>
      <c r="H63" s="77"/>
      <c r="I63" s="77"/>
      <c r="J63" s="77"/>
      <c r="K63" s="77"/>
      <c r="L63" s="77"/>
      <c r="M63" s="77"/>
      <c r="N63" s="77"/>
      <c r="O63" s="77"/>
      <c r="P63" s="79" t="s">
        <v>689</v>
      </c>
      <c r="Q63" s="112">
        <f>+Q62*100/$AC$62</f>
        <v>4.593030781838114</v>
      </c>
      <c r="R63" s="112">
        <f t="shared" ref="R63:AB63" si="8">+R62*100/$AC$62</f>
        <v>4.7913938047666074</v>
      </c>
      <c r="S63" s="112">
        <f t="shared" si="8"/>
        <v>5.4372543615635438</v>
      </c>
      <c r="T63" s="112">
        <f t="shared" si="8"/>
        <v>4.716023727602308</v>
      </c>
      <c r="U63" s="112">
        <f t="shared" si="8"/>
        <v>5.2848661017617067</v>
      </c>
      <c r="V63" s="112">
        <f t="shared" si="8"/>
        <v>5.2079954122647285</v>
      </c>
      <c r="W63" s="112">
        <f t="shared" si="8"/>
        <v>47.004281901012426</v>
      </c>
      <c r="X63" s="112">
        <f t="shared" si="8"/>
        <v>4.593030781838114</v>
      </c>
      <c r="Y63" s="112">
        <f t="shared" si="8"/>
        <v>4.593030781838114</v>
      </c>
      <c r="Z63" s="112">
        <f t="shared" si="8"/>
        <v>4.593030781838114</v>
      </c>
      <c r="AA63" s="112">
        <f t="shared" si="8"/>
        <v>4.593030781838114</v>
      </c>
      <c r="AB63" s="112">
        <f t="shared" si="8"/>
        <v>4.593030781838114</v>
      </c>
      <c r="AC63" s="112">
        <f>SUM(Q63:AB63)</f>
        <v>99.999999999999986</v>
      </c>
      <c r="AD63" s="77"/>
    </row>
    <row r="64" spans="1:30" ht="24">
      <c r="A64" s="77"/>
      <c r="B64" s="77"/>
      <c r="C64" s="77"/>
      <c r="D64" s="78"/>
      <c r="E64" s="77"/>
      <c r="F64" s="77"/>
      <c r="G64" s="77"/>
      <c r="H64" s="77"/>
      <c r="I64" s="77"/>
      <c r="J64" s="77"/>
      <c r="K64" s="77"/>
      <c r="L64" s="77"/>
      <c r="M64" s="77"/>
      <c r="N64" s="113"/>
      <c r="O64" s="77"/>
      <c r="P64" s="79" t="s">
        <v>690</v>
      </c>
      <c r="Q64" s="112">
        <f>+Q63</f>
        <v>4.593030781838114</v>
      </c>
      <c r="R64" s="112">
        <f>+Q63+R63</f>
        <v>9.3844245866047213</v>
      </c>
      <c r="S64" s="112">
        <f>+R64+S63</f>
        <v>14.821678948168266</v>
      </c>
      <c r="T64" s="112">
        <f t="shared" ref="T64:Y64" si="9">+S64+T63</f>
        <v>19.537702675770575</v>
      </c>
      <c r="U64" s="112">
        <f t="shared" si="9"/>
        <v>24.822568777532283</v>
      </c>
      <c r="V64" s="112">
        <f t="shared" si="9"/>
        <v>30.030564189797012</v>
      </c>
      <c r="W64" s="112">
        <f t="shared" si="9"/>
        <v>77.034846090809438</v>
      </c>
      <c r="X64" s="112">
        <f t="shared" si="9"/>
        <v>81.627876872647548</v>
      </c>
      <c r="Y64" s="112">
        <f t="shared" si="9"/>
        <v>86.220907654485657</v>
      </c>
      <c r="Z64" s="112">
        <f t="shared" ref="Z64" si="10">+Y64+Z63</f>
        <v>90.813938436323767</v>
      </c>
      <c r="AA64" s="112">
        <f t="shared" ref="AA64" si="11">+Z64+AA63</f>
        <v>95.406969218161876</v>
      </c>
      <c r="AB64" s="112">
        <f t="shared" ref="AB64" si="12">+AA64+AB63</f>
        <v>99.999999999999986</v>
      </c>
      <c r="AC64" s="112"/>
      <c r="AD64" s="77"/>
    </row>
    <row r="65" spans="1:30" ht="15">
      <c r="D65" s="114"/>
      <c r="E65" s="7"/>
      <c r="F65" s="7"/>
      <c r="G65" s="7"/>
      <c r="H65" s="7"/>
      <c r="N65" s="115"/>
    </row>
    <row r="66" spans="1:30" ht="15">
      <c r="E66" s="7"/>
      <c r="F66" s="7"/>
      <c r="G66" s="7"/>
      <c r="H66" s="7"/>
      <c r="N66" s="115"/>
      <c r="AA66" s="116"/>
      <c r="AB66" s="325"/>
    </row>
    <row r="67" spans="1:30" ht="28.5" customHeight="1">
      <c r="A67" s="823" t="s">
        <v>1130</v>
      </c>
      <c r="B67" s="823"/>
      <c r="C67" s="823"/>
      <c r="D67" s="823"/>
      <c r="E67" s="823"/>
      <c r="F67" s="823"/>
      <c r="G67" s="823"/>
      <c r="H67" s="823"/>
      <c r="I67" s="823"/>
      <c r="J67" s="345"/>
      <c r="K67" s="344"/>
      <c r="L67" s="346" t="s">
        <v>1136</v>
      </c>
      <c r="M67" s="6"/>
      <c r="N67" s="326"/>
      <c r="O67" s="327"/>
      <c r="P67" s="117"/>
      <c r="T67" s="117"/>
      <c r="U67" s="117"/>
      <c r="Y67" s="117"/>
      <c r="Z67" s="117"/>
      <c r="AA67" s="117"/>
      <c r="AB67" s="117"/>
      <c r="AC67" s="120"/>
      <c r="AD67" s="300" t="s">
        <v>100</v>
      </c>
    </row>
    <row r="68" spans="1:30" ht="12.75">
      <c r="A68" s="344"/>
      <c r="B68" s="344"/>
      <c r="C68" s="344"/>
      <c r="D68" s="344"/>
      <c r="E68" s="344"/>
      <c r="F68" s="344"/>
      <c r="G68" s="344"/>
      <c r="H68" s="344"/>
      <c r="I68" s="347"/>
      <c r="J68" s="347"/>
      <c r="K68" s="344"/>
      <c r="L68" s="344"/>
      <c r="M68" s="6"/>
      <c r="N68" s="120"/>
      <c r="O68" s="117"/>
      <c r="P68" s="117"/>
      <c r="T68" s="117"/>
      <c r="U68" s="117"/>
      <c r="Y68" s="117"/>
      <c r="Z68" s="117"/>
      <c r="AA68" s="117"/>
      <c r="AB68" s="117"/>
      <c r="AC68" s="303" t="s">
        <v>100</v>
      </c>
      <c r="AD68" s="300" t="s">
        <v>100</v>
      </c>
    </row>
    <row r="69" spans="1:30" ht="12.75">
      <c r="A69" s="344" t="s">
        <v>1179</v>
      </c>
      <c r="B69" s="344"/>
      <c r="C69" s="344"/>
      <c r="D69" s="344" t="s">
        <v>1178</v>
      </c>
      <c r="E69" s="344"/>
      <c r="F69" s="344"/>
      <c r="G69" s="792" t="s">
        <v>1134</v>
      </c>
      <c r="H69" s="792"/>
      <c r="I69" s="792"/>
      <c r="J69" s="344"/>
      <c r="K69" s="344"/>
      <c r="L69" s="344" t="s">
        <v>1135</v>
      </c>
      <c r="M69" s="6"/>
      <c r="N69" s="120"/>
      <c r="O69" s="117"/>
      <c r="P69" s="117"/>
      <c r="T69" s="117"/>
      <c r="U69" s="117"/>
      <c r="V69" s="775"/>
      <c r="W69" s="775"/>
      <c r="X69" s="775"/>
      <c r="Y69" s="117"/>
      <c r="Z69" s="117"/>
      <c r="AA69" s="117"/>
      <c r="AB69" s="117"/>
      <c r="AC69" s="300" t="s">
        <v>100</v>
      </c>
    </row>
    <row r="70" spans="1:30" ht="12.75">
      <c r="A70" s="344"/>
      <c r="B70" s="344"/>
      <c r="C70" s="344"/>
      <c r="D70" s="344"/>
      <c r="E70" s="344"/>
      <c r="F70" s="344"/>
      <c r="G70" s="344"/>
      <c r="H70" s="344"/>
      <c r="I70" s="344"/>
      <c r="J70" s="344"/>
      <c r="K70" s="344"/>
      <c r="L70" s="344"/>
      <c r="M70" s="344"/>
      <c r="N70" s="117"/>
      <c r="O70" s="117"/>
      <c r="P70" s="117"/>
      <c r="Q70" s="118"/>
      <c r="T70" s="117"/>
      <c r="U70" s="117"/>
      <c r="V70" s="117"/>
      <c r="W70" s="119"/>
      <c r="X70" s="117"/>
      <c r="Y70" s="117"/>
      <c r="Z70" s="117"/>
      <c r="AA70" s="117"/>
      <c r="AB70" s="117"/>
    </row>
    <row r="71" spans="1:30" ht="15" customHeight="1">
      <c r="A71" s="349" t="s">
        <v>1131</v>
      </c>
      <c r="B71" s="6"/>
      <c r="C71" s="6"/>
      <c r="D71" s="349" t="s">
        <v>1132</v>
      </c>
      <c r="E71" s="6"/>
      <c r="F71" s="344"/>
      <c r="G71" s="349" t="s">
        <v>1133</v>
      </c>
      <c r="H71" s="344"/>
      <c r="I71" s="344"/>
      <c r="J71" s="344"/>
      <c r="K71" s="344"/>
      <c r="L71" s="349" t="s">
        <v>1126</v>
      </c>
      <c r="M71" s="348"/>
      <c r="N71" s="117"/>
      <c r="O71" s="117"/>
      <c r="P71" s="117"/>
      <c r="T71" s="117"/>
      <c r="U71" s="117"/>
      <c r="V71" s="819"/>
      <c r="W71" s="819"/>
      <c r="X71" s="819"/>
      <c r="Y71" s="117"/>
      <c r="Z71" s="117"/>
      <c r="AA71" s="117"/>
      <c r="AB71" s="117"/>
    </row>
    <row r="72" spans="1:30" ht="12.75">
      <c r="A72" s="344"/>
      <c r="B72" s="6"/>
      <c r="C72" s="6"/>
      <c r="D72" s="344"/>
      <c r="E72" s="344"/>
      <c r="F72" s="344"/>
      <c r="G72" s="344"/>
      <c r="H72" s="344"/>
      <c r="I72" s="344"/>
      <c r="J72" s="344"/>
      <c r="K72" s="344"/>
      <c r="L72" s="344"/>
      <c r="M72" s="348"/>
      <c r="N72" s="117"/>
      <c r="O72" s="117"/>
      <c r="P72" s="117"/>
      <c r="T72" s="117"/>
      <c r="U72" s="117"/>
      <c r="V72" s="775"/>
      <c r="W72" s="775"/>
      <c r="X72" s="775"/>
      <c r="Y72" s="117"/>
      <c r="Z72" s="117"/>
      <c r="AA72" s="117"/>
      <c r="AB72" s="117"/>
    </row>
    <row r="73" spans="1:30" ht="15">
      <c r="B73" s="7"/>
      <c r="C73" s="7"/>
      <c r="M73" s="117"/>
      <c r="N73" s="117"/>
      <c r="O73" s="117"/>
      <c r="P73" s="117"/>
      <c r="T73" s="117"/>
      <c r="U73" s="117"/>
      <c r="V73" s="117"/>
      <c r="W73" s="117"/>
      <c r="X73" s="117"/>
      <c r="Y73" s="117"/>
      <c r="Z73" s="117"/>
      <c r="AA73" s="117"/>
      <c r="AB73" s="117"/>
    </row>
    <row r="74" spans="1:30" ht="15" customHeight="1">
      <c r="B74" s="7"/>
      <c r="C74" s="7"/>
      <c r="G74"/>
      <c r="H74"/>
      <c r="I74"/>
      <c r="J74"/>
      <c r="M74" s="117"/>
      <c r="N74" s="120"/>
      <c r="O74" s="117"/>
      <c r="P74" s="117"/>
      <c r="T74" s="117"/>
      <c r="U74" s="117"/>
      <c r="V74" s="117"/>
      <c r="W74" s="117"/>
      <c r="X74" s="117"/>
      <c r="Y74" s="117"/>
      <c r="Z74" s="117"/>
      <c r="AA74" s="117"/>
      <c r="AB74" s="117"/>
    </row>
    <row r="75" spans="1:30" ht="15">
      <c r="B75" s="7"/>
      <c r="C75" s="7"/>
      <c r="G75"/>
      <c r="H75"/>
      <c r="I75"/>
      <c r="J75"/>
      <c r="M75" s="117"/>
      <c r="N75" s="117"/>
      <c r="O75" s="117"/>
      <c r="P75" s="117"/>
      <c r="T75" s="117"/>
      <c r="U75" s="117"/>
      <c r="V75" s="117"/>
      <c r="W75" s="117"/>
      <c r="X75" s="117"/>
      <c r="Y75" s="117"/>
      <c r="Z75" s="117"/>
      <c r="AA75" s="117"/>
      <c r="AB75" s="117"/>
    </row>
    <row r="76" spans="1:30" ht="15">
      <c r="G76"/>
      <c r="H76"/>
      <c r="I76"/>
      <c r="J76"/>
      <c r="M76" s="117"/>
      <c r="N76" s="120"/>
      <c r="O76" s="117"/>
      <c r="P76" s="117"/>
      <c r="T76" s="117"/>
      <c r="U76" s="117"/>
      <c r="V76" s="117"/>
      <c r="W76" s="117"/>
      <c r="X76" s="117"/>
      <c r="Y76" s="117"/>
      <c r="Z76" s="117"/>
      <c r="AA76" s="117"/>
      <c r="AB76" s="117"/>
    </row>
    <row r="77" spans="1:30" ht="15">
      <c r="G77"/>
      <c r="H77"/>
      <c r="I77"/>
      <c r="J77"/>
      <c r="M77" s="121"/>
      <c r="N77" s="117"/>
      <c r="O77" s="117"/>
      <c r="P77" s="117"/>
      <c r="T77" s="117"/>
      <c r="U77" s="117"/>
      <c r="V77" s="117"/>
      <c r="W77" s="117"/>
      <c r="X77" s="117"/>
      <c r="Y77" s="117"/>
      <c r="Z77" s="117"/>
      <c r="AA77" s="117"/>
      <c r="AB77" s="117"/>
      <c r="AC77" s="117"/>
    </row>
    <row r="78" spans="1:30" ht="91.5" customHeight="1">
      <c r="B78" s="7"/>
      <c r="C78" s="7"/>
      <c r="D78" s="7"/>
      <c r="G78"/>
      <c r="H78"/>
      <c r="I78"/>
      <c r="J78"/>
      <c r="M78" s="121"/>
      <c r="N78" s="117"/>
      <c r="O78" s="117"/>
      <c r="P78" s="117"/>
      <c r="T78" s="117"/>
      <c r="U78" s="117"/>
      <c r="V78" s="117"/>
      <c r="W78" s="117"/>
      <c r="X78" s="117"/>
      <c r="Y78" s="117"/>
      <c r="Z78" s="117"/>
      <c r="AA78" s="117"/>
      <c r="AB78" s="117"/>
      <c r="AC78" s="117"/>
    </row>
    <row r="79" spans="1:30" ht="15">
      <c r="B79" s="7"/>
      <c r="C79" s="7"/>
      <c r="G79"/>
      <c r="H79"/>
      <c r="I79"/>
      <c r="J79"/>
      <c r="M79" s="121"/>
      <c r="N79" s="117"/>
      <c r="O79" s="117"/>
      <c r="P79" s="117"/>
      <c r="T79" s="117"/>
      <c r="U79" s="117"/>
      <c r="V79" s="117"/>
      <c r="W79" s="117"/>
      <c r="X79" s="117"/>
      <c r="Y79" s="117"/>
      <c r="Z79" s="117"/>
      <c r="AA79" s="117"/>
      <c r="AB79" s="117"/>
      <c r="AC79" s="117"/>
    </row>
    <row r="80" spans="1:30" ht="15">
      <c r="B80" s="7"/>
      <c r="C80" s="7"/>
      <c r="G80"/>
      <c r="H80"/>
      <c r="I80"/>
      <c r="J80"/>
      <c r="M80" s="121"/>
      <c r="N80" s="117"/>
      <c r="O80" s="117"/>
      <c r="P80" s="117"/>
      <c r="T80" s="117"/>
      <c r="U80" s="117"/>
      <c r="V80" s="117"/>
      <c r="W80" s="117"/>
      <c r="X80" s="117"/>
      <c r="Y80" s="117"/>
      <c r="Z80" s="117"/>
      <c r="AA80" s="117"/>
      <c r="AB80" s="117"/>
      <c r="AC80" s="117"/>
    </row>
    <row r="81" spans="2:29" ht="15">
      <c r="B81" s="7"/>
      <c r="C81" s="7"/>
      <c r="G81"/>
      <c r="H81"/>
      <c r="I81"/>
      <c r="J81"/>
      <c r="M81" s="121"/>
      <c r="N81" s="117"/>
      <c r="O81" s="117"/>
      <c r="P81" s="117"/>
      <c r="T81" s="117"/>
      <c r="U81" s="117"/>
      <c r="V81" s="117"/>
      <c r="W81" s="117"/>
      <c r="X81" s="117"/>
      <c r="Y81" s="117"/>
      <c r="Z81" s="117"/>
      <c r="AA81" s="117"/>
      <c r="AB81" s="117"/>
      <c r="AC81" s="117"/>
    </row>
    <row r="82" spans="2:29" ht="15">
      <c r="B82" s="7"/>
      <c r="C82" s="7"/>
      <c r="G82"/>
      <c r="H82"/>
      <c r="I82"/>
      <c r="J82"/>
      <c r="M82" s="121"/>
      <c r="N82" s="117"/>
      <c r="O82" s="117"/>
      <c r="P82" s="117"/>
      <c r="T82" s="117"/>
      <c r="U82" s="117"/>
      <c r="V82" s="117"/>
      <c r="W82" s="117"/>
      <c r="X82" s="117"/>
      <c r="Y82" s="117"/>
      <c r="Z82" s="117"/>
      <c r="AA82" s="117"/>
      <c r="AB82" s="117"/>
      <c r="AC82" s="117"/>
    </row>
    <row r="83" spans="2:29" ht="15">
      <c r="B83" s="7"/>
      <c r="C83" s="7"/>
      <c r="I83" s="118"/>
      <c r="J83" s="118"/>
      <c r="M83" s="121"/>
      <c r="N83" s="117"/>
      <c r="O83" s="117"/>
      <c r="P83" s="117"/>
      <c r="T83" s="117"/>
      <c r="U83" s="117"/>
      <c r="V83" s="117"/>
      <c r="W83" s="117"/>
      <c r="X83" s="117"/>
      <c r="Y83" s="117"/>
      <c r="Z83" s="117"/>
      <c r="AA83" s="117"/>
      <c r="AB83" s="117"/>
      <c r="AC83" s="117"/>
    </row>
    <row r="84" spans="2:29" ht="15">
      <c r="B84" s="7"/>
      <c r="C84" s="7"/>
    </row>
    <row r="85" spans="2:29" ht="15">
      <c r="B85" s="7"/>
      <c r="C85" s="7"/>
    </row>
    <row r="86" spans="2:29" ht="15">
      <c r="B86" s="7"/>
      <c r="C86" s="7"/>
    </row>
    <row r="87" spans="2:29" ht="15">
      <c r="B87" s="7"/>
      <c r="C87" s="7"/>
    </row>
    <row r="88" spans="2:29" ht="15">
      <c r="B88" s="7"/>
      <c r="C88" s="7"/>
    </row>
    <row r="89" spans="2:29" ht="15">
      <c r="B89" s="7"/>
      <c r="C89" s="7"/>
    </row>
    <row r="90" spans="2:29" ht="15">
      <c r="B90" s="7"/>
      <c r="C90" s="7"/>
    </row>
    <row r="91" spans="2:29" ht="15">
      <c r="B91" s="7"/>
      <c r="C91" s="7"/>
    </row>
    <row r="92" spans="2:29" ht="15">
      <c r="B92" s="7"/>
      <c r="C92" s="7"/>
    </row>
    <row r="93" spans="2:29" ht="15">
      <c r="B93" s="7"/>
      <c r="C93" s="7"/>
    </row>
    <row r="94" spans="2:29" ht="15">
      <c r="B94" s="7"/>
      <c r="C94" s="7"/>
    </row>
    <row r="95" spans="2:29" ht="15">
      <c r="B95" s="7"/>
      <c r="C95" s="7"/>
    </row>
    <row r="96" spans="2:29" ht="15">
      <c r="B96" s="7"/>
      <c r="C96" s="7"/>
    </row>
    <row r="97" spans="2:3" ht="15">
      <c r="B97" s="7"/>
      <c r="C97" s="7"/>
    </row>
    <row r="98" spans="2:3" ht="15">
      <c r="B98" s="7"/>
      <c r="C98" s="7"/>
    </row>
    <row r="99" spans="2:3" ht="15">
      <c r="B99" s="7"/>
      <c r="C99" s="7"/>
    </row>
    <row r="100" spans="2:3" ht="15">
      <c r="B100" s="7"/>
      <c r="C100" s="7"/>
    </row>
    <row r="101" spans="2:3" ht="15">
      <c r="B101" s="7"/>
      <c r="C101" s="7"/>
    </row>
    <row r="102" spans="2:3" ht="15">
      <c r="B102" s="7"/>
      <c r="C102" s="7"/>
    </row>
    <row r="103" spans="2:3" ht="15">
      <c r="B103" s="7"/>
      <c r="C103" s="7"/>
    </row>
    <row r="104" spans="2:3" ht="15">
      <c r="B104" s="7"/>
      <c r="C104" s="7"/>
    </row>
    <row r="105" spans="2:3" ht="15">
      <c r="B105" s="7"/>
      <c r="C105" s="7"/>
    </row>
    <row r="106" spans="2:3" ht="15">
      <c r="B106" s="7"/>
      <c r="C106" s="7"/>
    </row>
    <row r="107" spans="2:3" ht="15">
      <c r="B107" s="7"/>
      <c r="C107" s="7"/>
    </row>
    <row r="108" spans="2:3" ht="15">
      <c r="B108" s="7"/>
      <c r="C108" s="7"/>
    </row>
    <row r="109" spans="2:3" ht="15">
      <c r="B109" s="7"/>
      <c r="C109" s="7"/>
    </row>
    <row r="110" spans="2:3" ht="15">
      <c r="B110" s="7"/>
      <c r="C110" s="7"/>
    </row>
  </sheetData>
  <mergeCells count="178">
    <mergeCell ref="A6:B6"/>
    <mergeCell ref="N38:N59"/>
    <mergeCell ref="V71:X71"/>
    <mergeCell ref="V72:X72"/>
    <mergeCell ref="A62:L62"/>
    <mergeCell ref="V18:V19"/>
    <mergeCell ref="W18:W19"/>
    <mergeCell ref="X18:X19"/>
    <mergeCell ref="A67:I67"/>
    <mergeCell ref="H18:H19"/>
    <mergeCell ref="I18:I19"/>
    <mergeCell ref="J18:J19"/>
    <mergeCell ref="H20:H21"/>
    <mergeCell ref="I20:I21"/>
    <mergeCell ref="J20:J21"/>
    <mergeCell ref="K20:K21"/>
    <mergeCell ref="L20:L21"/>
    <mergeCell ref="K18:K19"/>
    <mergeCell ref="L18:L19"/>
    <mergeCell ref="A38:A59"/>
    <mergeCell ref="T16:T17"/>
    <mergeCell ref="M18:M19"/>
    <mergeCell ref="N18:N19"/>
    <mergeCell ref="O18:O19"/>
    <mergeCell ref="AC20:AC21"/>
    <mergeCell ref="AA18:AA19"/>
    <mergeCell ref="AB18:AB19"/>
    <mergeCell ref="AC18:AC19"/>
    <mergeCell ref="AC16:AC17"/>
    <mergeCell ref="Y18:Y19"/>
    <mergeCell ref="Z18:Z19"/>
    <mergeCell ref="M20:M21"/>
    <mergeCell ref="N20:N21"/>
    <mergeCell ref="O20:O21"/>
    <mergeCell ref="P20:P21"/>
    <mergeCell ref="Q20:Q21"/>
    <mergeCell ref="R20:R21"/>
    <mergeCell ref="S20:S21"/>
    <mergeCell ref="T20:T21"/>
    <mergeCell ref="U20:U21"/>
    <mergeCell ref="V20:V21"/>
    <mergeCell ref="W20:W21"/>
    <mergeCell ref="Y20:Y21"/>
    <mergeCell ref="Z20:Z21"/>
    <mergeCell ref="Q18:Q19"/>
    <mergeCell ref="R18:R19"/>
    <mergeCell ref="S18:S19"/>
    <mergeCell ref="T18:T19"/>
    <mergeCell ref="P18:P19"/>
    <mergeCell ref="Q47:Q59"/>
    <mergeCell ref="R47:R59"/>
    <mergeCell ref="AA20:AA21"/>
    <mergeCell ref="AB20:AB21"/>
    <mergeCell ref="Y16:Y17"/>
    <mergeCell ref="Z16:Z17"/>
    <mergeCell ref="AA16:AA17"/>
    <mergeCell ref="AB16:AB17"/>
    <mergeCell ref="U18:U19"/>
    <mergeCell ref="X20:X21"/>
    <mergeCell ref="X16:X17"/>
    <mergeCell ref="Q16:Q17"/>
    <mergeCell ref="R16:R17"/>
    <mergeCell ref="S16:S17"/>
    <mergeCell ref="U16:U17"/>
    <mergeCell ref="V16:V17"/>
    <mergeCell ref="W16:W17"/>
    <mergeCell ref="S47:S59"/>
    <mergeCell ref="T47:T59"/>
    <mergeCell ref="U47:U59"/>
    <mergeCell ref="T31:T37"/>
    <mergeCell ref="U31:U37"/>
    <mergeCell ref="T38:T45"/>
    <mergeCell ref="D38:D45"/>
    <mergeCell ref="D47:D59"/>
    <mergeCell ref="E38:E45"/>
    <mergeCell ref="E47:E59"/>
    <mergeCell ref="F38:F45"/>
    <mergeCell ref="G38:G45"/>
    <mergeCell ref="F27:F29"/>
    <mergeCell ref="G27:G29"/>
    <mergeCell ref="O47:O59"/>
    <mergeCell ref="M38:M45"/>
    <mergeCell ref="O38:O45"/>
    <mergeCell ref="H16:H17"/>
    <mergeCell ref="I16:I17"/>
    <mergeCell ref="J16:J17"/>
    <mergeCell ref="K16:K17"/>
    <mergeCell ref="L16:L17"/>
    <mergeCell ref="M16:M17"/>
    <mergeCell ref="N16:N17"/>
    <mergeCell ref="O16:O17"/>
    <mergeCell ref="P16:P17"/>
    <mergeCell ref="U38:U45"/>
    <mergeCell ref="S38:S45"/>
    <mergeCell ref="AA47:AA59"/>
    <mergeCell ref="AB47:AB59"/>
    <mergeCell ref="AC47:AC59"/>
    <mergeCell ref="V31:V37"/>
    <mergeCell ref="V47:V59"/>
    <mergeCell ref="W47:W59"/>
    <mergeCell ref="X47:X59"/>
    <mergeCell ref="Y47:Y59"/>
    <mergeCell ref="Z47:Z59"/>
    <mergeCell ref="Z38:Z45"/>
    <mergeCell ref="AA38:AA45"/>
    <mergeCell ref="AB38:AB45"/>
    <mergeCell ref="AC38:AC45"/>
    <mergeCell ref="V38:V45"/>
    <mergeCell ref="W38:W45"/>
    <mergeCell ref="X38:X45"/>
    <mergeCell ref="Y38:Y45"/>
    <mergeCell ref="F60:G60"/>
    <mergeCell ref="F61:G61"/>
    <mergeCell ref="I38:I45"/>
    <mergeCell ref="G69:I69"/>
    <mergeCell ref="P38:P45"/>
    <mergeCell ref="Q38:Q45"/>
    <mergeCell ref="R38:R45"/>
    <mergeCell ref="F47:F59"/>
    <mergeCell ref="G47:G59"/>
    <mergeCell ref="H47:H59"/>
    <mergeCell ref="I47:I59"/>
    <mergeCell ref="J47:J59"/>
    <mergeCell ref="K47:K59"/>
    <mergeCell ref="L47:L59"/>
    <mergeCell ref="M47:M59"/>
    <mergeCell ref="J38:J45"/>
    <mergeCell ref="K38:K45"/>
    <mergeCell ref="L38:L45"/>
    <mergeCell ref="P47:P59"/>
    <mergeCell ref="F23:F25"/>
    <mergeCell ref="G23:G25"/>
    <mergeCell ref="D27:D29"/>
    <mergeCell ref="E27:E29"/>
    <mergeCell ref="V69:X69"/>
    <mergeCell ref="B31:B37"/>
    <mergeCell ref="R31:R37"/>
    <mergeCell ref="J31:J37"/>
    <mergeCell ref="M31:M37"/>
    <mergeCell ref="L31:L37"/>
    <mergeCell ref="K31:K37"/>
    <mergeCell ref="P31:P37"/>
    <mergeCell ref="I31:I37"/>
    <mergeCell ref="S31:S37"/>
    <mergeCell ref="W31:W37"/>
    <mergeCell ref="X31:X37"/>
    <mergeCell ref="F31:F37"/>
    <mergeCell ref="G31:G37"/>
    <mergeCell ref="H31:H37"/>
    <mergeCell ref="Q31:Q37"/>
    <mergeCell ref="N31:N37"/>
    <mergeCell ref="O31:O37"/>
    <mergeCell ref="B38:B59"/>
    <mergeCell ref="H38:H45"/>
    <mergeCell ref="C16:C17"/>
    <mergeCell ref="C18:C19"/>
    <mergeCell ref="C20:C21"/>
    <mergeCell ref="C27:C29"/>
    <mergeCell ref="A12:AB12"/>
    <mergeCell ref="A14:M14"/>
    <mergeCell ref="N14:P14"/>
    <mergeCell ref="Q14:AC14"/>
    <mergeCell ref="A16:A37"/>
    <mergeCell ref="B16:B29"/>
    <mergeCell ref="D16:D22"/>
    <mergeCell ref="E16:E22"/>
    <mergeCell ref="F16:F22"/>
    <mergeCell ref="E31:E37"/>
    <mergeCell ref="D31:D37"/>
    <mergeCell ref="G16:G22"/>
    <mergeCell ref="D23:D25"/>
    <mergeCell ref="AC31:AC37"/>
    <mergeCell ref="C23:C25"/>
    <mergeCell ref="Y31:Y37"/>
    <mergeCell ref="Z31:Z37"/>
    <mergeCell ref="AA31:AA37"/>
    <mergeCell ref="AB31:AB37"/>
    <mergeCell ref="E23:E25"/>
  </mergeCells>
  <pageMargins left="0.70866141732283472" right="0.70866141732283472" top="0.31496062992125984" bottom="0.23622047244094491" header="0.31496062992125984" footer="0.31496062992125984"/>
  <pageSetup paperSize="8" scale="38" fitToHeight="0" orientation="landscape" r:id="rId1"/>
  <rowBreaks count="2" manualBreakCount="2">
    <brk id="35" max="28" man="1"/>
    <brk id="58"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2:CD99"/>
  <sheetViews>
    <sheetView topLeftCell="C82" workbookViewId="0">
      <selection activeCell="F97" sqref="F97"/>
    </sheetView>
  </sheetViews>
  <sheetFormatPr baseColWidth="10" defaultRowHeight="15"/>
  <cols>
    <col min="1" max="1" width="6" style="569" customWidth="1"/>
    <col min="2" max="2" width="30.85546875" style="570" customWidth="1"/>
    <col min="3" max="3" width="18.5703125" style="570" customWidth="1"/>
    <col min="4" max="4" width="15.7109375" style="570" customWidth="1"/>
    <col min="5" max="5" width="11.7109375" style="570" customWidth="1"/>
    <col min="6" max="6" width="10.42578125" style="570" customWidth="1"/>
    <col min="7" max="7" width="13.85546875" style="570" customWidth="1"/>
    <col min="8" max="8" width="11.42578125" style="571" customWidth="1"/>
    <col min="9" max="9" width="10.85546875" style="570" customWidth="1"/>
    <col min="10" max="10" width="10" style="570" customWidth="1"/>
    <col min="11" max="11" width="9.5703125" style="572" customWidth="1"/>
    <col min="12" max="12" width="10.140625" style="570" customWidth="1"/>
    <col min="13" max="13" width="11" style="570" customWidth="1"/>
    <col min="14" max="14" width="9.5703125" style="570" customWidth="1"/>
    <col min="15" max="15" width="12.28515625" style="570" customWidth="1"/>
    <col min="16" max="16" width="11.42578125" style="556"/>
    <col min="17" max="17" width="11.42578125" style="556" customWidth="1"/>
    <col min="18" max="16384" width="11.42578125" style="556"/>
  </cols>
  <sheetData>
    <row r="2" spans="1:52" ht="15" customHeight="1">
      <c r="A2" s="841" t="s">
        <v>1140</v>
      </c>
      <c r="B2" s="841"/>
      <c r="C2" s="841"/>
      <c r="D2" s="841"/>
      <c r="E2" s="841"/>
      <c r="F2" s="841"/>
      <c r="G2" s="841"/>
      <c r="H2" s="841"/>
      <c r="I2" s="841"/>
      <c r="J2" s="841"/>
      <c r="K2" s="841"/>
      <c r="L2" s="841"/>
      <c r="M2" s="841"/>
      <c r="N2" s="841"/>
      <c r="O2" s="841"/>
    </row>
    <row r="3" spans="1:52" ht="15" customHeight="1">
      <c r="A3" s="842" t="s">
        <v>102</v>
      </c>
      <c r="B3" s="830"/>
      <c r="C3" s="830"/>
      <c r="D3" s="830"/>
      <c r="E3" s="830"/>
      <c r="F3" s="830"/>
      <c r="G3" s="830"/>
      <c r="H3" s="830"/>
      <c r="I3" s="830"/>
      <c r="J3" s="830"/>
      <c r="K3" s="830"/>
      <c r="L3" s="830"/>
      <c r="M3" s="830"/>
      <c r="N3" s="830"/>
      <c r="O3" s="843"/>
    </row>
    <row r="4" spans="1:52" ht="15" customHeight="1">
      <c r="A4" s="842" t="s">
        <v>103</v>
      </c>
      <c r="B4" s="830"/>
      <c r="C4" s="830"/>
      <c r="D4" s="830"/>
      <c r="E4" s="830"/>
      <c r="F4" s="830"/>
      <c r="G4" s="830"/>
      <c r="H4" s="830"/>
      <c r="I4" s="830"/>
      <c r="J4" s="830"/>
      <c r="K4" s="830"/>
      <c r="L4" s="830"/>
      <c r="M4" s="830"/>
      <c r="N4" s="830"/>
      <c r="O4" s="843"/>
    </row>
    <row r="5" spans="1:52" ht="72">
      <c r="A5" s="557" t="s">
        <v>104</v>
      </c>
      <c r="B5" s="558" t="s">
        <v>105</v>
      </c>
      <c r="C5" s="829" t="s">
        <v>106</v>
      </c>
      <c r="D5" s="830"/>
      <c r="E5" s="831"/>
      <c r="F5" s="558" t="s">
        <v>107</v>
      </c>
      <c r="G5" s="558" t="s">
        <v>108</v>
      </c>
      <c r="H5" s="558" t="s">
        <v>109</v>
      </c>
      <c r="I5" s="558" t="s">
        <v>110</v>
      </c>
      <c r="J5" s="558" t="s">
        <v>111</v>
      </c>
      <c r="K5" s="559" t="s">
        <v>112</v>
      </c>
      <c r="L5" s="558" t="s">
        <v>113</v>
      </c>
      <c r="M5" s="558" t="s">
        <v>114</v>
      </c>
      <c r="N5" s="558" t="s">
        <v>115</v>
      </c>
      <c r="O5" s="560" t="s">
        <v>116</v>
      </c>
    </row>
    <row r="6" spans="1:52" ht="15" customHeight="1">
      <c r="A6" s="832" t="s">
        <v>59</v>
      </c>
      <c r="B6" s="833"/>
      <c r="C6" s="833"/>
      <c r="D6" s="833"/>
      <c r="E6" s="833"/>
      <c r="F6" s="833"/>
      <c r="G6" s="833"/>
      <c r="H6" s="833"/>
      <c r="I6" s="833"/>
      <c r="J6" s="833"/>
      <c r="K6" s="833"/>
      <c r="L6" s="833"/>
      <c r="M6" s="833"/>
      <c r="N6" s="833"/>
      <c r="O6" s="834"/>
    </row>
    <row r="7" spans="1:52" ht="36">
      <c r="A7" s="56">
        <v>1</v>
      </c>
      <c r="B7" s="525" t="s">
        <v>118</v>
      </c>
      <c r="C7" s="525" t="s">
        <v>119</v>
      </c>
      <c r="D7" s="525" t="s">
        <v>117</v>
      </c>
      <c r="E7" s="561" t="s">
        <v>120</v>
      </c>
      <c r="F7" s="525">
        <v>615</v>
      </c>
      <c r="G7" s="525">
        <v>12</v>
      </c>
      <c r="H7" s="525">
        <f>F7*G7</f>
        <v>7380</v>
      </c>
      <c r="I7" s="525">
        <f>H7*11.15%</f>
        <v>822.87</v>
      </c>
      <c r="J7" s="525">
        <f>H7*1%</f>
        <v>73.8</v>
      </c>
      <c r="K7" s="526">
        <f>+H7*8.33%</f>
        <v>614.75400000000002</v>
      </c>
      <c r="L7" s="525">
        <f>+H7/12</f>
        <v>615</v>
      </c>
      <c r="M7" s="526">
        <v>0</v>
      </c>
      <c r="N7" s="525">
        <v>354</v>
      </c>
      <c r="O7" s="57">
        <f>SUM(H7:N7)</f>
        <v>9860.4240000000009</v>
      </c>
    </row>
    <row r="8" spans="1:52" ht="36">
      <c r="A8" s="56">
        <f>+A7+1</f>
        <v>2</v>
      </c>
      <c r="B8" s="525" t="s">
        <v>121</v>
      </c>
      <c r="C8" s="525" t="s">
        <v>119</v>
      </c>
      <c r="D8" s="525" t="s">
        <v>117</v>
      </c>
      <c r="E8" s="561" t="s">
        <v>120</v>
      </c>
      <c r="F8" s="525">
        <v>598</v>
      </c>
      <c r="G8" s="525">
        <v>12</v>
      </c>
      <c r="H8" s="525">
        <f t="shared" ref="H8:H16" si="0">F8*G8</f>
        <v>7176</v>
      </c>
      <c r="I8" s="525">
        <f t="shared" ref="I8:I16" si="1">H8*11.15%</f>
        <v>800.12400000000002</v>
      </c>
      <c r="J8" s="525">
        <f t="shared" ref="J8:J16" si="2">H8*1%</f>
        <v>71.760000000000005</v>
      </c>
      <c r="K8" s="526">
        <f t="shared" ref="K8:K16" si="3">+H8*8.33%</f>
        <v>597.76080000000002</v>
      </c>
      <c r="L8" s="525">
        <f t="shared" ref="L8:L16" si="4">+H8/12</f>
        <v>598</v>
      </c>
      <c r="M8" s="526">
        <v>0</v>
      </c>
      <c r="N8" s="525">
        <v>354</v>
      </c>
      <c r="O8" s="57">
        <f t="shared" ref="O8:O16" si="5">SUM(H8:N8)</f>
        <v>9597.6448</v>
      </c>
    </row>
    <row r="9" spans="1:52" ht="36">
      <c r="A9" s="56">
        <f t="shared" ref="A9:A12" si="6">+A8+1</f>
        <v>3</v>
      </c>
      <c r="B9" s="525" t="s">
        <v>122</v>
      </c>
      <c r="C9" s="525" t="s">
        <v>123</v>
      </c>
      <c r="D9" s="525" t="s">
        <v>117</v>
      </c>
      <c r="E9" s="561" t="s">
        <v>120</v>
      </c>
      <c r="F9" s="525">
        <v>598</v>
      </c>
      <c r="G9" s="525">
        <v>12</v>
      </c>
      <c r="H9" s="525">
        <f t="shared" si="0"/>
        <v>7176</v>
      </c>
      <c r="I9" s="525">
        <f t="shared" si="1"/>
        <v>800.12400000000002</v>
      </c>
      <c r="J9" s="525">
        <f t="shared" si="2"/>
        <v>71.760000000000005</v>
      </c>
      <c r="K9" s="526">
        <f t="shared" si="3"/>
        <v>597.76080000000002</v>
      </c>
      <c r="L9" s="525">
        <f t="shared" si="4"/>
        <v>598</v>
      </c>
      <c r="M9" s="526">
        <v>0</v>
      </c>
      <c r="N9" s="525">
        <v>354</v>
      </c>
      <c r="O9" s="57">
        <f t="shared" si="5"/>
        <v>9597.6448</v>
      </c>
    </row>
    <row r="10" spans="1:52" ht="36">
      <c r="A10" s="56">
        <f t="shared" si="6"/>
        <v>4</v>
      </c>
      <c r="B10" s="525" t="s">
        <v>124</v>
      </c>
      <c r="C10" s="525" t="s">
        <v>123</v>
      </c>
      <c r="D10" s="525" t="s">
        <v>117</v>
      </c>
      <c r="E10" s="561" t="s">
        <v>120</v>
      </c>
      <c r="F10" s="525">
        <v>598</v>
      </c>
      <c r="G10" s="525">
        <v>12</v>
      </c>
      <c r="H10" s="525">
        <f t="shared" si="0"/>
        <v>7176</v>
      </c>
      <c r="I10" s="525">
        <f t="shared" si="1"/>
        <v>800.12400000000002</v>
      </c>
      <c r="J10" s="525">
        <f t="shared" si="2"/>
        <v>71.760000000000005</v>
      </c>
      <c r="K10" s="526">
        <f t="shared" si="3"/>
        <v>597.76080000000002</v>
      </c>
      <c r="L10" s="525">
        <f t="shared" si="4"/>
        <v>598</v>
      </c>
      <c r="M10" s="526">
        <v>0</v>
      </c>
      <c r="N10" s="525">
        <v>354</v>
      </c>
      <c r="O10" s="57">
        <f t="shared" si="5"/>
        <v>9597.6448</v>
      </c>
    </row>
    <row r="11" spans="1:52" ht="36">
      <c r="A11" s="56">
        <f t="shared" si="6"/>
        <v>5</v>
      </c>
      <c r="B11" s="525" t="s">
        <v>125</v>
      </c>
      <c r="C11" s="525" t="s">
        <v>119</v>
      </c>
      <c r="D11" s="525" t="s">
        <v>117</v>
      </c>
      <c r="E11" s="561" t="s">
        <v>120</v>
      </c>
      <c r="F11" s="525">
        <v>598</v>
      </c>
      <c r="G11" s="525">
        <v>12</v>
      </c>
      <c r="H11" s="525">
        <f t="shared" si="0"/>
        <v>7176</v>
      </c>
      <c r="I11" s="525">
        <f t="shared" si="1"/>
        <v>800.12400000000002</v>
      </c>
      <c r="J11" s="525">
        <f t="shared" si="2"/>
        <v>71.760000000000005</v>
      </c>
      <c r="K11" s="526">
        <f t="shared" si="3"/>
        <v>597.76080000000002</v>
      </c>
      <c r="L11" s="525">
        <f t="shared" si="4"/>
        <v>598</v>
      </c>
      <c r="M11" s="526">
        <v>0</v>
      </c>
      <c r="N11" s="525">
        <v>354</v>
      </c>
      <c r="O11" s="57">
        <f t="shared" si="5"/>
        <v>9597.6448</v>
      </c>
    </row>
    <row r="12" spans="1:52" ht="24">
      <c r="A12" s="56">
        <f t="shared" si="6"/>
        <v>6</v>
      </c>
      <c r="B12" s="525" t="s">
        <v>129</v>
      </c>
      <c r="C12" s="525" t="s">
        <v>130</v>
      </c>
      <c r="D12" s="525" t="s">
        <v>128</v>
      </c>
      <c r="E12" s="561" t="s">
        <v>120</v>
      </c>
      <c r="F12" s="525">
        <v>581</v>
      </c>
      <c r="G12" s="525">
        <v>12</v>
      </c>
      <c r="H12" s="525">
        <f>F12*G12</f>
        <v>6972</v>
      </c>
      <c r="I12" s="525">
        <f>H12*11.15%</f>
        <v>777.37800000000004</v>
      </c>
      <c r="J12" s="525">
        <f>H12*1%</f>
        <v>69.72</v>
      </c>
      <c r="K12" s="526">
        <f>+H12*8.33%</f>
        <v>580.76760000000002</v>
      </c>
      <c r="L12" s="525">
        <f>+H12/12</f>
        <v>581</v>
      </c>
      <c r="M12" s="526">
        <v>0</v>
      </c>
      <c r="N12" s="525">
        <v>354</v>
      </c>
      <c r="O12" s="57">
        <f>SUM(H12:N12)</f>
        <v>9334.8655999999992</v>
      </c>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2"/>
      <c r="AY12" s="562"/>
      <c r="AZ12" s="562"/>
    </row>
    <row r="13" spans="1:52" s="5" customFormat="1">
      <c r="A13" s="557">
        <v>6</v>
      </c>
      <c r="B13" s="829" t="s">
        <v>101</v>
      </c>
      <c r="C13" s="830"/>
      <c r="D13" s="830"/>
      <c r="E13" s="830"/>
      <c r="F13" s="830"/>
      <c r="G13" s="831"/>
      <c r="H13" s="558">
        <f>SUM(H7:H12)</f>
        <v>43056</v>
      </c>
      <c r="I13" s="558">
        <f>H13*11.15%</f>
        <v>4800.7439999999997</v>
      </c>
      <c r="J13" s="558">
        <f>H13*1%</f>
        <v>430.56</v>
      </c>
      <c r="K13" s="559">
        <f>+H13*8.33%</f>
        <v>3586.5648000000001</v>
      </c>
      <c r="L13" s="558">
        <f>+H13/12</f>
        <v>3588</v>
      </c>
      <c r="M13" s="559">
        <f>SUM(M7:M12)</f>
        <v>0</v>
      </c>
      <c r="N13" s="558">
        <f>SUM(N7:N12)</f>
        <v>2124</v>
      </c>
      <c r="O13" s="560">
        <f>SUM(O7:O12)</f>
        <v>57585.868800000004</v>
      </c>
      <c r="P13" s="556"/>
      <c r="Q13" s="556"/>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row>
    <row r="14" spans="1:52" ht="15" customHeight="1">
      <c r="A14" s="832" t="s">
        <v>251</v>
      </c>
      <c r="B14" s="833"/>
      <c r="C14" s="833"/>
      <c r="D14" s="833"/>
      <c r="E14" s="833"/>
      <c r="F14" s="833"/>
      <c r="G14" s="833"/>
      <c r="H14" s="833"/>
      <c r="I14" s="833"/>
      <c r="J14" s="833"/>
      <c r="K14" s="833"/>
      <c r="L14" s="833"/>
      <c r="M14" s="833"/>
      <c r="N14" s="833"/>
      <c r="O14" s="834"/>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562"/>
      <c r="AY14" s="562"/>
      <c r="AZ14" s="562"/>
    </row>
    <row r="15" spans="1:52" ht="36">
      <c r="A15" s="56">
        <v>1</v>
      </c>
      <c r="B15" s="525" t="s">
        <v>126</v>
      </c>
      <c r="C15" s="525" t="s">
        <v>127</v>
      </c>
      <c r="D15" s="525" t="s">
        <v>117</v>
      </c>
      <c r="E15" s="525" t="s">
        <v>214</v>
      </c>
      <c r="F15" s="525">
        <v>738</v>
      </c>
      <c r="G15" s="525">
        <v>12</v>
      </c>
      <c r="H15" s="525">
        <f t="shared" si="0"/>
        <v>8856</v>
      </c>
      <c r="I15" s="525">
        <f t="shared" si="1"/>
        <v>987.44399999999996</v>
      </c>
      <c r="J15" s="525">
        <f t="shared" si="2"/>
        <v>88.56</v>
      </c>
      <c r="K15" s="526">
        <f t="shared" si="3"/>
        <v>737.70479999999998</v>
      </c>
      <c r="L15" s="525">
        <f t="shared" si="4"/>
        <v>738</v>
      </c>
      <c r="M15" s="525">
        <f>H15/24</f>
        <v>369</v>
      </c>
      <c r="N15" s="525">
        <v>354</v>
      </c>
      <c r="O15" s="57">
        <f t="shared" si="5"/>
        <v>12130.708799999999</v>
      </c>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row>
    <row r="16" spans="1:52" ht="24">
      <c r="A16" s="563">
        <v>2</v>
      </c>
      <c r="B16" s="525" t="s">
        <v>131</v>
      </c>
      <c r="C16" s="564" t="s">
        <v>132</v>
      </c>
      <c r="D16" s="564" t="s">
        <v>252</v>
      </c>
      <c r="E16" s="525" t="s">
        <v>214</v>
      </c>
      <c r="F16" s="525">
        <v>565</v>
      </c>
      <c r="G16" s="525">
        <v>12</v>
      </c>
      <c r="H16" s="525">
        <f t="shared" si="0"/>
        <v>6780</v>
      </c>
      <c r="I16" s="525">
        <f t="shared" si="1"/>
        <v>755.97</v>
      </c>
      <c r="J16" s="525">
        <f t="shared" si="2"/>
        <v>67.8</v>
      </c>
      <c r="K16" s="526">
        <f t="shared" si="3"/>
        <v>564.774</v>
      </c>
      <c r="L16" s="525">
        <f t="shared" si="4"/>
        <v>565</v>
      </c>
      <c r="M16" s="525">
        <f t="shared" ref="M16" si="7">H16/24</f>
        <v>282.5</v>
      </c>
      <c r="N16" s="525">
        <v>354</v>
      </c>
      <c r="O16" s="57">
        <f t="shared" si="5"/>
        <v>9370.0440000000017</v>
      </c>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c r="AX16" s="562"/>
      <c r="AY16" s="562"/>
      <c r="AZ16" s="562"/>
    </row>
    <row r="17" spans="1:52">
      <c r="A17" s="565">
        <v>2</v>
      </c>
      <c r="B17" s="829" t="s">
        <v>101</v>
      </c>
      <c r="C17" s="830"/>
      <c r="D17" s="830"/>
      <c r="E17" s="830"/>
      <c r="F17" s="830"/>
      <c r="G17" s="831"/>
      <c r="H17" s="558">
        <f t="shared" ref="H17:O17" si="8">SUM(H15:H16)</f>
        <v>15636</v>
      </c>
      <c r="I17" s="558">
        <f t="shared" si="8"/>
        <v>1743.414</v>
      </c>
      <c r="J17" s="558">
        <f t="shared" si="8"/>
        <v>156.36000000000001</v>
      </c>
      <c r="K17" s="559">
        <f t="shared" si="8"/>
        <v>1302.4787999999999</v>
      </c>
      <c r="L17" s="558">
        <f t="shared" si="8"/>
        <v>1303</v>
      </c>
      <c r="M17" s="558">
        <f t="shared" si="8"/>
        <v>651.5</v>
      </c>
      <c r="N17" s="558">
        <f t="shared" si="8"/>
        <v>708</v>
      </c>
      <c r="O17" s="558">
        <f t="shared" si="8"/>
        <v>21500.752800000002</v>
      </c>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c r="AT17" s="562"/>
      <c r="AU17" s="562"/>
      <c r="AV17" s="562"/>
      <c r="AW17" s="562"/>
      <c r="AX17" s="562"/>
      <c r="AY17" s="562"/>
      <c r="AZ17" s="562"/>
    </row>
    <row r="18" spans="1:52" ht="22.5" customHeight="1">
      <c r="A18" s="566"/>
      <c r="B18" s="567"/>
      <c r="C18" s="567"/>
      <c r="D18" s="567"/>
      <c r="E18" s="567"/>
      <c r="F18" s="567"/>
      <c r="G18" s="567"/>
      <c r="H18" s="567"/>
      <c r="I18" s="567"/>
      <c r="J18" s="567"/>
      <c r="K18" s="568"/>
      <c r="L18" s="567"/>
      <c r="M18" s="567"/>
      <c r="N18" s="567"/>
      <c r="O18" s="567"/>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2"/>
      <c r="AU18" s="562"/>
      <c r="AV18" s="562"/>
      <c r="AW18" s="562"/>
      <c r="AX18" s="562"/>
      <c r="AY18" s="562"/>
      <c r="AZ18" s="562"/>
    </row>
    <row r="19" spans="1:52" ht="22.5" customHeight="1">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2"/>
      <c r="AT19" s="562"/>
      <c r="AU19" s="562"/>
      <c r="AV19" s="562"/>
      <c r="AW19" s="562"/>
      <c r="AX19" s="562"/>
      <c r="AY19" s="562"/>
      <c r="AZ19" s="562"/>
    </row>
    <row r="20" spans="1:52" ht="15" customHeight="1">
      <c r="A20" s="829" t="s">
        <v>133</v>
      </c>
      <c r="B20" s="830"/>
      <c r="C20" s="830"/>
      <c r="D20" s="830"/>
      <c r="E20" s="830"/>
      <c r="F20" s="830"/>
      <c r="G20" s="830"/>
      <c r="H20" s="830"/>
      <c r="I20" s="830"/>
      <c r="J20" s="830"/>
      <c r="K20" s="830"/>
      <c r="L20" s="830"/>
      <c r="M20" s="830"/>
      <c r="N20" s="830"/>
      <c r="O20" s="831"/>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row>
    <row r="21" spans="1:52" ht="15" customHeight="1">
      <c r="A21" s="829" t="s">
        <v>102</v>
      </c>
      <c r="B21" s="830"/>
      <c r="C21" s="830"/>
      <c r="D21" s="830"/>
      <c r="E21" s="830"/>
      <c r="F21" s="830"/>
      <c r="G21" s="830"/>
      <c r="H21" s="830"/>
      <c r="I21" s="830"/>
      <c r="J21" s="830"/>
      <c r="K21" s="830"/>
      <c r="L21" s="830"/>
      <c r="M21" s="830"/>
      <c r="N21" s="830"/>
      <c r="O21" s="831"/>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2"/>
      <c r="AZ21" s="562"/>
    </row>
    <row r="22" spans="1:52" ht="15" customHeight="1">
      <c r="A22" s="829" t="s">
        <v>103</v>
      </c>
      <c r="B22" s="830"/>
      <c r="C22" s="830"/>
      <c r="D22" s="830"/>
      <c r="E22" s="830"/>
      <c r="F22" s="830"/>
      <c r="G22" s="830"/>
      <c r="H22" s="830"/>
      <c r="I22" s="830"/>
      <c r="J22" s="830"/>
      <c r="K22" s="830"/>
      <c r="L22" s="830"/>
      <c r="M22" s="830"/>
      <c r="N22" s="830"/>
      <c r="O22" s="831"/>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row>
    <row r="23" spans="1:52" ht="60">
      <c r="A23" s="573" t="s">
        <v>104</v>
      </c>
      <c r="B23" s="558" t="s">
        <v>105</v>
      </c>
      <c r="C23" s="829" t="s">
        <v>106</v>
      </c>
      <c r="D23" s="831"/>
      <c r="E23" s="558" t="s">
        <v>134</v>
      </c>
      <c r="F23" s="558" t="s">
        <v>135</v>
      </c>
      <c r="G23" s="558" t="s">
        <v>108</v>
      </c>
      <c r="H23" s="558" t="s">
        <v>109</v>
      </c>
      <c r="I23" s="558" t="s">
        <v>110</v>
      </c>
      <c r="J23" s="558" t="s">
        <v>136</v>
      </c>
      <c r="K23" s="559" t="s">
        <v>112</v>
      </c>
      <c r="L23" s="558" t="s">
        <v>137</v>
      </c>
      <c r="M23" s="558" t="s">
        <v>114</v>
      </c>
      <c r="N23" s="558" t="s">
        <v>138</v>
      </c>
      <c r="O23" s="558" t="s">
        <v>116</v>
      </c>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row>
    <row r="24" spans="1:52" ht="15" customHeight="1">
      <c r="A24" s="835" t="s">
        <v>253</v>
      </c>
      <c r="B24" s="833"/>
      <c r="C24" s="833"/>
      <c r="D24" s="833"/>
      <c r="E24" s="833"/>
      <c r="F24" s="833"/>
      <c r="G24" s="833"/>
      <c r="H24" s="833"/>
      <c r="I24" s="833"/>
      <c r="J24" s="833"/>
      <c r="K24" s="833"/>
      <c r="L24" s="833"/>
      <c r="M24" s="833"/>
      <c r="N24" s="833"/>
      <c r="O24" s="836"/>
      <c r="R24" s="562"/>
      <c r="S24" s="562"/>
      <c r="T24" s="562"/>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row>
    <row r="25" spans="1:52" ht="24">
      <c r="A25" s="565">
        <v>1</v>
      </c>
      <c r="B25" s="527" t="s">
        <v>140</v>
      </c>
      <c r="C25" s="525" t="s">
        <v>141</v>
      </c>
      <c r="D25" s="525" t="s">
        <v>139</v>
      </c>
      <c r="E25" s="525" t="s">
        <v>142</v>
      </c>
      <c r="F25" s="525">
        <v>3061</v>
      </c>
      <c r="G25" s="525">
        <v>12</v>
      </c>
      <c r="H25" s="525">
        <f t="shared" ref="H25:H29" si="9">G25*F25</f>
        <v>36732</v>
      </c>
      <c r="I25" s="525">
        <f t="shared" ref="I25" si="10">H25*11.15%</f>
        <v>4095.6179999999999</v>
      </c>
      <c r="J25" s="525">
        <f t="shared" ref="J25" si="11">H25*0.5%</f>
        <v>183.66</v>
      </c>
      <c r="K25" s="526">
        <f t="shared" ref="K25:K29" si="12">H25*8.33%</f>
        <v>3059.7755999999999</v>
      </c>
      <c r="L25" s="525">
        <f t="shared" ref="L25:L29" si="13">+H25/12</f>
        <v>3061</v>
      </c>
      <c r="M25" s="525">
        <f t="shared" ref="M25:M29" si="14">+H25/12</f>
        <v>3061</v>
      </c>
      <c r="N25" s="525">
        <v>354</v>
      </c>
      <c r="O25" s="525">
        <f>SUM(H25:N25)</f>
        <v>50547.053600000007</v>
      </c>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row>
    <row r="26" spans="1:52">
      <c r="A26" s="565">
        <f>+A25+1</f>
        <v>2</v>
      </c>
      <c r="B26" s="574" t="s">
        <v>165</v>
      </c>
      <c r="C26" s="525" t="s">
        <v>166</v>
      </c>
      <c r="D26" s="525" t="s">
        <v>128</v>
      </c>
      <c r="E26" s="525" t="s">
        <v>142</v>
      </c>
      <c r="F26" s="525">
        <v>2546</v>
      </c>
      <c r="G26" s="525">
        <v>12</v>
      </c>
      <c r="H26" s="525">
        <f t="shared" si="9"/>
        <v>30552</v>
      </c>
      <c r="I26" s="525">
        <f>H26*11.15%</f>
        <v>3406.5480000000002</v>
      </c>
      <c r="J26" s="525">
        <f>H26*0.5%</f>
        <v>152.76</v>
      </c>
      <c r="K26" s="526">
        <f t="shared" si="12"/>
        <v>2544.9816000000001</v>
      </c>
      <c r="L26" s="525">
        <f t="shared" si="13"/>
        <v>2546</v>
      </c>
      <c r="M26" s="525">
        <f t="shared" si="14"/>
        <v>2546</v>
      </c>
      <c r="N26" s="525">
        <v>354</v>
      </c>
      <c r="O26" s="525">
        <f t="shared" ref="O26:O29" si="15">SUM(H26:N26)</f>
        <v>42102.289600000004</v>
      </c>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row>
    <row r="27" spans="1:52" ht="36">
      <c r="A27" s="565">
        <f t="shared" ref="A27:A29" si="16">+A26+1</f>
        <v>3</v>
      </c>
      <c r="B27" s="527" t="s">
        <v>167</v>
      </c>
      <c r="C27" s="525" t="s">
        <v>168</v>
      </c>
      <c r="D27" s="525" t="s">
        <v>117</v>
      </c>
      <c r="E27" s="525" t="s">
        <v>142</v>
      </c>
      <c r="F27" s="525">
        <v>2048</v>
      </c>
      <c r="G27" s="525">
        <v>12</v>
      </c>
      <c r="H27" s="525">
        <f t="shared" si="9"/>
        <v>24576</v>
      </c>
      <c r="I27" s="525">
        <f>H27*11.15%</f>
        <v>2740.2240000000002</v>
      </c>
      <c r="J27" s="525">
        <f>H27*0.5%</f>
        <v>122.88</v>
      </c>
      <c r="K27" s="526">
        <f t="shared" si="12"/>
        <v>2047.1808000000001</v>
      </c>
      <c r="L27" s="525">
        <f t="shared" si="13"/>
        <v>2048</v>
      </c>
      <c r="M27" s="525">
        <f t="shared" si="14"/>
        <v>2048</v>
      </c>
      <c r="N27" s="525">
        <v>354</v>
      </c>
      <c r="O27" s="525">
        <f t="shared" si="15"/>
        <v>33936.284800000001</v>
      </c>
      <c r="R27" s="562"/>
      <c r="S27" s="562"/>
      <c r="T27" s="562"/>
      <c r="U27" s="562"/>
      <c r="V27" s="562"/>
      <c r="W27" s="562"/>
      <c r="X27" s="562"/>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2"/>
      <c r="AZ27" s="562"/>
    </row>
    <row r="28" spans="1:52" ht="24">
      <c r="A28" s="565">
        <f t="shared" si="16"/>
        <v>4</v>
      </c>
      <c r="B28" s="527" t="s">
        <v>182</v>
      </c>
      <c r="C28" s="525" t="s">
        <v>183</v>
      </c>
      <c r="D28" s="525" t="s">
        <v>252</v>
      </c>
      <c r="E28" s="525" t="s">
        <v>142</v>
      </c>
      <c r="F28" s="525">
        <v>2048</v>
      </c>
      <c r="G28" s="525">
        <v>12</v>
      </c>
      <c r="H28" s="525">
        <f t="shared" si="9"/>
        <v>24576</v>
      </c>
      <c r="I28" s="525">
        <f>H28*11.15%</f>
        <v>2740.2240000000002</v>
      </c>
      <c r="J28" s="525">
        <f>H28*0.5%</f>
        <v>122.88</v>
      </c>
      <c r="K28" s="526">
        <f t="shared" si="12"/>
        <v>2047.1808000000001</v>
      </c>
      <c r="L28" s="525">
        <f t="shared" si="13"/>
        <v>2048</v>
      </c>
      <c r="M28" s="525">
        <f t="shared" si="14"/>
        <v>2048</v>
      </c>
      <c r="N28" s="525">
        <v>354</v>
      </c>
      <c r="O28" s="525">
        <f t="shared" si="15"/>
        <v>33936.284800000001</v>
      </c>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row>
    <row r="29" spans="1:52" ht="36" customHeight="1">
      <c r="A29" s="565">
        <f t="shared" si="16"/>
        <v>5</v>
      </c>
      <c r="B29" s="527" t="s">
        <v>197</v>
      </c>
      <c r="C29" s="525" t="s">
        <v>198</v>
      </c>
      <c r="D29" s="525" t="s">
        <v>212</v>
      </c>
      <c r="E29" s="525" t="s">
        <v>142</v>
      </c>
      <c r="F29" s="525">
        <v>2048</v>
      </c>
      <c r="G29" s="525">
        <v>12</v>
      </c>
      <c r="H29" s="525">
        <f t="shared" si="9"/>
        <v>24576</v>
      </c>
      <c r="I29" s="525">
        <f>H29*11.15%</f>
        <v>2740.2240000000002</v>
      </c>
      <c r="J29" s="525">
        <f>H29*0.5%</f>
        <v>122.88</v>
      </c>
      <c r="K29" s="526">
        <f t="shared" si="12"/>
        <v>2047.1808000000001</v>
      </c>
      <c r="L29" s="525">
        <f t="shared" si="13"/>
        <v>2048</v>
      </c>
      <c r="M29" s="525">
        <f t="shared" si="14"/>
        <v>2048</v>
      </c>
      <c r="N29" s="525">
        <v>354</v>
      </c>
      <c r="O29" s="525">
        <f t="shared" si="15"/>
        <v>33936.284800000001</v>
      </c>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562"/>
      <c r="AU29" s="562"/>
      <c r="AV29" s="562"/>
      <c r="AW29" s="562"/>
      <c r="AX29" s="562"/>
      <c r="AY29" s="562"/>
      <c r="AZ29" s="562"/>
    </row>
    <row r="30" spans="1:52" s="5" customFormat="1" ht="16.5" customHeight="1">
      <c r="A30" s="573">
        <f>+A29</f>
        <v>5</v>
      </c>
      <c r="B30" s="829" t="s">
        <v>101</v>
      </c>
      <c r="C30" s="830"/>
      <c r="D30" s="830"/>
      <c r="E30" s="830"/>
      <c r="F30" s="830"/>
      <c r="G30" s="831"/>
      <c r="H30" s="558">
        <f t="shared" ref="H30:O30" si="17">SUM(H25:H29)</f>
        <v>141012</v>
      </c>
      <c r="I30" s="558">
        <f t="shared" si="17"/>
        <v>15722.838</v>
      </c>
      <c r="J30" s="558">
        <f t="shared" si="17"/>
        <v>705.06</v>
      </c>
      <c r="K30" s="558">
        <f t="shared" si="17"/>
        <v>11746.2996</v>
      </c>
      <c r="L30" s="558">
        <f t="shared" si="17"/>
        <v>11751</v>
      </c>
      <c r="M30" s="558">
        <f t="shared" si="17"/>
        <v>11751</v>
      </c>
      <c r="N30" s="558">
        <f t="shared" si="17"/>
        <v>1770</v>
      </c>
      <c r="O30" s="558">
        <f t="shared" si="17"/>
        <v>194458.19759999998</v>
      </c>
      <c r="P30" s="556"/>
      <c r="Q30" s="556"/>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1:52" ht="15.75" customHeight="1">
      <c r="A31" s="835" t="s">
        <v>254</v>
      </c>
      <c r="B31" s="833"/>
      <c r="C31" s="833"/>
      <c r="D31" s="833"/>
      <c r="E31" s="833"/>
      <c r="F31" s="833"/>
      <c r="G31" s="833"/>
      <c r="H31" s="833"/>
      <c r="I31" s="833"/>
      <c r="J31" s="833"/>
      <c r="K31" s="833"/>
      <c r="L31" s="833"/>
      <c r="M31" s="833"/>
      <c r="N31" s="833"/>
      <c r="O31" s="836"/>
      <c r="S31" s="562"/>
      <c r="T31" s="562"/>
      <c r="U31" s="562"/>
      <c r="V31" s="562"/>
      <c r="W31" s="562"/>
      <c r="X31" s="562"/>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2"/>
      <c r="AY31" s="562"/>
      <c r="AZ31" s="562"/>
    </row>
    <row r="32" spans="1:52" ht="44.25" customHeight="1">
      <c r="A32" s="565">
        <v>1</v>
      </c>
      <c r="B32" s="525" t="s">
        <v>143</v>
      </c>
      <c r="C32" s="525" t="s">
        <v>1071</v>
      </c>
      <c r="D32" s="525" t="s">
        <v>139</v>
      </c>
      <c r="E32" s="525" t="s">
        <v>145</v>
      </c>
      <c r="F32" s="525">
        <v>1285</v>
      </c>
      <c r="G32" s="525">
        <v>12</v>
      </c>
      <c r="H32" s="525">
        <f>G32*F32</f>
        <v>15420</v>
      </c>
      <c r="I32" s="525">
        <f>H32*11.15%</f>
        <v>1719.33</v>
      </c>
      <c r="J32" s="525">
        <f>H32*0.5%</f>
        <v>77.100000000000009</v>
      </c>
      <c r="K32" s="526">
        <f>H32*8.33%</f>
        <v>1284.4859999999999</v>
      </c>
      <c r="L32" s="525">
        <f>+H32/12</f>
        <v>1285</v>
      </c>
      <c r="M32" s="526">
        <v>0</v>
      </c>
      <c r="N32" s="525">
        <v>354</v>
      </c>
      <c r="O32" s="525">
        <f>SUM(H32:N32)</f>
        <v>20139.916000000001</v>
      </c>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2"/>
      <c r="AZ32" s="562"/>
    </row>
    <row r="33" spans="1:52" ht="36" customHeight="1">
      <c r="A33" s="565">
        <v>2</v>
      </c>
      <c r="B33" s="525" t="s">
        <v>157</v>
      </c>
      <c r="C33" s="525" t="s">
        <v>1072</v>
      </c>
      <c r="D33" s="525" t="s">
        <v>128</v>
      </c>
      <c r="E33" s="525" t="s">
        <v>148</v>
      </c>
      <c r="F33" s="525">
        <v>1611</v>
      </c>
      <c r="G33" s="525">
        <v>12</v>
      </c>
      <c r="H33" s="525">
        <f t="shared" ref="H33:H40" si="18">G33*F33</f>
        <v>19332</v>
      </c>
      <c r="I33" s="525">
        <f t="shared" ref="I33:I40" si="19">H33*11.15%</f>
        <v>2155.518</v>
      </c>
      <c r="J33" s="525">
        <f t="shared" ref="J33:J40" si="20">H33*0.5%</f>
        <v>96.66</v>
      </c>
      <c r="K33" s="526">
        <f t="shared" ref="K33:K40" si="21">H33*8.33%</f>
        <v>1610.3556000000001</v>
      </c>
      <c r="L33" s="525">
        <f t="shared" ref="L33:L40" si="22">+H33/12</f>
        <v>1611</v>
      </c>
      <c r="M33" s="526">
        <v>0</v>
      </c>
      <c r="N33" s="525">
        <v>354</v>
      </c>
      <c r="O33" s="525">
        <f t="shared" ref="O33:O40" si="23">SUM(H33:N33)</f>
        <v>25159.533599999999</v>
      </c>
      <c r="P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row>
    <row r="34" spans="1:52" ht="36">
      <c r="A34" s="565">
        <v>3</v>
      </c>
      <c r="B34" s="525" t="s">
        <v>169</v>
      </c>
      <c r="C34" s="525" t="s">
        <v>1073</v>
      </c>
      <c r="D34" s="525" t="s">
        <v>117</v>
      </c>
      <c r="E34" s="525" t="s">
        <v>171</v>
      </c>
      <c r="F34" s="525">
        <v>1016</v>
      </c>
      <c r="G34" s="525">
        <v>12</v>
      </c>
      <c r="H34" s="525">
        <f t="shared" si="18"/>
        <v>12192</v>
      </c>
      <c r="I34" s="525">
        <f t="shared" si="19"/>
        <v>1359.4080000000001</v>
      </c>
      <c r="J34" s="525">
        <f t="shared" si="20"/>
        <v>60.96</v>
      </c>
      <c r="K34" s="526">
        <f t="shared" si="21"/>
        <v>1015.5936</v>
      </c>
      <c r="L34" s="525">
        <f t="shared" si="22"/>
        <v>1016</v>
      </c>
      <c r="M34" s="526">
        <v>0</v>
      </c>
      <c r="N34" s="525">
        <v>354</v>
      </c>
      <c r="O34" s="525">
        <f t="shared" si="23"/>
        <v>15997.961599999999</v>
      </c>
      <c r="P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row>
    <row r="35" spans="1:52" ht="36" customHeight="1">
      <c r="A35" s="565">
        <v>4</v>
      </c>
      <c r="B35" s="525" t="s">
        <v>175</v>
      </c>
      <c r="C35" s="525" t="s">
        <v>1074</v>
      </c>
      <c r="D35" s="525" t="s">
        <v>117</v>
      </c>
      <c r="E35" s="525" t="s">
        <v>177</v>
      </c>
      <c r="F35" s="525">
        <v>1185</v>
      </c>
      <c r="G35" s="525">
        <v>12</v>
      </c>
      <c r="H35" s="525">
        <f t="shared" si="18"/>
        <v>14220</v>
      </c>
      <c r="I35" s="525">
        <f t="shared" si="19"/>
        <v>1585.53</v>
      </c>
      <c r="J35" s="525">
        <f t="shared" si="20"/>
        <v>71.100000000000009</v>
      </c>
      <c r="K35" s="526">
        <f t="shared" si="21"/>
        <v>1184.5260000000001</v>
      </c>
      <c r="L35" s="525">
        <f t="shared" si="22"/>
        <v>1185</v>
      </c>
      <c r="M35" s="526">
        <v>0</v>
      </c>
      <c r="N35" s="525">
        <v>354</v>
      </c>
      <c r="O35" s="525">
        <f t="shared" si="23"/>
        <v>18600.156000000003</v>
      </c>
      <c r="P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row>
    <row r="36" spans="1:52" ht="36">
      <c r="A36" s="565">
        <v>5</v>
      </c>
      <c r="B36" s="525" t="s">
        <v>180</v>
      </c>
      <c r="C36" s="525" t="s">
        <v>1075</v>
      </c>
      <c r="D36" s="525" t="s">
        <v>117</v>
      </c>
      <c r="E36" s="525" t="s">
        <v>179</v>
      </c>
      <c r="F36" s="525">
        <v>1411</v>
      </c>
      <c r="G36" s="525">
        <v>12</v>
      </c>
      <c r="H36" s="525">
        <f t="shared" si="18"/>
        <v>16932</v>
      </c>
      <c r="I36" s="525">
        <f t="shared" si="19"/>
        <v>1887.9180000000001</v>
      </c>
      <c r="J36" s="525">
        <f t="shared" si="20"/>
        <v>84.66</v>
      </c>
      <c r="K36" s="526">
        <f t="shared" si="21"/>
        <v>1410.4356</v>
      </c>
      <c r="L36" s="525">
        <f t="shared" si="22"/>
        <v>1411</v>
      </c>
      <c r="M36" s="526">
        <v>0</v>
      </c>
      <c r="N36" s="525">
        <v>354</v>
      </c>
      <c r="O36" s="525">
        <f t="shared" si="23"/>
        <v>22080.013600000002</v>
      </c>
      <c r="P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row>
    <row r="37" spans="1:52" ht="36">
      <c r="A37" s="565">
        <v>6</v>
      </c>
      <c r="B37" s="525"/>
      <c r="C37" s="525" t="s">
        <v>348</v>
      </c>
      <c r="D37" s="525" t="s">
        <v>117</v>
      </c>
      <c r="E37" s="525" t="s">
        <v>179</v>
      </c>
      <c r="F37" s="525">
        <v>1411</v>
      </c>
      <c r="G37" s="525">
        <v>12</v>
      </c>
      <c r="H37" s="525">
        <f t="shared" si="18"/>
        <v>16932</v>
      </c>
      <c r="I37" s="525">
        <f t="shared" si="19"/>
        <v>1887.9180000000001</v>
      </c>
      <c r="J37" s="525">
        <f t="shared" si="20"/>
        <v>84.66</v>
      </c>
      <c r="K37" s="526">
        <f t="shared" si="21"/>
        <v>1410.4356</v>
      </c>
      <c r="L37" s="525">
        <f t="shared" si="22"/>
        <v>1411</v>
      </c>
      <c r="M37" s="526">
        <v>0</v>
      </c>
      <c r="N37" s="525">
        <v>354</v>
      </c>
      <c r="O37" s="525">
        <f t="shared" si="23"/>
        <v>22080.013600000002</v>
      </c>
      <c r="P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row>
    <row r="38" spans="1:52" ht="24">
      <c r="A38" s="565">
        <v>7</v>
      </c>
      <c r="B38" s="525" t="s">
        <v>194</v>
      </c>
      <c r="C38" s="525" t="s">
        <v>1076</v>
      </c>
      <c r="D38" s="525" t="s">
        <v>252</v>
      </c>
      <c r="E38" s="525" t="s">
        <v>196</v>
      </c>
      <c r="F38" s="525">
        <v>1100</v>
      </c>
      <c r="G38" s="525">
        <v>12</v>
      </c>
      <c r="H38" s="525">
        <f t="shared" si="18"/>
        <v>13200</v>
      </c>
      <c r="I38" s="525">
        <f t="shared" si="19"/>
        <v>1471.8</v>
      </c>
      <c r="J38" s="525">
        <f t="shared" si="20"/>
        <v>66</v>
      </c>
      <c r="K38" s="526">
        <f t="shared" si="21"/>
        <v>1099.56</v>
      </c>
      <c r="L38" s="525">
        <f t="shared" si="22"/>
        <v>1100</v>
      </c>
      <c r="M38" s="526">
        <v>0</v>
      </c>
      <c r="N38" s="525">
        <v>354</v>
      </c>
      <c r="O38" s="525">
        <f t="shared" si="23"/>
        <v>17291.36</v>
      </c>
      <c r="P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562"/>
      <c r="AY38" s="562"/>
      <c r="AZ38" s="562"/>
    </row>
    <row r="39" spans="1:52" ht="35.25" customHeight="1">
      <c r="A39" s="565">
        <v>8</v>
      </c>
      <c r="B39" s="525" t="s">
        <v>186</v>
      </c>
      <c r="C39" s="525" t="s">
        <v>1077</v>
      </c>
      <c r="D39" s="525" t="s">
        <v>252</v>
      </c>
      <c r="E39" s="525" t="s">
        <v>148</v>
      </c>
      <c r="F39" s="525">
        <v>1611</v>
      </c>
      <c r="G39" s="525">
        <v>12</v>
      </c>
      <c r="H39" s="525">
        <f t="shared" si="18"/>
        <v>19332</v>
      </c>
      <c r="I39" s="525">
        <f t="shared" si="19"/>
        <v>2155.518</v>
      </c>
      <c r="J39" s="525">
        <f t="shared" si="20"/>
        <v>96.66</v>
      </c>
      <c r="K39" s="526">
        <f t="shared" si="21"/>
        <v>1610.3556000000001</v>
      </c>
      <c r="L39" s="525">
        <f t="shared" si="22"/>
        <v>1611</v>
      </c>
      <c r="M39" s="526">
        <v>0</v>
      </c>
      <c r="N39" s="525">
        <v>354</v>
      </c>
      <c r="O39" s="525">
        <f t="shared" si="23"/>
        <v>25159.533599999999</v>
      </c>
      <c r="P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row>
    <row r="40" spans="1:52" ht="36">
      <c r="A40" s="565">
        <v>9</v>
      </c>
      <c r="B40" s="525" t="s">
        <v>201</v>
      </c>
      <c r="C40" s="525" t="s">
        <v>1078</v>
      </c>
      <c r="D40" s="525" t="s">
        <v>212</v>
      </c>
      <c r="E40" s="525" t="s">
        <v>203</v>
      </c>
      <c r="F40" s="525">
        <v>1611</v>
      </c>
      <c r="G40" s="525">
        <v>12</v>
      </c>
      <c r="H40" s="525">
        <f t="shared" si="18"/>
        <v>19332</v>
      </c>
      <c r="I40" s="525">
        <f t="shared" si="19"/>
        <v>2155.518</v>
      </c>
      <c r="J40" s="525">
        <f t="shared" si="20"/>
        <v>96.66</v>
      </c>
      <c r="K40" s="526">
        <f t="shared" si="21"/>
        <v>1610.3556000000001</v>
      </c>
      <c r="L40" s="525">
        <f t="shared" si="22"/>
        <v>1611</v>
      </c>
      <c r="M40" s="526">
        <v>0</v>
      </c>
      <c r="N40" s="525">
        <v>354</v>
      </c>
      <c r="O40" s="525">
        <f t="shared" si="23"/>
        <v>25159.533599999999</v>
      </c>
      <c r="P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row>
    <row r="41" spans="1:52">
      <c r="A41" s="565">
        <f>+A40</f>
        <v>9</v>
      </c>
      <c r="B41" s="837" t="s">
        <v>101</v>
      </c>
      <c r="C41" s="838"/>
      <c r="D41" s="838"/>
      <c r="E41" s="838"/>
      <c r="F41" s="838"/>
      <c r="G41" s="839"/>
      <c r="H41" s="525">
        <f>SUM(H32:H40)</f>
        <v>146892</v>
      </c>
      <c r="I41" s="525">
        <f t="shared" ref="I41:O41" si="24">SUM(I32:I40)</f>
        <v>16378.457999999999</v>
      </c>
      <c r="J41" s="525">
        <f t="shared" si="24"/>
        <v>734.45999999999992</v>
      </c>
      <c r="K41" s="525">
        <f t="shared" si="24"/>
        <v>12236.1036</v>
      </c>
      <c r="L41" s="525">
        <f t="shared" si="24"/>
        <v>12241</v>
      </c>
      <c r="M41" s="526">
        <f t="shared" si="24"/>
        <v>0</v>
      </c>
      <c r="N41" s="525">
        <f t="shared" si="24"/>
        <v>3186</v>
      </c>
      <c r="O41" s="525">
        <f t="shared" si="24"/>
        <v>191668.02160000001</v>
      </c>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row>
    <row r="42" spans="1:52" ht="15" customHeight="1">
      <c r="A42" s="835" t="s">
        <v>1174</v>
      </c>
      <c r="B42" s="833"/>
      <c r="C42" s="833"/>
      <c r="D42" s="833"/>
      <c r="E42" s="833"/>
      <c r="F42" s="833"/>
      <c r="G42" s="833"/>
      <c r="H42" s="833"/>
      <c r="I42" s="833"/>
      <c r="J42" s="833"/>
      <c r="K42" s="833"/>
      <c r="L42" s="833"/>
      <c r="M42" s="833"/>
      <c r="N42" s="833"/>
      <c r="O42" s="836"/>
      <c r="P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562"/>
      <c r="AY42" s="562"/>
      <c r="AZ42" s="562"/>
    </row>
    <row r="43" spans="1:52" ht="24">
      <c r="A43" s="565">
        <v>1</v>
      </c>
      <c r="B43" s="525" t="s">
        <v>146</v>
      </c>
      <c r="C43" s="525" t="s">
        <v>1079</v>
      </c>
      <c r="D43" s="525" t="s">
        <v>139</v>
      </c>
      <c r="E43" s="525" t="s">
        <v>148</v>
      </c>
      <c r="F43" s="525">
        <v>1611</v>
      </c>
      <c r="G43" s="525">
        <v>12</v>
      </c>
      <c r="H43" s="525"/>
      <c r="I43" s="525"/>
      <c r="J43" s="525"/>
      <c r="K43" s="526"/>
      <c r="L43" s="525"/>
      <c r="M43" s="525"/>
      <c r="O43" s="525">
        <f>+F43*G43</f>
        <v>19332</v>
      </c>
      <c r="P43" s="575"/>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row>
    <row r="44" spans="1:52" ht="24">
      <c r="A44" s="565">
        <f>+A43+1</f>
        <v>2</v>
      </c>
      <c r="B44" s="525" t="s">
        <v>149</v>
      </c>
      <c r="C44" s="525" t="s">
        <v>1080</v>
      </c>
      <c r="D44" s="525" t="s">
        <v>139</v>
      </c>
      <c r="E44" s="525" t="s">
        <v>151</v>
      </c>
      <c r="F44" s="525">
        <v>643</v>
      </c>
      <c r="G44" s="525">
        <v>12</v>
      </c>
      <c r="H44" s="525">
        <f t="shared" ref="H44:H57" si="25">G44*F44</f>
        <v>7716</v>
      </c>
      <c r="I44" s="525">
        <f t="shared" ref="I44:I57" si="26">H44*11.15%</f>
        <v>860.33400000000006</v>
      </c>
      <c r="J44" s="525">
        <f t="shared" ref="J44:J57" si="27">H44*0.5%</f>
        <v>38.58</v>
      </c>
      <c r="K44" s="526">
        <f t="shared" ref="K44:K57" si="28">H44*8.33%</f>
        <v>642.74279999999999</v>
      </c>
      <c r="L44" s="525">
        <f t="shared" ref="L44:L57" si="29">+H44/12</f>
        <v>643</v>
      </c>
      <c r="M44" s="525">
        <f t="shared" ref="M44:M57" si="30">+H44/12</f>
        <v>643</v>
      </c>
      <c r="N44" s="525">
        <v>354</v>
      </c>
      <c r="O44" s="525">
        <f t="shared" ref="O44:O57" si="31">SUM(H44:N44)</f>
        <v>10897.656800000001</v>
      </c>
      <c r="P44" s="562"/>
      <c r="T44" s="562"/>
      <c r="U44" s="562"/>
      <c r="V44" s="562"/>
      <c r="W44" s="562"/>
      <c r="X44" s="562"/>
      <c r="Y44" s="562"/>
      <c r="Z44" s="562"/>
      <c r="AA44" s="562"/>
      <c r="AB44" s="562"/>
      <c r="AC44" s="562"/>
      <c r="AD44" s="562"/>
      <c r="AE44" s="562"/>
      <c r="AF44" s="562"/>
      <c r="AG44" s="562"/>
      <c r="AH44" s="562"/>
      <c r="AI44" s="562"/>
      <c r="AJ44" s="562"/>
      <c r="AK44" s="562"/>
      <c r="AL44" s="562"/>
      <c r="AM44" s="562"/>
      <c r="AN44" s="562"/>
      <c r="AO44" s="562"/>
      <c r="AP44" s="562"/>
      <c r="AQ44" s="562"/>
      <c r="AR44" s="562"/>
      <c r="AS44" s="562"/>
      <c r="AT44" s="562"/>
      <c r="AU44" s="562"/>
      <c r="AV44" s="562"/>
      <c r="AW44" s="562"/>
      <c r="AX44" s="562"/>
      <c r="AY44" s="562"/>
      <c r="AZ44" s="562"/>
    </row>
    <row r="45" spans="1:52" s="576" customFormat="1" ht="24">
      <c r="A45" s="565">
        <f t="shared" ref="A45:A57" si="32">+A44+1</f>
        <v>3</v>
      </c>
      <c r="B45" s="525" t="s">
        <v>347</v>
      </c>
      <c r="C45" s="525" t="s">
        <v>1081</v>
      </c>
      <c r="D45" s="525" t="s">
        <v>152</v>
      </c>
      <c r="E45" s="525" t="s">
        <v>151</v>
      </c>
      <c r="F45" s="525">
        <v>1100</v>
      </c>
      <c r="G45" s="525">
        <v>12</v>
      </c>
      <c r="H45" s="525">
        <f t="shared" si="25"/>
        <v>13200</v>
      </c>
      <c r="I45" s="525">
        <f t="shared" si="26"/>
        <v>1471.8</v>
      </c>
      <c r="J45" s="525">
        <f t="shared" si="27"/>
        <v>66</v>
      </c>
      <c r="K45" s="526">
        <f t="shared" si="28"/>
        <v>1099.56</v>
      </c>
      <c r="L45" s="525">
        <f t="shared" si="29"/>
        <v>1100</v>
      </c>
      <c r="M45" s="525">
        <f t="shared" si="30"/>
        <v>1100</v>
      </c>
      <c r="N45" s="525">
        <v>354</v>
      </c>
      <c r="O45" s="525">
        <f t="shared" si="31"/>
        <v>18391.36</v>
      </c>
      <c r="P45" s="562"/>
      <c r="Q45" s="556"/>
      <c r="R45" s="556"/>
      <c r="S45" s="556"/>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row>
    <row r="46" spans="1:52" ht="31.5" customHeight="1">
      <c r="A46" s="565">
        <f>+A45+1</f>
        <v>4</v>
      </c>
      <c r="B46" s="525" t="s">
        <v>154</v>
      </c>
      <c r="C46" s="525" t="s">
        <v>1082</v>
      </c>
      <c r="D46" s="525" t="s">
        <v>128</v>
      </c>
      <c r="E46" s="525" t="s">
        <v>145</v>
      </c>
      <c r="F46" s="525">
        <v>1285</v>
      </c>
      <c r="G46" s="525">
        <v>12</v>
      </c>
      <c r="H46" s="525">
        <f t="shared" si="25"/>
        <v>15420</v>
      </c>
      <c r="I46" s="525">
        <f t="shared" si="26"/>
        <v>1719.33</v>
      </c>
      <c r="J46" s="525">
        <f t="shared" si="27"/>
        <v>77.100000000000009</v>
      </c>
      <c r="K46" s="526">
        <f t="shared" si="28"/>
        <v>1284.4859999999999</v>
      </c>
      <c r="L46" s="525">
        <f t="shared" si="29"/>
        <v>1285</v>
      </c>
      <c r="M46" s="525">
        <f t="shared" si="30"/>
        <v>1285</v>
      </c>
      <c r="N46" s="525">
        <v>354</v>
      </c>
      <c r="O46" s="525">
        <f t="shared" si="31"/>
        <v>21424.916000000001</v>
      </c>
      <c r="P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row>
    <row r="47" spans="1:52" ht="37.5" customHeight="1">
      <c r="A47" s="565">
        <f t="shared" si="32"/>
        <v>5</v>
      </c>
      <c r="B47" s="525" t="s">
        <v>159</v>
      </c>
      <c r="C47" s="525" t="s">
        <v>1083</v>
      </c>
      <c r="D47" s="525" t="s">
        <v>128</v>
      </c>
      <c r="E47" s="525" t="s">
        <v>148</v>
      </c>
      <c r="F47" s="525">
        <f>+F43</f>
        <v>1611</v>
      </c>
      <c r="G47" s="525">
        <v>12</v>
      </c>
      <c r="H47" s="525"/>
      <c r="I47" s="525"/>
      <c r="J47" s="525"/>
      <c r="K47" s="526"/>
      <c r="L47" s="525"/>
      <c r="M47" s="525"/>
      <c r="N47" s="525"/>
      <c r="O47" s="525">
        <f>+F47*G47</f>
        <v>19332</v>
      </c>
      <c r="P47" s="575"/>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2"/>
    </row>
    <row r="48" spans="1:52" ht="30" customHeight="1">
      <c r="A48" s="565">
        <f t="shared" si="32"/>
        <v>6</v>
      </c>
      <c r="B48" s="525" t="s">
        <v>161</v>
      </c>
      <c r="C48" s="525" t="s">
        <v>1084</v>
      </c>
      <c r="D48" s="525" t="s">
        <v>128</v>
      </c>
      <c r="E48" s="525" t="s">
        <v>148</v>
      </c>
      <c r="F48" s="525">
        <f>+F43</f>
        <v>1611</v>
      </c>
      <c r="G48" s="525">
        <v>12</v>
      </c>
      <c r="H48" s="525"/>
      <c r="I48" s="525"/>
      <c r="J48" s="525"/>
      <c r="K48" s="526"/>
      <c r="L48" s="525"/>
      <c r="M48" s="525"/>
      <c r="N48" s="525"/>
      <c r="O48" s="525">
        <f t="shared" ref="O48:O55" si="33">+F48*G48</f>
        <v>19332</v>
      </c>
      <c r="P48" s="575"/>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AW48" s="562"/>
      <c r="AX48" s="562"/>
      <c r="AY48" s="562"/>
      <c r="AZ48" s="562"/>
    </row>
    <row r="49" spans="1:82" ht="31.5" customHeight="1">
      <c r="A49" s="565">
        <f t="shared" si="32"/>
        <v>7</v>
      </c>
      <c r="B49" s="525" t="s">
        <v>163</v>
      </c>
      <c r="C49" s="525" t="s">
        <v>1085</v>
      </c>
      <c r="D49" s="525" t="s">
        <v>128</v>
      </c>
      <c r="E49" s="525" t="s">
        <v>148</v>
      </c>
      <c r="F49" s="525">
        <f>+F43</f>
        <v>1611</v>
      </c>
      <c r="G49" s="525">
        <v>12</v>
      </c>
      <c r="H49" s="525"/>
      <c r="I49" s="525"/>
      <c r="J49" s="525"/>
      <c r="K49" s="526"/>
      <c r="L49" s="525"/>
      <c r="M49" s="525"/>
      <c r="N49" s="525"/>
      <c r="O49" s="525">
        <f t="shared" si="33"/>
        <v>19332</v>
      </c>
      <c r="P49" s="575"/>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2"/>
      <c r="AR49" s="562"/>
      <c r="AS49" s="562"/>
      <c r="AT49" s="562"/>
      <c r="AU49" s="562"/>
      <c r="AV49" s="562"/>
      <c r="AW49" s="562"/>
      <c r="AX49" s="562"/>
      <c r="AY49" s="562"/>
      <c r="AZ49" s="562"/>
    </row>
    <row r="50" spans="1:82" ht="36">
      <c r="A50" s="565">
        <f t="shared" si="32"/>
        <v>8</v>
      </c>
      <c r="B50" s="525" t="s">
        <v>204</v>
      </c>
      <c r="C50" s="525" t="s">
        <v>1086</v>
      </c>
      <c r="D50" s="525" t="s">
        <v>212</v>
      </c>
      <c r="E50" s="525" t="s">
        <v>148</v>
      </c>
      <c r="F50" s="525">
        <f>+F43</f>
        <v>1611</v>
      </c>
      <c r="G50" s="525">
        <v>12</v>
      </c>
      <c r="H50" s="525"/>
      <c r="I50" s="525"/>
      <c r="J50" s="525"/>
      <c r="K50" s="526"/>
      <c r="L50" s="525"/>
      <c r="M50" s="525"/>
      <c r="N50" s="525"/>
      <c r="O50" s="525">
        <f t="shared" si="33"/>
        <v>19332</v>
      </c>
      <c r="P50" s="575"/>
    </row>
    <row r="51" spans="1:82" ht="36">
      <c r="A51" s="565">
        <f t="shared" si="32"/>
        <v>9</v>
      </c>
      <c r="B51" s="525" t="s">
        <v>206</v>
      </c>
      <c r="C51" s="525" t="s">
        <v>1087</v>
      </c>
      <c r="D51" s="525" t="s">
        <v>212</v>
      </c>
      <c r="E51" s="525" t="s">
        <v>148</v>
      </c>
      <c r="F51" s="525">
        <f>+F43</f>
        <v>1611</v>
      </c>
      <c r="G51" s="525">
        <v>12</v>
      </c>
      <c r="H51" s="525"/>
      <c r="I51" s="525"/>
      <c r="J51" s="525"/>
      <c r="K51" s="526"/>
      <c r="L51" s="525"/>
      <c r="M51" s="525"/>
      <c r="N51" s="525"/>
      <c r="O51" s="525">
        <f t="shared" si="33"/>
        <v>19332</v>
      </c>
      <c r="P51" s="575"/>
    </row>
    <row r="52" spans="1:82" ht="36.75" customHeight="1">
      <c r="A52" s="565">
        <f t="shared" si="32"/>
        <v>10</v>
      </c>
      <c r="B52" s="525" t="s">
        <v>208</v>
      </c>
      <c r="C52" s="525" t="s">
        <v>1088</v>
      </c>
      <c r="D52" s="525" t="s">
        <v>212</v>
      </c>
      <c r="E52" s="525" t="s">
        <v>148</v>
      </c>
      <c r="F52" s="525">
        <f>+F43</f>
        <v>1611</v>
      </c>
      <c r="G52" s="525">
        <v>12</v>
      </c>
      <c r="H52" s="525"/>
      <c r="I52" s="525"/>
      <c r="J52" s="525"/>
      <c r="K52" s="526"/>
      <c r="L52" s="525"/>
      <c r="M52" s="525"/>
      <c r="N52" s="525"/>
      <c r="O52" s="525">
        <f t="shared" si="33"/>
        <v>19332</v>
      </c>
      <c r="P52" s="575"/>
    </row>
    <row r="53" spans="1:82" ht="36">
      <c r="A53" s="565">
        <f t="shared" si="32"/>
        <v>11</v>
      </c>
      <c r="B53" s="525" t="s">
        <v>199</v>
      </c>
      <c r="C53" s="525" t="s">
        <v>1089</v>
      </c>
      <c r="D53" s="525" t="s">
        <v>212</v>
      </c>
      <c r="E53" s="525" t="s">
        <v>156</v>
      </c>
      <c r="F53" s="525">
        <v>735</v>
      </c>
      <c r="G53" s="525">
        <v>12</v>
      </c>
      <c r="H53" s="525">
        <f t="shared" si="25"/>
        <v>8820</v>
      </c>
      <c r="I53" s="525">
        <f t="shared" si="26"/>
        <v>983.43000000000006</v>
      </c>
      <c r="J53" s="525">
        <f t="shared" si="27"/>
        <v>44.1</v>
      </c>
      <c r="K53" s="526">
        <f t="shared" si="28"/>
        <v>734.70600000000002</v>
      </c>
      <c r="L53" s="525">
        <f t="shared" si="29"/>
        <v>735</v>
      </c>
      <c r="M53" s="525">
        <f t="shared" si="30"/>
        <v>735</v>
      </c>
      <c r="N53" s="525">
        <v>354</v>
      </c>
      <c r="O53" s="525">
        <f t="shared" si="31"/>
        <v>12406.236000000001</v>
      </c>
    </row>
    <row r="54" spans="1:82" ht="24">
      <c r="A54" s="565">
        <f t="shared" si="32"/>
        <v>12</v>
      </c>
      <c r="B54" s="525" t="s">
        <v>188</v>
      </c>
      <c r="C54" s="525" t="s">
        <v>1090</v>
      </c>
      <c r="D54" s="525" t="s">
        <v>252</v>
      </c>
      <c r="E54" s="525" t="s">
        <v>145</v>
      </c>
      <c r="F54" s="525">
        <v>1417.68</v>
      </c>
      <c r="G54" s="525">
        <v>12</v>
      </c>
      <c r="H54" s="525"/>
      <c r="I54" s="525"/>
      <c r="J54" s="525"/>
      <c r="K54" s="526"/>
      <c r="L54" s="525"/>
      <c r="M54" s="525"/>
      <c r="N54" s="525"/>
      <c r="O54" s="525">
        <f t="shared" si="33"/>
        <v>17012.16</v>
      </c>
      <c r="P54" s="575"/>
    </row>
    <row r="55" spans="1:82" ht="24">
      <c r="A55" s="565">
        <f t="shared" si="32"/>
        <v>13</v>
      </c>
      <c r="B55" s="577" t="s">
        <v>190</v>
      </c>
      <c r="C55" s="525" t="s">
        <v>1078</v>
      </c>
      <c r="D55" s="525" t="s">
        <v>252</v>
      </c>
      <c r="E55" s="525" t="s">
        <v>148</v>
      </c>
      <c r="F55" s="525">
        <f>+F43</f>
        <v>1611</v>
      </c>
      <c r="G55" s="525">
        <v>12</v>
      </c>
      <c r="H55" s="525"/>
      <c r="I55" s="525"/>
      <c r="J55" s="525"/>
      <c r="K55" s="526"/>
      <c r="L55" s="525"/>
      <c r="M55" s="525"/>
      <c r="N55" s="525"/>
      <c r="O55" s="525">
        <f t="shared" si="33"/>
        <v>19332</v>
      </c>
      <c r="P55" s="575"/>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2"/>
      <c r="BJ55" s="562"/>
      <c r="BK55" s="562"/>
      <c r="BL55" s="562"/>
      <c r="BM55" s="562"/>
      <c r="BN55" s="562"/>
      <c r="BO55" s="562"/>
      <c r="BP55" s="562"/>
      <c r="BQ55" s="562"/>
      <c r="BR55" s="562"/>
      <c r="BS55" s="562"/>
      <c r="BT55" s="562"/>
      <c r="BU55" s="562"/>
      <c r="BV55" s="562"/>
      <c r="BW55" s="562"/>
      <c r="BX55" s="562"/>
      <c r="BY55" s="562"/>
      <c r="BZ55" s="562"/>
      <c r="CA55" s="562"/>
      <c r="CB55" s="562"/>
      <c r="CC55" s="562"/>
      <c r="CD55" s="562"/>
    </row>
    <row r="56" spans="1:82" ht="30" customHeight="1">
      <c r="A56" s="565">
        <f t="shared" si="32"/>
        <v>14</v>
      </c>
      <c r="B56" s="525" t="s">
        <v>184</v>
      </c>
      <c r="C56" s="525" t="s">
        <v>1091</v>
      </c>
      <c r="D56" s="525" t="s">
        <v>252</v>
      </c>
      <c r="E56" s="525" t="s">
        <v>156</v>
      </c>
      <c r="F56" s="525">
        <v>735</v>
      </c>
      <c r="G56" s="525">
        <v>12</v>
      </c>
      <c r="H56" s="525">
        <f t="shared" si="25"/>
        <v>8820</v>
      </c>
      <c r="I56" s="525">
        <f t="shared" si="26"/>
        <v>983.43000000000006</v>
      </c>
      <c r="J56" s="525">
        <f t="shared" si="27"/>
        <v>44.1</v>
      </c>
      <c r="K56" s="526">
        <f t="shared" si="28"/>
        <v>734.70600000000002</v>
      </c>
      <c r="L56" s="525">
        <f t="shared" si="29"/>
        <v>735</v>
      </c>
      <c r="M56" s="525">
        <f t="shared" si="30"/>
        <v>735</v>
      </c>
      <c r="N56" s="525">
        <v>354</v>
      </c>
      <c r="O56" s="525">
        <f t="shared" si="31"/>
        <v>12406.236000000001</v>
      </c>
      <c r="P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2"/>
      <c r="AZ56" s="562"/>
      <c r="BA56" s="562"/>
      <c r="BB56" s="562"/>
      <c r="BC56" s="562"/>
      <c r="BD56" s="562"/>
      <c r="BE56" s="562"/>
      <c r="BF56" s="562"/>
      <c r="BG56" s="562"/>
      <c r="BH56" s="562"/>
      <c r="BI56" s="562"/>
      <c r="BJ56" s="562"/>
      <c r="BK56" s="562"/>
      <c r="BL56" s="562"/>
      <c r="BM56" s="562"/>
      <c r="BN56" s="562"/>
      <c r="BO56" s="562"/>
      <c r="BP56" s="562"/>
      <c r="BQ56" s="562"/>
      <c r="BR56" s="562"/>
      <c r="BS56" s="562"/>
      <c r="BT56" s="562"/>
      <c r="BU56" s="562"/>
      <c r="BV56" s="562"/>
      <c r="BW56" s="562"/>
      <c r="BX56" s="562"/>
      <c r="BY56" s="562"/>
      <c r="BZ56" s="562"/>
      <c r="CA56" s="562"/>
      <c r="CB56" s="562"/>
      <c r="CC56" s="562"/>
      <c r="CD56" s="562"/>
    </row>
    <row r="57" spans="1:82" ht="34.5" customHeight="1">
      <c r="A57" s="565">
        <f t="shared" si="32"/>
        <v>15</v>
      </c>
      <c r="B57" s="525" t="s">
        <v>192</v>
      </c>
      <c r="C57" s="525" t="s">
        <v>1092</v>
      </c>
      <c r="D57" s="525" t="s">
        <v>252</v>
      </c>
      <c r="E57" s="525" t="s">
        <v>156</v>
      </c>
      <c r="F57" s="525">
        <v>735</v>
      </c>
      <c r="G57" s="525">
        <v>12</v>
      </c>
      <c r="H57" s="525">
        <f t="shared" si="25"/>
        <v>8820</v>
      </c>
      <c r="I57" s="525">
        <f t="shared" si="26"/>
        <v>983.43000000000006</v>
      </c>
      <c r="J57" s="525">
        <f t="shared" si="27"/>
        <v>44.1</v>
      </c>
      <c r="K57" s="526">
        <f t="shared" si="28"/>
        <v>734.70600000000002</v>
      </c>
      <c r="L57" s="525">
        <f t="shared" si="29"/>
        <v>735</v>
      </c>
      <c r="M57" s="525">
        <f t="shared" si="30"/>
        <v>735</v>
      </c>
      <c r="N57" s="525">
        <v>354</v>
      </c>
      <c r="O57" s="525">
        <f t="shared" si="31"/>
        <v>12406.236000000001</v>
      </c>
    </row>
    <row r="58" spans="1:82" ht="27.75" customHeight="1">
      <c r="A58" s="565">
        <f>+A57</f>
        <v>15</v>
      </c>
      <c r="B58" s="829" t="s">
        <v>101</v>
      </c>
      <c r="C58" s="830"/>
      <c r="D58" s="830"/>
      <c r="E58" s="830"/>
      <c r="F58" s="830"/>
      <c r="G58" s="831"/>
      <c r="H58" s="558">
        <f>SUM(H43:H57)</f>
        <v>62796</v>
      </c>
      <c r="I58" s="558">
        <f t="shared" ref="I58:M58" si="34">SUM(I43:I57)</f>
        <v>7001.7540000000008</v>
      </c>
      <c r="J58" s="558">
        <f t="shared" si="34"/>
        <v>313.98</v>
      </c>
      <c r="K58" s="558">
        <f t="shared" si="34"/>
        <v>5230.9067999999997</v>
      </c>
      <c r="L58" s="558">
        <f t="shared" si="34"/>
        <v>5233</v>
      </c>
      <c r="M58" s="558">
        <f t="shared" si="34"/>
        <v>5233</v>
      </c>
      <c r="N58" s="558">
        <f>SUM(N43:N57)</f>
        <v>2124</v>
      </c>
      <c r="O58" s="558">
        <f>SUM(O43:O57)</f>
        <v>259600.80080000003</v>
      </c>
    </row>
    <row r="59" spans="1:82">
      <c r="A59" s="566"/>
      <c r="B59" s="567"/>
      <c r="C59" s="567"/>
      <c r="D59" s="567"/>
      <c r="E59" s="567"/>
      <c r="F59" s="567"/>
      <c r="G59" s="567"/>
      <c r="H59" s="567"/>
      <c r="I59" s="567"/>
      <c r="J59" s="567"/>
      <c r="K59" s="568"/>
      <c r="L59" s="568"/>
      <c r="M59" s="567"/>
      <c r="N59" s="567"/>
      <c r="O59" s="567"/>
    </row>
    <row r="60" spans="1:82" ht="36.75" customHeight="1">
      <c r="A60" s="556"/>
      <c r="B60" s="556"/>
      <c r="C60" s="556"/>
      <c r="D60" s="556"/>
      <c r="E60" s="556"/>
      <c r="F60" s="556"/>
      <c r="G60" s="556"/>
      <c r="H60" s="556"/>
      <c r="I60" s="556"/>
      <c r="J60" s="556"/>
      <c r="K60" s="556"/>
      <c r="L60" s="556"/>
      <c r="M60" s="556"/>
      <c r="N60" s="556"/>
      <c r="O60" s="556"/>
    </row>
    <row r="61" spans="1:82" ht="36.75" customHeight="1">
      <c r="A61" s="848" t="s">
        <v>268</v>
      </c>
      <c r="B61" s="848"/>
      <c r="C61" s="848"/>
      <c r="D61" s="848"/>
      <c r="E61" s="848"/>
      <c r="F61" s="848"/>
      <c r="G61" s="848"/>
      <c r="H61" s="848"/>
      <c r="I61" s="848"/>
      <c r="J61" s="848"/>
      <c r="K61" s="848"/>
      <c r="L61" s="848"/>
      <c r="M61" s="848"/>
      <c r="N61" s="848"/>
      <c r="O61" s="848"/>
      <c r="P61" s="848"/>
      <c r="Q61" s="848"/>
    </row>
    <row r="62" spans="1:82" ht="36.75" customHeight="1">
      <c r="A62" s="849">
        <f>SUM(H58:N58)</f>
        <v>87932.640799999994</v>
      </c>
      <c r="B62" s="850"/>
      <c r="C62" s="850"/>
      <c r="D62" s="850"/>
      <c r="E62" s="850"/>
      <c r="F62" s="850"/>
      <c r="G62" s="850"/>
      <c r="H62" s="850"/>
      <c r="I62" s="850"/>
      <c r="J62" s="850"/>
      <c r="K62" s="850"/>
      <c r="L62" s="850"/>
      <c r="M62" s="850"/>
      <c r="N62" s="850"/>
      <c r="O62" s="850"/>
      <c r="P62" s="850"/>
      <c r="Q62" s="850"/>
    </row>
    <row r="63" spans="1:82" ht="65.25" customHeight="1">
      <c r="A63" s="578" t="s">
        <v>269</v>
      </c>
      <c r="B63" s="579" t="s">
        <v>270</v>
      </c>
      <c r="C63" s="851" t="s">
        <v>271</v>
      </c>
      <c r="D63" s="851"/>
      <c r="E63" s="580" t="s">
        <v>272</v>
      </c>
      <c r="F63" s="581" t="s">
        <v>273</v>
      </c>
      <c r="G63" s="582" t="s">
        <v>274</v>
      </c>
      <c r="H63" s="581" t="s">
        <v>275</v>
      </c>
      <c r="I63" s="581" t="s">
        <v>276</v>
      </c>
      <c r="J63" s="583" t="s">
        <v>277</v>
      </c>
      <c r="K63" s="583" t="s">
        <v>278</v>
      </c>
      <c r="L63" s="583" t="s">
        <v>279</v>
      </c>
      <c r="M63" s="584" t="s">
        <v>280</v>
      </c>
      <c r="N63" s="585" t="s">
        <v>281</v>
      </c>
      <c r="O63" s="585" t="s">
        <v>282</v>
      </c>
      <c r="P63" s="585" t="s">
        <v>283</v>
      </c>
      <c r="Q63" s="586" t="s">
        <v>284</v>
      </c>
    </row>
    <row r="64" spans="1:82" ht="36.75" customHeight="1">
      <c r="A64" s="587">
        <v>1</v>
      </c>
      <c r="B64" s="588" t="s">
        <v>264</v>
      </c>
      <c r="C64" s="588" t="s">
        <v>285</v>
      </c>
      <c r="D64" s="561" t="s">
        <v>120</v>
      </c>
      <c r="E64" s="525">
        <v>581</v>
      </c>
      <c r="F64" s="590">
        <v>22</v>
      </c>
      <c r="G64" s="589" t="s">
        <v>128</v>
      </c>
      <c r="H64" s="589">
        <v>12</v>
      </c>
      <c r="I64" s="589">
        <f>H64*F64</f>
        <v>264</v>
      </c>
      <c r="J64" s="591">
        <v>581</v>
      </c>
      <c r="K64" s="592">
        <v>354</v>
      </c>
      <c r="L64" s="593">
        <f>J64*0.25%*7*H64</f>
        <v>122.01</v>
      </c>
      <c r="M64" s="594">
        <v>4</v>
      </c>
      <c r="N64" s="591">
        <f>K64*1%*M64*H64</f>
        <v>169.92000000000002</v>
      </c>
      <c r="O64" s="591">
        <f>4*I64</f>
        <v>1056</v>
      </c>
      <c r="P64" s="591">
        <f>0.5*I64</f>
        <v>132</v>
      </c>
      <c r="Q64" s="593">
        <f>P64+O64+N64+L64</f>
        <v>1479.93</v>
      </c>
    </row>
    <row r="65" spans="1:18" ht="36.75" customHeight="1">
      <c r="A65" s="587">
        <v>2</v>
      </c>
      <c r="B65" s="588" t="s">
        <v>286</v>
      </c>
      <c r="C65" s="561" t="s">
        <v>119</v>
      </c>
      <c r="D65" s="561" t="s">
        <v>120</v>
      </c>
      <c r="E65" s="525">
        <v>615</v>
      </c>
      <c r="F65" s="595">
        <v>22</v>
      </c>
      <c r="G65" s="589" t="s">
        <v>287</v>
      </c>
      <c r="H65" s="589">
        <v>12</v>
      </c>
      <c r="I65" s="589">
        <f t="shared" ref="I65:I69" si="35">H65*F65</f>
        <v>264</v>
      </c>
      <c r="J65" s="591">
        <v>615</v>
      </c>
      <c r="K65" s="592">
        <v>354</v>
      </c>
      <c r="L65" s="593">
        <f t="shared" ref="L65:L69" si="36">J65*0.25%*7*H65</f>
        <v>129.15</v>
      </c>
      <c r="M65" s="594">
        <v>0</v>
      </c>
      <c r="N65" s="591">
        <f t="shared" ref="N65:N69" si="37">K65*1%*M65*H65</f>
        <v>0</v>
      </c>
      <c r="O65" s="591">
        <f t="shared" ref="O65:O69" si="38">4*I65</f>
        <v>1056</v>
      </c>
      <c r="P65" s="591">
        <f t="shared" ref="P65:P69" si="39">0.5*I65</f>
        <v>132</v>
      </c>
      <c r="Q65" s="593">
        <f t="shared" ref="Q65:Q69" si="40">P65+O65+N65+L65</f>
        <v>1317.15</v>
      </c>
    </row>
    <row r="66" spans="1:18" ht="36.75" customHeight="1">
      <c r="A66" s="589">
        <v>3</v>
      </c>
      <c r="B66" s="588" t="s">
        <v>288</v>
      </c>
      <c r="C66" s="561" t="s">
        <v>119</v>
      </c>
      <c r="D66" s="561" t="s">
        <v>120</v>
      </c>
      <c r="E66" s="525">
        <v>598</v>
      </c>
      <c r="F66" s="595">
        <v>22</v>
      </c>
      <c r="G66" s="589" t="s">
        <v>287</v>
      </c>
      <c r="H66" s="589">
        <v>12</v>
      </c>
      <c r="I66" s="589">
        <f t="shared" si="35"/>
        <v>264</v>
      </c>
      <c r="J66" s="591">
        <v>598</v>
      </c>
      <c r="K66" s="592">
        <v>354</v>
      </c>
      <c r="L66" s="593">
        <f t="shared" si="36"/>
        <v>125.58</v>
      </c>
      <c r="M66" s="594">
        <v>0</v>
      </c>
      <c r="N66" s="591">
        <f t="shared" si="37"/>
        <v>0</v>
      </c>
      <c r="O66" s="591">
        <f t="shared" si="38"/>
        <v>1056</v>
      </c>
      <c r="P66" s="591">
        <f t="shared" si="39"/>
        <v>132</v>
      </c>
      <c r="Q66" s="593">
        <f t="shared" si="40"/>
        <v>1313.58</v>
      </c>
    </row>
    <row r="67" spans="1:18" ht="36.75" customHeight="1">
      <c r="A67" s="589">
        <v>4</v>
      </c>
      <c r="B67" s="588" t="s">
        <v>289</v>
      </c>
      <c r="C67" s="561" t="s">
        <v>119</v>
      </c>
      <c r="D67" s="561" t="s">
        <v>120</v>
      </c>
      <c r="E67" s="525">
        <v>598</v>
      </c>
      <c r="F67" s="595">
        <v>22</v>
      </c>
      <c r="G67" s="589" t="s">
        <v>287</v>
      </c>
      <c r="H67" s="589">
        <v>12</v>
      </c>
      <c r="I67" s="589">
        <f t="shared" si="35"/>
        <v>264</v>
      </c>
      <c r="J67" s="591">
        <v>598</v>
      </c>
      <c r="K67" s="592">
        <v>354</v>
      </c>
      <c r="L67" s="593">
        <f t="shared" si="36"/>
        <v>125.58</v>
      </c>
      <c r="M67" s="594">
        <v>1</v>
      </c>
      <c r="N67" s="591">
        <f t="shared" si="37"/>
        <v>42.480000000000004</v>
      </c>
      <c r="O67" s="591">
        <f t="shared" si="38"/>
        <v>1056</v>
      </c>
      <c r="P67" s="591">
        <f t="shared" si="39"/>
        <v>132</v>
      </c>
      <c r="Q67" s="593">
        <f t="shared" si="40"/>
        <v>1356.06</v>
      </c>
    </row>
    <row r="68" spans="1:18" ht="36.75" customHeight="1">
      <c r="A68" s="589">
        <v>5</v>
      </c>
      <c r="B68" s="588" t="s">
        <v>290</v>
      </c>
      <c r="C68" s="561" t="s">
        <v>123</v>
      </c>
      <c r="D68" s="561" t="s">
        <v>120</v>
      </c>
      <c r="E68" s="525">
        <v>598</v>
      </c>
      <c r="F68" s="595">
        <v>22</v>
      </c>
      <c r="G68" s="589" t="s">
        <v>287</v>
      </c>
      <c r="H68" s="589">
        <v>12</v>
      </c>
      <c r="I68" s="589">
        <f t="shared" si="35"/>
        <v>264</v>
      </c>
      <c r="J68" s="591">
        <v>598</v>
      </c>
      <c r="K68" s="592">
        <v>354</v>
      </c>
      <c r="L68" s="593">
        <f t="shared" si="36"/>
        <v>125.58</v>
      </c>
      <c r="M68" s="594">
        <v>2</v>
      </c>
      <c r="N68" s="591">
        <f t="shared" si="37"/>
        <v>84.960000000000008</v>
      </c>
      <c r="O68" s="591">
        <f t="shared" si="38"/>
        <v>1056</v>
      </c>
      <c r="P68" s="591">
        <f t="shared" si="39"/>
        <v>132</v>
      </c>
      <c r="Q68" s="593">
        <f t="shared" si="40"/>
        <v>1398.54</v>
      </c>
    </row>
    <row r="69" spans="1:18" ht="33.75">
      <c r="A69" s="589">
        <v>6</v>
      </c>
      <c r="B69" s="588" t="s">
        <v>265</v>
      </c>
      <c r="C69" s="561" t="s">
        <v>123</v>
      </c>
      <c r="D69" s="561" t="s">
        <v>120</v>
      </c>
      <c r="E69" s="525">
        <v>598</v>
      </c>
      <c r="F69" s="595">
        <v>22</v>
      </c>
      <c r="G69" s="589" t="s">
        <v>287</v>
      </c>
      <c r="H69" s="589">
        <v>12</v>
      </c>
      <c r="I69" s="589">
        <f t="shared" si="35"/>
        <v>264</v>
      </c>
      <c r="J69" s="591">
        <v>598</v>
      </c>
      <c r="K69" s="592">
        <v>354</v>
      </c>
      <c r="L69" s="593">
        <f t="shared" si="36"/>
        <v>125.58</v>
      </c>
      <c r="M69" s="594">
        <v>1</v>
      </c>
      <c r="N69" s="591">
        <f t="shared" si="37"/>
        <v>42.480000000000004</v>
      </c>
      <c r="O69" s="591">
        <f t="shared" si="38"/>
        <v>1056</v>
      </c>
      <c r="P69" s="591">
        <f t="shared" si="39"/>
        <v>132</v>
      </c>
      <c r="Q69" s="593">
        <f t="shared" si="40"/>
        <v>1356.06</v>
      </c>
    </row>
    <row r="70" spans="1:18" ht="18.75" customHeight="1">
      <c r="A70" s="565">
        <v>6</v>
      </c>
      <c r="B70" s="845" t="s">
        <v>35</v>
      </c>
      <c r="C70" s="846"/>
      <c r="D70" s="846"/>
      <c r="E70" s="846"/>
      <c r="F70" s="846"/>
      <c r="G70" s="846"/>
      <c r="H70" s="846"/>
      <c r="I70" s="846"/>
      <c r="J70" s="846"/>
      <c r="K70" s="847"/>
      <c r="L70" s="596">
        <f>SUM(L64:L69)</f>
        <v>753.48</v>
      </c>
      <c r="M70" s="597"/>
      <c r="N70" s="597">
        <f>SUM(N64:N69)</f>
        <v>339.84000000000003</v>
      </c>
      <c r="O70" s="597">
        <f>SUM(O64:O69)</f>
        <v>6336</v>
      </c>
      <c r="P70" s="597">
        <f>SUM(P64:P69)</f>
        <v>792</v>
      </c>
      <c r="Q70" s="598">
        <f>SUM(Q64:Q69)</f>
        <v>8221.32</v>
      </c>
    </row>
    <row r="71" spans="1:18">
      <c r="A71" s="556"/>
      <c r="B71" s="599"/>
      <c r="C71" s="556"/>
      <c r="D71" s="556"/>
      <c r="E71" s="556"/>
      <c r="F71" s="556"/>
      <c r="G71" s="600"/>
      <c r="H71" s="556"/>
      <c r="I71" s="556"/>
      <c r="J71" s="556"/>
      <c r="K71" s="556"/>
      <c r="L71" s="556"/>
      <c r="M71" s="556"/>
      <c r="N71" s="556"/>
      <c r="O71" s="556"/>
    </row>
    <row r="72" spans="1:18" ht="15" customHeight="1">
      <c r="A72" s="556"/>
      <c r="B72" s="556"/>
      <c r="C72" s="556"/>
      <c r="D72" s="556"/>
      <c r="E72" s="556"/>
      <c r="F72" s="556"/>
      <c r="G72" s="556"/>
      <c r="H72" s="556"/>
      <c r="I72" s="556"/>
      <c r="J72" s="556"/>
      <c r="K72" s="556"/>
      <c r="L72" s="556"/>
      <c r="M72" s="556"/>
      <c r="N72" s="556"/>
      <c r="O72" s="556"/>
    </row>
    <row r="73" spans="1:18">
      <c r="A73" s="556"/>
      <c r="B73" s="556"/>
      <c r="C73" s="556"/>
      <c r="D73" s="556"/>
      <c r="E73" s="556"/>
      <c r="F73" s="556"/>
      <c r="G73" s="556"/>
      <c r="H73" s="556"/>
      <c r="I73" s="556"/>
      <c r="J73" s="556"/>
      <c r="K73" s="556"/>
      <c r="L73" s="556"/>
      <c r="M73" s="556"/>
      <c r="N73" s="556"/>
      <c r="O73" s="556"/>
    </row>
    <row r="74" spans="1:18">
      <c r="A74" s="566"/>
      <c r="B74" s="567"/>
      <c r="C74" s="567"/>
      <c r="D74" s="567"/>
      <c r="E74" s="567"/>
      <c r="F74" s="567"/>
      <c r="G74" s="567"/>
      <c r="H74" s="567"/>
      <c r="I74" s="567"/>
      <c r="J74" s="567"/>
      <c r="K74" s="568"/>
      <c r="L74" s="568"/>
      <c r="M74" s="567"/>
      <c r="N74" s="567"/>
      <c r="O74" s="567"/>
    </row>
    <row r="75" spans="1:18">
      <c r="A75" s="566"/>
      <c r="B75" s="567"/>
      <c r="C75" s="567"/>
      <c r="D75" s="567"/>
      <c r="E75" s="567"/>
      <c r="F75" s="567"/>
      <c r="G75" s="567"/>
      <c r="H75" s="567"/>
      <c r="I75" s="567"/>
      <c r="J75" s="567"/>
      <c r="K75" s="568"/>
      <c r="L75" s="568"/>
      <c r="M75" s="567"/>
      <c r="N75" s="567"/>
      <c r="O75" s="567"/>
    </row>
    <row r="76" spans="1:18" ht="18.75">
      <c r="A76" s="566"/>
      <c r="B76" s="853" t="s">
        <v>210</v>
      </c>
      <c r="C76" s="853"/>
      <c r="D76" s="853"/>
      <c r="E76" s="853"/>
      <c r="F76" s="853"/>
      <c r="G76" s="853"/>
      <c r="H76" s="853"/>
      <c r="I76" s="853"/>
      <c r="J76" s="853"/>
      <c r="K76" s="853"/>
      <c r="L76" s="853"/>
      <c r="M76" s="853"/>
      <c r="N76" s="853"/>
      <c r="O76" s="853"/>
    </row>
    <row r="77" spans="1:18" ht="63.75">
      <c r="A77" s="566"/>
      <c r="B77" s="571"/>
      <c r="C77" s="855" t="s">
        <v>346</v>
      </c>
      <c r="D77" s="856"/>
      <c r="E77" s="856"/>
      <c r="F77" s="857"/>
      <c r="G77" s="601" t="s">
        <v>211</v>
      </c>
      <c r="H77" s="601" t="s">
        <v>109</v>
      </c>
      <c r="I77" s="601" t="s">
        <v>110</v>
      </c>
      <c r="J77" s="601" t="s">
        <v>136</v>
      </c>
      <c r="K77" s="602" t="s">
        <v>112</v>
      </c>
      <c r="L77" s="601" t="s">
        <v>137</v>
      </c>
      <c r="M77" s="601" t="s">
        <v>114</v>
      </c>
      <c r="N77" s="601" t="s">
        <v>138</v>
      </c>
      <c r="O77" s="601" t="s">
        <v>116</v>
      </c>
    </row>
    <row r="78" spans="1:18">
      <c r="A78" s="566"/>
      <c r="B78" s="854"/>
      <c r="C78" s="852" t="s">
        <v>59</v>
      </c>
      <c r="D78" s="852"/>
      <c r="E78" s="852"/>
      <c r="F78" s="852"/>
      <c r="G78" s="565">
        <f>A13</f>
        <v>6</v>
      </c>
      <c r="H78" s="529">
        <f>H13</f>
        <v>43056</v>
      </c>
      <c r="I78" s="529">
        <f t="shared" ref="I78:N78" si="41">+I13</f>
        <v>4800.7439999999997</v>
      </c>
      <c r="J78" s="529">
        <f t="shared" si="41"/>
        <v>430.56</v>
      </c>
      <c r="K78" s="529">
        <f t="shared" si="41"/>
        <v>3586.5648000000001</v>
      </c>
      <c r="L78" s="529">
        <f t="shared" si="41"/>
        <v>3588</v>
      </c>
      <c r="M78" s="529">
        <f t="shared" si="41"/>
        <v>0</v>
      </c>
      <c r="N78" s="529">
        <f t="shared" si="41"/>
        <v>2124</v>
      </c>
      <c r="O78" s="529">
        <f>SUM(H78:N78)</f>
        <v>57585.868799999997</v>
      </c>
      <c r="Q78" s="603"/>
      <c r="R78" s="603"/>
    </row>
    <row r="79" spans="1:18">
      <c r="A79" s="566"/>
      <c r="B79" s="854"/>
      <c r="C79" s="852" t="s">
        <v>1169</v>
      </c>
      <c r="D79" s="852"/>
      <c r="E79" s="852"/>
      <c r="F79" s="852"/>
      <c r="G79" s="565">
        <f>A17</f>
        <v>2</v>
      </c>
      <c r="H79" s="529">
        <f t="shared" ref="H79:N79" si="42">+H17</f>
        <v>15636</v>
      </c>
      <c r="I79" s="529">
        <f t="shared" si="42"/>
        <v>1743.414</v>
      </c>
      <c r="J79" s="529">
        <f t="shared" si="42"/>
        <v>156.36000000000001</v>
      </c>
      <c r="K79" s="529">
        <f t="shared" si="42"/>
        <v>1302.4787999999999</v>
      </c>
      <c r="L79" s="529">
        <f t="shared" si="42"/>
        <v>1303</v>
      </c>
      <c r="M79" s="529">
        <f t="shared" si="42"/>
        <v>651.5</v>
      </c>
      <c r="N79" s="529">
        <f t="shared" si="42"/>
        <v>708</v>
      </c>
      <c r="O79" s="529">
        <f>SUM(H79:N79)</f>
        <v>21500.752800000002</v>
      </c>
      <c r="Q79" s="603"/>
      <c r="R79" s="603"/>
    </row>
    <row r="80" spans="1:18">
      <c r="A80" s="566"/>
      <c r="B80" s="854"/>
      <c r="C80" s="852" t="s">
        <v>213</v>
      </c>
      <c r="D80" s="852"/>
      <c r="E80" s="852"/>
      <c r="F80" s="852"/>
      <c r="G80" s="565">
        <v>0</v>
      </c>
      <c r="H80" s="529">
        <v>8221.32</v>
      </c>
      <c r="I80" s="529">
        <v>0</v>
      </c>
      <c r="J80" s="529">
        <v>0</v>
      </c>
      <c r="K80" s="529">
        <v>0</v>
      </c>
      <c r="L80" s="529">
        <v>0</v>
      </c>
      <c r="M80" s="529">
        <v>0</v>
      </c>
      <c r="N80" s="529">
        <v>0</v>
      </c>
      <c r="O80" s="529">
        <f>+Q70</f>
        <v>8221.32</v>
      </c>
      <c r="P80" s="604"/>
      <c r="Q80" s="603"/>
      <c r="R80" s="603"/>
    </row>
    <row r="81" spans="1:18">
      <c r="A81" s="566"/>
      <c r="B81" s="854"/>
      <c r="C81" s="852" t="s">
        <v>253</v>
      </c>
      <c r="D81" s="852"/>
      <c r="E81" s="852"/>
      <c r="F81" s="852"/>
      <c r="G81" s="565">
        <f>A30</f>
        <v>5</v>
      </c>
      <c r="H81" s="529">
        <f t="shared" ref="H81:O81" si="43">+H30</f>
        <v>141012</v>
      </c>
      <c r="I81" s="529">
        <f t="shared" si="43"/>
        <v>15722.838</v>
      </c>
      <c r="J81" s="529">
        <f t="shared" si="43"/>
        <v>705.06</v>
      </c>
      <c r="K81" s="529">
        <f t="shared" si="43"/>
        <v>11746.2996</v>
      </c>
      <c r="L81" s="529">
        <f t="shared" si="43"/>
        <v>11751</v>
      </c>
      <c r="M81" s="529">
        <f t="shared" si="43"/>
        <v>11751</v>
      </c>
      <c r="N81" s="529">
        <f t="shared" si="43"/>
        <v>1770</v>
      </c>
      <c r="O81" s="529">
        <f t="shared" si="43"/>
        <v>194458.19759999998</v>
      </c>
      <c r="Q81" s="603"/>
      <c r="R81" s="603"/>
    </row>
    <row r="82" spans="1:18">
      <c r="A82" s="566"/>
      <c r="B82" s="854"/>
      <c r="C82" s="852" t="s">
        <v>254</v>
      </c>
      <c r="D82" s="852"/>
      <c r="E82" s="852"/>
      <c r="F82" s="852"/>
      <c r="G82" s="565">
        <f>A41</f>
        <v>9</v>
      </c>
      <c r="H82" s="529">
        <f t="shared" ref="H82:O82" si="44">+H41</f>
        <v>146892</v>
      </c>
      <c r="I82" s="529">
        <f t="shared" si="44"/>
        <v>16378.457999999999</v>
      </c>
      <c r="J82" s="529">
        <f t="shared" si="44"/>
        <v>734.45999999999992</v>
      </c>
      <c r="K82" s="529">
        <f t="shared" si="44"/>
        <v>12236.1036</v>
      </c>
      <c r="L82" s="529">
        <f t="shared" si="44"/>
        <v>12241</v>
      </c>
      <c r="M82" s="529">
        <f t="shared" si="44"/>
        <v>0</v>
      </c>
      <c r="N82" s="529">
        <f t="shared" si="44"/>
        <v>3186</v>
      </c>
      <c r="O82" s="529">
        <f t="shared" si="44"/>
        <v>191668.02160000001</v>
      </c>
      <c r="P82" s="604"/>
      <c r="Q82" s="603"/>
      <c r="R82" s="603"/>
    </row>
    <row r="83" spans="1:18">
      <c r="A83" s="566"/>
      <c r="B83" s="854"/>
      <c r="C83" s="852" t="s">
        <v>1170</v>
      </c>
      <c r="D83" s="852"/>
      <c r="E83" s="852"/>
      <c r="F83" s="852"/>
      <c r="G83" s="565">
        <f>A58-9</f>
        <v>6</v>
      </c>
      <c r="H83" s="529">
        <f t="shared" ref="H83:N83" si="45">+H58</f>
        <v>62796</v>
      </c>
      <c r="I83" s="529">
        <f t="shared" si="45"/>
        <v>7001.7540000000008</v>
      </c>
      <c r="J83" s="529">
        <f t="shared" si="45"/>
        <v>313.98</v>
      </c>
      <c r="K83" s="529">
        <f t="shared" si="45"/>
        <v>5230.9067999999997</v>
      </c>
      <c r="L83" s="529">
        <f t="shared" si="45"/>
        <v>5233</v>
      </c>
      <c r="M83" s="605">
        <f t="shared" si="45"/>
        <v>5233</v>
      </c>
      <c r="N83" s="605">
        <f t="shared" si="45"/>
        <v>2124</v>
      </c>
      <c r="O83" s="605">
        <f>+O58-H84</f>
        <v>87932.640800000023</v>
      </c>
      <c r="Q83" s="603"/>
      <c r="R83" s="603"/>
    </row>
    <row r="84" spans="1:18" ht="15.75">
      <c r="A84" s="566"/>
      <c r="B84" s="606"/>
      <c r="C84" s="852" t="s">
        <v>1171</v>
      </c>
      <c r="D84" s="852"/>
      <c r="E84" s="852"/>
      <c r="F84" s="852"/>
      <c r="G84" s="565">
        <v>9</v>
      </c>
      <c r="H84" s="529">
        <v>171668.16</v>
      </c>
      <c r="I84" s="529"/>
      <c r="J84" s="529"/>
      <c r="K84" s="529"/>
      <c r="L84" s="529"/>
      <c r="M84" s="605"/>
      <c r="N84" s="605"/>
      <c r="O84" s="605">
        <f>+H84</f>
        <v>171668.16</v>
      </c>
      <c r="Q84" s="603"/>
      <c r="R84" s="603"/>
    </row>
    <row r="85" spans="1:18">
      <c r="A85" s="566"/>
      <c r="B85" s="567"/>
      <c r="C85" s="828" t="s">
        <v>35</v>
      </c>
      <c r="D85" s="828"/>
      <c r="E85" s="828"/>
      <c r="F85" s="828"/>
      <c r="G85" s="573">
        <f>SUM(G78:G84)</f>
        <v>37</v>
      </c>
      <c r="H85" s="607">
        <f>SUM(H78:H84)</f>
        <v>589281.48</v>
      </c>
      <c r="I85" s="607">
        <f t="shared" ref="I85:N85" si="46">SUM(I78:I83)</f>
        <v>45647.207999999999</v>
      </c>
      <c r="J85" s="607">
        <f t="shared" si="46"/>
        <v>2340.42</v>
      </c>
      <c r="K85" s="607">
        <f t="shared" si="46"/>
        <v>34102.353599999995</v>
      </c>
      <c r="L85" s="607">
        <f t="shared" si="46"/>
        <v>34116</v>
      </c>
      <c r="M85" s="607">
        <f t="shared" si="46"/>
        <v>17635.5</v>
      </c>
      <c r="N85" s="607">
        <f t="shared" si="46"/>
        <v>9912</v>
      </c>
      <c r="O85" s="607">
        <f>SUM(O78:O84)</f>
        <v>733034.96160000004</v>
      </c>
      <c r="Q85" s="603"/>
      <c r="R85" s="603"/>
    </row>
    <row r="86" spans="1:18">
      <c r="C86" s="567"/>
      <c r="D86" s="567"/>
      <c r="E86" s="567"/>
      <c r="F86" s="608"/>
      <c r="G86" s="608"/>
      <c r="H86" s="567"/>
      <c r="I86" s="567"/>
      <c r="J86" s="567"/>
      <c r="K86" s="567"/>
      <c r="L86" s="567"/>
      <c r="M86" s="567"/>
      <c r="N86" s="567"/>
      <c r="O86" s="558">
        <f>SUM(H85:N85)</f>
        <v>733034.96160000004</v>
      </c>
    </row>
    <row r="87" spans="1:18">
      <c r="E87" s="528"/>
      <c r="F87" s="528"/>
      <c r="G87" s="528"/>
      <c r="H87" s="570"/>
      <c r="K87" s="570"/>
      <c r="L87" s="571"/>
      <c r="O87" s="572"/>
      <c r="Q87" s="604"/>
    </row>
    <row r="88" spans="1:18">
      <c r="E88" s="528"/>
      <c r="F88" s="528"/>
      <c r="G88" s="528"/>
      <c r="H88" s="570"/>
      <c r="K88" s="570"/>
      <c r="L88" s="571"/>
      <c r="O88" s="572"/>
      <c r="Q88" s="604"/>
    </row>
    <row r="89" spans="1:18" ht="63.75">
      <c r="C89" s="840" t="s">
        <v>346</v>
      </c>
      <c r="D89" s="840"/>
      <c r="E89" s="840"/>
      <c r="F89" s="840"/>
      <c r="G89" s="609" t="s">
        <v>211</v>
      </c>
      <c r="H89" s="609" t="s">
        <v>109</v>
      </c>
      <c r="I89" s="609" t="s">
        <v>110</v>
      </c>
      <c r="J89" s="609" t="s">
        <v>136</v>
      </c>
      <c r="K89" s="610" t="s">
        <v>112</v>
      </c>
      <c r="L89" s="609" t="s">
        <v>137</v>
      </c>
      <c r="M89" s="609" t="s">
        <v>114</v>
      </c>
      <c r="N89" s="609" t="s">
        <v>138</v>
      </c>
      <c r="O89" s="609" t="s">
        <v>116</v>
      </c>
    </row>
    <row r="90" spans="1:18">
      <c r="C90" s="827" t="str">
        <f>+C82</f>
        <v>SERVIDORES DE PLANTA</v>
      </c>
      <c r="D90" s="827"/>
      <c r="E90" s="827"/>
      <c r="F90" s="827"/>
      <c r="G90" s="565">
        <f t="shared" ref="G90:N90" si="47">+G82</f>
        <v>9</v>
      </c>
      <c r="H90" s="525">
        <f t="shared" si="47"/>
        <v>146892</v>
      </c>
      <c r="I90" s="525">
        <f t="shared" si="47"/>
        <v>16378.457999999999</v>
      </c>
      <c r="J90" s="525">
        <f t="shared" si="47"/>
        <v>734.45999999999992</v>
      </c>
      <c r="K90" s="525">
        <f t="shared" si="47"/>
        <v>12236.1036</v>
      </c>
      <c r="L90" s="525">
        <f t="shared" si="47"/>
        <v>12241</v>
      </c>
      <c r="M90" s="525">
        <f t="shared" si="47"/>
        <v>0</v>
      </c>
      <c r="N90" s="525">
        <f t="shared" si="47"/>
        <v>3186</v>
      </c>
      <c r="O90" s="525">
        <f>SUM(H90:N90)</f>
        <v>191668.02159999998</v>
      </c>
    </row>
    <row r="91" spans="1:18" ht="24" customHeight="1">
      <c r="A91" s="556"/>
      <c r="C91" s="827" t="str">
        <f>+C78</f>
        <v>TRABAJADORES DE PLANTA</v>
      </c>
      <c r="D91" s="827"/>
      <c r="E91" s="827"/>
      <c r="F91" s="827"/>
      <c r="G91" s="565">
        <f t="shared" ref="G91:N91" si="48">+G78</f>
        <v>6</v>
      </c>
      <c r="H91" s="525">
        <f t="shared" si="48"/>
        <v>43056</v>
      </c>
      <c r="I91" s="525">
        <f t="shared" si="48"/>
        <v>4800.7439999999997</v>
      </c>
      <c r="J91" s="525">
        <f t="shared" si="48"/>
        <v>430.56</v>
      </c>
      <c r="K91" s="525">
        <f t="shared" si="48"/>
        <v>3586.5648000000001</v>
      </c>
      <c r="L91" s="525">
        <f t="shared" si="48"/>
        <v>3588</v>
      </c>
      <c r="M91" s="525">
        <f t="shared" si="48"/>
        <v>0</v>
      </c>
      <c r="N91" s="525">
        <f t="shared" si="48"/>
        <v>2124</v>
      </c>
      <c r="O91" s="525">
        <f>SUM(H91:N91)</f>
        <v>57585.868799999997</v>
      </c>
    </row>
    <row r="92" spans="1:18" ht="22.5" customHeight="1">
      <c r="A92" s="556"/>
      <c r="C92" s="844" t="s">
        <v>1173</v>
      </c>
      <c r="D92" s="844"/>
      <c r="E92" s="844"/>
      <c r="F92" s="844"/>
      <c r="G92" s="565">
        <f>+G79+G80+G81+G83</f>
        <v>13</v>
      </c>
      <c r="H92" s="525">
        <f>+H79+H81+H83</f>
        <v>219444</v>
      </c>
      <c r="I92" s="525">
        <f t="shared" ref="I92:N92" si="49">+I79+I80+I81+I83</f>
        <v>24468.006000000001</v>
      </c>
      <c r="J92" s="525">
        <f t="shared" si="49"/>
        <v>1175.4000000000001</v>
      </c>
      <c r="K92" s="525">
        <f t="shared" si="49"/>
        <v>18279.6852</v>
      </c>
      <c r="L92" s="525">
        <f t="shared" si="49"/>
        <v>18287</v>
      </c>
      <c r="M92" s="525">
        <f t="shared" si="49"/>
        <v>17635.5</v>
      </c>
      <c r="N92" s="525">
        <f t="shared" si="49"/>
        <v>4602</v>
      </c>
      <c r="O92" s="525">
        <f>SUM(H92:N92)</f>
        <v>303891.59119999997</v>
      </c>
      <c r="P92" s="604"/>
    </row>
    <row r="93" spans="1:18" ht="24.75" customHeight="1">
      <c r="A93" s="556"/>
      <c r="C93" s="844" t="s">
        <v>1172</v>
      </c>
      <c r="D93" s="844"/>
      <c r="E93" s="844"/>
      <c r="F93" s="844"/>
      <c r="G93" s="565">
        <f>+G84</f>
        <v>9</v>
      </c>
      <c r="H93" s="525">
        <f>+H84</f>
        <v>171668.16</v>
      </c>
      <c r="I93" s="525"/>
      <c r="J93" s="525"/>
      <c r="K93" s="525"/>
      <c r="L93" s="525"/>
      <c r="M93" s="525"/>
      <c r="N93" s="525"/>
      <c r="O93" s="525">
        <f>SUM(H93:N93)</f>
        <v>171668.16</v>
      </c>
      <c r="P93" s="604"/>
    </row>
    <row r="94" spans="1:18">
      <c r="A94" s="556"/>
      <c r="C94" s="827" t="s">
        <v>213</v>
      </c>
      <c r="D94" s="827"/>
      <c r="E94" s="827"/>
      <c r="F94" s="827"/>
      <c r="G94" s="565">
        <v>0</v>
      </c>
      <c r="H94" s="611">
        <f>+H80</f>
        <v>8221.32</v>
      </c>
      <c r="I94" s="611">
        <v>0</v>
      </c>
      <c r="J94" s="611">
        <v>0</v>
      </c>
      <c r="K94" s="611">
        <v>0</v>
      </c>
      <c r="L94" s="611">
        <v>0</v>
      </c>
      <c r="M94" s="611">
        <v>0</v>
      </c>
      <c r="N94" s="611">
        <v>0</v>
      </c>
      <c r="O94" s="529">
        <f>+O80</f>
        <v>8221.32</v>
      </c>
    </row>
    <row r="95" spans="1:18">
      <c r="A95" s="556"/>
      <c r="C95" s="828" t="s">
        <v>35</v>
      </c>
      <c r="D95" s="828"/>
      <c r="E95" s="828"/>
      <c r="F95" s="828"/>
      <c r="G95" s="573">
        <f>SUM(G90:G94)</f>
        <v>37</v>
      </c>
      <c r="H95" s="607">
        <f>SUM(H90:H94)</f>
        <v>589281.48</v>
      </c>
      <c r="I95" s="607">
        <f t="shared" ref="I95:N95" si="50">SUM(I90:I92)</f>
        <v>45647.207999999999</v>
      </c>
      <c r="J95" s="607">
        <f t="shared" si="50"/>
        <v>2340.42</v>
      </c>
      <c r="K95" s="607">
        <f t="shared" si="50"/>
        <v>34102.353600000002</v>
      </c>
      <c r="L95" s="607">
        <f t="shared" si="50"/>
        <v>34116</v>
      </c>
      <c r="M95" s="607">
        <f t="shared" si="50"/>
        <v>17635.5</v>
      </c>
      <c r="N95" s="607">
        <f t="shared" si="50"/>
        <v>9912</v>
      </c>
      <c r="O95" s="607">
        <f>SUM(O90:O94)</f>
        <v>733034.96159999992</v>
      </c>
      <c r="P95" s="604"/>
    </row>
    <row r="96" spans="1:18">
      <c r="A96" s="556"/>
      <c r="O96" s="558">
        <f>SUM(H95:N95)</f>
        <v>733034.96160000004</v>
      </c>
      <c r="P96" s="604"/>
    </row>
    <row r="97" spans="1:1">
      <c r="A97" s="556"/>
    </row>
    <row r="99" spans="1:1">
      <c r="A99" s="556"/>
    </row>
  </sheetData>
  <mergeCells count="41">
    <mergeCell ref="A61:Q61"/>
    <mergeCell ref="A62:Q62"/>
    <mergeCell ref="C63:D63"/>
    <mergeCell ref="C84:F84"/>
    <mergeCell ref="B76:O76"/>
    <mergeCell ref="B78:B80"/>
    <mergeCell ref="C78:F78"/>
    <mergeCell ref="C79:F79"/>
    <mergeCell ref="C80:F80"/>
    <mergeCell ref="B81:B83"/>
    <mergeCell ref="C81:F81"/>
    <mergeCell ref="C82:F82"/>
    <mergeCell ref="C83:F83"/>
    <mergeCell ref="C77:F77"/>
    <mergeCell ref="C91:F91"/>
    <mergeCell ref="C93:F93"/>
    <mergeCell ref="C92:F92"/>
    <mergeCell ref="B70:K70"/>
    <mergeCell ref="C85:F85"/>
    <mergeCell ref="B13:G13"/>
    <mergeCell ref="A2:O2"/>
    <mergeCell ref="A3:O3"/>
    <mergeCell ref="A4:O4"/>
    <mergeCell ref="C5:E5"/>
    <mergeCell ref="A6:O6"/>
    <mergeCell ref="C94:F94"/>
    <mergeCell ref="C95:F95"/>
    <mergeCell ref="B58:G58"/>
    <mergeCell ref="A14:O14"/>
    <mergeCell ref="B17:G17"/>
    <mergeCell ref="A20:O20"/>
    <mergeCell ref="A21:O21"/>
    <mergeCell ref="A22:O22"/>
    <mergeCell ref="C23:D23"/>
    <mergeCell ref="A24:O24"/>
    <mergeCell ref="B30:G30"/>
    <mergeCell ref="A31:O31"/>
    <mergeCell ref="B41:G41"/>
    <mergeCell ref="A42:O42"/>
    <mergeCell ref="C89:F89"/>
    <mergeCell ref="C90:F90"/>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32"/>
  <sheetViews>
    <sheetView view="pageBreakPreview" topLeftCell="A7" zoomScale="85" zoomScaleNormal="100" zoomScaleSheetLayoutView="85" workbookViewId="0">
      <selection activeCell="E9" sqref="E9"/>
    </sheetView>
  </sheetViews>
  <sheetFormatPr baseColWidth="10" defaultRowHeight="15"/>
  <cols>
    <col min="1" max="1" width="23.7109375" customWidth="1"/>
    <col min="2" max="2" width="38.28515625" customWidth="1"/>
    <col min="3" max="3" width="18.7109375" customWidth="1"/>
  </cols>
  <sheetData>
    <row r="1" spans="1:3" ht="18.75">
      <c r="A1" s="256" t="s">
        <v>1144</v>
      </c>
      <c r="B1" s="256"/>
    </row>
    <row r="2" spans="1:3" ht="15.75" thickBot="1"/>
    <row r="3" spans="1:3" ht="36" customHeight="1" thickBot="1">
      <c r="A3" s="514" t="s">
        <v>1145</v>
      </c>
      <c r="B3" s="515" t="s">
        <v>1143</v>
      </c>
      <c r="C3" s="516" t="s">
        <v>35</v>
      </c>
    </row>
    <row r="4" spans="1:3" ht="15.75" thickBot="1"/>
    <row r="5" spans="1:3">
      <c r="A5" s="499" t="s">
        <v>1146</v>
      </c>
      <c r="B5" s="505" t="s">
        <v>2</v>
      </c>
      <c r="C5" s="506">
        <v>4000</v>
      </c>
    </row>
    <row r="6" spans="1:3" ht="30">
      <c r="A6" s="501"/>
      <c r="B6" s="502" t="s">
        <v>1154</v>
      </c>
      <c r="C6" s="503">
        <v>10776.166400000002</v>
      </c>
    </row>
    <row r="7" spans="1:3">
      <c r="A7" s="501"/>
      <c r="B7" s="502" t="s">
        <v>1147</v>
      </c>
      <c r="C7" s="503">
        <v>21328.159999999996</v>
      </c>
    </row>
    <row r="8" spans="1:3">
      <c r="A8" s="501"/>
      <c r="B8" s="502" t="s">
        <v>1155</v>
      </c>
      <c r="C8" s="503">
        <v>2968</v>
      </c>
    </row>
    <row r="9" spans="1:3">
      <c r="A9" s="501"/>
      <c r="B9" s="502" t="s">
        <v>1148</v>
      </c>
      <c r="C9" s="503">
        <v>469</v>
      </c>
    </row>
    <row r="10" spans="1:3">
      <c r="A10" s="501"/>
      <c r="B10" s="502" t="s">
        <v>9</v>
      </c>
      <c r="C10" s="503">
        <v>9999.19</v>
      </c>
    </row>
    <row r="11" spans="1:3">
      <c r="A11" s="501"/>
      <c r="B11" s="502" t="s">
        <v>10</v>
      </c>
      <c r="C11" s="503">
        <v>1360.8</v>
      </c>
    </row>
    <row r="12" spans="1:3" ht="30.75" thickBot="1">
      <c r="A12" s="504"/>
      <c r="B12" s="512" t="s">
        <v>1149</v>
      </c>
      <c r="C12" s="513">
        <v>32831.870000000003</v>
      </c>
    </row>
    <row r="13" spans="1:3" ht="15.75" thickBot="1">
      <c r="A13" s="507"/>
      <c r="B13" s="510" t="s">
        <v>1165</v>
      </c>
      <c r="C13" s="509">
        <f>SUM(C5:C12)</f>
        <v>83733.186400000006</v>
      </c>
    </row>
    <row r="14" spans="1:3" ht="15.75" thickBot="1">
      <c r="B14" s="63"/>
      <c r="C14" s="31"/>
    </row>
    <row r="15" spans="1:3">
      <c r="A15" s="499" t="s">
        <v>1150</v>
      </c>
      <c r="B15" s="505" t="s">
        <v>1153</v>
      </c>
      <c r="C15" s="506">
        <f>3584+2240</f>
        <v>5824</v>
      </c>
    </row>
    <row r="16" spans="1:3">
      <c r="A16" s="501"/>
      <c r="B16" s="502" t="s">
        <v>1151</v>
      </c>
      <c r="C16" s="503">
        <v>5000</v>
      </c>
    </row>
    <row r="17" spans="1:3">
      <c r="A17" s="501"/>
      <c r="B17" s="502" t="s">
        <v>1152</v>
      </c>
      <c r="C17" s="503">
        <v>15000</v>
      </c>
    </row>
    <row r="18" spans="1:3">
      <c r="A18" s="501"/>
      <c r="B18" s="502" t="s">
        <v>1156</v>
      </c>
      <c r="C18" s="503">
        <f>1680+3373.44</f>
        <v>5053.4400000000005</v>
      </c>
    </row>
    <row r="19" spans="1:3">
      <c r="A19" s="501"/>
      <c r="B19" s="502" t="s">
        <v>1157</v>
      </c>
      <c r="C19" s="503">
        <v>9184.67</v>
      </c>
    </row>
    <row r="20" spans="1:3">
      <c r="A20" s="501"/>
      <c r="B20" s="502" t="s">
        <v>1158</v>
      </c>
      <c r="C20" s="503">
        <v>38422.269999999997</v>
      </c>
    </row>
    <row r="21" spans="1:3">
      <c r="A21" s="501"/>
      <c r="B21" s="502" t="s">
        <v>1163</v>
      </c>
      <c r="C21" s="503">
        <v>49153.599999999999</v>
      </c>
    </row>
    <row r="22" spans="1:3" ht="15.75" thickBot="1">
      <c r="A22" s="504"/>
      <c r="B22" s="512" t="s">
        <v>1164</v>
      </c>
      <c r="C22" s="513">
        <v>678403.39</v>
      </c>
    </row>
    <row r="23" spans="1:3" ht="15.75" thickBot="1">
      <c r="A23" s="507"/>
      <c r="B23" s="510" t="s">
        <v>1166</v>
      </c>
      <c r="C23" s="511">
        <f>SUM(C15:C22)</f>
        <v>806041.37</v>
      </c>
    </row>
    <row r="24" spans="1:3">
      <c r="C24" s="31"/>
    </row>
    <row r="25" spans="1:3" ht="15.75" thickBot="1"/>
    <row r="26" spans="1:3">
      <c r="A26" s="499" t="s">
        <v>258</v>
      </c>
      <c r="B26" s="500" t="s">
        <v>1159</v>
      </c>
      <c r="C26" s="506">
        <v>259600.8</v>
      </c>
    </row>
    <row r="27" spans="1:3">
      <c r="A27" s="501"/>
      <c r="B27" s="315" t="s">
        <v>1160</v>
      </c>
      <c r="C27" s="503">
        <v>21500.75</v>
      </c>
    </row>
    <row r="28" spans="1:3">
      <c r="A28" s="501"/>
      <c r="B28" s="315" t="s">
        <v>1161</v>
      </c>
      <c r="C28" s="503">
        <v>387126.22</v>
      </c>
    </row>
    <row r="29" spans="1:3" ht="15.75" thickBot="1">
      <c r="A29" s="501"/>
      <c r="B29" s="315" t="s">
        <v>1162</v>
      </c>
      <c r="C29" s="503">
        <v>65807.19</v>
      </c>
    </row>
    <row r="30" spans="1:3" ht="15.75" thickBot="1">
      <c r="A30" s="507"/>
      <c r="B30" s="510" t="s">
        <v>1167</v>
      </c>
      <c r="C30" s="511">
        <f>SUM(C26:C29)</f>
        <v>734034.96</v>
      </c>
    </row>
    <row r="31" spans="1:3" ht="15.75" thickBot="1">
      <c r="C31" s="31"/>
    </row>
    <row r="32" spans="1:3" ht="15.75" thickBot="1">
      <c r="A32" s="507"/>
      <c r="B32" s="508" t="s">
        <v>1168</v>
      </c>
      <c r="C32" s="509">
        <f>+C30+C23+C13</f>
        <v>1623809.5164000001</v>
      </c>
    </row>
  </sheetData>
  <printOptions horizontalCentered="1"/>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2:V79"/>
  <sheetViews>
    <sheetView topLeftCell="A16" workbookViewId="0">
      <selection activeCell="B58" sqref="B58"/>
    </sheetView>
  </sheetViews>
  <sheetFormatPr baseColWidth="10" defaultRowHeight="15"/>
  <cols>
    <col min="1" max="1" width="4.7109375" customWidth="1"/>
    <col min="3" max="3" width="5.42578125" customWidth="1"/>
    <col min="5" max="5" width="5.5703125" customWidth="1"/>
    <col min="6" max="6" width="4.140625" customWidth="1"/>
    <col min="7" max="7" width="13.28515625" customWidth="1"/>
    <col min="9" max="9" width="5.7109375" customWidth="1"/>
    <col min="11" max="11" width="6.140625" customWidth="1"/>
    <col min="12" max="12" width="4.7109375" customWidth="1"/>
    <col min="14" max="14" width="5" customWidth="1"/>
    <col min="15" max="15" width="4.7109375" customWidth="1"/>
    <col min="17" max="17" width="4.85546875" customWidth="1"/>
    <col min="18" max="18" width="5.42578125" customWidth="1"/>
    <col min="20" max="20" width="6.85546875" customWidth="1"/>
    <col min="21" max="21" width="5.7109375" customWidth="1"/>
  </cols>
  <sheetData>
    <row r="2" spans="1:22">
      <c r="A2" s="5">
        <v>1</v>
      </c>
      <c r="B2" s="5" t="s">
        <v>1062</v>
      </c>
      <c r="C2" s="5"/>
      <c r="D2" s="5"/>
    </row>
    <row r="3" spans="1:22">
      <c r="A3" t="s">
        <v>100</v>
      </c>
      <c r="B3" t="s">
        <v>1063</v>
      </c>
      <c r="H3" t="s">
        <v>1104</v>
      </c>
    </row>
    <row r="5" spans="1:22">
      <c r="A5" t="s">
        <v>100</v>
      </c>
      <c r="C5" t="s">
        <v>1067</v>
      </c>
      <c r="H5" t="s">
        <v>1066</v>
      </c>
    </row>
    <row r="6" spans="1:22">
      <c r="D6" s="278" t="s">
        <v>228</v>
      </c>
      <c r="E6" s="278"/>
      <c r="F6" s="278"/>
      <c r="G6" s="278"/>
      <c r="H6" s="278"/>
      <c r="I6" s="278"/>
      <c r="J6" s="278" t="s">
        <v>1064</v>
      </c>
      <c r="K6" s="278"/>
      <c r="L6" s="278"/>
      <c r="M6" s="278" t="s">
        <v>229</v>
      </c>
      <c r="N6" s="278"/>
      <c r="O6" s="278"/>
      <c r="P6" s="278" t="s">
        <v>232</v>
      </c>
      <c r="Q6" s="278"/>
      <c r="R6" s="278"/>
      <c r="S6" s="278" t="s">
        <v>233</v>
      </c>
      <c r="T6" s="278"/>
      <c r="U6" s="278"/>
      <c r="V6" s="278" t="s">
        <v>1065</v>
      </c>
    </row>
    <row r="7" spans="1:22" ht="48">
      <c r="D7" s="306" t="s">
        <v>168</v>
      </c>
      <c r="F7">
        <v>1</v>
      </c>
      <c r="G7" s="73" t="s">
        <v>119</v>
      </c>
      <c r="H7" s="71"/>
      <c r="J7" s="58" t="s">
        <v>153</v>
      </c>
      <c r="K7" s="70"/>
      <c r="M7" s="72" t="s">
        <v>198</v>
      </c>
      <c r="N7" s="70"/>
      <c r="P7" s="72" t="s">
        <v>183</v>
      </c>
      <c r="Q7" s="70"/>
      <c r="S7" s="72" t="s">
        <v>166</v>
      </c>
      <c r="V7" s="72" t="s">
        <v>141</v>
      </c>
    </row>
    <row r="8" spans="1:22" ht="36">
      <c r="A8" t="s">
        <v>100</v>
      </c>
      <c r="C8">
        <v>1</v>
      </c>
      <c r="D8" s="307" t="s">
        <v>170</v>
      </c>
      <c r="F8">
        <v>2</v>
      </c>
      <c r="G8" s="73" t="s">
        <v>119</v>
      </c>
      <c r="H8" s="71"/>
      <c r="I8">
        <v>1</v>
      </c>
      <c r="J8" s="72" t="s">
        <v>238</v>
      </c>
      <c r="K8" s="70"/>
      <c r="L8">
        <v>1</v>
      </c>
      <c r="M8" s="73" t="s">
        <v>202</v>
      </c>
      <c r="N8" s="71"/>
      <c r="O8">
        <v>1</v>
      </c>
      <c r="P8" s="73" t="s">
        <v>195</v>
      </c>
      <c r="Q8" s="71"/>
      <c r="R8">
        <v>1</v>
      </c>
      <c r="S8" s="73" t="s">
        <v>158</v>
      </c>
      <c r="U8">
        <v>1</v>
      </c>
      <c r="V8" s="73" t="s">
        <v>144</v>
      </c>
    </row>
    <row r="9" spans="1:22" ht="48">
      <c r="C9">
        <v>2</v>
      </c>
      <c r="D9" s="307" t="s">
        <v>176</v>
      </c>
      <c r="F9">
        <v>3</v>
      </c>
      <c r="G9" s="73" t="s">
        <v>123</v>
      </c>
      <c r="H9" s="71"/>
      <c r="L9">
        <v>2</v>
      </c>
      <c r="M9" s="72" t="s">
        <v>205</v>
      </c>
      <c r="N9" s="70"/>
      <c r="O9">
        <f>+O8+1</f>
        <v>2</v>
      </c>
      <c r="P9" s="73" t="s">
        <v>187</v>
      </c>
      <c r="Q9" s="71"/>
      <c r="R9">
        <f>+R8+1</f>
        <v>2</v>
      </c>
      <c r="S9" s="72" t="s">
        <v>160</v>
      </c>
      <c r="U9">
        <v>2</v>
      </c>
      <c r="V9" s="72" t="s">
        <v>147</v>
      </c>
    </row>
    <row r="10" spans="1:22" ht="48">
      <c r="C10">
        <v>3</v>
      </c>
      <c r="D10" s="307" t="s">
        <v>181</v>
      </c>
      <c r="F10">
        <v>4</v>
      </c>
      <c r="G10" s="73" t="s">
        <v>123</v>
      </c>
      <c r="H10" s="71"/>
      <c r="L10">
        <v>3</v>
      </c>
      <c r="M10" s="72" t="s">
        <v>207</v>
      </c>
      <c r="N10" s="70"/>
      <c r="O10">
        <f t="shared" ref="O10:O14" si="0">+O9+1</f>
        <v>3</v>
      </c>
      <c r="P10" s="72" t="s">
        <v>191</v>
      </c>
      <c r="Q10" s="70"/>
      <c r="R10">
        <f t="shared" ref="R10:R12" si="1">+R9+1</f>
        <v>3</v>
      </c>
      <c r="S10" s="72" t="s">
        <v>162</v>
      </c>
      <c r="U10">
        <v>3</v>
      </c>
      <c r="V10" s="72" t="s">
        <v>150</v>
      </c>
    </row>
    <row r="11" spans="1:22" ht="48">
      <c r="C11">
        <v>4</v>
      </c>
      <c r="D11" s="306" t="s">
        <v>172</v>
      </c>
      <c r="F11">
        <v>5</v>
      </c>
      <c r="G11" s="73" t="s">
        <v>119</v>
      </c>
      <c r="H11" s="71"/>
      <c r="L11">
        <v>4</v>
      </c>
      <c r="M11" s="72" t="s">
        <v>209</v>
      </c>
      <c r="N11" s="70"/>
      <c r="O11">
        <f t="shared" si="0"/>
        <v>4</v>
      </c>
      <c r="P11" s="58" t="s">
        <v>189</v>
      </c>
      <c r="Q11" s="70"/>
      <c r="R11">
        <f t="shared" si="1"/>
        <v>4</v>
      </c>
      <c r="S11" s="72" t="s">
        <v>164</v>
      </c>
    </row>
    <row r="12" spans="1:22" ht="48">
      <c r="C12">
        <v>5</v>
      </c>
      <c r="D12" s="308" t="s">
        <v>178</v>
      </c>
      <c r="F12">
        <v>6</v>
      </c>
      <c r="G12" s="72" t="s">
        <v>127</v>
      </c>
      <c r="H12" s="70"/>
      <c r="L12">
        <v>5</v>
      </c>
      <c r="M12" s="72" t="s">
        <v>200</v>
      </c>
      <c r="N12" s="70"/>
      <c r="O12">
        <f t="shared" si="0"/>
        <v>5</v>
      </c>
      <c r="P12" s="72" t="s">
        <v>193</v>
      </c>
      <c r="Q12" s="70"/>
      <c r="R12">
        <f t="shared" si="1"/>
        <v>5</v>
      </c>
      <c r="S12" s="72" t="s">
        <v>155</v>
      </c>
    </row>
    <row r="13" spans="1:22" ht="36">
      <c r="C13">
        <v>6</v>
      </c>
      <c r="D13" s="306" t="s">
        <v>267</v>
      </c>
      <c r="F13">
        <v>7</v>
      </c>
      <c r="G13" s="73" t="s">
        <v>130</v>
      </c>
      <c r="H13" s="71"/>
      <c r="O13">
        <f t="shared" si="0"/>
        <v>6</v>
      </c>
      <c r="P13" s="72" t="s">
        <v>132</v>
      </c>
      <c r="Q13" s="70"/>
    </row>
    <row r="14" spans="1:22" ht="36">
      <c r="C14">
        <v>7</v>
      </c>
      <c r="D14" s="306" t="s">
        <v>173</v>
      </c>
      <c r="O14">
        <f t="shared" si="0"/>
        <v>7</v>
      </c>
      <c r="P14" s="72" t="s">
        <v>185</v>
      </c>
      <c r="Q14" s="70"/>
    </row>
    <row r="15" spans="1:22">
      <c r="C15">
        <v>8</v>
      </c>
      <c r="D15" s="306" t="s">
        <v>174</v>
      </c>
    </row>
    <row r="17" spans="1:22">
      <c r="D17" s="309"/>
      <c r="E17" s="314">
        <f>+C15+F13+1</f>
        <v>16</v>
      </c>
      <c r="F17" s="310"/>
      <c r="G17" s="310"/>
      <c r="H17" s="310"/>
      <c r="I17" s="310"/>
      <c r="J17" s="314">
        <f>+I8+1</f>
        <v>2</v>
      </c>
      <c r="K17" s="310"/>
      <c r="L17" s="310"/>
      <c r="M17" s="314">
        <f>+L12+1</f>
        <v>6</v>
      </c>
      <c r="N17" s="310"/>
      <c r="O17" s="310"/>
      <c r="P17" s="314">
        <f>+O14+1</f>
        <v>8</v>
      </c>
      <c r="Q17" s="310"/>
      <c r="R17" s="310"/>
      <c r="S17" s="314">
        <f>+R12+1</f>
        <v>6</v>
      </c>
      <c r="T17" s="310"/>
      <c r="U17" s="310"/>
      <c r="V17" s="314">
        <f>+U10+1</f>
        <v>4</v>
      </c>
    </row>
    <row r="20" spans="1:22">
      <c r="H20" s="311" t="s">
        <v>35</v>
      </c>
      <c r="I20" s="312"/>
      <c r="J20" s="313">
        <f>SUM(E17:V17)</f>
        <v>42</v>
      </c>
    </row>
    <row r="27" spans="1:22">
      <c r="A27" s="5">
        <v>2</v>
      </c>
      <c r="B27" s="5" t="s">
        <v>1070</v>
      </c>
      <c r="C27" s="5"/>
      <c r="D27" s="5"/>
    </row>
    <row r="28" spans="1:22">
      <c r="A28" s="5"/>
      <c r="B28" s="323" t="s">
        <v>1100</v>
      </c>
      <c r="C28" s="5"/>
      <c r="D28" s="5"/>
    </row>
    <row r="29" spans="1:22">
      <c r="A29" t="s">
        <v>100</v>
      </c>
      <c r="B29" t="s">
        <v>1098</v>
      </c>
    </row>
    <row r="30" spans="1:22">
      <c r="B30" s="318" t="s">
        <v>1093</v>
      </c>
      <c r="C30" s="318"/>
      <c r="D30" s="318"/>
      <c r="G30" t="s">
        <v>1094</v>
      </c>
    </row>
    <row r="31" spans="1:22" ht="45.75" customHeight="1">
      <c r="B31" s="858" t="s">
        <v>1096</v>
      </c>
      <c r="C31" s="858"/>
      <c r="D31" s="858"/>
      <c r="G31" t="s">
        <v>1097</v>
      </c>
      <c r="M31" s="319"/>
    </row>
    <row r="33" spans="1:22">
      <c r="B33" t="s">
        <v>1060</v>
      </c>
    </row>
    <row r="34" spans="1:22">
      <c r="B34" t="s">
        <v>1099</v>
      </c>
    </row>
    <row r="36" spans="1:22">
      <c r="A36" t="s">
        <v>100</v>
      </c>
      <c r="C36" t="s">
        <v>1067</v>
      </c>
      <c r="H36" t="s">
        <v>1066</v>
      </c>
    </row>
    <row r="37" spans="1:22">
      <c r="D37" s="317" t="s">
        <v>228</v>
      </c>
      <c r="E37" s="317"/>
      <c r="F37" s="317"/>
      <c r="G37" s="317"/>
      <c r="H37" s="317"/>
      <c r="I37" s="317"/>
      <c r="J37" s="317" t="s">
        <v>1064</v>
      </c>
      <c r="K37" s="317"/>
      <c r="L37" s="317"/>
      <c r="M37" s="317" t="s">
        <v>229</v>
      </c>
      <c r="N37" s="317"/>
      <c r="O37" s="317"/>
      <c r="P37" s="317" t="s">
        <v>232</v>
      </c>
      <c r="Q37" s="317"/>
      <c r="R37" s="317"/>
      <c r="S37" s="317" t="s">
        <v>233</v>
      </c>
      <c r="T37" s="317"/>
      <c r="U37" s="317"/>
      <c r="V37" s="317" t="s">
        <v>1065</v>
      </c>
    </row>
    <row r="38" spans="1:22" ht="48">
      <c r="D38" s="306" t="s">
        <v>168</v>
      </c>
      <c r="F38">
        <v>1</v>
      </c>
      <c r="G38" s="73" t="s">
        <v>119</v>
      </c>
      <c r="H38" s="71"/>
      <c r="J38" s="58" t="s">
        <v>153</v>
      </c>
      <c r="K38" s="70"/>
      <c r="M38" s="72" t="s">
        <v>198</v>
      </c>
      <c r="N38" s="70"/>
      <c r="P38" s="72" t="s">
        <v>183</v>
      </c>
      <c r="Q38" s="70"/>
      <c r="S38" s="72" t="s">
        <v>166</v>
      </c>
      <c r="V38" s="72" t="s">
        <v>141</v>
      </c>
    </row>
    <row r="39" spans="1:22" ht="36">
      <c r="A39" t="s">
        <v>100</v>
      </c>
      <c r="C39">
        <v>1</v>
      </c>
      <c r="D39" s="307" t="s">
        <v>170</v>
      </c>
      <c r="F39">
        <v>2</v>
      </c>
      <c r="G39" s="73" t="s">
        <v>119</v>
      </c>
      <c r="H39" s="71"/>
      <c r="I39">
        <v>1</v>
      </c>
      <c r="J39" s="72" t="s">
        <v>238</v>
      </c>
      <c r="K39" s="70"/>
      <c r="L39">
        <v>1</v>
      </c>
      <c r="M39" s="73" t="s">
        <v>202</v>
      </c>
      <c r="N39" s="71"/>
      <c r="O39">
        <v>1</v>
      </c>
      <c r="P39" s="73" t="s">
        <v>195</v>
      </c>
      <c r="Q39" s="71"/>
      <c r="R39">
        <v>1</v>
      </c>
      <c r="S39" s="73" t="s">
        <v>158</v>
      </c>
      <c r="U39">
        <v>1</v>
      </c>
      <c r="V39" s="73" t="s">
        <v>144</v>
      </c>
    </row>
    <row r="40" spans="1:22" ht="48">
      <c r="C40">
        <v>2</v>
      </c>
      <c r="D40" s="307" t="s">
        <v>176</v>
      </c>
      <c r="F40">
        <v>3</v>
      </c>
      <c r="G40" s="73" t="s">
        <v>123</v>
      </c>
      <c r="H40" s="71"/>
      <c r="L40">
        <v>2</v>
      </c>
      <c r="M40" s="72" t="s">
        <v>205</v>
      </c>
      <c r="N40" s="70"/>
      <c r="O40">
        <f>+O39+1</f>
        <v>2</v>
      </c>
      <c r="P40" s="73" t="s">
        <v>187</v>
      </c>
      <c r="Q40" s="71"/>
      <c r="R40">
        <f>+R39+1</f>
        <v>2</v>
      </c>
      <c r="S40" s="72" t="s">
        <v>160</v>
      </c>
      <c r="U40">
        <v>2</v>
      </c>
      <c r="V40" s="72" t="s">
        <v>147</v>
      </c>
    </row>
    <row r="41" spans="1:22" ht="48">
      <c r="C41">
        <v>3</v>
      </c>
      <c r="D41" s="307" t="s">
        <v>181</v>
      </c>
      <c r="F41">
        <v>4</v>
      </c>
      <c r="G41" s="73" t="s">
        <v>123</v>
      </c>
      <c r="H41" s="71"/>
      <c r="L41">
        <v>3</v>
      </c>
      <c r="M41" s="72" t="s">
        <v>207</v>
      </c>
      <c r="N41" s="70"/>
      <c r="O41">
        <f t="shared" ref="O41:O45" si="2">+O40+1</f>
        <v>3</v>
      </c>
      <c r="P41" s="72" t="s">
        <v>191</v>
      </c>
      <c r="Q41" s="70"/>
      <c r="R41">
        <f t="shared" ref="R41:R43" si="3">+R40+1</f>
        <v>3</v>
      </c>
      <c r="S41" s="72" t="s">
        <v>162</v>
      </c>
      <c r="U41">
        <v>3</v>
      </c>
      <c r="V41" s="72" t="s">
        <v>150</v>
      </c>
    </row>
    <row r="42" spans="1:22" ht="48">
      <c r="C42">
        <v>4</v>
      </c>
      <c r="D42" s="306" t="s">
        <v>172</v>
      </c>
      <c r="F42">
        <v>5</v>
      </c>
      <c r="G42" s="73" t="s">
        <v>119</v>
      </c>
      <c r="H42" s="71"/>
      <c r="L42">
        <v>4</v>
      </c>
      <c r="M42" s="72" t="s">
        <v>209</v>
      </c>
      <c r="N42" s="70"/>
      <c r="O42">
        <f t="shared" si="2"/>
        <v>4</v>
      </c>
      <c r="P42" s="58" t="s">
        <v>189</v>
      </c>
      <c r="Q42" s="70"/>
      <c r="R42">
        <f t="shared" si="3"/>
        <v>4</v>
      </c>
      <c r="S42" s="72" t="s">
        <v>164</v>
      </c>
    </row>
    <row r="43" spans="1:22" ht="48">
      <c r="C43">
        <v>5</v>
      </c>
      <c r="D43" s="308" t="s">
        <v>178</v>
      </c>
      <c r="F43">
        <v>6</v>
      </c>
      <c r="G43" s="72" t="s">
        <v>127</v>
      </c>
      <c r="H43" s="70"/>
      <c r="L43">
        <v>5</v>
      </c>
      <c r="M43" s="72" t="s">
        <v>200</v>
      </c>
      <c r="N43" s="70"/>
      <c r="O43">
        <f t="shared" si="2"/>
        <v>5</v>
      </c>
      <c r="P43" s="72" t="s">
        <v>193</v>
      </c>
      <c r="Q43" s="70"/>
      <c r="R43">
        <f t="shared" si="3"/>
        <v>5</v>
      </c>
      <c r="S43" s="72" t="s">
        <v>155</v>
      </c>
    </row>
    <row r="44" spans="1:22" ht="36">
      <c r="C44">
        <v>6</v>
      </c>
      <c r="D44" s="306" t="s">
        <v>267</v>
      </c>
      <c r="F44">
        <v>7</v>
      </c>
      <c r="G44" s="73" t="s">
        <v>130</v>
      </c>
      <c r="H44" s="71"/>
      <c r="O44">
        <f t="shared" si="2"/>
        <v>6</v>
      </c>
      <c r="P44" s="72" t="s">
        <v>132</v>
      </c>
      <c r="Q44" s="70"/>
    </row>
    <row r="45" spans="1:22" ht="36">
      <c r="C45">
        <v>7</v>
      </c>
      <c r="D45" s="306" t="s">
        <v>174</v>
      </c>
      <c r="O45">
        <f t="shared" si="2"/>
        <v>7</v>
      </c>
      <c r="P45" s="72" t="s">
        <v>185</v>
      </c>
      <c r="Q45" s="70"/>
    </row>
    <row r="48" spans="1:22">
      <c r="D48" s="309"/>
      <c r="E48" s="314">
        <f>+C45+F44+1</f>
        <v>15</v>
      </c>
      <c r="F48" s="310"/>
      <c r="G48" s="310"/>
      <c r="H48" s="310"/>
      <c r="I48" s="310"/>
      <c r="J48" s="314">
        <f>+I39+1</f>
        <v>2</v>
      </c>
      <c r="K48" s="310"/>
      <c r="L48" s="310"/>
      <c r="M48" s="314">
        <f>+L43+1</f>
        <v>6</v>
      </c>
      <c r="N48" s="310"/>
      <c r="O48" s="310"/>
      <c r="P48" s="314">
        <f>+O45+1</f>
        <v>8</v>
      </c>
      <c r="Q48" s="310"/>
      <c r="R48" s="310"/>
      <c r="S48" s="314">
        <f>+R43+1</f>
        <v>6</v>
      </c>
      <c r="T48" s="310"/>
      <c r="U48" s="310"/>
      <c r="V48" s="314">
        <f>+U41+1</f>
        <v>4</v>
      </c>
    </row>
    <row r="51" spans="1:13">
      <c r="H51" s="311" t="s">
        <v>35</v>
      </c>
      <c r="I51" s="312"/>
      <c r="J51" s="313">
        <f>SUM(E48:V48)</f>
        <v>41</v>
      </c>
    </row>
    <row r="55" spans="1:13">
      <c r="A55" s="5">
        <v>3</v>
      </c>
      <c r="B55" s="5" t="s">
        <v>1101</v>
      </c>
      <c r="C55" s="5"/>
      <c r="D55" s="5"/>
    </row>
    <row r="56" spans="1:13">
      <c r="A56" s="5"/>
      <c r="B56" s="323" t="s">
        <v>1100</v>
      </c>
      <c r="C56" s="324"/>
      <c r="D56" s="5"/>
    </row>
    <row r="57" spans="1:13" ht="15.75">
      <c r="A57" t="s">
        <v>100</v>
      </c>
      <c r="B57" s="321" t="s">
        <v>1102</v>
      </c>
      <c r="D57" s="321"/>
      <c r="E57" s="321"/>
      <c r="F57" s="321"/>
      <c r="G57" s="321" t="s">
        <v>1105</v>
      </c>
    </row>
    <row r="58" spans="1:13" ht="15.75">
      <c r="B58" s="322" t="s">
        <v>1103</v>
      </c>
      <c r="D58" s="322"/>
      <c r="E58" s="321"/>
      <c r="F58" s="321"/>
      <c r="G58" s="321"/>
    </row>
    <row r="59" spans="1:13">
      <c r="B59" s="858"/>
      <c r="C59" s="858"/>
      <c r="D59" s="858"/>
      <c r="M59" s="319"/>
    </row>
    <row r="61" spans="1:13">
      <c r="B61" t="s">
        <v>1060</v>
      </c>
    </row>
    <row r="62" spans="1:13">
      <c r="B62" t="s">
        <v>1099</v>
      </c>
    </row>
    <row r="64" spans="1:13">
      <c r="A64" t="s">
        <v>100</v>
      </c>
      <c r="C64" t="s">
        <v>1067</v>
      </c>
      <c r="H64" t="s">
        <v>1066</v>
      </c>
    </row>
    <row r="65" spans="1:22">
      <c r="D65" s="320" t="s">
        <v>228</v>
      </c>
      <c r="E65" s="320"/>
      <c r="F65" s="320"/>
      <c r="G65" s="320"/>
      <c r="H65" s="320"/>
      <c r="I65" s="320"/>
      <c r="J65" s="320" t="s">
        <v>1064</v>
      </c>
      <c r="K65" s="320"/>
      <c r="L65" s="320"/>
      <c r="M65" s="320" t="s">
        <v>229</v>
      </c>
      <c r="N65" s="320"/>
      <c r="O65" s="320"/>
      <c r="P65" s="320" t="s">
        <v>232</v>
      </c>
      <c r="Q65" s="320"/>
      <c r="R65" s="320"/>
      <c r="S65" s="320" t="s">
        <v>233</v>
      </c>
      <c r="T65" s="320"/>
      <c r="U65" s="320"/>
      <c r="V65" s="320" t="s">
        <v>1065</v>
      </c>
    </row>
    <row r="66" spans="1:22" ht="48">
      <c r="D66" s="306" t="s">
        <v>168</v>
      </c>
      <c r="F66">
        <v>1</v>
      </c>
      <c r="G66" s="73" t="s">
        <v>119</v>
      </c>
      <c r="H66" s="71"/>
      <c r="M66" s="72" t="s">
        <v>198</v>
      </c>
      <c r="N66" s="70"/>
      <c r="P66" s="72" t="s">
        <v>183</v>
      </c>
      <c r="Q66" s="70"/>
      <c r="S66" s="72" t="s">
        <v>166</v>
      </c>
      <c r="V66" s="72" t="s">
        <v>141</v>
      </c>
    </row>
    <row r="67" spans="1:22" ht="36">
      <c r="A67" t="s">
        <v>100</v>
      </c>
      <c r="C67">
        <v>1</v>
      </c>
      <c r="D67" s="307" t="s">
        <v>170</v>
      </c>
      <c r="F67">
        <v>2</v>
      </c>
      <c r="G67" s="73" t="s">
        <v>119</v>
      </c>
      <c r="H67" s="71"/>
      <c r="I67">
        <v>1</v>
      </c>
      <c r="J67" s="72" t="s">
        <v>238</v>
      </c>
      <c r="K67" s="70"/>
      <c r="L67">
        <v>1</v>
      </c>
      <c r="M67" s="73" t="s">
        <v>202</v>
      </c>
      <c r="N67" s="71"/>
      <c r="O67">
        <v>1</v>
      </c>
      <c r="P67" s="73" t="s">
        <v>195</v>
      </c>
      <c r="Q67" s="71"/>
      <c r="R67">
        <v>1</v>
      </c>
      <c r="S67" s="73" t="s">
        <v>158</v>
      </c>
      <c r="U67">
        <v>1</v>
      </c>
      <c r="V67" s="73" t="s">
        <v>144</v>
      </c>
    </row>
    <row r="68" spans="1:22" ht="48">
      <c r="C68">
        <v>2</v>
      </c>
      <c r="D68" s="307" t="s">
        <v>176</v>
      </c>
      <c r="F68">
        <v>3</v>
      </c>
      <c r="G68" s="73" t="s">
        <v>123</v>
      </c>
      <c r="H68" s="71"/>
      <c r="L68">
        <v>2</v>
      </c>
      <c r="M68" s="72" t="s">
        <v>205</v>
      </c>
      <c r="N68" s="70"/>
      <c r="O68">
        <f>+O67+1</f>
        <v>2</v>
      </c>
      <c r="P68" s="73" t="s">
        <v>187</v>
      </c>
      <c r="Q68" s="71"/>
      <c r="R68">
        <f>+R67+1</f>
        <v>2</v>
      </c>
      <c r="S68" s="72" t="s">
        <v>160</v>
      </c>
      <c r="U68">
        <v>2</v>
      </c>
      <c r="V68" s="72" t="s">
        <v>147</v>
      </c>
    </row>
    <row r="69" spans="1:22" ht="48">
      <c r="C69">
        <v>3</v>
      </c>
      <c r="D69" s="307" t="s">
        <v>181</v>
      </c>
      <c r="F69">
        <v>4</v>
      </c>
      <c r="G69" s="73" t="s">
        <v>123</v>
      </c>
      <c r="H69" s="71"/>
      <c r="L69">
        <v>3</v>
      </c>
      <c r="M69" s="72" t="s">
        <v>207</v>
      </c>
      <c r="N69" s="70"/>
      <c r="O69">
        <f t="shared" ref="O69:O73" si="4">+O68+1</f>
        <v>3</v>
      </c>
      <c r="P69" s="72" t="s">
        <v>191</v>
      </c>
      <c r="Q69" s="70"/>
      <c r="R69">
        <f t="shared" ref="R69:R71" si="5">+R68+1</f>
        <v>3</v>
      </c>
      <c r="S69" s="72" t="s">
        <v>162</v>
      </c>
      <c r="U69">
        <v>3</v>
      </c>
      <c r="V69" s="72" t="s">
        <v>150</v>
      </c>
    </row>
    <row r="70" spans="1:22" ht="48">
      <c r="C70">
        <v>4</v>
      </c>
      <c r="D70" s="308" t="s">
        <v>178</v>
      </c>
      <c r="F70">
        <v>5</v>
      </c>
      <c r="G70" s="73" t="s">
        <v>119</v>
      </c>
      <c r="H70" s="71"/>
      <c r="L70">
        <v>4</v>
      </c>
      <c r="M70" s="72" t="s">
        <v>209</v>
      </c>
      <c r="N70" s="70"/>
      <c r="O70">
        <f t="shared" si="4"/>
        <v>4</v>
      </c>
      <c r="P70" s="58" t="s">
        <v>189</v>
      </c>
      <c r="Q70" s="70"/>
      <c r="R70">
        <f t="shared" si="5"/>
        <v>4</v>
      </c>
      <c r="S70" s="72" t="s">
        <v>164</v>
      </c>
    </row>
    <row r="71" spans="1:22" ht="48">
      <c r="F71">
        <v>6</v>
      </c>
      <c r="G71" s="72" t="s">
        <v>127</v>
      </c>
      <c r="H71" s="70"/>
      <c r="L71">
        <v>5</v>
      </c>
      <c r="M71" s="73" t="s">
        <v>200</v>
      </c>
      <c r="N71" s="70"/>
      <c r="O71">
        <f t="shared" si="4"/>
        <v>5</v>
      </c>
      <c r="P71" s="72" t="s">
        <v>193</v>
      </c>
      <c r="Q71" s="70"/>
      <c r="R71">
        <f t="shared" si="5"/>
        <v>5</v>
      </c>
      <c r="S71" s="73" t="s">
        <v>155</v>
      </c>
    </row>
    <row r="72" spans="1:22" ht="36">
      <c r="F72">
        <v>7</v>
      </c>
      <c r="G72" s="73" t="s">
        <v>130</v>
      </c>
      <c r="H72" s="71"/>
      <c r="O72">
        <f t="shared" si="4"/>
        <v>6</v>
      </c>
      <c r="P72" s="72" t="s">
        <v>132</v>
      </c>
      <c r="Q72" s="70"/>
    </row>
    <row r="73" spans="1:22" ht="36">
      <c r="O73">
        <f t="shared" si="4"/>
        <v>7</v>
      </c>
      <c r="P73" s="73" t="s">
        <v>185</v>
      </c>
      <c r="Q73" s="70"/>
    </row>
    <row r="76" spans="1:22">
      <c r="D76" s="309"/>
      <c r="E76" s="314">
        <f>+C70+1+F72</f>
        <v>12</v>
      </c>
      <c r="F76" s="310"/>
      <c r="G76" s="310"/>
      <c r="H76" s="310"/>
      <c r="I76" s="310"/>
      <c r="J76" s="314">
        <f>+I67</f>
        <v>1</v>
      </c>
      <c r="K76" s="310"/>
      <c r="L76" s="310"/>
      <c r="M76" s="314">
        <f>+L71+1</f>
        <v>6</v>
      </c>
      <c r="N76" s="310"/>
      <c r="O76" s="310"/>
      <c r="P76" s="314">
        <f>+O73+1</f>
        <v>8</v>
      </c>
      <c r="Q76" s="310"/>
      <c r="R76" s="310"/>
      <c r="S76" s="314">
        <f>+R71+1</f>
        <v>6</v>
      </c>
      <c r="T76" s="310"/>
      <c r="U76" s="310"/>
      <c r="V76" s="314">
        <f>+U69+1</f>
        <v>4</v>
      </c>
    </row>
    <row r="79" spans="1:22">
      <c r="H79" s="311" t="s">
        <v>35</v>
      </c>
      <c r="I79" s="312"/>
      <c r="J79" s="313">
        <f>SUM(E76:V76)</f>
        <v>37</v>
      </c>
    </row>
  </sheetData>
  <mergeCells count="2">
    <mergeCell ref="B31:D31"/>
    <mergeCell ref="B59:D59"/>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O1522"/>
  <sheetViews>
    <sheetView topLeftCell="A201" workbookViewId="0">
      <selection activeCell="G213" sqref="G213"/>
    </sheetView>
  </sheetViews>
  <sheetFormatPr baseColWidth="10" defaultRowHeight="20.25" customHeight="1"/>
  <cols>
    <col min="1" max="1" width="18.28515625" style="138" customWidth="1"/>
    <col min="2" max="2" width="34.85546875" style="138" customWidth="1"/>
    <col min="3" max="3" width="9.140625" style="138" customWidth="1"/>
    <col min="4" max="4" width="11.5703125" style="138" customWidth="1"/>
    <col min="5" max="5" width="11.7109375" style="138" customWidth="1"/>
    <col min="6" max="6" width="10.85546875" style="138" customWidth="1"/>
    <col min="7" max="7" width="11" style="138" customWidth="1"/>
    <col min="8" max="8" width="12.140625" style="138" customWidth="1"/>
    <col min="9" max="9" width="35.7109375" style="138" customWidth="1"/>
    <col min="10" max="10" width="7" style="138" customWidth="1"/>
    <col min="11" max="11" width="8.28515625" style="138" customWidth="1"/>
    <col min="12" max="12" width="8.85546875" style="138" customWidth="1"/>
    <col min="13" max="13" width="8.5703125" style="138" customWidth="1"/>
    <col min="14" max="14" width="8.140625" style="138" customWidth="1"/>
    <col min="15" max="16384" width="11.42578125" style="138"/>
  </cols>
  <sheetData>
    <row r="1" spans="1:15" ht="20.25" customHeight="1">
      <c r="A1" s="871" t="s">
        <v>569</v>
      </c>
      <c r="B1" s="872"/>
      <c r="C1" s="872"/>
      <c r="D1" s="872"/>
      <c r="E1" s="872"/>
      <c r="F1" s="872"/>
      <c r="G1" s="872"/>
      <c r="H1" s="872"/>
      <c r="I1" s="873"/>
    </row>
    <row r="2" spans="1:15" ht="20.25" customHeight="1">
      <c r="A2" s="627"/>
      <c r="B2" s="627"/>
      <c r="C2" s="627"/>
      <c r="D2" s="627"/>
      <c r="E2" s="627"/>
      <c r="F2" s="627"/>
      <c r="G2" s="627"/>
      <c r="H2" s="627"/>
      <c r="I2" s="627"/>
    </row>
    <row r="3" spans="1:15" ht="20.25" customHeight="1">
      <c r="A3" s="142" t="s">
        <v>570</v>
      </c>
      <c r="B3" s="142" t="str">
        <f>'[3]PROY 2016'!D8</f>
        <v>ESTUDIOS DE OBRAS, CONSTRUCCIÓN Y REHABILITACIÓN DE SISTEMAS DE RIEGO Y DRENAJE</v>
      </c>
      <c r="C3" s="627"/>
      <c r="D3" s="627"/>
      <c r="E3" s="627"/>
      <c r="F3" s="627"/>
      <c r="G3" s="627"/>
      <c r="H3" s="627"/>
      <c r="I3" s="627"/>
    </row>
    <row r="4" spans="1:15" ht="20.25" customHeight="1">
      <c r="A4" s="142" t="s">
        <v>571</v>
      </c>
      <c r="B4" s="142" t="s">
        <v>604</v>
      </c>
      <c r="C4" s="627"/>
      <c r="E4" s="627"/>
      <c r="F4" s="627"/>
      <c r="G4" s="627"/>
      <c r="H4" s="627"/>
      <c r="I4" s="627"/>
    </row>
    <row r="5" spans="1:15" ht="20.25" customHeight="1">
      <c r="A5" s="142" t="s">
        <v>572</v>
      </c>
      <c r="B5" s="141" t="s">
        <v>573</v>
      </c>
      <c r="C5" s="141"/>
      <c r="D5" s="141"/>
      <c r="E5" s="141"/>
      <c r="F5" s="141"/>
      <c r="G5" s="141"/>
      <c r="H5" s="141"/>
      <c r="I5" s="141"/>
    </row>
    <row r="6" spans="1:15" ht="20.25" customHeight="1">
      <c r="A6" s="142" t="s">
        <v>574</v>
      </c>
      <c r="B6" s="869" t="s">
        <v>575</v>
      </c>
      <c r="C6" s="869"/>
      <c r="D6" s="869"/>
      <c r="E6" s="869"/>
      <c r="F6" s="869"/>
      <c r="G6" s="861" t="s">
        <v>484</v>
      </c>
      <c r="H6" s="861"/>
      <c r="I6" s="861"/>
    </row>
    <row r="7" spans="1:15" ht="20.25" customHeight="1">
      <c r="A7" s="628"/>
      <c r="B7" s="628"/>
      <c r="C7" s="628"/>
      <c r="D7" s="628"/>
      <c r="E7" s="628"/>
      <c r="F7" s="628"/>
      <c r="G7" s="862" t="s">
        <v>311</v>
      </c>
      <c r="H7" s="862"/>
      <c r="I7" s="628"/>
      <c r="J7"/>
      <c r="K7"/>
      <c r="L7"/>
      <c r="M7"/>
      <c r="N7"/>
      <c r="O7"/>
    </row>
    <row r="8" spans="1:15" ht="20.25" customHeight="1">
      <c r="A8" s="629" t="s">
        <v>301</v>
      </c>
      <c r="B8" s="148" t="s">
        <v>302</v>
      </c>
      <c r="C8" s="148" t="s">
        <v>312</v>
      </c>
      <c r="D8" s="148" t="s">
        <v>303</v>
      </c>
      <c r="E8" s="148" t="s">
        <v>304</v>
      </c>
      <c r="F8" s="148" t="s">
        <v>305</v>
      </c>
      <c r="G8" s="148" t="s">
        <v>306</v>
      </c>
      <c r="H8" s="148" t="s">
        <v>307</v>
      </c>
      <c r="I8" s="148" t="s">
        <v>308</v>
      </c>
      <c r="J8"/>
      <c r="K8"/>
      <c r="L8"/>
      <c r="M8"/>
      <c r="N8"/>
      <c r="O8"/>
    </row>
    <row r="9" spans="1:15" ht="20.25" customHeight="1">
      <c r="A9" s="136" t="s">
        <v>373</v>
      </c>
      <c r="B9" s="136" t="s">
        <v>576</v>
      </c>
      <c r="C9" s="152">
        <v>1</v>
      </c>
      <c r="D9" s="152" t="s">
        <v>577</v>
      </c>
      <c r="E9" s="630">
        <v>2678.5714285714284</v>
      </c>
      <c r="F9" s="631">
        <f>E9*C9</f>
        <v>2678.5714285714284</v>
      </c>
      <c r="G9" s="630">
        <f>F9*1.12</f>
        <v>3000</v>
      </c>
      <c r="H9" s="152">
        <f>'[3]PROF PRESUPUEST'!B129</f>
        <v>730601</v>
      </c>
      <c r="I9" s="136" t="str">
        <f>'[3]PROF PRESUPUEST'!G123</f>
        <v>Consultoría, asesoría e Investigación Especializada</v>
      </c>
      <c r="J9"/>
      <c r="K9"/>
      <c r="L9"/>
      <c r="M9"/>
      <c r="N9"/>
      <c r="O9"/>
    </row>
    <row r="10" spans="1:15" ht="20.25" customHeight="1">
      <c r="A10" s="155" t="s">
        <v>373</v>
      </c>
      <c r="B10" s="159" t="s">
        <v>352</v>
      </c>
      <c r="C10" s="152">
        <v>15</v>
      </c>
      <c r="D10" s="152" t="s">
        <v>353</v>
      </c>
      <c r="E10" s="152">
        <v>17.5</v>
      </c>
      <c r="F10" s="630">
        <f>E10*C10</f>
        <v>262.5</v>
      </c>
      <c r="G10" s="630">
        <f>F10*1.12</f>
        <v>294</v>
      </c>
      <c r="H10" s="152">
        <f>'[3]PROF PRESUPUEST'!$B$119</f>
        <v>730212</v>
      </c>
      <c r="I10" s="152" t="s">
        <v>965</v>
      </c>
      <c r="J10"/>
      <c r="K10"/>
      <c r="L10"/>
      <c r="M10"/>
      <c r="N10"/>
      <c r="O10"/>
    </row>
    <row r="11" spans="1:15" ht="20.25" customHeight="1">
      <c r="A11" s="155" t="str">
        <f>A10</f>
        <v>Servicio</v>
      </c>
      <c r="B11" s="155" t="s">
        <v>354</v>
      </c>
      <c r="C11" s="152">
        <v>1</v>
      </c>
      <c r="D11" s="152" t="s">
        <v>353</v>
      </c>
      <c r="E11" s="152">
        <v>90</v>
      </c>
      <c r="F11" s="630">
        <f t="shared" ref="F11:F12" si="0">E11*C11</f>
        <v>90</v>
      </c>
      <c r="G11" s="630">
        <f t="shared" ref="G11:G12" si="1">F11*1.12</f>
        <v>100.80000000000001</v>
      </c>
      <c r="H11" s="152">
        <f>'[3]PROF PRESUPUEST'!$B$119</f>
        <v>730212</v>
      </c>
      <c r="I11" s="152" t="s">
        <v>965</v>
      </c>
      <c r="J11"/>
      <c r="K11"/>
      <c r="L11"/>
      <c r="M11"/>
      <c r="N11"/>
      <c r="O11"/>
    </row>
    <row r="12" spans="1:15" ht="20.25" customHeight="1">
      <c r="A12" s="155" t="s">
        <v>373</v>
      </c>
      <c r="B12" s="159" t="s">
        <v>578</v>
      </c>
      <c r="C12" s="152">
        <v>2</v>
      </c>
      <c r="D12" s="152" t="s">
        <v>355</v>
      </c>
      <c r="E12" s="152">
        <v>100</v>
      </c>
      <c r="F12" s="630">
        <f t="shared" si="0"/>
        <v>200</v>
      </c>
      <c r="G12" s="630">
        <f t="shared" si="1"/>
        <v>224.00000000000003</v>
      </c>
      <c r="H12" s="152">
        <v>730204</v>
      </c>
      <c r="I12" s="136" t="s">
        <v>579</v>
      </c>
      <c r="J12"/>
      <c r="K12"/>
      <c r="L12"/>
      <c r="M12"/>
      <c r="N12"/>
      <c r="O12"/>
    </row>
    <row r="13" spans="1:15" ht="20.25" customHeight="1">
      <c r="A13" s="628"/>
      <c r="B13" s="628"/>
      <c r="C13" s="628"/>
      <c r="D13" s="628"/>
      <c r="E13" s="146" t="s">
        <v>35</v>
      </c>
      <c r="F13" s="632">
        <f>SUM(F9:F12)</f>
        <v>3231.0714285714284</v>
      </c>
      <c r="G13" s="633">
        <f>SUM(G9:G12)</f>
        <v>3618.8</v>
      </c>
      <c r="H13" s="628"/>
      <c r="I13" s="628"/>
      <c r="J13"/>
      <c r="K13"/>
      <c r="L13"/>
      <c r="M13"/>
      <c r="N13"/>
      <c r="O13"/>
    </row>
    <row r="14" spans="1:15" ht="20.25" customHeight="1">
      <c r="A14" s="628"/>
      <c r="B14" s="628"/>
      <c r="C14" s="628"/>
      <c r="D14" s="628"/>
      <c r="E14" s="634"/>
      <c r="F14" s="635"/>
      <c r="G14" s="635"/>
      <c r="H14" s="628"/>
      <c r="I14" s="628"/>
      <c r="J14"/>
      <c r="K14"/>
      <c r="L14"/>
      <c r="M14"/>
      <c r="N14"/>
      <c r="O14"/>
    </row>
    <row r="15" spans="1:15" ht="20.25" customHeight="1">
      <c r="A15" s="867" t="s">
        <v>569</v>
      </c>
      <c r="B15" s="867"/>
      <c r="C15" s="867"/>
      <c r="D15" s="867"/>
      <c r="E15" s="867"/>
      <c r="F15" s="867"/>
      <c r="G15" s="867"/>
      <c r="H15" s="867"/>
      <c r="I15" s="867"/>
      <c r="J15"/>
      <c r="K15"/>
      <c r="L15"/>
      <c r="M15"/>
      <c r="N15"/>
      <c r="O15"/>
    </row>
    <row r="16" spans="1:15" ht="20.25" customHeight="1">
      <c r="A16" s="142" t="s">
        <v>570</v>
      </c>
      <c r="B16" s="142" t="str">
        <f>B3</f>
        <v>ESTUDIOS DE OBRAS, CONSTRUCCIÓN Y REHABILITACIÓN DE SISTEMAS DE RIEGO Y DRENAJE</v>
      </c>
      <c r="C16" s="627"/>
      <c r="D16" s="627"/>
      <c r="E16" s="627"/>
      <c r="F16" s="627"/>
      <c r="G16" s="627"/>
      <c r="H16" s="627"/>
      <c r="I16" s="627"/>
      <c r="J16"/>
      <c r="K16"/>
      <c r="L16"/>
      <c r="M16"/>
    </row>
    <row r="17" spans="1:13" ht="20.25" customHeight="1">
      <c r="A17" s="142" t="s">
        <v>580</v>
      </c>
      <c r="B17" s="142" t="s">
        <v>606</v>
      </c>
      <c r="C17" s="627"/>
      <c r="D17" s="627"/>
      <c r="E17" s="627"/>
      <c r="F17" s="627"/>
      <c r="G17" s="627"/>
      <c r="H17" s="627"/>
      <c r="I17" s="627"/>
      <c r="J17"/>
      <c r="K17"/>
      <c r="L17"/>
      <c r="M17"/>
    </row>
    <row r="18" spans="1:13" ht="20.25" customHeight="1">
      <c r="A18" s="142" t="s">
        <v>572</v>
      </c>
      <c r="B18" s="141" t="s">
        <v>581</v>
      </c>
      <c r="C18" s="141"/>
      <c r="D18" s="141"/>
      <c r="E18" s="141"/>
      <c r="F18" s="141"/>
      <c r="G18" s="141"/>
      <c r="H18" s="141"/>
      <c r="I18" s="141"/>
      <c r="J18"/>
      <c r="K18"/>
      <c r="L18"/>
      <c r="M18"/>
    </row>
    <row r="19" spans="1:13" ht="20.25" customHeight="1">
      <c r="A19" s="142" t="s">
        <v>574</v>
      </c>
      <c r="B19" s="869" t="s">
        <v>575</v>
      </c>
      <c r="C19" s="869"/>
      <c r="D19" s="869"/>
      <c r="E19" s="869"/>
      <c r="F19" s="869"/>
      <c r="G19" s="861" t="s">
        <v>484</v>
      </c>
      <c r="H19" s="861"/>
      <c r="I19" s="861"/>
      <c r="J19"/>
      <c r="K19"/>
      <c r="L19"/>
      <c r="M19"/>
    </row>
    <row r="20" spans="1:13" ht="20.25" customHeight="1">
      <c r="A20" s="628"/>
      <c r="B20" s="628"/>
      <c r="C20" s="628"/>
      <c r="D20" s="628"/>
      <c r="E20" s="628"/>
      <c r="F20" s="628"/>
      <c r="G20" s="862" t="s">
        <v>311</v>
      </c>
      <c r="H20" s="862"/>
      <c r="I20" s="628"/>
      <c r="J20"/>
      <c r="K20"/>
      <c r="L20"/>
      <c r="M20"/>
    </row>
    <row r="21" spans="1:13" ht="20.25" customHeight="1">
      <c r="A21" s="629" t="s">
        <v>301</v>
      </c>
      <c r="B21" s="148" t="s">
        <v>302</v>
      </c>
      <c r="C21" s="148" t="s">
        <v>312</v>
      </c>
      <c r="D21" s="148" t="s">
        <v>303</v>
      </c>
      <c r="E21" s="148" t="s">
        <v>304</v>
      </c>
      <c r="F21" s="148" t="s">
        <v>305</v>
      </c>
      <c r="G21" s="148" t="s">
        <v>306</v>
      </c>
      <c r="H21" s="148" t="s">
        <v>307</v>
      </c>
      <c r="I21" s="148" t="s">
        <v>308</v>
      </c>
      <c r="J21"/>
      <c r="K21"/>
      <c r="L21"/>
      <c r="M21"/>
    </row>
    <row r="22" spans="1:13" ht="20.25" customHeight="1">
      <c r="A22" s="136" t="s">
        <v>373</v>
      </c>
      <c r="B22" s="159" t="s">
        <v>352</v>
      </c>
      <c r="C22" s="152">
        <v>12</v>
      </c>
      <c r="D22" s="152" t="s">
        <v>353</v>
      </c>
      <c r="E22" s="152">
        <v>17.5</v>
      </c>
      <c r="F22" s="630">
        <f>E22*C22</f>
        <v>210</v>
      </c>
      <c r="G22" s="630">
        <f>F22*1.12</f>
        <v>235.20000000000002</v>
      </c>
      <c r="H22" s="152">
        <f>'[3]PROF PRESUPUEST'!$B$119</f>
        <v>730212</v>
      </c>
      <c r="I22" s="152" t="s">
        <v>965</v>
      </c>
      <c r="J22"/>
      <c r="K22"/>
      <c r="L22"/>
      <c r="M22"/>
    </row>
    <row r="23" spans="1:13" ht="20.25" customHeight="1">
      <c r="A23" s="155" t="s">
        <v>373</v>
      </c>
      <c r="B23" s="155" t="s">
        <v>354</v>
      </c>
      <c r="C23" s="152">
        <v>1</v>
      </c>
      <c r="D23" s="152" t="s">
        <v>353</v>
      </c>
      <c r="E23" s="152">
        <v>90</v>
      </c>
      <c r="F23" s="630">
        <f t="shared" ref="F23:F24" si="2">E23*C23</f>
        <v>90</v>
      </c>
      <c r="G23" s="630">
        <f t="shared" ref="G23:G24" si="3">F23*1.12</f>
        <v>100.80000000000001</v>
      </c>
      <c r="H23" s="152">
        <f>'[3]PROF PRESUPUEST'!$B$119</f>
        <v>730212</v>
      </c>
      <c r="I23" s="152" t="s">
        <v>965</v>
      </c>
      <c r="J23"/>
      <c r="K23"/>
      <c r="L23"/>
      <c r="M23"/>
    </row>
    <row r="24" spans="1:13" ht="20.25" customHeight="1">
      <c r="A24" s="155" t="str">
        <f>A23</f>
        <v>Servicio</v>
      </c>
      <c r="B24" s="159" t="s">
        <v>967</v>
      </c>
      <c r="C24" s="152">
        <v>2</v>
      </c>
      <c r="D24" s="152" t="s">
        <v>355</v>
      </c>
      <c r="E24" s="152">
        <v>100</v>
      </c>
      <c r="F24" s="630">
        <f t="shared" si="2"/>
        <v>200</v>
      </c>
      <c r="G24" s="630">
        <f t="shared" si="3"/>
        <v>224.00000000000003</v>
      </c>
      <c r="H24" s="152">
        <v>730204</v>
      </c>
      <c r="I24" s="136" t="s">
        <v>579</v>
      </c>
      <c r="J24"/>
      <c r="K24"/>
      <c r="L24"/>
      <c r="M24"/>
    </row>
    <row r="25" spans="1:13" ht="20.25" customHeight="1">
      <c r="A25" s="628"/>
      <c r="B25" s="628"/>
      <c r="C25" s="628"/>
      <c r="D25" s="628"/>
      <c r="E25" s="146" t="s">
        <v>35</v>
      </c>
      <c r="F25" s="636">
        <f>SUM(F22:F24)</f>
        <v>500</v>
      </c>
      <c r="G25" s="633">
        <f>SUM(G22:G24)</f>
        <v>560</v>
      </c>
      <c r="H25" s="628"/>
      <c r="I25" s="628"/>
      <c r="J25"/>
      <c r="K25"/>
      <c r="L25"/>
      <c r="M25"/>
    </row>
    <row r="26" spans="1:13" ht="20.25" customHeight="1">
      <c r="A26" s="628"/>
      <c r="B26" s="628"/>
      <c r="C26" s="628"/>
      <c r="D26" s="628"/>
      <c r="E26" s="634"/>
      <c r="F26" s="635"/>
      <c r="G26" s="635"/>
      <c r="H26" s="628"/>
      <c r="I26" s="628"/>
      <c r="J26"/>
      <c r="K26"/>
      <c r="L26"/>
      <c r="M26"/>
    </row>
    <row r="27" spans="1:13" ht="20.25" customHeight="1">
      <c r="A27" s="155" t="s">
        <v>582</v>
      </c>
      <c r="B27" s="155" t="s">
        <v>583</v>
      </c>
      <c r="C27" s="155">
        <v>2</v>
      </c>
      <c r="D27" s="155" t="s">
        <v>584</v>
      </c>
      <c r="E27" s="155">
        <v>1611</v>
      </c>
      <c r="F27" s="637">
        <f>E27*C27</f>
        <v>3222</v>
      </c>
      <c r="G27" s="635"/>
      <c r="H27" s="628"/>
      <c r="I27" s="628"/>
      <c r="J27"/>
      <c r="K27"/>
      <c r="L27"/>
      <c r="M27"/>
    </row>
    <row r="28" spans="1:13" ht="20.25" customHeight="1">
      <c r="A28" s="155" t="s">
        <v>585</v>
      </c>
      <c r="B28" s="155" t="s">
        <v>586</v>
      </c>
      <c r="C28" s="155">
        <v>1.33</v>
      </c>
      <c r="D28" s="155" t="s">
        <v>584</v>
      </c>
      <c r="E28" s="155">
        <v>1611</v>
      </c>
      <c r="F28" s="637">
        <f t="shared" ref="F28:F32" si="4">E28*C28</f>
        <v>2142.63</v>
      </c>
      <c r="G28" s="635"/>
      <c r="H28" s="628"/>
      <c r="I28" s="628"/>
      <c r="J28"/>
      <c r="K28"/>
      <c r="L28"/>
      <c r="M28"/>
    </row>
    <row r="29" spans="1:13" ht="20.25" customHeight="1">
      <c r="A29" s="155" t="s">
        <v>587</v>
      </c>
      <c r="B29" s="155" t="s">
        <v>588</v>
      </c>
      <c r="C29" s="155">
        <v>0.5</v>
      </c>
      <c r="D29" s="155" t="s">
        <v>584</v>
      </c>
      <c r="E29" s="155">
        <v>1200</v>
      </c>
      <c r="F29" s="637">
        <f t="shared" si="4"/>
        <v>600</v>
      </c>
      <c r="G29" s="635"/>
      <c r="H29" s="628"/>
      <c r="I29" s="628"/>
      <c r="J29"/>
      <c r="K29"/>
      <c r="L29"/>
      <c r="M29"/>
    </row>
    <row r="30" spans="1:13" ht="20.25" customHeight="1">
      <c r="A30" s="155" t="s">
        <v>589</v>
      </c>
      <c r="B30" s="155" t="s">
        <v>590</v>
      </c>
      <c r="C30" s="155">
        <v>1.5</v>
      </c>
      <c r="D30" s="155" t="s">
        <v>584</v>
      </c>
      <c r="E30" s="155">
        <v>1200</v>
      </c>
      <c r="F30" s="637">
        <f t="shared" si="4"/>
        <v>1800</v>
      </c>
      <c r="G30" s="635"/>
      <c r="H30" s="628"/>
      <c r="I30" s="628"/>
      <c r="J30"/>
      <c r="K30"/>
      <c r="L30"/>
      <c r="M30"/>
    </row>
    <row r="31" spans="1:13" ht="20.25" customHeight="1">
      <c r="A31" s="155" t="s">
        <v>591</v>
      </c>
      <c r="B31" s="155" t="s">
        <v>592</v>
      </c>
      <c r="C31" s="155">
        <v>2</v>
      </c>
      <c r="D31" s="155" t="s">
        <v>584</v>
      </c>
      <c r="E31" s="155">
        <f>+(15*24)+(800*2)+(80*24)+(24*30)</f>
        <v>4600</v>
      </c>
      <c r="F31" s="637">
        <f t="shared" si="4"/>
        <v>9200</v>
      </c>
      <c r="G31" s="635"/>
      <c r="H31" s="628"/>
      <c r="I31" s="628"/>
      <c r="J31"/>
      <c r="K31"/>
      <c r="L31"/>
      <c r="M31"/>
    </row>
    <row r="32" spans="1:13" ht="20.25" customHeight="1">
      <c r="A32" s="155" t="s">
        <v>593</v>
      </c>
      <c r="B32" s="155"/>
      <c r="C32" s="155">
        <v>15</v>
      </c>
      <c r="D32" s="155" t="s">
        <v>594</v>
      </c>
      <c r="E32" s="155">
        <f>(15+15+80)</f>
        <v>110</v>
      </c>
      <c r="F32" s="637">
        <f t="shared" si="4"/>
        <v>1650</v>
      </c>
      <c r="G32" s="635"/>
      <c r="H32" s="628"/>
      <c r="I32" s="628"/>
      <c r="J32"/>
      <c r="K32"/>
      <c r="L32"/>
      <c r="M32"/>
    </row>
    <row r="33" spans="1:13" ht="20.25" customHeight="1">
      <c r="A33" s="146" t="s">
        <v>35</v>
      </c>
      <c r="B33" s="628"/>
      <c r="C33" s="628"/>
      <c r="D33" s="628"/>
      <c r="E33" s="634"/>
      <c r="F33" s="636">
        <f>SUM(F27:F32)</f>
        <v>18614.63</v>
      </c>
      <c r="G33" s="635"/>
      <c r="H33" s="628"/>
      <c r="I33" s="628"/>
      <c r="J33"/>
      <c r="K33"/>
      <c r="L33"/>
      <c r="M33"/>
    </row>
    <row r="34" spans="1:13" ht="20.25" customHeight="1">
      <c r="A34" s="628"/>
      <c r="B34" s="628"/>
      <c r="C34" s="628"/>
      <c r="D34" s="628"/>
      <c r="E34" s="634"/>
      <c r="F34" s="634"/>
      <c r="G34" s="634"/>
      <c r="H34" s="628"/>
      <c r="I34" s="628"/>
      <c r="J34"/>
      <c r="K34"/>
      <c r="L34"/>
      <c r="M34"/>
    </row>
    <row r="35" spans="1:13" ht="20.25" customHeight="1">
      <c r="A35" s="867" t="s">
        <v>569</v>
      </c>
      <c r="B35" s="867"/>
      <c r="C35" s="867"/>
      <c r="D35" s="867"/>
      <c r="E35" s="867"/>
      <c r="F35" s="867"/>
      <c r="G35" s="867"/>
      <c r="H35" s="867"/>
      <c r="I35" s="867"/>
      <c r="J35"/>
      <c r="K35"/>
      <c r="L35"/>
      <c r="M35"/>
    </row>
    <row r="36" spans="1:13" ht="20.25" customHeight="1">
      <c r="A36" s="142" t="s">
        <v>570</v>
      </c>
      <c r="B36" s="142" t="str">
        <f>B16</f>
        <v>ESTUDIOS DE OBRAS, CONSTRUCCIÓN Y REHABILITACIÓN DE SISTEMAS DE RIEGO Y DRENAJE</v>
      </c>
      <c r="C36" s="627"/>
      <c r="D36" s="627"/>
      <c r="E36" s="627"/>
      <c r="F36" s="627"/>
      <c r="G36" s="627"/>
      <c r="H36" s="627"/>
      <c r="I36" s="627"/>
      <c r="J36"/>
      <c r="K36"/>
      <c r="L36"/>
      <c r="M36"/>
    </row>
    <row r="37" spans="1:13" ht="20.25" customHeight="1">
      <c r="A37" s="142" t="s">
        <v>580</v>
      </c>
      <c r="B37" s="142" t="s">
        <v>605</v>
      </c>
      <c r="C37" s="627"/>
      <c r="D37" s="627"/>
      <c r="E37" s="627"/>
      <c r="F37" s="627"/>
      <c r="G37" s="627"/>
      <c r="H37" s="627"/>
      <c r="I37" s="627"/>
      <c r="J37"/>
      <c r="K37"/>
      <c r="L37"/>
      <c r="M37"/>
    </row>
    <row r="38" spans="1:13" ht="20.25" customHeight="1">
      <c r="A38" s="142" t="s">
        <v>572</v>
      </c>
      <c r="B38" s="141" t="s">
        <v>581</v>
      </c>
      <c r="C38" s="141"/>
      <c r="D38" s="141"/>
      <c r="E38" s="141"/>
      <c r="F38" s="141"/>
      <c r="G38" s="141"/>
      <c r="H38" s="141"/>
      <c r="I38" s="141"/>
      <c r="J38"/>
      <c r="K38"/>
      <c r="L38"/>
      <c r="M38"/>
    </row>
    <row r="39" spans="1:13" ht="20.25" customHeight="1">
      <c r="A39" s="142" t="s">
        <v>574</v>
      </c>
      <c r="B39" s="869" t="s">
        <v>575</v>
      </c>
      <c r="C39" s="869"/>
      <c r="D39" s="869"/>
      <c r="E39" s="869"/>
      <c r="F39" s="869"/>
      <c r="G39" s="861" t="s">
        <v>484</v>
      </c>
      <c r="H39" s="861"/>
      <c r="I39" s="861"/>
      <c r="J39"/>
      <c r="K39"/>
      <c r="L39"/>
      <c r="M39"/>
    </row>
    <row r="40" spans="1:13" ht="20.25" customHeight="1">
      <c r="A40" s="628"/>
      <c r="B40" s="628"/>
      <c r="C40" s="628"/>
      <c r="D40" s="628"/>
      <c r="E40" s="628"/>
      <c r="F40" s="628"/>
      <c r="G40" s="862" t="s">
        <v>311</v>
      </c>
      <c r="H40" s="862"/>
      <c r="I40" s="628"/>
      <c r="J40"/>
      <c r="K40"/>
      <c r="L40"/>
      <c r="M40"/>
    </row>
    <row r="41" spans="1:13" ht="20.25" customHeight="1">
      <c r="A41" s="629" t="s">
        <v>301</v>
      </c>
      <c r="B41" s="148" t="s">
        <v>302</v>
      </c>
      <c r="C41" s="148" t="s">
        <v>312</v>
      </c>
      <c r="D41" s="148" t="s">
        <v>303</v>
      </c>
      <c r="E41" s="148" t="s">
        <v>304</v>
      </c>
      <c r="F41" s="148" t="s">
        <v>305</v>
      </c>
      <c r="G41" s="148" t="s">
        <v>306</v>
      </c>
      <c r="H41" s="148" t="s">
        <v>307</v>
      </c>
      <c r="I41" s="148" t="s">
        <v>308</v>
      </c>
      <c r="J41"/>
      <c r="K41"/>
      <c r="L41"/>
      <c r="M41"/>
    </row>
    <row r="42" spans="1:13" ht="20.25" customHeight="1">
      <c r="A42" s="136" t="s">
        <v>373</v>
      </c>
      <c r="B42" s="159" t="s">
        <v>352</v>
      </c>
      <c r="C42" s="152">
        <v>9</v>
      </c>
      <c r="D42" s="152" t="s">
        <v>353</v>
      </c>
      <c r="E42" s="152">
        <v>17.5</v>
      </c>
      <c r="F42" s="630">
        <f>E42*C42</f>
        <v>157.5</v>
      </c>
      <c r="G42" s="630">
        <f>F42*1.12</f>
        <v>176.4</v>
      </c>
      <c r="H42" s="152">
        <f>'[3]PROF PRESUPUEST'!$B$119</f>
        <v>730212</v>
      </c>
      <c r="I42" s="152" t="s">
        <v>965</v>
      </c>
      <c r="J42"/>
      <c r="K42"/>
      <c r="L42"/>
      <c r="M42"/>
    </row>
    <row r="43" spans="1:13" ht="20.25" customHeight="1">
      <c r="A43" s="155" t="s">
        <v>373</v>
      </c>
      <c r="B43" s="155" t="s">
        <v>354</v>
      </c>
      <c r="C43" s="152">
        <v>1</v>
      </c>
      <c r="D43" s="152" t="s">
        <v>353</v>
      </c>
      <c r="E43" s="152">
        <v>90</v>
      </c>
      <c r="F43" s="630">
        <f t="shared" ref="F43:F44" si="5">E43*C43</f>
        <v>90</v>
      </c>
      <c r="G43" s="630">
        <f t="shared" ref="G43:G44" si="6">F43*1.12</f>
        <v>100.80000000000001</v>
      </c>
      <c r="H43" s="152">
        <f>'[3]PROF PRESUPUEST'!$B$119</f>
        <v>730212</v>
      </c>
      <c r="I43" s="152" t="s">
        <v>965</v>
      </c>
      <c r="J43"/>
      <c r="K43"/>
      <c r="L43"/>
      <c r="M43"/>
    </row>
    <row r="44" spans="1:13" ht="20.25" customHeight="1">
      <c r="A44" s="155" t="str">
        <f>A43</f>
        <v>Servicio</v>
      </c>
      <c r="B44" s="159" t="s">
        <v>968</v>
      </c>
      <c r="C44" s="152">
        <v>3</v>
      </c>
      <c r="D44" s="152" t="s">
        <v>355</v>
      </c>
      <c r="E44" s="152">
        <v>100</v>
      </c>
      <c r="F44" s="630">
        <f t="shared" si="5"/>
        <v>300</v>
      </c>
      <c r="G44" s="630">
        <f t="shared" si="6"/>
        <v>336.00000000000006</v>
      </c>
      <c r="H44" s="152">
        <v>730204</v>
      </c>
      <c r="I44" s="136" t="s">
        <v>579</v>
      </c>
      <c r="J44"/>
      <c r="K44"/>
      <c r="L44"/>
      <c r="M44"/>
    </row>
    <row r="45" spans="1:13" ht="20.25" customHeight="1">
      <c r="A45" s="628"/>
      <c r="B45" s="628"/>
      <c r="C45" s="628"/>
      <c r="D45" s="628"/>
      <c r="E45" s="146" t="s">
        <v>35</v>
      </c>
      <c r="F45" s="636">
        <f>SUM(F42:F44)</f>
        <v>547.5</v>
      </c>
      <c r="G45" s="636">
        <f>SUM(G42:G44)</f>
        <v>613.20000000000005</v>
      </c>
      <c r="H45" s="628"/>
      <c r="I45" s="628"/>
      <c r="J45"/>
      <c r="K45"/>
      <c r="L45"/>
      <c r="M45"/>
    </row>
    <row r="46" spans="1:13" ht="20.25" customHeight="1">
      <c r="A46" s="628"/>
      <c r="B46" s="628"/>
      <c r="C46" s="628"/>
      <c r="D46" s="628"/>
      <c r="E46" s="634"/>
      <c r="F46" s="635"/>
      <c r="G46" s="635"/>
      <c r="H46" s="628"/>
      <c r="I46" s="628"/>
      <c r="J46"/>
      <c r="K46"/>
      <c r="L46"/>
      <c r="M46"/>
    </row>
    <row r="47" spans="1:13" ht="20.25" customHeight="1">
      <c r="A47" s="155" t="s">
        <v>582</v>
      </c>
      <c r="B47" s="155" t="s">
        <v>583</v>
      </c>
      <c r="C47" s="155">
        <v>2</v>
      </c>
      <c r="D47" s="155" t="s">
        <v>584</v>
      </c>
      <c r="E47" s="155">
        <v>1611</v>
      </c>
      <c r="F47" s="637">
        <f>E47*C47</f>
        <v>3222</v>
      </c>
      <c r="G47" s="635"/>
      <c r="H47" s="628"/>
      <c r="I47" s="628"/>
      <c r="J47"/>
      <c r="K47"/>
      <c r="L47"/>
      <c r="M47"/>
    </row>
    <row r="48" spans="1:13" ht="20.25" customHeight="1">
      <c r="A48" s="155" t="s">
        <v>585</v>
      </c>
      <c r="B48" s="155" t="s">
        <v>586</v>
      </c>
      <c r="C48" s="155">
        <v>1.5</v>
      </c>
      <c r="D48" s="155" t="s">
        <v>584</v>
      </c>
      <c r="E48" s="155">
        <v>1611</v>
      </c>
      <c r="F48" s="637">
        <f t="shared" ref="F48:F52" si="7">E48*C48</f>
        <v>2416.5</v>
      </c>
      <c r="G48" s="635"/>
      <c r="H48" s="628"/>
      <c r="I48" s="628"/>
      <c r="J48"/>
      <c r="K48"/>
      <c r="L48"/>
      <c r="M48"/>
    </row>
    <row r="49" spans="1:13" ht="20.25" customHeight="1">
      <c r="A49" s="155" t="s">
        <v>587</v>
      </c>
      <c r="B49" s="155" t="s">
        <v>588</v>
      </c>
      <c r="C49" s="155">
        <v>0.5</v>
      </c>
      <c r="D49" s="155" t="s">
        <v>584</v>
      </c>
      <c r="E49" s="155">
        <v>1200</v>
      </c>
      <c r="F49" s="637">
        <f t="shared" si="7"/>
        <v>600</v>
      </c>
      <c r="G49" s="635"/>
      <c r="H49" s="628"/>
      <c r="I49" s="628"/>
      <c r="J49"/>
      <c r="K49"/>
      <c r="L49"/>
      <c r="M49"/>
    </row>
    <row r="50" spans="1:13" ht="20.25" customHeight="1">
      <c r="A50" s="155" t="s">
        <v>589</v>
      </c>
      <c r="B50" s="155" t="s">
        <v>590</v>
      </c>
      <c r="C50" s="155">
        <v>1.5</v>
      </c>
      <c r="D50" s="155" t="s">
        <v>584</v>
      </c>
      <c r="E50" s="155">
        <v>1200</v>
      </c>
      <c r="F50" s="637">
        <f t="shared" si="7"/>
        <v>1800</v>
      </c>
      <c r="G50" s="635"/>
      <c r="H50" s="628"/>
      <c r="I50" s="628"/>
      <c r="J50"/>
      <c r="K50"/>
      <c r="L50"/>
      <c r="M50"/>
    </row>
    <row r="51" spans="1:13" ht="20.25" customHeight="1">
      <c r="A51" s="155" t="s">
        <v>591</v>
      </c>
      <c r="B51" s="155" t="s">
        <v>592</v>
      </c>
      <c r="C51" s="155">
        <v>1</v>
      </c>
      <c r="D51" s="155" t="s">
        <v>584</v>
      </c>
      <c r="E51" s="155">
        <f>+(15*24)+(800*2)+(80*24)+(24*30)</f>
        <v>4600</v>
      </c>
      <c r="F51" s="637">
        <f t="shared" si="7"/>
        <v>4600</v>
      </c>
      <c r="G51" s="635"/>
      <c r="H51" s="628"/>
      <c r="I51" s="628"/>
      <c r="J51"/>
      <c r="K51"/>
      <c r="L51"/>
      <c r="M51"/>
    </row>
    <row r="52" spans="1:13" ht="20.25" customHeight="1">
      <c r="A52" s="155" t="s">
        <v>593</v>
      </c>
      <c r="B52" s="155"/>
      <c r="C52" s="155">
        <v>15</v>
      </c>
      <c r="D52" s="155" t="s">
        <v>594</v>
      </c>
      <c r="E52" s="155">
        <f>(15+15+80)</f>
        <v>110</v>
      </c>
      <c r="F52" s="637">
        <f t="shared" si="7"/>
        <v>1650</v>
      </c>
      <c r="G52" s="635"/>
      <c r="H52" s="628"/>
      <c r="I52" s="628"/>
      <c r="J52"/>
      <c r="K52"/>
      <c r="L52"/>
      <c r="M52"/>
    </row>
    <row r="53" spans="1:13" ht="20.25" customHeight="1">
      <c r="A53" s="146" t="s">
        <v>35</v>
      </c>
      <c r="B53" s="628"/>
      <c r="C53" s="628"/>
      <c r="D53" s="628"/>
      <c r="E53" s="634"/>
      <c r="F53" s="636">
        <f>SUM(F47:F52)</f>
        <v>14288.5</v>
      </c>
      <c r="G53" s="635"/>
      <c r="H53" s="628"/>
      <c r="I53" s="628"/>
      <c r="J53"/>
      <c r="K53"/>
      <c r="L53"/>
      <c r="M53"/>
    </row>
    <row r="54" spans="1:13" ht="20.25" customHeight="1">
      <c r="A54" s="628"/>
      <c r="B54" s="628"/>
      <c r="C54" s="628"/>
      <c r="D54" s="628"/>
      <c r="E54" s="634"/>
      <c r="F54" s="634"/>
      <c r="G54" s="634"/>
      <c r="H54" s="628"/>
      <c r="I54" s="628"/>
      <c r="J54"/>
      <c r="K54"/>
      <c r="L54"/>
      <c r="M54"/>
    </row>
    <row r="55" spans="1:13" ht="20.25" customHeight="1">
      <c r="A55" s="867" t="s">
        <v>569</v>
      </c>
      <c r="B55" s="867"/>
      <c r="C55" s="867"/>
      <c r="D55" s="867"/>
      <c r="E55" s="867"/>
      <c r="F55" s="867"/>
      <c r="G55" s="867"/>
      <c r="H55" s="867"/>
      <c r="I55" s="867"/>
      <c r="J55"/>
      <c r="K55"/>
      <c r="L55"/>
      <c r="M55"/>
    </row>
    <row r="56" spans="1:13" ht="20.25" customHeight="1">
      <c r="A56" s="142" t="s">
        <v>570</v>
      </c>
      <c r="B56" s="142" t="str">
        <f>B36</f>
        <v>ESTUDIOS DE OBRAS, CONSTRUCCIÓN Y REHABILITACIÓN DE SISTEMAS DE RIEGO Y DRENAJE</v>
      </c>
      <c r="C56" s="627"/>
      <c r="D56" s="627"/>
      <c r="E56" s="627"/>
      <c r="F56" s="627"/>
      <c r="G56" s="627"/>
      <c r="H56" s="627"/>
      <c r="I56" s="627"/>
      <c r="J56"/>
      <c r="K56"/>
      <c r="L56"/>
      <c r="M56"/>
    </row>
    <row r="57" spans="1:13" ht="20.25" customHeight="1">
      <c r="A57" s="142" t="s">
        <v>580</v>
      </c>
      <c r="B57" s="142" t="s">
        <v>607</v>
      </c>
      <c r="C57" s="627"/>
      <c r="D57" s="627"/>
      <c r="E57" s="627"/>
      <c r="F57" s="627"/>
      <c r="G57" s="627"/>
      <c r="H57" s="627"/>
      <c r="I57" s="627"/>
      <c r="J57"/>
      <c r="K57"/>
      <c r="L57"/>
      <c r="M57"/>
    </row>
    <row r="58" spans="1:13" ht="20.25" customHeight="1">
      <c r="A58" s="142" t="s">
        <v>572</v>
      </c>
      <c r="B58" s="868" t="s">
        <v>581</v>
      </c>
      <c r="C58" s="868"/>
      <c r="D58" s="868"/>
      <c r="E58" s="868"/>
      <c r="F58" s="868"/>
      <c r="G58" s="868"/>
      <c r="H58" s="868"/>
      <c r="I58" s="868"/>
      <c r="J58"/>
      <c r="K58"/>
      <c r="L58"/>
      <c r="M58"/>
    </row>
    <row r="59" spans="1:13" ht="20.25" customHeight="1">
      <c r="A59" s="142" t="s">
        <v>574</v>
      </c>
      <c r="B59" s="869" t="s">
        <v>575</v>
      </c>
      <c r="C59" s="869"/>
      <c r="D59" s="869"/>
      <c r="E59" s="869"/>
      <c r="F59" s="869"/>
      <c r="G59" s="861" t="s">
        <v>484</v>
      </c>
      <c r="H59" s="861"/>
      <c r="I59" s="861"/>
      <c r="J59"/>
      <c r="K59"/>
      <c r="L59"/>
      <c r="M59"/>
    </row>
    <row r="60" spans="1:13" ht="20.25" customHeight="1">
      <c r="A60" s="628"/>
      <c r="B60" s="628"/>
      <c r="C60" s="628"/>
      <c r="D60" s="628"/>
      <c r="E60" s="628"/>
      <c r="F60" s="628"/>
      <c r="G60" s="862" t="s">
        <v>311</v>
      </c>
      <c r="H60" s="862"/>
      <c r="I60" s="628"/>
      <c r="J60"/>
      <c r="K60"/>
      <c r="L60"/>
      <c r="M60"/>
    </row>
    <row r="61" spans="1:13" ht="20.25" customHeight="1">
      <c r="A61" s="629" t="s">
        <v>301</v>
      </c>
      <c r="B61" s="148" t="s">
        <v>302</v>
      </c>
      <c r="C61" s="148" t="s">
        <v>312</v>
      </c>
      <c r="D61" s="148" t="s">
        <v>303</v>
      </c>
      <c r="E61" s="148" t="s">
        <v>304</v>
      </c>
      <c r="F61" s="148" t="s">
        <v>305</v>
      </c>
      <c r="G61" s="148" t="s">
        <v>306</v>
      </c>
      <c r="H61" s="148" t="s">
        <v>307</v>
      </c>
      <c r="I61" s="148" t="s">
        <v>308</v>
      </c>
      <c r="J61"/>
      <c r="K61"/>
      <c r="L61"/>
      <c r="M61"/>
    </row>
    <row r="62" spans="1:13" ht="20.25" customHeight="1">
      <c r="A62" s="136" t="s">
        <v>373</v>
      </c>
      <c r="B62" s="159" t="s">
        <v>352</v>
      </c>
      <c r="C62" s="152">
        <v>12</v>
      </c>
      <c r="D62" s="152" t="s">
        <v>353</v>
      </c>
      <c r="E62" s="152">
        <v>17.5</v>
      </c>
      <c r="F62" s="630">
        <f>E62*C62</f>
        <v>210</v>
      </c>
      <c r="G62" s="630">
        <f>F62*1.12</f>
        <v>235.20000000000002</v>
      </c>
      <c r="H62" s="152">
        <f>'[3]PROF PRESUPUEST'!$B$119</f>
        <v>730212</v>
      </c>
      <c r="I62" s="152" t="s">
        <v>965</v>
      </c>
      <c r="J62"/>
      <c r="K62"/>
      <c r="L62"/>
      <c r="M62"/>
    </row>
    <row r="63" spans="1:13" ht="20.25" customHeight="1">
      <c r="A63" s="155" t="s">
        <v>373</v>
      </c>
      <c r="B63" s="155" t="s">
        <v>354</v>
      </c>
      <c r="C63" s="152">
        <v>1</v>
      </c>
      <c r="D63" s="152" t="s">
        <v>353</v>
      </c>
      <c r="E63" s="152">
        <v>90</v>
      </c>
      <c r="F63" s="630">
        <f t="shared" ref="F63:F64" si="8">E63*C63</f>
        <v>90</v>
      </c>
      <c r="G63" s="630">
        <f t="shared" ref="G63:G64" si="9">F63*1.12</f>
        <v>100.80000000000001</v>
      </c>
      <c r="H63" s="152">
        <f>'[3]PROF PRESUPUEST'!$B$119</f>
        <v>730212</v>
      </c>
      <c r="I63" s="152" t="s">
        <v>965</v>
      </c>
      <c r="J63"/>
      <c r="K63"/>
      <c r="L63"/>
      <c r="M63"/>
    </row>
    <row r="64" spans="1:13" ht="20.25" customHeight="1">
      <c r="A64" s="155" t="str">
        <f>A63</f>
        <v>Servicio</v>
      </c>
      <c r="B64" s="159" t="s">
        <v>967</v>
      </c>
      <c r="C64" s="152">
        <v>2</v>
      </c>
      <c r="D64" s="152" t="s">
        <v>355</v>
      </c>
      <c r="E64" s="152">
        <v>100</v>
      </c>
      <c r="F64" s="630">
        <f t="shared" si="8"/>
        <v>200</v>
      </c>
      <c r="G64" s="630">
        <f t="shared" si="9"/>
        <v>224.00000000000003</v>
      </c>
      <c r="H64" s="152">
        <v>730204</v>
      </c>
      <c r="I64" s="136" t="s">
        <v>579</v>
      </c>
      <c r="J64"/>
      <c r="K64"/>
      <c r="L64"/>
      <c r="M64"/>
    </row>
    <row r="65" spans="1:13" ht="20.25" customHeight="1">
      <c r="A65" s="628"/>
      <c r="B65" s="628"/>
      <c r="C65" s="628"/>
      <c r="D65" s="628"/>
      <c r="E65" s="146" t="s">
        <v>35</v>
      </c>
      <c r="F65" s="636">
        <f>SUM(F62:F64)</f>
        <v>500</v>
      </c>
      <c r="G65" s="636">
        <f>SUM(G62:G64)</f>
        <v>560</v>
      </c>
      <c r="H65" s="628"/>
      <c r="I65" s="628"/>
      <c r="J65"/>
      <c r="K65"/>
      <c r="L65"/>
      <c r="M65"/>
    </row>
    <row r="66" spans="1:13" ht="20.25" customHeight="1">
      <c r="A66" s="628"/>
      <c r="B66" s="628"/>
      <c r="C66" s="628"/>
      <c r="D66" s="628"/>
      <c r="E66" s="634"/>
      <c r="F66" s="635"/>
      <c r="G66" s="635"/>
      <c r="H66" s="628"/>
      <c r="I66" s="628"/>
      <c r="J66"/>
      <c r="K66"/>
      <c r="L66"/>
      <c r="M66"/>
    </row>
    <row r="67" spans="1:13" ht="20.25" customHeight="1">
      <c r="A67" s="155" t="s">
        <v>582</v>
      </c>
      <c r="B67" s="155" t="s">
        <v>583</v>
      </c>
      <c r="C67" s="155">
        <v>2</v>
      </c>
      <c r="D67" s="155" t="s">
        <v>584</v>
      </c>
      <c r="E67" s="155">
        <v>1611</v>
      </c>
      <c r="F67" s="637">
        <f>E67*C67</f>
        <v>3222</v>
      </c>
      <c r="G67" s="635"/>
      <c r="H67" s="628"/>
      <c r="I67" s="628"/>
      <c r="J67"/>
      <c r="K67"/>
      <c r="L67"/>
      <c r="M67"/>
    </row>
    <row r="68" spans="1:13" ht="20.25" customHeight="1">
      <c r="A68" s="155" t="s">
        <v>585</v>
      </c>
      <c r="B68" s="155" t="s">
        <v>586</v>
      </c>
      <c r="C68" s="155">
        <v>1.5</v>
      </c>
      <c r="D68" s="155" t="s">
        <v>584</v>
      </c>
      <c r="E68" s="155">
        <v>1611</v>
      </c>
      <c r="F68" s="637">
        <f t="shared" ref="F68:F72" si="10">E68*C68</f>
        <v>2416.5</v>
      </c>
      <c r="G68" s="635"/>
      <c r="H68" s="628"/>
      <c r="I68" s="628"/>
      <c r="J68"/>
      <c r="K68"/>
      <c r="L68"/>
      <c r="M68"/>
    </row>
    <row r="69" spans="1:13" ht="20.25" customHeight="1">
      <c r="A69" s="155" t="s">
        <v>587</v>
      </c>
      <c r="B69" s="155" t="s">
        <v>588</v>
      </c>
      <c r="C69" s="155">
        <v>0.5</v>
      </c>
      <c r="D69" s="155" t="s">
        <v>584</v>
      </c>
      <c r="E69" s="155">
        <v>1200</v>
      </c>
      <c r="F69" s="637">
        <f t="shared" si="10"/>
        <v>600</v>
      </c>
      <c r="G69" s="635"/>
      <c r="H69" s="628"/>
      <c r="I69" s="628"/>
      <c r="J69"/>
      <c r="K69"/>
      <c r="L69"/>
      <c r="M69"/>
    </row>
    <row r="70" spans="1:13" ht="20.25" customHeight="1">
      <c r="A70" s="155" t="s">
        <v>589</v>
      </c>
      <c r="B70" s="155" t="s">
        <v>590</v>
      </c>
      <c r="C70" s="155">
        <v>1</v>
      </c>
      <c r="D70" s="155" t="s">
        <v>584</v>
      </c>
      <c r="E70" s="155">
        <v>1200</v>
      </c>
      <c r="F70" s="637">
        <f t="shared" si="10"/>
        <v>1200</v>
      </c>
      <c r="G70" s="635"/>
      <c r="H70" s="628"/>
      <c r="I70" s="628"/>
      <c r="J70"/>
      <c r="K70"/>
      <c r="L70"/>
      <c r="M70"/>
    </row>
    <row r="71" spans="1:13" ht="20.25" customHeight="1">
      <c r="A71" s="155" t="s">
        <v>591</v>
      </c>
      <c r="B71" s="155" t="s">
        <v>592</v>
      </c>
      <c r="C71" s="155">
        <v>1</v>
      </c>
      <c r="D71" s="155" t="s">
        <v>584</v>
      </c>
      <c r="E71" s="155">
        <f>+(15*24)+(800*2)+(80*24)+(24*30)</f>
        <v>4600</v>
      </c>
      <c r="F71" s="637">
        <f t="shared" si="10"/>
        <v>4600</v>
      </c>
      <c r="G71" s="635"/>
      <c r="H71" s="628"/>
      <c r="I71" s="628"/>
      <c r="J71"/>
      <c r="K71"/>
      <c r="L71"/>
      <c r="M71"/>
    </row>
    <row r="72" spans="1:13" ht="20.25" customHeight="1">
      <c r="A72" s="155" t="s">
        <v>593</v>
      </c>
      <c r="B72" s="155"/>
      <c r="C72" s="155">
        <v>15</v>
      </c>
      <c r="D72" s="155" t="s">
        <v>594</v>
      </c>
      <c r="E72" s="155">
        <f>(15+15+80)</f>
        <v>110</v>
      </c>
      <c r="F72" s="637">
        <f t="shared" si="10"/>
        <v>1650</v>
      </c>
      <c r="G72" s="635"/>
      <c r="H72" s="628"/>
      <c r="I72" s="628"/>
      <c r="J72"/>
      <c r="K72"/>
      <c r="L72"/>
      <c r="M72"/>
    </row>
    <row r="73" spans="1:13" ht="20.25" customHeight="1">
      <c r="A73" s="146" t="s">
        <v>35</v>
      </c>
      <c r="B73" s="628"/>
      <c r="C73" s="628"/>
      <c r="D73" s="628"/>
      <c r="E73" s="634"/>
      <c r="F73" s="636">
        <f>SUM(F67:F72)</f>
        <v>13688.5</v>
      </c>
      <c r="G73" s="635"/>
      <c r="H73" s="628"/>
      <c r="I73" s="628"/>
      <c r="J73"/>
      <c r="K73"/>
      <c r="L73"/>
      <c r="M73"/>
    </row>
    <row r="74" spans="1:13" ht="20.25" customHeight="1">
      <c r="A74" s="628"/>
      <c r="B74" s="628"/>
      <c r="C74" s="628"/>
      <c r="D74" s="628"/>
      <c r="E74" s="634"/>
      <c r="F74" s="634"/>
      <c r="G74" s="634"/>
      <c r="H74" s="628"/>
      <c r="I74" s="628"/>
      <c r="J74"/>
      <c r="K74"/>
      <c r="L74"/>
      <c r="M74"/>
    </row>
    <row r="75" spans="1:13" ht="20.25" customHeight="1">
      <c r="A75" s="867" t="s">
        <v>569</v>
      </c>
      <c r="B75" s="867"/>
      <c r="C75" s="867"/>
      <c r="D75" s="867"/>
      <c r="E75" s="867"/>
      <c r="F75" s="867"/>
      <c r="G75" s="867"/>
      <c r="H75" s="867"/>
      <c r="I75" s="867"/>
      <c r="J75"/>
      <c r="K75"/>
      <c r="L75"/>
      <c r="M75"/>
    </row>
    <row r="76" spans="1:13" ht="35.25" customHeight="1">
      <c r="A76" s="142" t="s">
        <v>570</v>
      </c>
      <c r="B76" s="142" t="str">
        <f>B56</f>
        <v>ESTUDIOS DE OBRAS, CONSTRUCCIÓN Y REHABILITACIÓN DE SISTEMAS DE RIEGO Y DRENAJE</v>
      </c>
      <c r="C76" s="627"/>
      <c r="D76" s="627"/>
      <c r="E76" s="627"/>
      <c r="F76" s="627"/>
      <c r="G76" s="627"/>
      <c r="H76" s="627"/>
      <c r="I76" s="627"/>
      <c r="J76"/>
      <c r="K76"/>
      <c r="L76"/>
      <c r="M76"/>
    </row>
    <row r="77" spans="1:13" ht="37.5" customHeight="1">
      <c r="A77" s="142" t="s">
        <v>580</v>
      </c>
      <c r="B77" s="142" t="s">
        <v>608</v>
      </c>
      <c r="C77" s="627"/>
      <c r="D77" s="627"/>
      <c r="E77" s="627"/>
      <c r="F77" s="627"/>
      <c r="G77" s="627"/>
      <c r="H77" s="627"/>
      <c r="I77" s="627"/>
      <c r="J77"/>
      <c r="K77"/>
      <c r="L77"/>
      <c r="M77"/>
    </row>
    <row r="78" spans="1:13" ht="20.25" customHeight="1">
      <c r="A78" s="142" t="s">
        <v>572</v>
      </c>
      <c r="B78" s="868" t="s">
        <v>581</v>
      </c>
      <c r="C78" s="868"/>
      <c r="D78" s="868"/>
      <c r="E78" s="868"/>
      <c r="F78" s="868"/>
      <c r="G78" s="868"/>
      <c r="H78" s="868"/>
      <c r="I78" s="868"/>
      <c r="J78"/>
      <c r="K78"/>
      <c r="L78"/>
      <c r="M78"/>
    </row>
    <row r="79" spans="1:13" ht="20.25" customHeight="1">
      <c r="A79" s="142" t="s">
        <v>574</v>
      </c>
      <c r="B79" s="869" t="s">
        <v>575</v>
      </c>
      <c r="C79" s="869"/>
      <c r="D79" s="869"/>
      <c r="E79" s="869"/>
      <c r="F79" s="869"/>
      <c r="G79" s="861" t="s">
        <v>484</v>
      </c>
      <c r="H79" s="861"/>
      <c r="I79" s="861"/>
      <c r="J79"/>
      <c r="K79"/>
      <c r="L79"/>
      <c r="M79"/>
    </row>
    <row r="80" spans="1:13" ht="20.25" customHeight="1">
      <c r="A80" s="628"/>
      <c r="B80" s="628"/>
      <c r="C80" s="628"/>
      <c r="D80" s="628"/>
      <c r="E80" s="628"/>
      <c r="F80" s="628"/>
      <c r="G80" s="862" t="s">
        <v>311</v>
      </c>
      <c r="H80" s="862"/>
      <c r="I80" s="628"/>
      <c r="J80"/>
      <c r="K80"/>
      <c r="L80"/>
      <c r="M80"/>
    </row>
    <row r="81" spans="1:13" ht="20.25" customHeight="1">
      <c r="A81" s="629" t="s">
        <v>301</v>
      </c>
      <c r="B81" s="148" t="s">
        <v>302</v>
      </c>
      <c r="C81" s="148" t="s">
        <v>312</v>
      </c>
      <c r="D81" s="148" t="s">
        <v>303</v>
      </c>
      <c r="E81" s="148" t="s">
        <v>304</v>
      </c>
      <c r="F81" s="148" t="s">
        <v>305</v>
      </c>
      <c r="G81" s="148" t="s">
        <v>306</v>
      </c>
      <c r="H81" s="148" t="s">
        <v>307</v>
      </c>
      <c r="I81" s="148" t="s">
        <v>308</v>
      </c>
      <c r="J81"/>
      <c r="K81"/>
      <c r="L81"/>
      <c r="M81"/>
    </row>
    <row r="82" spans="1:13" ht="20.25" customHeight="1">
      <c r="A82" s="136" t="s">
        <v>373</v>
      </c>
      <c r="B82" s="159" t="s">
        <v>352</v>
      </c>
      <c r="C82" s="152">
        <v>18</v>
      </c>
      <c r="D82" s="152" t="s">
        <v>353</v>
      </c>
      <c r="E82" s="152">
        <v>17.5</v>
      </c>
      <c r="F82" s="630">
        <f>E82*C82</f>
        <v>315</v>
      </c>
      <c r="G82" s="630">
        <f>F82*1.12</f>
        <v>352.8</v>
      </c>
      <c r="H82" s="152">
        <f>'[3]PROF PRESUPUEST'!$B$119</f>
        <v>730212</v>
      </c>
      <c r="I82" s="152" t="s">
        <v>965</v>
      </c>
      <c r="J82"/>
      <c r="K82"/>
      <c r="L82"/>
      <c r="M82"/>
    </row>
    <row r="83" spans="1:13" ht="20.25" customHeight="1">
      <c r="A83" s="155" t="s">
        <v>373</v>
      </c>
      <c r="B83" s="155" t="s">
        <v>354</v>
      </c>
      <c r="C83" s="152">
        <v>1</v>
      </c>
      <c r="D83" s="152" t="s">
        <v>353</v>
      </c>
      <c r="E83" s="152">
        <v>90</v>
      </c>
      <c r="F83" s="630">
        <f t="shared" ref="F83:F84" si="11">E83*C83</f>
        <v>90</v>
      </c>
      <c r="G83" s="630">
        <f t="shared" ref="G83:G84" si="12">F83*1.12</f>
        <v>100.80000000000001</v>
      </c>
      <c r="H83" s="152">
        <f>'[3]PROF PRESUPUEST'!$B$119</f>
        <v>730212</v>
      </c>
      <c r="I83" s="152" t="s">
        <v>965</v>
      </c>
      <c r="J83"/>
      <c r="K83"/>
      <c r="L83"/>
      <c r="M83"/>
    </row>
    <row r="84" spans="1:13" ht="76.5" customHeight="1">
      <c r="A84" s="155" t="str">
        <f>A83</f>
        <v>Servicio</v>
      </c>
      <c r="B84" s="159" t="s">
        <v>357</v>
      </c>
      <c r="C84" s="152">
        <v>2</v>
      </c>
      <c r="D84" s="152" t="s">
        <v>355</v>
      </c>
      <c r="E84" s="152">
        <v>100</v>
      </c>
      <c r="F84" s="630">
        <f t="shared" si="11"/>
        <v>200</v>
      </c>
      <c r="G84" s="630">
        <f t="shared" si="12"/>
        <v>224.00000000000003</v>
      </c>
      <c r="H84" s="152">
        <v>730204</v>
      </c>
      <c r="I84" s="136" t="s">
        <v>579</v>
      </c>
      <c r="J84"/>
      <c r="K84"/>
      <c r="L84"/>
      <c r="M84"/>
    </row>
    <row r="85" spans="1:13" ht="20.25" customHeight="1">
      <c r="A85" s="628"/>
      <c r="B85" s="628"/>
      <c r="C85" s="628"/>
      <c r="D85" s="628"/>
      <c r="E85" s="146" t="s">
        <v>35</v>
      </c>
      <c r="F85" s="636">
        <f>SUM(F82:F84)</f>
        <v>605</v>
      </c>
      <c r="G85" s="636">
        <f>SUM(G82:G84)</f>
        <v>677.6</v>
      </c>
      <c r="H85" s="628"/>
      <c r="I85" s="628"/>
      <c r="J85"/>
      <c r="K85"/>
      <c r="L85"/>
      <c r="M85"/>
    </row>
    <row r="86" spans="1:13" ht="20.25" customHeight="1">
      <c r="A86" s="628"/>
      <c r="B86" s="628"/>
      <c r="C86" s="628"/>
      <c r="D86" s="628"/>
      <c r="E86" s="634"/>
      <c r="F86" s="635"/>
      <c r="G86" s="635"/>
      <c r="H86" s="628"/>
      <c r="I86" s="628"/>
      <c r="J86"/>
      <c r="K86"/>
      <c r="L86"/>
      <c r="M86"/>
    </row>
    <row r="87" spans="1:13" ht="20.25" customHeight="1">
      <c r="A87" s="155" t="s">
        <v>582</v>
      </c>
      <c r="B87" s="155" t="s">
        <v>583</v>
      </c>
      <c r="C87" s="155">
        <v>2</v>
      </c>
      <c r="D87" s="155" t="s">
        <v>584</v>
      </c>
      <c r="E87" s="155">
        <v>1611</v>
      </c>
      <c r="F87" s="637">
        <f>E87*C87</f>
        <v>3222</v>
      </c>
      <c r="G87" s="635"/>
      <c r="H87" s="628"/>
      <c r="I87" s="628"/>
      <c r="J87"/>
      <c r="K87"/>
      <c r="L87"/>
      <c r="M87"/>
    </row>
    <row r="88" spans="1:13" ht="20.25" customHeight="1">
      <c r="A88" s="155" t="s">
        <v>585</v>
      </c>
      <c r="B88" s="155" t="s">
        <v>586</v>
      </c>
      <c r="C88" s="155">
        <v>1</v>
      </c>
      <c r="D88" s="155" t="s">
        <v>584</v>
      </c>
      <c r="E88" s="155">
        <v>1611</v>
      </c>
      <c r="F88" s="637">
        <f t="shared" ref="F88:F92" si="13">E88*C88</f>
        <v>1611</v>
      </c>
      <c r="G88" s="635"/>
      <c r="H88" s="628"/>
      <c r="I88" s="628"/>
      <c r="J88"/>
      <c r="K88"/>
      <c r="L88"/>
      <c r="M88"/>
    </row>
    <row r="89" spans="1:13" ht="20.25" customHeight="1">
      <c r="A89" s="155" t="s">
        <v>587</v>
      </c>
      <c r="B89" s="155" t="s">
        <v>588</v>
      </c>
      <c r="C89" s="155">
        <v>0.5</v>
      </c>
      <c r="D89" s="155" t="s">
        <v>584</v>
      </c>
      <c r="E89" s="155">
        <v>1200</v>
      </c>
      <c r="F89" s="637">
        <f t="shared" si="13"/>
        <v>600</v>
      </c>
      <c r="G89" s="635"/>
      <c r="H89" s="628"/>
      <c r="I89" s="628"/>
      <c r="J89"/>
      <c r="K89"/>
      <c r="L89"/>
      <c r="M89"/>
    </row>
    <row r="90" spans="1:13" ht="20.25" customHeight="1">
      <c r="A90" s="155" t="s">
        <v>589</v>
      </c>
      <c r="B90" s="155" t="s">
        <v>590</v>
      </c>
      <c r="C90" s="155">
        <v>1</v>
      </c>
      <c r="D90" s="155" t="s">
        <v>584</v>
      </c>
      <c r="E90" s="155">
        <v>1200</v>
      </c>
      <c r="F90" s="637">
        <f t="shared" si="13"/>
        <v>1200</v>
      </c>
      <c r="G90" s="635"/>
      <c r="H90" s="628"/>
      <c r="I90" s="628"/>
      <c r="J90"/>
      <c r="K90"/>
      <c r="L90"/>
      <c r="M90"/>
    </row>
    <row r="91" spans="1:13" ht="20.25" customHeight="1">
      <c r="A91" s="155" t="s">
        <v>591</v>
      </c>
      <c r="B91" s="155" t="s">
        <v>592</v>
      </c>
      <c r="C91" s="155">
        <v>1</v>
      </c>
      <c r="D91" s="155" t="s">
        <v>584</v>
      </c>
      <c r="E91" s="155">
        <f>+(15*24)+(800*2)+(80*24)+(24*30)</f>
        <v>4600</v>
      </c>
      <c r="F91" s="637">
        <f t="shared" si="13"/>
        <v>4600</v>
      </c>
      <c r="G91" s="635"/>
      <c r="H91" s="628"/>
      <c r="I91" s="628"/>
      <c r="J91"/>
      <c r="K91"/>
      <c r="L91"/>
      <c r="M91"/>
    </row>
    <row r="92" spans="1:13" ht="20.25" customHeight="1">
      <c r="A92" s="155" t="s">
        <v>593</v>
      </c>
      <c r="B92" s="155"/>
      <c r="C92" s="155">
        <v>15</v>
      </c>
      <c r="D92" s="155" t="s">
        <v>594</v>
      </c>
      <c r="E92" s="155">
        <f>(15+15+80)</f>
        <v>110</v>
      </c>
      <c r="F92" s="637">
        <f t="shared" si="13"/>
        <v>1650</v>
      </c>
      <c r="G92" s="635"/>
      <c r="H92" s="628"/>
      <c r="I92" s="628"/>
      <c r="J92"/>
      <c r="K92"/>
      <c r="L92"/>
      <c r="M92"/>
    </row>
    <row r="93" spans="1:13" ht="20.25" customHeight="1">
      <c r="A93" s="146" t="s">
        <v>35</v>
      </c>
      <c r="B93" s="628"/>
      <c r="C93" s="628"/>
      <c r="D93" s="628"/>
      <c r="E93" s="634"/>
      <c r="F93" s="636">
        <f>SUM(F87:F92)</f>
        <v>12883</v>
      </c>
      <c r="G93" s="635"/>
      <c r="H93" s="628"/>
      <c r="I93" s="628"/>
      <c r="J93"/>
      <c r="K93"/>
      <c r="L93"/>
      <c r="M93"/>
    </row>
    <row r="94" spans="1:13" ht="20.25" customHeight="1">
      <c r="A94" s="634"/>
      <c r="B94" s="628"/>
      <c r="C94" s="628"/>
      <c r="D94" s="628"/>
      <c r="E94" s="634"/>
      <c r="F94" s="635"/>
      <c r="G94" s="635"/>
      <c r="H94" s="628"/>
      <c r="I94" s="628"/>
      <c r="J94"/>
      <c r="K94"/>
      <c r="L94"/>
      <c r="M94"/>
    </row>
    <row r="95" spans="1:13" ht="20.25" customHeight="1">
      <c r="A95" s="867" t="s">
        <v>569</v>
      </c>
      <c r="B95" s="867"/>
      <c r="C95" s="867"/>
      <c r="D95" s="867"/>
      <c r="E95" s="867"/>
      <c r="F95" s="867"/>
      <c r="G95" s="867"/>
      <c r="H95" s="867"/>
      <c r="I95" s="867"/>
      <c r="J95"/>
      <c r="K95"/>
      <c r="L95"/>
      <c r="M95"/>
    </row>
    <row r="96" spans="1:13" ht="20.25" customHeight="1">
      <c r="A96" s="142" t="s">
        <v>570</v>
      </c>
      <c r="B96" s="142" t="str">
        <f>B76</f>
        <v>ESTUDIOS DE OBRAS, CONSTRUCCIÓN Y REHABILITACIÓN DE SISTEMAS DE RIEGO Y DRENAJE</v>
      </c>
      <c r="C96" s="627"/>
      <c r="D96" s="627"/>
      <c r="E96" s="627"/>
      <c r="F96" s="627"/>
      <c r="G96" s="627"/>
      <c r="H96" s="627"/>
      <c r="I96" s="627"/>
      <c r="J96"/>
      <c r="K96"/>
      <c r="L96"/>
      <c r="M96"/>
    </row>
    <row r="97" spans="1:13" ht="35.25" customHeight="1">
      <c r="A97" s="142" t="s">
        <v>580</v>
      </c>
      <c r="B97" s="142" t="s">
        <v>609</v>
      </c>
      <c r="C97" s="627"/>
      <c r="D97" s="627"/>
      <c r="E97" s="627"/>
      <c r="F97" s="627"/>
      <c r="G97" s="627"/>
      <c r="H97" s="627"/>
      <c r="I97" s="627"/>
      <c r="J97"/>
      <c r="K97"/>
      <c r="L97"/>
      <c r="M97"/>
    </row>
    <row r="98" spans="1:13" ht="20.25" customHeight="1">
      <c r="A98" s="142" t="s">
        <v>572</v>
      </c>
      <c r="B98" s="868" t="s">
        <v>581</v>
      </c>
      <c r="C98" s="868"/>
      <c r="D98" s="868"/>
      <c r="E98" s="868"/>
      <c r="F98" s="868"/>
      <c r="G98" s="868"/>
      <c r="H98" s="868"/>
      <c r="I98" s="868"/>
      <c r="J98"/>
      <c r="K98"/>
      <c r="L98"/>
      <c r="M98"/>
    </row>
    <row r="99" spans="1:13" ht="20.25" customHeight="1">
      <c r="A99" s="142" t="s">
        <v>574</v>
      </c>
      <c r="B99" s="869" t="s">
        <v>575</v>
      </c>
      <c r="C99" s="869"/>
      <c r="D99" s="869"/>
      <c r="E99" s="869"/>
      <c r="F99" s="869"/>
      <c r="G99" s="861" t="s">
        <v>484</v>
      </c>
      <c r="H99" s="861"/>
      <c r="I99" s="861"/>
      <c r="J99"/>
      <c r="K99"/>
      <c r="L99"/>
      <c r="M99"/>
    </row>
    <row r="100" spans="1:13" ht="20.25" customHeight="1">
      <c r="A100" s="628"/>
      <c r="B100" s="628"/>
      <c r="C100" s="628"/>
      <c r="D100" s="628"/>
      <c r="E100" s="628"/>
      <c r="F100" s="628"/>
      <c r="G100" s="862" t="s">
        <v>311</v>
      </c>
      <c r="H100" s="862"/>
      <c r="I100" s="628"/>
      <c r="J100"/>
      <c r="K100"/>
      <c r="L100"/>
      <c r="M100"/>
    </row>
    <row r="101" spans="1:13" ht="20.25" customHeight="1">
      <c r="A101" s="629" t="s">
        <v>301</v>
      </c>
      <c r="B101" s="148" t="s">
        <v>302</v>
      </c>
      <c r="C101" s="148" t="s">
        <v>312</v>
      </c>
      <c r="D101" s="148" t="s">
        <v>303</v>
      </c>
      <c r="E101" s="148" t="s">
        <v>304</v>
      </c>
      <c r="F101" s="148" t="s">
        <v>305</v>
      </c>
      <c r="G101" s="148" t="s">
        <v>306</v>
      </c>
      <c r="H101" s="148" t="s">
        <v>307</v>
      </c>
      <c r="I101" s="148" t="s">
        <v>308</v>
      </c>
      <c r="J101"/>
      <c r="K101"/>
      <c r="L101"/>
      <c r="M101"/>
    </row>
    <row r="102" spans="1:13" ht="24" customHeight="1">
      <c r="A102" s="136" t="s">
        <v>373</v>
      </c>
      <c r="B102" s="159" t="s">
        <v>352</v>
      </c>
      <c r="C102" s="152">
        <v>39</v>
      </c>
      <c r="D102" s="152" t="s">
        <v>353</v>
      </c>
      <c r="E102" s="152">
        <v>17.5</v>
      </c>
      <c r="F102" s="630">
        <f>E102*C102</f>
        <v>682.5</v>
      </c>
      <c r="G102" s="630">
        <f>F102*1.12</f>
        <v>764.40000000000009</v>
      </c>
      <c r="H102" s="152">
        <f>'[3]PROF PRESUPUEST'!$B$119</f>
        <v>730212</v>
      </c>
      <c r="I102" s="152" t="s">
        <v>965</v>
      </c>
      <c r="J102"/>
      <c r="K102"/>
      <c r="L102"/>
      <c r="M102"/>
    </row>
    <row r="103" spans="1:13" ht="30" customHeight="1">
      <c r="A103" s="155" t="s">
        <v>373</v>
      </c>
      <c r="B103" s="155" t="s">
        <v>354</v>
      </c>
      <c r="C103" s="152">
        <v>1</v>
      </c>
      <c r="D103" s="152" t="s">
        <v>353</v>
      </c>
      <c r="E103" s="152">
        <v>90</v>
      </c>
      <c r="F103" s="630">
        <f t="shared" ref="F103:F104" si="14">E103*C103</f>
        <v>90</v>
      </c>
      <c r="G103" s="630">
        <f t="shared" ref="G103:G104" si="15">F103*1.12</f>
        <v>100.80000000000001</v>
      </c>
      <c r="H103" s="152">
        <f>'[3]PROF PRESUPUEST'!$B$119</f>
        <v>730212</v>
      </c>
      <c r="I103" s="152" t="s">
        <v>965</v>
      </c>
      <c r="J103"/>
      <c r="K103"/>
      <c r="L103"/>
      <c r="M103"/>
    </row>
    <row r="104" spans="1:13" ht="30" customHeight="1">
      <c r="A104" s="155" t="str">
        <f>A103</f>
        <v>Servicio</v>
      </c>
      <c r="B104" s="159" t="s">
        <v>356</v>
      </c>
      <c r="C104" s="152">
        <v>3</v>
      </c>
      <c r="D104" s="152" t="s">
        <v>355</v>
      </c>
      <c r="E104" s="152">
        <v>100</v>
      </c>
      <c r="F104" s="630">
        <f t="shared" si="14"/>
        <v>300</v>
      </c>
      <c r="G104" s="630">
        <f t="shared" si="15"/>
        <v>336.00000000000006</v>
      </c>
      <c r="H104" s="152">
        <v>730204</v>
      </c>
      <c r="I104" s="136" t="s">
        <v>579</v>
      </c>
      <c r="J104"/>
      <c r="K104"/>
      <c r="L104"/>
      <c r="M104"/>
    </row>
    <row r="105" spans="1:13" ht="20.25" customHeight="1">
      <c r="A105" s="628"/>
      <c r="B105" s="628"/>
      <c r="C105" s="628"/>
      <c r="D105" s="628"/>
      <c r="E105" s="146" t="s">
        <v>35</v>
      </c>
      <c r="F105" s="636">
        <f>SUM(F102:F104)</f>
        <v>1072.5</v>
      </c>
      <c r="G105" s="636">
        <f>SUM(G102:G104)</f>
        <v>1201.2</v>
      </c>
      <c r="H105" s="628"/>
      <c r="I105" s="628"/>
      <c r="J105"/>
      <c r="K105"/>
      <c r="L105"/>
      <c r="M105"/>
    </row>
    <row r="106" spans="1:13" ht="20.25" customHeight="1">
      <c r="A106" s="628"/>
      <c r="B106" s="628"/>
      <c r="C106" s="628"/>
      <c r="D106" s="628"/>
      <c r="E106" s="634"/>
      <c r="F106" s="635"/>
      <c r="G106" s="635"/>
      <c r="H106" s="628"/>
      <c r="I106" s="628"/>
      <c r="J106"/>
      <c r="K106"/>
      <c r="L106"/>
      <c r="M106"/>
    </row>
    <row r="107" spans="1:13" ht="20.25" customHeight="1">
      <c r="A107" s="155" t="s">
        <v>582</v>
      </c>
      <c r="B107" s="155" t="s">
        <v>583</v>
      </c>
      <c r="C107" s="155">
        <v>2</v>
      </c>
      <c r="D107" s="155" t="s">
        <v>584</v>
      </c>
      <c r="E107" s="155">
        <v>1611</v>
      </c>
      <c r="F107" s="637">
        <f>E107*C107</f>
        <v>3222</v>
      </c>
      <c r="G107" s="635"/>
      <c r="H107" s="628"/>
      <c r="I107" s="628"/>
      <c r="J107"/>
      <c r="K107"/>
      <c r="L107"/>
      <c r="M107"/>
    </row>
    <row r="108" spans="1:13" ht="20.25" customHeight="1">
      <c r="A108" s="155" t="s">
        <v>585</v>
      </c>
      <c r="B108" s="155" t="s">
        <v>586</v>
      </c>
      <c r="C108" s="155">
        <v>1.5</v>
      </c>
      <c r="D108" s="155" t="s">
        <v>584</v>
      </c>
      <c r="E108" s="155">
        <v>1611</v>
      </c>
      <c r="F108" s="637">
        <f t="shared" ref="F108:F112" si="16">E108*C108</f>
        <v>2416.5</v>
      </c>
      <c r="G108" s="635"/>
      <c r="H108" s="628"/>
      <c r="I108" s="628"/>
      <c r="J108"/>
      <c r="K108"/>
      <c r="L108"/>
      <c r="M108"/>
    </row>
    <row r="109" spans="1:13" ht="20.25" customHeight="1">
      <c r="A109" s="155" t="s">
        <v>587</v>
      </c>
      <c r="B109" s="155" t="s">
        <v>588</v>
      </c>
      <c r="C109" s="155">
        <v>0.5</v>
      </c>
      <c r="D109" s="155" t="s">
        <v>584</v>
      </c>
      <c r="E109" s="155">
        <v>1200</v>
      </c>
      <c r="F109" s="637">
        <f t="shared" si="16"/>
        <v>600</v>
      </c>
      <c r="G109" s="635"/>
      <c r="H109" s="628"/>
      <c r="I109" s="628"/>
      <c r="J109"/>
      <c r="K109"/>
      <c r="L109"/>
      <c r="M109"/>
    </row>
    <row r="110" spans="1:13" ht="20.25" customHeight="1">
      <c r="A110" s="155" t="s">
        <v>589</v>
      </c>
      <c r="B110" s="155" t="s">
        <v>590</v>
      </c>
      <c r="C110" s="155">
        <v>1</v>
      </c>
      <c r="D110" s="155" t="s">
        <v>584</v>
      </c>
      <c r="E110" s="155">
        <v>1200</v>
      </c>
      <c r="F110" s="637">
        <f t="shared" si="16"/>
        <v>1200</v>
      </c>
      <c r="G110" s="635"/>
      <c r="H110" s="628"/>
      <c r="I110" s="628"/>
      <c r="J110"/>
      <c r="K110"/>
      <c r="L110"/>
      <c r="M110"/>
    </row>
    <row r="111" spans="1:13" ht="20.25" customHeight="1">
      <c r="A111" s="155" t="s">
        <v>591</v>
      </c>
      <c r="B111" s="155" t="s">
        <v>592</v>
      </c>
      <c r="C111" s="155">
        <v>3</v>
      </c>
      <c r="D111" s="155" t="s">
        <v>584</v>
      </c>
      <c r="E111" s="155">
        <f>+(15*24)+(800*2)+(80*24)+(24*30)</f>
        <v>4600</v>
      </c>
      <c r="F111" s="637">
        <f t="shared" si="16"/>
        <v>13800</v>
      </c>
      <c r="G111" s="635"/>
      <c r="H111" s="628"/>
      <c r="I111" s="628"/>
      <c r="J111"/>
      <c r="K111"/>
      <c r="L111"/>
      <c r="M111"/>
    </row>
    <row r="112" spans="1:13" ht="20.25" customHeight="1">
      <c r="A112" s="155" t="s">
        <v>593</v>
      </c>
      <c r="B112" s="155"/>
      <c r="C112" s="155">
        <v>15</v>
      </c>
      <c r="D112" s="155" t="s">
        <v>594</v>
      </c>
      <c r="E112" s="155">
        <f>(15+15+80)</f>
        <v>110</v>
      </c>
      <c r="F112" s="637">
        <f t="shared" si="16"/>
        <v>1650</v>
      </c>
      <c r="G112" s="635"/>
      <c r="H112" s="628"/>
      <c r="I112" s="628"/>
      <c r="J112"/>
      <c r="K112"/>
      <c r="L112"/>
      <c r="M112"/>
    </row>
    <row r="113" spans="1:13" ht="20.25" customHeight="1">
      <c r="A113" s="146" t="s">
        <v>35</v>
      </c>
      <c r="B113" s="628"/>
      <c r="C113" s="628"/>
      <c r="D113" s="628"/>
      <c r="E113" s="634"/>
      <c r="F113" s="636">
        <f>SUM(F107:F112)</f>
        <v>22888.5</v>
      </c>
      <c r="G113" s="635"/>
      <c r="H113" s="628"/>
      <c r="I113" s="628"/>
      <c r="J113"/>
      <c r="K113"/>
      <c r="L113"/>
      <c r="M113"/>
    </row>
    <row r="114" spans="1:13" ht="20.25" customHeight="1">
      <c r="A114" s="634"/>
      <c r="B114" s="628"/>
      <c r="C114" s="628"/>
      <c r="D114" s="628"/>
      <c r="E114" s="634"/>
      <c r="F114" s="635"/>
      <c r="G114" s="635"/>
      <c r="H114" s="628"/>
      <c r="I114" s="628"/>
      <c r="J114"/>
      <c r="K114"/>
      <c r="L114"/>
      <c r="M114"/>
    </row>
    <row r="115" spans="1:13" ht="20.25" customHeight="1">
      <c r="A115" s="867" t="s">
        <v>569</v>
      </c>
      <c r="B115" s="867"/>
      <c r="C115" s="867"/>
      <c r="D115" s="867"/>
      <c r="E115" s="867"/>
      <c r="F115" s="867"/>
      <c r="G115" s="867"/>
      <c r="H115" s="867"/>
      <c r="I115" s="867"/>
      <c r="J115"/>
      <c r="K115"/>
      <c r="L115"/>
      <c r="M115"/>
    </row>
    <row r="116" spans="1:13" ht="42" customHeight="1">
      <c r="A116" s="142" t="s">
        <v>570</v>
      </c>
      <c r="B116" s="142" t="str">
        <f>B96</f>
        <v>ESTUDIOS DE OBRAS, CONSTRUCCIÓN Y REHABILITACIÓN DE SISTEMAS DE RIEGO Y DRENAJE</v>
      </c>
      <c r="C116" s="627"/>
      <c r="D116" s="627"/>
      <c r="E116" s="627"/>
      <c r="F116" s="627"/>
      <c r="G116" s="627"/>
      <c r="H116" s="627"/>
      <c r="I116" s="627"/>
      <c r="J116"/>
      <c r="K116"/>
      <c r="L116"/>
      <c r="M116"/>
    </row>
    <row r="117" spans="1:13" ht="42" customHeight="1">
      <c r="A117" s="142" t="s">
        <v>580</v>
      </c>
      <c r="B117" s="142" t="s">
        <v>610</v>
      </c>
      <c r="C117" s="627"/>
      <c r="D117" s="627"/>
      <c r="E117" s="627"/>
      <c r="F117" s="627"/>
      <c r="G117" s="627"/>
      <c r="H117" s="627"/>
      <c r="I117" s="627"/>
      <c r="J117"/>
      <c r="K117"/>
      <c r="L117"/>
      <c r="M117"/>
    </row>
    <row r="118" spans="1:13" ht="20.25" customHeight="1">
      <c r="A118" s="142" t="s">
        <v>572</v>
      </c>
      <c r="B118" s="868" t="s">
        <v>581</v>
      </c>
      <c r="C118" s="868"/>
      <c r="D118" s="868"/>
      <c r="E118" s="868"/>
      <c r="F118" s="868"/>
      <c r="G118" s="868"/>
      <c r="H118" s="868"/>
      <c r="I118" s="868"/>
      <c r="J118"/>
      <c r="K118"/>
      <c r="L118"/>
      <c r="M118"/>
    </row>
    <row r="119" spans="1:13" ht="20.25" customHeight="1">
      <c r="A119" s="142" t="s">
        <v>574</v>
      </c>
      <c r="B119" s="869" t="s">
        <v>575</v>
      </c>
      <c r="C119" s="869"/>
      <c r="D119" s="869"/>
      <c r="E119" s="869"/>
      <c r="F119" s="869"/>
      <c r="G119" s="861" t="s">
        <v>484</v>
      </c>
      <c r="H119" s="861"/>
      <c r="I119" s="861"/>
      <c r="J119"/>
      <c r="K119"/>
      <c r="L119"/>
      <c r="M119"/>
    </row>
    <row r="120" spans="1:13" ht="20.25" customHeight="1">
      <c r="A120" s="628"/>
      <c r="B120" s="628"/>
      <c r="C120" s="628"/>
      <c r="D120" s="628"/>
      <c r="E120" s="628"/>
      <c r="F120" s="628"/>
      <c r="G120" s="862" t="s">
        <v>311</v>
      </c>
      <c r="H120" s="862"/>
      <c r="I120" s="628"/>
      <c r="J120"/>
      <c r="K120"/>
      <c r="L120"/>
      <c r="M120"/>
    </row>
    <row r="121" spans="1:13" ht="20.25" customHeight="1">
      <c r="A121" s="629" t="s">
        <v>301</v>
      </c>
      <c r="B121" s="148" t="s">
        <v>302</v>
      </c>
      <c r="C121" s="148" t="s">
        <v>312</v>
      </c>
      <c r="D121" s="148" t="s">
        <v>303</v>
      </c>
      <c r="E121" s="148" t="s">
        <v>304</v>
      </c>
      <c r="F121" s="148" t="s">
        <v>305</v>
      </c>
      <c r="G121" s="148" t="s">
        <v>306</v>
      </c>
      <c r="H121" s="148" t="s">
        <v>307</v>
      </c>
      <c r="I121" s="148" t="s">
        <v>308</v>
      </c>
      <c r="J121"/>
      <c r="K121"/>
      <c r="L121"/>
      <c r="M121"/>
    </row>
    <row r="122" spans="1:13" ht="20.25" customHeight="1">
      <c r="A122" s="136" t="s">
        <v>373</v>
      </c>
      <c r="B122" s="159" t="s">
        <v>352</v>
      </c>
      <c r="C122" s="152">
        <v>21</v>
      </c>
      <c r="D122" s="152" t="s">
        <v>353</v>
      </c>
      <c r="E122" s="152">
        <v>17.5</v>
      </c>
      <c r="F122" s="630">
        <f>E122*C122</f>
        <v>367.5</v>
      </c>
      <c r="G122" s="630">
        <f>F122*1.12</f>
        <v>411.6</v>
      </c>
      <c r="H122" s="152">
        <f>'[3]PROF PRESUPUEST'!$B$119</f>
        <v>730212</v>
      </c>
      <c r="I122" s="152" t="s">
        <v>965</v>
      </c>
      <c r="J122"/>
      <c r="K122"/>
      <c r="L122"/>
      <c r="M122"/>
    </row>
    <row r="123" spans="1:13" ht="20.25" customHeight="1">
      <c r="A123" s="155" t="s">
        <v>373</v>
      </c>
      <c r="B123" s="155" t="s">
        <v>354</v>
      </c>
      <c r="C123" s="152">
        <v>1</v>
      </c>
      <c r="D123" s="152" t="s">
        <v>353</v>
      </c>
      <c r="E123" s="152">
        <v>90</v>
      </c>
      <c r="F123" s="630">
        <f t="shared" ref="F123:F124" si="17">E123*C123</f>
        <v>90</v>
      </c>
      <c r="G123" s="630">
        <f t="shared" ref="G123:G124" si="18">F123*1.12</f>
        <v>100.80000000000001</v>
      </c>
      <c r="H123" s="152">
        <f>'[3]PROF PRESUPUEST'!$B$119</f>
        <v>730212</v>
      </c>
      <c r="I123" s="152" t="s">
        <v>965</v>
      </c>
      <c r="J123"/>
      <c r="K123"/>
      <c r="L123"/>
      <c r="M123"/>
    </row>
    <row r="124" spans="1:13" ht="20.25" customHeight="1">
      <c r="A124" s="155" t="str">
        <f>A123</f>
        <v>Servicio</v>
      </c>
      <c r="B124" s="159" t="s">
        <v>357</v>
      </c>
      <c r="C124" s="152">
        <v>2</v>
      </c>
      <c r="D124" s="152" t="s">
        <v>355</v>
      </c>
      <c r="E124" s="152">
        <v>100</v>
      </c>
      <c r="F124" s="630">
        <f t="shared" si="17"/>
        <v>200</v>
      </c>
      <c r="G124" s="630">
        <f t="shared" si="18"/>
        <v>224.00000000000003</v>
      </c>
      <c r="H124" s="152">
        <v>730204</v>
      </c>
      <c r="I124" s="136" t="s">
        <v>579</v>
      </c>
      <c r="J124"/>
      <c r="K124"/>
      <c r="L124"/>
      <c r="M124"/>
    </row>
    <row r="125" spans="1:13" ht="20.25" customHeight="1">
      <c r="A125" s="628"/>
      <c r="B125" s="628"/>
      <c r="C125" s="628"/>
      <c r="D125" s="628"/>
      <c r="E125" s="146" t="s">
        <v>35</v>
      </c>
      <c r="F125" s="636">
        <f>SUM(F122:F124)</f>
        <v>657.5</v>
      </c>
      <c r="G125" s="636">
        <f>SUM(G122:G124)</f>
        <v>736.40000000000009</v>
      </c>
      <c r="H125" s="628"/>
      <c r="I125" s="628"/>
      <c r="J125"/>
      <c r="K125"/>
      <c r="L125"/>
      <c r="M125"/>
    </row>
    <row r="126" spans="1:13" ht="20.25" customHeight="1">
      <c r="A126" s="628"/>
      <c r="B126" s="628"/>
      <c r="C126" s="628"/>
      <c r="D126" s="628"/>
      <c r="E126" s="634"/>
      <c r="F126" s="635"/>
      <c r="G126" s="635"/>
      <c r="H126" s="628"/>
      <c r="I126" s="628"/>
      <c r="J126"/>
      <c r="K126"/>
      <c r="L126"/>
      <c r="M126"/>
    </row>
    <row r="127" spans="1:13" ht="20.25" customHeight="1">
      <c r="A127" s="155" t="s">
        <v>582</v>
      </c>
      <c r="B127" s="155" t="s">
        <v>583</v>
      </c>
      <c r="C127" s="155">
        <v>2</v>
      </c>
      <c r="D127" s="155" t="s">
        <v>584</v>
      </c>
      <c r="E127" s="155">
        <v>1611</v>
      </c>
      <c r="F127" s="637">
        <f>E127*C127</f>
        <v>3222</v>
      </c>
      <c r="G127" s="635"/>
      <c r="H127" s="628"/>
      <c r="I127" s="628"/>
      <c r="J127"/>
      <c r="K127"/>
      <c r="L127"/>
      <c r="M127"/>
    </row>
    <row r="128" spans="1:13" ht="20.25" customHeight="1">
      <c r="A128" s="155" t="s">
        <v>585</v>
      </c>
      <c r="B128" s="155" t="s">
        <v>586</v>
      </c>
      <c r="C128" s="155">
        <v>1.5</v>
      </c>
      <c r="D128" s="155" t="s">
        <v>584</v>
      </c>
      <c r="E128" s="155">
        <v>1611</v>
      </c>
      <c r="F128" s="637">
        <f t="shared" ref="F128:F132" si="19">E128*C128</f>
        <v>2416.5</v>
      </c>
      <c r="G128" s="635"/>
      <c r="H128" s="628"/>
      <c r="I128" s="628"/>
      <c r="J128"/>
      <c r="K128"/>
      <c r="L128"/>
      <c r="M128"/>
    </row>
    <row r="129" spans="1:13" ht="20.25" customHeight="1">
      <c r="A129" s="155" t="s">
        <v>587</v>
      </c>
      <c r="B129" s="155" t="s">
        <v>588</v>
      </c>
      <c r="C129" s="155">
        <v>0.5</v>
      </c>
      <c r="D129" s="155" t="s">
        <v>584</v>
      </c>
      <c r="E129" s="155">
        <v>1200</v>
      </c>
      <c r="F129" s="637">
        <f t="shared" si="19"/>
        <v>600</v>
      </c>
      <c r="G129" s="635"/>
      <c r="H129" s="628"/>
      <c r="I129" s="628"/>
      <c r="J129"/>
      <c r="K129"/>
      <c r="L129"/>
      <c r="M129"/>
    </row>
    <row r="130" spans="1:13" ht="20.25" customHeight="1">
      <c r="A130" s="155" t="s">
        <v>589</v>
      </c>
      <c r="B130" s="155" t="s">
        <v>590</v>
      </c>
      <c r="C130" s="155">
        <v>1.5</v>
      </c>
      <c r="D130" s="155" t="s">
        <v>584</v>
      </c>
      <c r="E130" s="155">
        <v>1200</v>
      </c>
      <c r="F130" s="637">
        <f t="shared" si="19"/>
        <v>1800</v>
      </c>
      <c r="G130" s="635"/>
      <c r="H130" s="628"/>
      <c r="I130" s="628"/>
      <c r="J130"/>
      <c r="K130"/>
      <c r="L130"/>
      <c r="M130"/>
    </row>
    <row r="131" spans="1:13" ht="20.25" customHeight="1">
      <c r="A131" s="155" t="s">
        <v>591</v>
      </c>
      <c r="B131" s="155" t="s">
        <v>592</v>
      </c>
      <c r="C131" s="155">
        <v>1</v>
      </c>
      <c r="D131" s="155" t="s">
        <v>584</v>
      </c>
      <c r="E131" s="155">
        <f>+(15*24)+(800*2)+(80*24)+(24*30)</f>
        <v>4600</v>
      </c>
      <c r="F131" s="637">
        <f t="shared" si="19"/>
        <v>4600</v>
      </c>
      <c r="G131" s="635"/>
      <c r="H131" s="628"/>
      <c r="I131" s="628"/>
      <c r="J131"/>
      <c r="K131"/>
      <c r="L131"/>
      <c r="M131"/>
    </row>
    <row r="132" spans="1:13" ht="20.25" customHeight="1">
      <c r="A132" s="155" t="s">
        <v>593</v>
      </c>
      <c r="B132" s="155"/>
      <c r="C132" s="155">
        <v>15</v>
      </c>
      <c r="D132" s="155" t="s">
        <v>594</v>
      </c>
      <c r="E132" s="155">
        <f>(15+15+80)</f>
        <v>110</v>
      </c>
      <c r="F132" s="637">
        <f t="shared" si="19"/>
        <v>1650</v>
      </c>
      <c r="G132" s="635"/>
      <c r="H132" s="628"/>
      <c r="I132" s="628"/>
      <c r="J132"/>
      <c r="K132"/>
      <c r="L132"/>
      <c r="M132"/>
    </row>
    <row r="133" spans="1:13" ht="20.25" customHeight="1">
      <c r="A133" s="146" t="s">
        <v>35</v>
      </c>
      <c r="B133" s="628"/>
      <c r="C133" s="628"/>
      <c r="D133" s="628"/>
      <c r="E133" s="634"/>
      <c r="F133" s="636">
        <f>SUM(F127:F132)</f>
        <v>14288.5</v>
      </c>
      <c r="G133" s="635"/>
      <c r="H133" s="628"/>
      <c r="I133" s="628"/>
      <c r="J133"/>
      <c r="K133"/>
      <c r="L133"/>
      <c r="M133"/>
    </row>
    <row r="134" spans="1:13" ht="20.25" customHeight="1">
      <c r="A134" s="634"/>
      <c r="B134" s="628"/>
      <c r="C134" s="628"/>
      <c r="D134" s="628"/>
      <c r="E134" s="634"/>
      <c r="F134" s="635"/>
      <c r="G134" s="635"/>
      <c r="H134" s="628"/>
      <c r="I134" s="628"/>
      <c r="J134"/>
      <c r="K134"/>
      <c r="L134"/>
      <c r="M134"/>
    </row>
    <row r="135" spans="1:13" ht="20.25" customHeight="1">
      <c r="A135" s="867" t="s">
        <v>569</v>
      </c>
      <c r="B135" s="867"/>
      <c r="C135" s="867"/>
      <c r="D135" s="867"/>
      <c r="E135" s="867"/>
      <c r="F135" s="867"/>
      <c r="G135" s="867"/>
      <c r="H135" s="867"/>
      <c r="I135" s="867"/>
      <c r="J135"/>
      <c r="K135"/>
      <c r="L135"/>
      <c r="M135"/>
    </row>
    <row r="136" spans="1:13" ht="37.5" customHeight="1">
      <c r="A136" s="142" t="s">
        <v>570</v>
      </c>
      <c r="B136" s="142" t="str">
        <f>B171</f>
        <v>ESTUDIOS DE OBRAS, CONSTRUCCIÓN Y REHABILITACIÓN DE SISTEMAS DE RIEGO Y DRENAJE</v>
      </c>
      <c r="C136" s="627"/>
      <c r="D136" s="627"/>
      <c r="E136" s="627"/>
      <c r="F136" s="627"/>
      <c r="G136" s="627"/>
      <c r="H136" s="627"/>
      <c r="I136" s="627"/>
      <c r="J136"/>
      <c r="K136"/>
      <c r="L136"/>
      <c r="M136"/>
    </row>
    <row r="137" spans="1:13" ht="39.75" customHeight="1">
      <c r="A137" s="142" t="s">
        <v>580</v>
      </c>
      <c r="B137" s="142" t="s">
        <v>1049</v>
      </c>
      <c r="C137" s="627"/>
      <c r="D137" s="627"/>
      <c r="E137" s="627"/>
      <c r="F137" s="627"/>
      <c r="G137" s="627"/>
      <c r="H137" s="627"/>
      <c r="I137" s="627"/>
      <c r="J137"/>
      <c r="K137"/>
      <c r="L137"/>
      <c r="M137"/>
    </row>
    <row r="138" spans="1:13" ht="20.25" customHeight="1">
      <c r="A138" s="142" t="s">
        <v>572</v>
      </c>
      <c r="B138" s="868" t="s">
        <v>581</v>
      </c>
      <c r="C138" s="868"/>
      <c r="D138" s="868"/>
      <c r="E138" s="868"/>
      <c r="F138" s="868"/>
      <c r="G138" s="868"/>
      <c r="H138" s="868"/>
      <c r="I138" s="868"/>
      <c r="J138"/>
      <c r="K138"/>
      <c r="L138"/>
      <c r="M138"/>
    </row>
    <row r="139" spans="1:13" ht="20.25" customHeight="1">
      <c r="A139" s="142" t="s">
        <v>574</v>
      </c>
      <c r="B139" s="869" t="s">
        <v>575</v>
      </c>
      <c r="C139" s="869"/>
      <c r="D139" s="869"/>
      <c r="E139" s="869"/>
      <c r="F139" s="869"/>
      <c r="G139" s="861" t="s">
        <v>484</v>
      </c>
      <c r="H139" s="861"/>
      <c r="I139" s="861"/>
      <c r="J139"/>
      <c r="K139"/>
      <c r="L139"/>
      <c r="M139"/>
    </row>
    <row r="140" spans="1:13" ht="20.25" customHeight="1">
      <c r="A140" s="628"/>
      <c r="B140" s="628"/>
      <c r="C140" s="628"/>
      <c r="D140" s="628"/>
      <c r="E140" s="628"/>
      <c r="F140" s="628"/>
      <c r="G140" s="862" t="s">
        <v>311</v>
      </c>
      <c r="H140" s="862"/>
      <c r="I140" s="628"/>
      <c r="J140"/>
      <c r="K140"/>
      <c r="L140"/>
      <c r="M140"/>
    </row>
    <row r="141" spans="1:13" ht="20.25" customHeight="1">
      <c r="A141" s="629" t="s">
        <v>301</v>
      </c>
      <c r="B141" s="148" t="s">
        <v>302</v>
      </c>
      <c r="C141" s="148" t="s">
        <v>312</v>
      </c>
      <c r="D141" s="148" t="s">
        <v>303</v>
      </c>
      <c r="E141" s="148" t="s">
        <v>304</v>
      </c>
      <c r="F141" s="148" t="s">
        <v>305</v>
      </c>
      <c r="G141" s="148" t="s">
        <v>306</v>
      </c>
      <c r="H141" s="148" t="s">
        <v>307</v>
      </c>
      <c r="I141" s="148" t="s">
        <v>308</v>
      </c>
      <c r="J141"/>
      <c r="K141"/>
      <c r="L141"/>
      <c r="M141"/>
    </row>
    <row r="142" spans="1:13" ht="20.25" customHeight="1">
      <c r="A142" s="136" t="s">
        <v>373</v>
      </c>
      <c r="B142" s="159" t="s">
        <v>352</v>
      </c>
      <c r="C142" s="152">
        <f>18+39</f>
        <v>57</v>
      </c>
      <c r="D142" s="152" t="s">
        <v>353</v>
      </c>
      <c r="E142" s="152">
        <v>17.5</v>
      </c>
      <c r="F142" s="630">
        <f>E142*C142</f>
        <v>997.5</v>
      </c>
      <c r="G142" s="630">
        <f>F142*1.12</f>
        <v>1117.2</v>
      </c>
      <c r="H142" s="152">
        <f>'[3]PROF PRESUPUEST'!$B$119</f>
        <v>730212</v>
      </c>
      <c r="I142" s="152" t="s">
        <v>965</v>
      </c>
      <c r="J142"/>
      <c r="K142"/>
      <c r="L142"/>
      <c r="M142"/>
    </row>
    <row r="143" spans="1:13" ht="20.25" customHeight="1">
      <c r="A143" s="155" t="s">
        <v>373</v>
      </c>
      <c r="B143" s="155" t="s">
        <v>354</v>
      </c>
      <c r="C143" s="152">
        <v>1</v>
      </c>
      <c r="D143" s="152" t="s">
        <v>353</v>
      </c>
      <c r="E143" s="152">
        <v>90</v>
      </c>
      <c r="F143" s="630">
        <f t="shared" ref="F143:F144" si="20">E143*C143</f>
        <v>90</v>
      </c>
      <c r="G143" s="630">
        <f t="shared" ref="G143:G144" si="21">F143*1.12</f>
        <v>100.80000000000001</v>
      </c>
      <c r="H143" s="152">
        <f>'[3]PROF PRESUPUEST'!$B$119</f>
        <v>730212</v>
      </c>
      <c r="I143" s="152" t="s">
        <v>965</v>
      </c>
      <c r="J143"/>
      <c r="K143"/>
      <c r="L143"/>
      <c r="M143"/>
    </row>
    <row r="144" spans="1:13" ht="20.25" customHeight="1">
      <c r="A144" s="160" t="str">
        <f>A143</f>
        <v>Servicio</v>
      </c>
      <c r="B144" s="136" t="s">
        <v>357</v>
      </c>
      <c r="C144" s="152">
        <v>2</v>
      </c>
      <c r="D144" s="152" t="s">
        <v>355</v>
      </c>
      <c r="E144" s="152">
        <v>100</v>
      </c>
      <c r="F144" s="630">
        <f t="shared" si="20"/>
        <v>200</v>
      </c>
      <c r="G144" s="630">
        <f t="shared" si="21"/>
        <v>224.00000000000003</v>
      </c>
      <c r="H144" s="152">
        <v>730204</v>
      </c>
      <c r="I144" s="136" t="s">
        <v>579</v>
      </c>
      <c r="J144"/>
      <c r="K144"/>
      <c r="L144"/>
      <c r="M144"/>
    </row>
    <row r="145" spans="1:13" ht="20.25" customHeight="1">
      <c r="A145" s="628"/>
      <c r="B145" s="628"/>
      <c r="C145" s="628"/>
      <c r="D145" s="628"/>
      <c r="E145" s="146" t="s">
        <v>35</v>
      </c>
      <c r="F145" s="633">
        <f>SUM(F142:F144)</f>
        <v>1287.5</v>
      </c>
      <c r="G145" s="638">
        <f>SUM(G142:G144)</f>
        <v>1442</v>
      </c>
      <c r="H145" s="628"/>
      <c r="I145" s="628"/>
      <c r="J145"/>
      <c r="K145"/>
      <c r="L145"/>
      <c r="M145"/>
    </row>
    <row r="146" spans="1:13" ht="20.25" customHeight="1">
      <c r="A146" s="628"/>
      <c r="B146" s="628"/>
      <c r="C146" s="639"/>
      <c r="D146" s="639"/>
      <c r="E146" s="639"/>
      <c r="F146" s="639"/>
      <c r="G146" s="639"/>
      <c r="H146" s="628"/>
      <c r="I146" s="628"/>
      <c r="J146"/>
      <c r="K146"/>
      <c r="L146"/>
      <c r="M146"/>
    </row>
    <row r="147" spans="1:13" ht="20.25" customHeight="1">
      <c r="A147" s="155" t="s">
        <v>582</v>
      </c>
      <c r="B147" s="155" t="s">
        <v>583</v>
      </c>
      <c r="C147" s="155">
        <v>3</v>
      </c>
      <c r="D147" s="155" t="s">
        <v>584</v>
      </c>
      <c r="E147" s="155">
        <v>1611</v>
      </c>
      <c r="F147" s="640">
        <f>E147*C147</f>
        <v>4833</v>
      </c>
      <c r="G147" s="635"/>
      <c r="H147" s="628"/>
      <c r="I147" s="628"/>
      <c r="J147"/>
      <c r="K147"/>
      <c r="L147"/>
      <c r="M147"/>
    </row>
    <row r="148" spans="1:13" ht="20.25" customHeight="1">
      <c r="A148" s="155" t="s">
        <v>585</v>
      </c>
      <c r="B148" s="155" t="s">
        <v>586</v>
      </c>
      <c r="C148" s="155">
        <v>3</v>
      </c>
      <c r="D148" s="155" t="s">
        <v>584</v>
      </c>
      <c r="E148" s="155">
        <v>1611</v>
      </c>
      <c r="F148" s="640">
        <f t="shared" ref="F148:F152" si="22">E148*C148</f>
        <v>4833</v>
      </c>
      <c r="G148" s="635"/>
      <c r="H148" s="628"/>
      <c r="I148" s="628"/>
      <c r="J148"/>
      <c r="K148"/>
      <c r="L148"/>
      <c r="M148"/>
    </row>
    <row r="149" spans="1:13" ht="20.25" customHeight="1">
      <c r="A149" s="155" t="s">
        <v>587</v>
      </c>
      <c r="B149" s="155" t="s">
        <v>588</v>
      </c>
      <c r="C149" s="155">
        <v>1</v>
      </c>
      <c r="D149" s="155" t="s">
        <v>584</v>
      </c>
      <c r="E149" s="155">
        <v>1200</v>
      </c>
      <c r="F149" s="640">
        <f t="shared" si="22"/>
        <v>1200</v>
      </c>
      <c r="G149" s="635"/>
      <c r="H149" s="628"/>
      <c r="I149" s="628"/>
      <c r="J149"/>
      <c r="K149"/>
      <c r="L149"/>
      <c r="M149"/>
    </row>
    <row r="150" spans="1:13" ht="20.25" customHeight="1">
      <c r="A150" s="155" t="s">
        <v>589</v>
      </c>
      <c r="B150" s="155" t="s">
        <v>590</v>
      </c>
      <c r="C150" s="155">
        <v>1.5</v>
      </c>
      <c r="D150" s="155" t="s">
        <v>584</v>
      </c>
      <c r="E150" s="155">
        <v>1200</v>
      </c>
      <c r="F150" s="640">
        <f t="shared" si="22"/>
        <v>1800</v>
      </c>
      <c r="G150" s="635"/>
      <c r="H150" s="628"/>
      <c r="I150" s="628"/>
      <c r="J150"/>
      <c r="K150"/>
      <c r="L150"/>
      <c r="M150"/>
    </row>
    <row r="151" spans="1:13" ht="20.25" customHeight="1">
      <c r="A151" s="155" t="s">
        <v>591</v>
      </c>
      <c r="B151" s="155" t="s">
        <v>592</v>
      </c>
      <c r="C151" s="155">
        <v>1</v>
      </c>
      <c r="D151" s="155" t="s">
        <v>584</v>
      </c>
      <c r="E151" s="155">
        <f>+(15*24)+(800*2)+(80*24)+(24*30)</f>
        <v>4600</v>
      </c>
      <c r="F151" s="640">
        <f t="shared" si="22"/>
        <v>4600</v>
      </c>
      <c r="G151" s="635"/>
      <c r="H151" s="628"/>
      <c r="I151" s="628"/>
      <c r="J151"/>
      <c r="K151"/>
      <c r="L151"/>
      <c r="M151"/>
    </row>
    <row r="152" spans="1:13" ht="20.25" customHeight="1">
      <c r="A152" s="155" t="s">
        <v>593</v>
      </c>
      <c r="B152" s="155"/>
      <c r="C152" s="155">
        <v>15</v>
      </c>
      <c r="D152" s="155" t="s">
        <v>594</v>
      </c>
      <c r="E152" s="155">
        <f>(15+15+80)</f>
        <v>110</v>
      </c>
      <c r="F152" s="640">
        <f t="shared" si="22"/>
        <v>1650</v>
      </c>
      <c r="G152" s="635"/>
      <c r="H152" s="628"/>
      <c r="I152" s="628"/>
      <c r="J152"/>
      <c r="K152"/>
      <c r="L152"/>
      <c r="M152"/>
    </row>
    <row r="153" spans="1:13" ht="20.25" customHeight="1">
      <c r="A153" s="146" t="s">
        <v>35</v>
      </c>
      <c r="B153" s="628"/>
      <c r="C153" s="628"/>
      <c r="D153" s="628"/>
      <c r="E153" s="634"/>
      <c r="F153" s="638">
        <f>SUM(F147:F152)</f>
        <v>18916</v>
      </c>
      <c r="G153" s="635"/>
      <c r="H153" s="628"/>
      <c r="I153" s="628"/>
      <c r="J153"/>
      <c r="K153"/>
      <c r="L153"/>
      <c r="M153"/>
    </row>
    <row r="154" spans="1:13" ht="20.25" customHeight="1">
      <c r="A154" s="634"/>
      <c r="B154" s="628"/>
      <c r="C154" s="628"/>
      <c r="D154" s="628"/>
      <c r="E154" s="634"/>
      <c r="F154" s="635"/>
      <c r="G154" s="635"/>
      <c r="H154" s="628"/>
      <c r="I154" s="628"/>
      <c r="J154"/>
      <c r="K154"/>
      <c r="L154"/>
      <c r="M154"/>
    </row>
    <row r="155" spans="1:13" ht="20.25" customHeight="1">
      <c r="A155" s="867" t="s">
        <v>569</v>
      </c>
      <c r="B155" s="867"/>
      <c r="C155" s="867"/>
      <c r="D155" s="867"/>
      <c r="E155" s="867"/>
      <c r="F155" s="867"/>
      <c r="G155" s="867"/>
      <c r="H155" s="867"/>
      <c r="I155" s="867"/>
      <c r="J155"/>
      <c r="K155"/>
      <c r="L155"/>
      <c r="M155"/>
    </row>
    <row r="156" spans="1:13" ht="39" customHeight="1">
      <c r="A156" s="142" t="s">
        <v>570</v>
      </c>
      <c r="B156" s="142" t="str">
        <f>B136</f>
        <v>ESTUDIOS DE OBRAS, CONSTRUCCIÓN Y REHABILITACIÓN DE SISTEMAS DE RIEGO Y DRENAJE</v>
      </c>
      <c r="C156" s="627"/>
      <c r="D156" s="627"/>
      <c r="E156" s="627"/>
      <c r="F156" s="627"/>
      <c r="G156" s="627"/>
      <c r="H156" s="627"/>
      <c r="I156" s="627"/>
      <c r="J156"/>
      <c r="K156"/>
      <c r="L156"/>
      <c r="M156"/>
    </row>
    <row r="157" spans="1:13" ht="32.25" customHeight="1">
      <c r="A157" s="142" t="s">
        <v>580</v>
      </c>
      <c r="B157" s="142" t="s">
        <v>611</v>
      </c>
      <c r="C157" s="627"/>
      <c r="D157" s="627"/>
      <c r="E157" s="627"/>
      <c r="F157" s="627"/>
      <c r="G157" s="627"/>
      <c r="H157" s="627"/>
      <c r="I157" s="627"/>
      <c r="J157"/>
      <c r="K157"/>
      <c r="L157"/>
      <c r="M157"/>
    </row>
    <row r="158" spans="1:13" ht="20.25" customHeight="1">
      <c r="A158" s="142" t="s">
        <v>572</v>
      </c>
      <c r="B158" s="141" t="s">
        <v>595</v>
      </c>
      <c r="C158" s="141"/>
      <c r="D158" s="141"/>
      <c r="E158" s="141"/>
      <c r="F158" s="141"/>
      <c r="G158" s="141"/>
      <c r="H158" s="141"/>
      <c r="I158" s="141"/>
      <c r="J158"/>
      <c r="K158"/>
      <c r="L158"/>
      <c r="M158"/>
    </row>
    <row r="159" spans="1:13" ht="20.25" customHeight="1">
      <c r="A159" s="142" t="s">
        <v>574</v>
      </c>
      <c r="B159" s="869" t="s">
        <v>596</v>
      </c>
      <c r="C159" s="869"/>
      <c r="D159" s="869"/>
      <c r="E159" s="869"/>
      <c r="F159" s="869"/>
      <c r="G159" s="861" t="s">
        <v>484</v>
      </c>
      <c r="H159" s="861"/>
      <c r="I159" s="861"/>
      <c r="J159"/>
      <c r="K159"/>
      <c r="L159"/>
      <c r="M159"/>
    </row>
    <row r="160" spans="1:13" ht="20.25" customHeight="1">
      <c r="A160" s="628"/>
      <c r="B160" s="628"/>
      <c r="C160" s="628"/>
      <c r="D160" s="628"/>
      <c r="E160" s="628"/>
      <c r="F160" s="628"/>
      <c r="G160" s="862" t="s">
        <v>311</v>
      </c>
      <c r="H160" s="862"/>
      <c r="I160" s="628"/>
      <c r="J160"/>
      <c r="K160"/>
      <c r="L160"/>
      <c r="M160"/>
    </row>
    <row r="161" spans="1:13" ht="20.25" customHeight="1">
      <c r="A161" s="629" t="s">
        <v>301</v>
      </c>
      <c r="B161" s="148" t="s">
        <v>302</v>
      </c>
      <c r="C161" s="148" t="s">
        <v>312</v>
      </c>
      <c r="D161" s="148" t="s">
        <v>303</v>
      </c>
      <c r="E161" s="148" t="s">
        <v>304</v>
      </c>
      <c r="F161" s="148" t="s">
        <v>305</v>
      </c>
      <c r="G161" s="148" t="s">
        <v>306</v>
      </c>
      <c r="H161" s="148" t="s">
        <v>307</v>
      </c>
      <c r="I161" s="148" t="s">
        <v>308</v>
      </c>
      <c r="J161"/>
      <c r="K161"/>
      <c r="L161"/>
      <c r="M161"/>
    </row>
    <row r="162" spans="1:13" ht="20.25" customHeight="1">
      <c r="A162" s="136" t="s">
        <v>373</v>
      </c>
      <c r="B162" s="155" t="s">
        <v>354</v>
      </c>
      <c r="C162" s="152">
        <v>32</v>
      </c>
      <c r="D162" s="152" t="s">
        <v>353</v>
      </c>
      <c r="E162" s="152">
        <v>90</v>
      </c>
      <c r="F162" s="630">
        <f t="shared" ref="F162:F163" si="23">E162*C162</f>
        <v>2880</v>
      </c>
      <c r="G162" s="630">
        <f t="shared" ref="G162:G163" si="24">F162*1.12</f>
        <v>3225.6000000000004</v>
      </c>
      <c r="H162" s="152">
        <f>'[3]PROF PRESUPUEST'!$B$119</f>
        <v>730212</v>
      </c>
      <c r="I162" s="152" t="str">
        <f>'[3]PROF PRESUPUEST'!$G$115</f>
        <v xml:space="preserve">Investigaciones Profesionales y Exámenes de Laboratorio </v>
      </c>
      <c r="J162"/>
      <c r="K162"/>
      <c r="L162"/>
      <c r="M162"/>
    </row>
    <row r="163" spans="1:13" ht="20.25" customHeight="1">
      <c r="A163" s="155" t="s">
        <v>373</v>
      </c>
      <c r="B163" s="159" t="s">
        <v>357</v>
      </c>
      <c r="C163" s="152">
        <v>64</v>
      </c>
      <c r="D163" s="152" t="s">
        <v>355</v>
      </c>
      <c r="E163" s="152">
        <v>100</v>
      </c>
      <c r="F163" s="630">
        <f t="shared" si="23"/>
        <v>6400</v>
      </c>
      <c r="G163" s="630">
        <f t="shared" si="24"/>
        <v>7168.0000000000009</v>
      </c>
      <c r="H163" s="152">
        <v>730204</v>
      </c>
      <c r="I163" s="136" t="s">
        <v>579</v>
      </c>
      <c r="J163"/>
      <c r="K163"/>
      <c r="L163"/>
      <c r="M163"/>
    </row>
    <row r="164" spans="1:13" ht="20.25" customHeight="1">
      <c r="C164" s="628"/>
      <c r="D164" s="628"/>
      <c r="E164" s="146" t="s">
        <v>35</v>
      </c>
      <c r="F164" s="636">
        <f>SUM(F162:F163)</f>
        <v>9280</v>
      </c>
      <c r="G164" s="636">
        <f>SUM(G162:G163)</f>
        <v>10393.600000000002</v>
      </c>
      <c r="H164" s="628"/>
      <c r="I164" s="628"/>
      <c r="J164"/>
      <c r="K164"/>
      <c r="L164"/>
      <c r="M164"/>
    </row>
    <row r="165" spans="1:13" ht="20.25" customHeight="1">
      <c r="C165" s="628"/>
      <c r="D165" s="628"/>
      <c r="E165" s="634"/>
      <c r="F165" s="635"/>
      <c r="G165" s="635"/>
      <c r="H165" s="628"/>
      <c r="I165" s="628"/>
      <c r="J165"/>
      <c r="K165"/>
      <c r="L165"/>
      <c r="M165"/>
    </row>
    <row r="166" spans="1:13" ht="20.25" customHeight="1">
      <c r="A166" s="155" t="s">
        <v>587</v>
      </c>
      <c r="B166" s="155" t="s">
        <v>1112</v>
      </c>
      <c r="C166" s="155">
        <v>4</v>
      </c>
      <c r="D166" s="155" t="s">
        <v>584</v>
      </c>
      <c r="E166" s="155">
        <v>1200</v>
      </c>
      <c r="F166" s="640">
        <f t="shared" ref="F166:F167" si="25">E166*C166</f>
        <v>4800</v>
      </c>
      <c r="G166" s="635"/>
      <c r="H166" s="628"/>
      <c r="I166" s="628"/>
      <c r="J166"/>
      <c r="K166"/>
      <c r="L166"/>
      <c r="M166"/>
    </row>
    <row r="167" spans="1:13" ht="20.25" customHeight="1">
      <c r="A167" s="155" t="s">
        <v>593</v>
      </c>
      <c r="B167" s="155"/>
      <c r="C167" s="155">
        <v>16</v>
      </c>
      <c r="D167" s="155" t="s">
        <v>594</v>
      </c>
      <c r="E167" s="155">
        <f>(15+15+80)</f>
        <v>110</v>
      </c>
      <c r="F167" s="640">
        <f t="shared" si="25"/>
        <v>1760</v>
      </c>
      <c r="G167" s="635"/>
      <c r="H167" s="628"/>
      <c r="I167" s="628"/>
      <c r="J167"/>
      <c r="K167"/>
      <c r="L167"/>
      <c r="M167"/>
    </row>
    <row r="168" spans="1:13" ht="20.25" customHeight="1">
      <c r="A168" s="146" t="s">
        <v>35</v>
      </c>
      <c r="B168" s="628"/>
      <c r="C168" s="628"/>
      <c r="D168" s="628"/>
      <c r="E168" s="634"/>
      <c r="F168" s="638">
        <f>SUM(F164:F167)</f>
        <v>15840</v>
      </c>
      <c r="G168" s="635"/>
      <c r="H168" s="628"/>
      <c r="I168" s="628"/>
      <c r="J168"/>
      <c r="K168"/>
      <c r="L168"/>
      <c r="M168"/>
    </row>
    <row r="169" spans="1:13" ht="20.25" customHeight="1">
      <c r="C169" s="628"/>
      <c r="D169" s="628"/>
      <c r="E169" s="634"/>
      <c r="F169" s="635"/>
      <c r="G169" s="635"/>
      <c r="H169" s="628"/>
      <c r="I169" s="628"/>
      <c r="J169"/>
      <c r="K169"/>
      <c r="L169"/>
      <c r="M169"/>
    </row>
    <row r="170" spans="1:13" ht="20.25" customHeight="1">
      <c r="A170" s="867" t="s">
        <v>569</v>
      </c>
      <c r="B170" s="867"/>
      <c r="C170" s="867"/>
      <c r="D170" s="867"/>
      <c r="E170" s="867"/>
      <c r="F170" s="867"/>
      <c r="G170" s="867"/>
      <c r="H170" s="867"/>
      <c r="I170" s="867"/>
      <c r="J170"/>
      <c r="K170"/>
      <c r="L170"/>
      <c r="M170"/>
    </row>
    <row r="171" spans="1:13" ht="43.5" customHeight="1">
      <c r="A171" s="142" t="s">
        <v>570</v>
      </c>
      <c r="B171" s="142" t="str">
        <f>B116</f>
        <v>ESTUDIOS DE OBRAS, CONSTRUCCIÓN Y REHABILITACIÓN DE SISTEMAS DE RIEGO Y DRENAJE</v>
      </c>
      <c r="C171" s="627"/>
      <c r="D171" s="627"/>
      <c r="E171" s="627"/>
      <c r="F171" s="627"/>
      <c r="G171" s="627"/>
      <c r="H171" s="627"/>
      <c r="I171" s="627"/>
      <c r="J171"/>
      <c r="K171"/>
      <c r="L171"/>
      <c r="M171"/>
    </row>
    <row r="172" spans="1:13" ht="37.5" customHeight="1">
      <c r="A172" s="142" t="s">
        <v>580</v>
      </c>
      <c r="B172" s="142" t="s">
        <v>1050</v>
      </c>
      <c r="C172" s="627"/>
      <c r="D172" s="627"/>
      <c r="E172" s="627"/>
      <c r="F172" s="627"/>
      <c r="G172" s="627"/>
      <c r="H172" s="627"/>
      <c r="I172" s="627"/>
      <c r="J172"/>
      <c r="K172"/>
      <c r="L172"/>
      <c r="M172"/>
    </row>
    <row r="173" spans="1:13" ht="20.25" customHeight="1">
      <c r="A173" s="142" t="s">
        <v>572</v>
      </c>
      <c r="B173" s="141" t="s">
        <v>595</v>
      </c>
      <c r="C173" s="141"/>
      <c r="D173" s="141"/>
      <c r="E173" s="141"/>
      <c r="F173" s="141"/>
      <c r="G173" s="141"/>
      <c r="H173" s="141"/>
      <c r="I173" s="141"/>
      <c r="J173"/>
      <c r="K173"/>
      <c r="L173"/>
      <c r="M173"/>
    </row>
    <row r="174" spans="1:13" ht="20.25" customHeight="1">
      <c r="A174" s="142" t="s">
        <v>574</v>
      </c>
      <c r="B174" s="869" t="s">
        <v>575</v>
      </c>
      <c r="C174" s="869"/>
      <c r="D174" s="869"/>
      <c r="E174" s="869"/>
      <c r="F174" s="869"/>
      <c r="G174" s="861" t="s">
        <v>484</v>
      </c>
      <c r="H174" s="861"/>
      <c r="I174" s="861"/>
      <c r="J174"/>
      <c r="K174"/>
      <c r="L174"/>
      <c r="M174"/>
    </row>
    <row r="175" spans="1:13" ht="20.25" customHeight="1">
      <c r="A175" s="628"/>
      <c r="B175" s="628"/>
      <c r="C175" s="628"/>
      <c r="D175" s="628"/>
      <c r="E175" s="628"/>
      <c r="F175" s="628"/>
      <c r="G175" s="862" t="s">
        <v>311</v>
      </c>
      <c r="H175" s="862"/>
      <c r="I175" s="628"/>
      <c r="J175"/>
      <c r="K175"/>
      <c r="L175"/>
      <c r="M175"/>
    </row>
    <row r="176" spans="1:13" ht="20.25" customHeight="1">
      <c r="A176" s="629" t="s">
        <v>301</v>
      </c>
      <c r="B176" s="148" t="s">
        <v>302</v>
      </c>
      <c r="C176" s="148" t="s">
        <v>312</v>
      </c>
      <c r="D176" s="148" t="s">
        <v>303</v>
      </c>
      <c r="E176" s="148" t="s">
        <v>304</v>
      </c>
      <c r="F176" s="148" t="s">
        <v>305</v>
      </c>
      <c r="G176" s="148" t="s">
        <v>306</v>
      </c>
      <c r="H176" s="148" t="s">
        <v>307</v>
      </c>
      <c r="I176" s="148" t="s">
        <v>308</v>
      </c>
      <c r="J176"/>
      <c r="K176"/>
      <c r="L176"/>
      <c r="M176"/>
    </row>
    <row r="177" spans="1:13" ht="20.25" customHeight="1">
      <c r="A177" s="136" t="s">
        <v>373</v>
      </c>
      <c r="B177" s="159" t="s">
        <v>352</v>
      </c>
      <c r="C177" s="152">
        <f>18+39</f>
        <v>57</v>
      </c>
      <c r="D177" s="152" t="s">
        <v>353</v>
      </c>
      <c r="E177" s="152">
        <v>17.5</v>
      </c>
      <c r="F177" s="630">
        <f>E177*C177</f>
        <v>997.5</v>
      </c>
      <c r="G177" s="630">
        <f>F177*1.12</f>
        <v>1117.2</v>
      </c>
      <c r="H177" s="152">
        <f>'[3]PROF PRESUPUEST'!$B$119</f>
        <v>730212</v>
      </c>
      <c r="I177" s="152" t="s">
        <v>965</v>
      </c>
      <c r="J177"/>
      <c r="K177"/>
      <c r="L177"/>
      <c r="M177"/>
    </row>
    <row r="178" spans="1:13" ht="20.25" customHeight="1">
      <c r="A178" s="136" t="s">
        <v>373</v>
      </c>
      <c r="B178" s="155" t="s">
        <v>354</v>
      </c>
      <c r="C178" s="152">
        <v>1</v>
      </c>
      <c r="D178" s="152" t="s">
        <v>353</v>
      </c>
      <c r="E178" s="152">
        <v>90</v>
      </c>
      <c r="F178" s="630">
        <f t="shared" ref="F178:F179" si="26">E178*C178</f>
        <v>90</v>
      </c>
      <c r="G178" s="630">
        <f t="shared" ref="G178:G179" si="27">F178*1.12</f>
        <v>100.80000000000001</v>
      </c>
      <c r="H178" s="152">
        <f>'[3]PROF PRESUPUEST'!$B$119</f>
        <v>730212</v>
      </c>
      <c r="I178" s="152" t="s">
        <v>965</v>
      </c>
      <c r="J178"/>
      <c r="K178"/>
      <c r="L178"/>
      <c r="M178"/>
    </row>
    <row r="179" spans="1:13" ht="44.25" customHeight="1">
      <c r="A179" s="155" t="s">
        <v>373</v>
      </c>
      <c r="B179" s="159" t="s">
        <v>356</v>
      </c>
      <c r="C179" s="152">
        <v>3</v>
      </c>
      <c r="D179" s="152" t="s">
        <v>355</v>
      </c>
      <c r="E179" s="152">
        <v>100</v>
      </c>
      <c r="F179" s="630">
        <f t="shared" si="26"/>
        <v>300</v>
      </c>
      <c r="G179" s="630">
        <f t="shared" si="27"/>
        <v>336.00000000000006</v>
      </c>
      <c r="H179" s="152">
        <v>730204</v>
      </c>
      <c r="I179" s="136" t="s">
        <v>579</v>
      </c>
      <c r="J179"/>
      <c r="K179"/>
      <c r="L179"/>
      <c r="M179"/>
    </row>
    <row r="180" spans="1:13" ht="20.25" customHeight="1">
      <c r="A180" s="628"/>
      <c r="B180" s="628"/>
      <c r="C180" s="628"/>
      <c r="D180" s="628"/>
      <c r="E180" s="146" t="s">
        <v>35</v>
      </c>
      <c r="F180" s="633">
        <f>SUM(F177:F179)</f>
        <v>1387.5</v>
      </c>
      <c r="G180" s="633">
        <f>SUM(G177:G179)</f>
        <v>1554</v>
      </c>
      <c r="H180" s="628"/>
      <c r="I180" s="628"/>
      <c r="J180"/>
      <c r="K180"/>
      <c r="L180"/>
      <c r="M180"/>
    </row>
    <row r="181" spans="1:13" ht="20.25" customHeight="1">
      <c r="A181" s="628"/>
      <c r="B181" s="628"/>
      <c r="C181" s="628"/>
      <c r="D181" s="628"/>
      <c r="E181" s="628"/>
      <c r="F181" s="628"/>
      <c r="G181" s="641"/>
      <c r="H181" s="641"/>
      <c r="I181" s="628"/>
      <c r="J181"/>
      <c r="K181"/>
      <c r="L181"/>
      <c r="M181"/>
    </row>
    <row r="182" spans="1:13" ht="20.25" customHeight="1">
      <c r="A182" s="155" t="s">
        <v>582</v>
      </c>
      <c r="B182" s="155" t="s">
        <v>583</v>
      </c>
      <c r="C182" s="155">
        <v>3</v>
      </c>
      <c r="D182" s="155" t="s">
        <v>584</v>
      </c>
      <c r="E182" s="155">
        <v>1611</v>
      </c>
      <c r="F182" s="640">
        <f>E182*C182</f>
        <v>4833</v>
      </c>
      <c r="G182" s="635"/>
      <c r="H182" s="628"/>
      <c r="I182" s="628"/>
      <c r="J182"/>
      <c r="K182"/>
      <c r="L182"/>
      <c r="M182"/>
    </row>
    <row r="183" spans="1:13" ht="20.25" customHeight="1">
      <c r="A183" s="155" t="s">
        <v>585</v>
      </c>
      <c r="B183" s="155" t="s">
        <v>586</v>
      </c>
      <c r="C183" s="155">
        <v>3</v>
      </c>
      <c r="D183" s="155" t="s">
        <v>584</v>
      </c>
      <c r="E183" s="155">
        <v>1611</v>
      </c>
      <c r="F183" s="640">
        <f t="shared" ref="F183:F187" si="28">E183*C183</f>
        <v>4833</v>
      </c>
      <c r="G183" s="635"/>
      <c r="H183" s="628"/>
      <c r="I183" s="628"/>
      <c r="J183"/>
      <c r="K183"/>
      <c r="L183"/>
      <c r="M183"/>
    </row>
    <row r="184" spans="1:13" ht="20.25" customHeight="1">
      <c r="A184" s="155" t="s">
        <v>587</v>
      </c>
      <c r="B184" s="155" t="s">
        <v>588</v>
      </c>
      <c r="C184" s="155">
        <v>1</v>
      </c>
      <c r="D184" s="155" t="s">
        <v>584</v>
      </c>
      <c r="E184" s="155">
        <v>1200</v>
      </c>
      <c r="F184" s="640">
        <f t="shared" si="28"/>
        <v>1200</v>
      </c>
      <c r="G184" s="635"/>
      <c r="H184" s="628"/>
      <c r="I184" s="628"/>
      <c r="J184"/>
      <c r="K184"/>
      <c r="L184"/>
      <c r="M184"/>
    </row>
    <row r="185" spans="1:13" ht="20.25" customHeight="1">
      <c r="A185" s="155" t="s">
        <v>589</v>
      </c>
      <c r="B185" s="155" t="s">
        <v>590</v>
      </c>
      <c r="C185" s="155">
        <v>1.5</v>
      </c>
      <c r="D185" s="155" t="s">
        <v>584</v>
      </c>
      <c r="E185" s="155">
        <v>1200</v>
      </c>
      <c r="F185" s="640">
        <f t="shared" si="28"/>
        <v>1800</v>
      </c>
      <c r="G185" s="635"/>
      <c r="H185" s="628"/>
      <c r="I185" s="628"/>
      <c r="J185"/>
      <c r="K185"/>
      <c r="L185"/>
      <c r="M185"/>
    </row>
    <row r="186" spans="1:13" ht="20.25" customHeight="1">
      <c r="A186" s="155" t="s">
        <v>591</v>
      </c>
      <c r="B186" s="155" t="s">
        <v>592</v>
      </c>
      <c r="C186" s="155">
        <v>1</v>
      </c>
      <c r="D186" s="155" t="s">
        <v>584</v>
      </c>
      <c r="E186" s="155">
        <f>+(15*24)+(800*2)+(80*24)+(24*30)</f>
        <v>4600</v>
      </c>
      <c r="F186" s="640">
        <f t="shared" si="28"/>
        <v>4600</v>
      </c>
      <c r="G186" s="635"/>
      <c r="H186" s="628"/>
      <c r="I186" s="628"/>
      <c r="J186"/>
      <c r="K186"/>
      <c r="L186"/>
      <c r="M186"/>
    </row>
    <row r="187" spans="1:13" ht="20.25" customHeight="1">
      <c r="A187" s="155" t="s">
        <v>593</v>
      </c>
      <c r="B187" s="155"/>
      <c r="C187" s="155">
        <v>15</v>
      </c>
      <c r="D187" s="155" t="s">
        <v>594</v>
      </c>
      <c r="E187" s="155">
        <f>(15+15+80)</f>
        <v>110</v>
      </c>
      <c r="F187" s="640">
        <f t="shared" si="28"/>
        <v>1650</v>
      </c>
      <c r="G187" s="635"/>
      <c r="H187" s="628"/>
      <c r="I187" s="628"/>
      <c r="J187"/>
      <c r="K187"/>
      <c r="L187"/>
      <c r="M187"/>
    </row>
    <row r="188" spans="1:13" ht="20.25" customHeight="1">
      <c r="A188" s="146" t="s">
        <v>35</v>
      </c>
      <c r="B188" s="628"/>
      <c r="C188" s="628"/>
      <c r="D188" s="628"/>
      <c r="E188" s="634"/>
      <c r="F188" s="638">
        <f>SUM(F182:F187)</f>
        <v>18916</v>
      </c>
      <c r="G188" s="635"/>
      <c r="H188" s="628"/>
      <c r="I188" s="628"/>
      <c r="J188"/>
      <c r="K188"/>
      <c r="L188"/>
      <c r="M188"/>
    </row>
    <row r="189" spans="1:13" ht="20.25" customHeight="1">
      <c r="A189" s="634"/>
      <c r="B189" s="628"/>
      <c r="C189" s="628"/>
      <c r="D189" s="628"/>
      <c r="E189" s="634"/>
      <c r="F189" s="635"/>
      <c r="G189" s="635"/>
      <c r="H189" s="628"/>
      <c r="I189" s="628"/>
      <c r="J189"/>
      <c r="K189"/>
      <c r="L189"/>
      <c r="M189"/>
    </row>
    <row r="190" spans="1:13" ht="20.25" customHeight="1">
      <c r="A190" s="867" t="s">
        <v>569</v>
      </c>
      <c r="B190" s="867"/>
      <c r="C190" s="867"/>
      <c r="D190" s="867"/>
      <c r="E190" s="867"/>
      <c r="F190" s="867"/>
      <c r="G190" s="867"/>
      <c r="H190" s="867"/>
      <c r="I190" s="867"/>
      <c r="J190"/>
      <c r="K190"/>
      <c r="L190"/>
      <c r="M190"/>
    </row>
    <row r="191" spans="1:13" ht="20.25" customHeight="1">
      <c r="A191" s="142" t="s">
        <v>570</v>
      </c>
      <c r="B191" s="142" t="str">
        <f>B156</f>
        <v>ESTUDIOS DE OBRAS, CONSTRUCCIÓN Y REHABILITACIÓN DE SISTEMAS DE RIEGO Y DRENAJE</v>
      </c>
      <c r="C191" s="627"/>
      <c r="D191" s="627"/>
      <c r="E191" s="627"/>
      <c r="F191" s="627"/>
      <c r="G191" s="627"/>
      <c r="H191" s="627"/>
      <c r="I191" s="627"/>
      <c r="J191"/>
      <c r="K191"/>
      <c r="L191"/>
      <c r="M191"/>
    </row>
    <row r="192" spans="1:13" ht="20.25" customHeight="1">
      <c r="A192" s="142" t="s">
        <v>580</v>
      </c>
      <c r="B192" s="142" t="s">
        <v>622</v>
      </c>
      <c r="C192" s="627"/>
      <c r="D192" s="627"/>
      <c r="E192" s="627"/>
      <c r="F192" s="627"/>
      <c r="G192" s="627"/>
      <c r="H192" s="627"/>
      <c r="I192" s="627"/>
      <c r="J192"/>
      <c r="K192"/>
      <c r="L192"/>
      <c r="M192"/>
    </row>
    <row r="193" spans="1:13" ht="20.25" customHeight="1">
      <c r="A193" s="142" t="s">
        <v>572</v>
      </c>
      <c r="B193" s="141" t="s">
        <v>597</v>
      </c>
      <c r="C193" s="141"/>
      <c r="D193" s="141"/>
      <c r="E193" s="141"/>
      <c r="F193" s="141"/>
      <c r="G193" s="141"/>
      <c r="H193" s="141"/>
      <c r="I193" s="141"/>
      <c r="J193"/>
      <c r="K193"/>
      <c r="L193"/>
      <c r="M193"/>
    </row>
    <row r="194" spans="1:13" ht="20.25" customHeight="1">
      <c r="A194" s="142" t="s">
        <v>574</v>
      </c>
      <c r="B194" s="869" t="s">
        <v>596</v>
      </c>
      <c r="C194" s="869"/>
      <c r="D194" s="869"/>
      <c r="E194" s="869"/>
      <c r="F194" s="869"/>
      <c r="G194" s="861" t="s">
        <v>484</v>
      </c>
      <c r="H194" s="861"/>
      <c r="I194" s="861"/>
      <c r="J194"/>
      <c r="K194"/>
      <c r="L194"/>
      <c r="M194"/>
    </row>
    <row r="195" spans="1:13" ht="20.25" customHeight="1">
      <c r="A195" s="628"/>
      <c r="B195" s="628"/>
      <c r="C195" s="628"/>
      <c r="D195" s="628"/>
      <c r="E195" s="628"/>
      <c r="F195" s="628"/>
      <c r="G195" s="862" t="s">
        <v>311</v>
      </c>
      <c r="H195" s="862"/>
      <c r="I195" s="628"/>
      <c r="J195"/>
      <c r="K195"/>
      <c r="L195"/>
      <c r="M195"/>
    </row>
    <row r="196" spans="1:13" ht="20.25" customHeight="1">
      <c r="A196" s="629" t="s">
        <v>301</v>
      </c>
      <c r="B196" s="148" t="s">
        <v>302</v>
      </c>
      <c r="C196" s="148" t="s">
        <v>312</v>
      </c>
      <c r="D196" s="148" t="s">
        <v>303</v>
      </c>
      <c r="E196" s="148" t="s">
        <v>304</v>
      </c>
      <c r="F196" s="148" t="s">
        <v>305</v>
      </c>
      <c r="G196" s="148" t="s">
        <v>306</v>
      </c>
      <c r="H196" s="148" t="s">
        <v>307</v>
      </c>
      <c r="I196" s="148" t="s">
        <v>308</v>
      </c>
      <c r="J196"/>
      <c r="K196"/>
      <c r="L196"/>
      <c r="M196"/>
    </row>
    <row r="197" spans="1:13" ht="20.25" customHeight="1">
      <c r="A197" s="136" t="s">
        <v>373</v>
      </c>
      <c r="B197" s="136" t="s">
        <v>358</v>
      </c>
      <c r="C197" s="152">
        <v>1</v>
      </c>
      <c r="D197" s="152" t="s">
        <v>359</v>
      </c>
      <c r="E197" s="152">
        <v>8928.57</v>
      </c>
      <c r="F197" s="631">
        <f t="shared" ref="F197" si="29">E197*C197</f>
        <v>8928.57</v>
      </c>
      <c r="G197" s="630">
        <f t="shared" ref="G197" si="30">F197*1.12</f>
        <v>9999.9984000000004</v>
      </c>
      <c r="H197" s="152">
        <v>730601</v>
      </c>
      <c r="I197" s="152" t="s">
        <v>598</v>
      </c>
      <c r="J197"/>
      <c r="K197"/>
      <c r="L197"/>
      <c r="M197"/>
    </row>
    <row r="198" spans="1:13" ht="20.25" customHeight="1">
      <c r="C198" s="628"/>
      <c r="D198" s="628"/>
      <c r="E198" s="146" t="s">
        <v>35</v>
      </c>
      <c r="F198" s="636">
        <f>SUM(F197:F197)</f>
        <v>8928.57</v>
      </c>
      <c r="G198" s="632">
        <f>SUM(G197:G197)</f>
        <v>9999.9984000000004</v>
      </c>
      <c r="H198" s="628"/>
      <c r="I198" s="628"/>
      <c r="J198"/>
      <c r="K198"/>
      <c r="L198"/>
      <c r="M198"/>
    </row>
    <row r="199" spans="1:13" ht="20.25" customHeight="1">
      <c r="A199" s="628"/>
      <c r="B199" s="628"/>
      <c r="C199" s="628"/>
      <c r="D199" s="628"/>
      <c r="E199" s="634"/>
      <c r="F199" s="635"/>
      <c r="G199" s="639"/>
      <c r="H199" s="628"/>
      <c r="I199" s="628"/>
      <c r="J199"/>
      <c r="K199"/>
      <c r="L199"/>
      <c r="M199"/>
    </row>
    <row r="200" spans="1:13" ht="20.25" customHeight="1">
      <c r="A200" s="155" t="s">
        <v>587</v>
      </c>
      <c r="B200" s="155" t="s">
        <v>1111</v>
      </c>
      <c r="C200" s="155">
        <v>4</v>
      </c>
      <c r="D200" s="155" t="s">
        <v>584</v>
      </c>
      <c r="E200" s="155">
        <v>1200</v>
      </c>
      <c r="F200" s="640">
        <f t="shared" ref="F200:F201" si="31">E200*C200</f>
        <v>4800</v>
      </c>
      <c r="G200" s="639"/>
      <c r="H200" s="628"/>
      <c r="I200" s="628"/>
      <c r="J200"/>
      <c r="K200"/>
      <c r="L200"/>
      <c r="M200"/>
    </row>
    <row r="201" spans="1:13" ht="20.25" customHeight="1">
      <c r="A201" s="155" t="s">
        <v>593</v>
      </c>
      <c r="B201" s="155"/>
      <c r="C201" s="155">
        <v>16</v>
      </c>
      <c r="D201" s="155" t="s">
        <v>594</v>
      </c>
      <c r="E201" s="155">
        <f>(15+15+80)</f>
        <v>110</v>
      </c>
      <c r="F201" s="640">
        <f t="shared" si="31"/>
        <v>1760</v>
      </c>
      <c r="G201" s="639"/>
      <c r="H201" s="628"/>
      <c r="I201" s="628"/>
      <c r="J201"/>
      <c r="K201"/>
      <c r="L201"/>
      <c r="M201"/>
    </row>
    <row r="202" spans="1:13" ht="20.25" customHeight="1">
      <c r="A202" s="146" t="s">
        <v>35</v>
      </c>
      <c r="B202" s="628"/>
      <c r="C202" s="628"/>
      <c r="D202" s="628"/>
      <c r="E202" s="634"/>
      <c r="F202" s="638">
        <f>SUM(F198:F201)</f>
        <v>15488.57</v>
      </c>
      <c r="G202" s="639"/>
      <c r="H202" s="628"/>
      <c r="I202" s="628"/>
      <c r="J202"/>
      <c r="K202"/>
      <c r="L202"/>
      <c r="M202"/>
    </row>
    <row r="203" spans="1:13" ht="20.25" customHeight="1">
      <c r="A203" s="628"/>
      <c r="B203" s="628"/>
      <c r="C203" s="628"/>
      <c r="D203" s="628"/>
      <c r="E203" s="634"/>
      <c r="F203" s="635"/>
      <c r="G203" s="639"/>
      <c r="H203" s="628"/>
      <c r="I203" s="628"/>
      <c r="J203"/>
      <c r="K203"/>
      <c r="L203"/>
      <c r="M203"/>
    </row>
    <row r="204" spans="1:13" ht="20.25" customHeight="1">
      <c r="A204" s="867" t="s">
        <v>569</v>
      </c>
      <c r="B204" s="867"/>
      <c r="C204" s="867"/>
      <c r="D204" s="867"/>
      <c r="E204" s="867"/>
      <c r="F204" s="867"/>
      <c r="G204" s="867"/>
      <c r="H204" s="867"/>
      <c r="I204" s="867"/>
      <c r="J204"/>
      <c r="K204"/>
      <c r="L204"/>
      <c r="M204"/>
    </row>
    <row r="205" spans="1:13" ht="20.25" customHeight="1">
      <c r="A205" s="142" t="s">
        <v>570</v>
      </c>
      <c r="B205" s="142" t="str">
        <f>B171</f>
        <v>ESTUDIOS DE OBRAS, CONSTRUCCIÓN Y REHABILITACIÓN DE SISTEMAS DE RIEGO Y DRENAJE</v>
      </c>
      <c r="C205" s="627"/>
      <c r="D205" s="627"/>
      <c r="E205" s="627"/>
      <c r="F205" s="627"/>
      <c r="G205" s="627"/>
      <c r="H205" s="627"/>
      <c r="I205" s="627"/>
      <c r="J205"/>
      <c r="K205"/>
      <c r="L205"/>
      <c r="M205"/>
    </row>
    <row r="206" spans="1:13" ht="37.5" customHeight="1">
      <c r="A206" s="142" t="s">
        <v>580</v>
      </c>
      <c r="B206" s="142" t="s">
        <v>1175</v>
      </c>
      <c r="C206" s="627"/>
      <c r="D206" s="627"/>
      <c r="E206" s="627"/>
      <c r="F206" s="627"/>
      <c r="G206" s="627"/>
      <c r="H206" s="627"/>
      <c r="I206" s="627"/>
      <c r="J206"/>
      <c r="K206"/>
      <c r="L206"/>
      <c r="M206"/>
    </row>
    <row r="207" spans="1:13" ht="20.25" customHeight="1">
      <c r="A207" s="142" t="s">
        <v>572</v>
      </c>
      <c r="B207" s="141" t="s">
        <v>597</v>
      </c>
      <c r="C207" s="141"/>
      <c r="D207" s="141"/>
      <c r="E207" s="141"/>
      <c r="F207" s="141"/>
      <c r="G207" s="141"/>
      <c r="H207" s="141"/>
      <c r="I207" s="141"/>
      <c r="J207"/>
      <c r="K207"/>
      <c r="L207"/>
      <c r="M207"/>
    </row>
    <row r="208" spans="1:13" ht="20.25" customHeight="1">
      <c r="A208" s="142" t="s">
        <v>574</v>
      </c>
      <c r="B208" s="869" t="s">
        <v>623</v>
      </c>
      <c r="C208" s="869"/>
      <c r="D208" s="869"/>
      <c r="E208" s="869"/>
      <c r="F208" s="869"/>
      <c r="G208" s="861" t="s">
        <v>484</v>
      </c>
      <c r="H208" s="861"/>
      <c r="I208" s="861"/>
      <c r="J208"/>
      <c r="K208"/>
      <c r="L208"/>
      <c r="M208"/>
    </row>
    <row r="209" spans="1:13" ht="20.25" customHeight="1">
      <c r="A209" s="628"/>
      <c r="B209" s="628"/>
      <c r="C209" s="628"/>
      <c r="D209" s="628"/>
      <c r="E209" s="628"/>
      <c r="F209" s="628"/>
      <c r="G209" s="862" t="s">
        <v>311</v>
      </c>
      <c r="H209" s="862"/>
      <c r="I209" s="628"/>
      <c r="J209"/>
      <c r="K209"/>
      <c r="L209"/>
      <c r="M209"/>
    </row>
    <row r="210" spans="1:13" ht="20.25" customHeight="1">
      <c r="A210" s="629" t="s">
        <v>301</v>
      </c>
      <c r="B210" s="148" t="s">
        <v>302</v>
      </c>
      <c r="C210" s="148" t="s">
        <v>312</v>
      </c>
      <c r="D210" s="148" t="s">
        <v>303</v>
      </c>
      <c r="E210" s="148" t="s">
        <v>304</v>
      </c>
      <c r="F210" s="148" t="s">
        <v>305</v>
      </c>
      <c r="G210" s="148" t="s">
        <v>306</v>
      </c>
      <c r="H210" s="148" t="s">
        <v>307</v>
      </c>
      <c r="I210" s="148" t="s">
        <v>308</v>
      </c>
      <c r="J210"/>
      <c r="K210"/>
      <c r="L210"/>
      <c r="M210"/>
    </row>
    <row r="211" spans="1:13" ht="20.25" customHeight="1">
      <c r="A211" s="136" t="s">
        <v>373</v>
      </c>
      <c r="B211" s="159" t="s">
        <v>352</v>
      </c>
      <c r="C211" s="152">
        <v>108</v>
      </c>
      <c r="D211" s="152" t="s">
        <v>353</v>
      </c>
      <c r="E211" s="152">
        <v>17.5</v>
      </c>
      <c r="F211" s="630">
        <f>E211*C211</f>
        <v>1890</v>
      </c>
      <c r="G211" s="630">
        <f>F211*1.12</f>
        <v>2116.8000000000002</v>
      </c>
      <c r="H211" s="152">
        <f>'[3]PROF PRESUPUEST'!$B$119</f>
        <v>730212</v>
      </c>
      <c r="I211" s="152" t="s">
        <v>965</v>
      </c>
      <c r="J211"/>
      <c r="K211"/>
      <c r="L211"/>
      <c r="M211"/>
    </row>
    <row r="212" spans="1:13" ht="20.25" customHeight="1">
      <c r="A212" s="136" t="s">
        <v>373</v>
      </c>
      <c r="B212" s="136" t="s">
        <v>625</v>
      </c>
      <c r="C212" s="152">
        <v>90</v>
      </c>
      <c r="D212" s="152" t="s">
        <v>624</v>
      </c>
      <c r="E212" s="152">
        <v>250</v>
      </c>
      <c r="F212" s="308">
        <f t="shared" ref="F212" si="32">E212*C212</f>
        <v>22500</v>
      </c>
      <c r="G212" s="308">
        <f t="shared" ref="G212" si="33">F212*1.12</f>
        <v>25200.000000000004</v>
      </c>
      <c r="H212" s="152">
        <v>730601</v>
      </c>
      <c r="I212" s="152" t="s">
        <v>598</v>
      </c>
      <c r="J212"/>
      <c r="K212"/>
      <c r="L212"/>
      <c r="M212"/>
    </row>
    <row r="213" spans="1:13" ht="20.25" customHeight="1">
      <c r="C213" s="628"/>
      <c r="D213" s="628"/>
      <c r="E213" s="146" t="s">
        <v>35</v>
      </c>
      <c r="F213" s="638">
        <f>SUM(F212:F212)</f>
        <v>22500</v>
      </c>
      <c r="G213" s="638">
        <f>SUM(G212:G212)</f>
        <v>25200.000000000004</v>
      </c>
      <c r="H213" s="628"/>
      <c r="I213" s="628"/>
      <c r="J213"/>
      <c r="K213"/>
      <c r="L213"/>
      <c r="M213"/>
    </row>
    <row r="214" spans="1:13" ht="20.25" customHeight="1">
      <c r="A214" s="628"/>
      <c r="B214" s="628"/>
      <c r="C214" s="628"/>
      <c r="D214" s="628"/>
      <c r="E214" s="634"/>
      <c r="F214" s="635"/>
      <c r="G214" s="639"/>
      <c r="H214" s="628"/>
      <c r="I214" s="628"/>
      <c r="J214"/>
      <c r="K214"/>
      <c r="L214"/>
      <c r="M214"/>
    </row>
    <row r="215" spans="1:13" ht="20.25" customHeight="1">
      <c r="A215" s="155" t="s">
        <v>582</v>
      </c>
      <c r="B215" s="155" t="s">
        <v>583</v>
      </c>
      <c r="C215" s="155">
        <v>4</v>
      </c>
      <c r="D215" s="155" t="s">
        <v>584</v>
      </c>
      <c r="E215" s="155">
        <v>1611</v>
      </c>
      <c r="F215" s="640">
        <f>E215*C215</f>
        <v>6444</v>
      </c>
      <c r="G215" s="635"/>
      <c r="H215" s="628"/>
      <c r="I215" s="628"/>
      <c r="J215"/>
      <c r="K215"/>
      <c r="L215"/>
      <c r="M215"/>
    </row>
    <row r="216" spans="1:13" ht="20.25" customHeight="1">
      <c r="A216" s="155" t="s">
        <v>585</v>
      </c>
      <c r="B216" s="155" t="s">
        <v>586</v>
      </c>
      <c r="C216" s="155">
        <v>4</v>
      </c>
      <c r="D216" s="155" t="s">
        <v>584</v>
      </c>
      <c r="E216" s="155">
        <v>1611</v>
      </c>
      <c r="F216" s="640">
        <f t="shared" ref="F216:F219" si="34">E216*C216</f>
        <v>6444</v>
      </c>
      <c r="G216" s="635"/>
      <c r="H216" s="628"/>
      <c r="I216" s="628"/>
      <c r="J216"/>
      <c r="K216"/>
      <c r="L216"/>
      <c r="M216"/>
    </row>
    <row r="217" spans="1:13" ht="20.25" customHeight="1">
      <c r="A217" s="155" t="s">
        <v>587</v>
      </c>
      <c r="B217" s="155" t="s">
        <v>588</v>
      </c>
      <c r="C217" s="155">
        <v>2</v>
      </c>
      <c r="D217" s="155" t="s">
        <v>584</v>
      </c>
      <c r="E217" s="155">
        <v>1200</v>
      </c>
      <c r="F217" s="640">
        <f t="shared" si="34"/>
        <v>2400</v>
      </c>
      <c r="G217" s="635"/>
      <c r="H217" s="628"/>
      <c r="I217" s="628"/>
      <c r="J217"/>
      <c r="K217"/>
      <c r="L217"/>
      <c r="M217"/>
    </row>
    <row r="218" spans="1:13" ht="20.25" customHeight="1">
      <c r="A218" s="155" t="s">
        <v>589</v>
      </c>
      <c r="B218" s="155" t="s">
        <v>590</v>
      </c>
      <c r="C218" s="155">
        <v>2</v>
      </c>
      <c r="D218" s="155" t="s">
        <v>584</v>
      </c>
      <c r="E218" s="155">
        <v>1200</v>
      </c>
      <c r="F218" s="640">
        <f t="shared" si="34"/>
        <v>2400</v>
      </c>
      <c r="G218" s="635"/>
      <c r="H218" s="628"/>
      <c r="I218" s="628"/>
      <c r="J218"/>
      <c r="K218"/>
      <c r="L218"/>
      <c r="M218"/>
    </row>
    <row r="219" spans="1:13" ht="20.25" customHeight="1">
      <c r="A219" s="155" t="s">
        <v>593</v>
      </c>
      <c r="B219" s="155"/>
      <c r="C219" s="155">
        <v>15</v>
      </c>
      <c r="D219" s="155" t="s">
        <v>594</v>
      </c>
      <c r="E219" s="155">
        <f>(15+15+80)</f>
        <v>110</v>
      </c>
      <c r="F219" s="640">
        <f t="shared" si="34"/>
        <v>1650</v>
      </c>
      <c r="G219" s="635"/>
      <c r="J219"/>
      <c r="K219"/>
      <c r="L219"/>
      <c r="M219"/>
    </row>
    <row r="220" spans="1:13" ht="20.25" customHeight="1">
      <c r="A220" s="146" t="s">
        <v>35</v>
      </c>
      <c r="B220" s="628"/>
      <c r="C220" s="628"/>
      <c r="D220" s="628"/>
      <c r="E220" s="634"/>
      <c r="F220" s="638">
        <f>SUM(F215:F219)</f>
        <v>19338</v>
      </c>
      <c r="G220" s="635"/>
      <c r="J220"/>
      <c r="K220"/>
      <c r="L220"/>
      <c r="M220"/>
    </row>
    <row r="221" spans="1:13" ht="20.25" customHeight="1">
      <c r="A221" s="628"/>
      <c r="B221" s="628"/>
      <c r="C221" s="628"/>
      <c r="D221" s="628"/>
      <c r="E221" s="634"/>
      <c r="F221" s="635"/>
      <c r="G221" s="639"/>
      <c r="J221"/>
      <c r="K221"/>
      <c r="L221"/>
      <c r="M221"/>
    </row>
    <row r="222" spans="1:13" ht="20.25" customHeight="1">
      <c r="A222" s="628"/>
      <c r="B222" s="628"/>
      <c r="C222" s="628"/>
      <c r="D222" s="628"/>
      <c r="E222" s="634"/>
      <c r="F222" s="635"/>
      <c r="G222" s="639"/>
      <c r="H222" s="628"/>
      <c r="I222" s="628"/>
      <c r="J222"/>
      <c r="K222"/>
      <c r="L222"/>
      <c r="M222"/>
    </row>
    <row r="223" spans="1:13" ht="20.25" customHeight="1">
      <c r="A223" s="871" t="s">
        <v>599</v>
      </c>
      <c r="B223" s="872"/>
      <c r="C223" s="872"/>
      <c r="D223" s="872"/>
      <c r="E223" s="872"/>
      <c r="F223" s="872"/>
      <c r="G223" s="872"/>
      <c r="H223" s="872"/>
      <c r="I223" s="873"/>
      <c r="J223"/>
      <c r="K223"/>
      <c r="L223"/>
      <c r="M223"/>
    </row>
    <row r="224" spans="1:13" ht="20.25" customHeight="1">
      <c r="A224" s="627"/>
      <c r="B224" s="627"/>
      <c r="C224" s="627"/>
      <c r="D224" s="627"/>
      <c r="E224" s="627"/>
      <c r="F224" s="627"/>
      <c r="G224" s="627"/>
      <c r="H224" s="627"/>
      <c r="I224" s="627"/>
      <c r="J224"/>
      <c r="K224"/>
      <c r="L224"/>
      <c r="M224"/>
    </row>
    <row r="225" spans="1:13" ht="32.25" customHeight="1">
      <c r="A225" s="139" t="s">
        <v>298</v>
      </c>
      <c r="B225" s="141" t="s">
        <v>291</v>
      </c>
      <c r="C225" s="141"/>
      <c r="D225" s="141"/>
      <c r="E225" s="141"/>
      <c r="F225" s="141"/>
      <c r="G225" s="141"/>
      <c r="H225" s="141"/>
      <c r="I225" s="141"/>
      <c r="J225"/>
      <c r="K225"/>
      <c r="L225"/>
      <c r="M225"/>
    </row>
    <row r="226" spans="1:13" ht="20.25" customHeight="1">
      <c r="A226" s="139" t="s">
        <v>299</v>
      </c>
      <c r="B226" s="868" t="s">
        <v>600</v>
      </c>
      <c r="C226" s="868"/>
      <c r="D226" s="868"/>
      <c r="E226" s="868"/>
      <c r="F226" s="868"/>
      <c r="G226" s="868"/>
      <c r="H226" s="868"/>
      <c r="I226" s="868"/>
      <c r="J226"/>
      <c r="K226"/>
      <c r="L226"/>
      <c r="M226"/>
    </row>
    <row r="227" spans="1:13" ht="20.25" customHeight="1">
      <c r="A227" s="139" t="s">
        <v>300</v>
      </c>
      <c r="B227" s="869" t="s">
        <v>601</v>
      </c>
      <c r="C227" s="869"/>
      <c r="D227" s="869"/>
      <c r="E227" s="869"/>
      <c r="F227" s="869"/>
      <c r="G227" s="861" t="s">
        <v>484</v>
      </c>
      <c r="H227" s="861"/>
      <c r="I227" s="861"/>
      <c r="J227"/>
      <c r="K227"/>
      <c r="L227"/>
      <c r="M227"/>
    </row>
    <row r="228" spans="1:13" ht="20.25" customHeight="1">
      <c r="A228" s="628"/>
      <c r="B228" s="628"/>
      <c r="C228" s="628"/>
      <c r="D228" s="628"/>
      <c r="E228" s="628"/>
      <c r="F228" s="628"/>
      <c r="G228" s="862" t="s">
        <v>311</v>
      </c>
      <c r="H228" s="862"/>
      <c r="I228" s="628"/>
      <c r="J228"/>
      <c r="K228"/>
      <c r="L228"/>
      <c r="M228"/>
    </row>
    <row r="229" spans="1:13" ht="20.25" customHeight="1">
      <c r="A229" s="629" t="s">
        <v>301</v>
      </c>
      <c r="B229" s="148" t="s">
        <v>302</v>
      </c>
      <c r="C229" s="148" t="s">
        <v>312</v>
      </c>
      <c r="D229" s="148" t="s">
        <v>303</v>
      </c>
      <c r="E229" s="148" t="s">
        <v>304</v>
      </c>
      <c r="F229" s="148" t="s">
        <v>305</v>
      </c>
      <c r="G229" s="148" t="s">
        <v>306</v>
      </c>
      <c r="H229" s="148" t="s">
        <v>307</v>
      </c>
      <c r="I229" s="148" t="s">
        <v>308</v>
      </c>
      <c r="J229"/>
      <c r="K229"/>
      <c r="L229"/>
      <c r="M229"/>
    </row>
    <row r="230" spans="1:13" ht="20.25" customHeight="1">
      <c r="A230" s="155" t="s">
        <v>488</v>
      </c>
      <c r="B230" s="155" t="s">
        <v>313</v>
      </c>
      <c r="C230" s="149">
        <v>180</v>
      </c>
      <c r="D230" s="149" t="s">
        <v>314</v>
      </c>
      <c r="E230" s="149">
        <v>8</v>
      </c>
      <c r="F230" s="149">
        <f>+C230*E230</f>
        <v>1440</v>
      </c>
      <c r="G230" s="149">
        <f>+F230*1.12</f>
        <v>1612.8000000000002</v>
      </c>
      <c r="H230" s="859">
        <v>750102</v>
      </c>
      <c r="I230" s="859" t="s">
        <v>602</v>
      </c>
      <c r="J230"/>
      <c r="K230"/>
      <c r="L230"/>
      <c r="M230"/>
    </row>
    <row r="231" spans="1:13" ht="20.25" customHeight="1">
      <c r="A231" s="155" t="s">
        <v>488</v>
      </c>
      <c r="B231" s="190" t="s">
        <v>316</v>
      </c>
      <c r="C231" s="149">
        <v>450</v>
      </c>
      <c r="D231" s="149" t="s">
        <v>320</v>
      </c>
      <c r="E231" s="149">
        <v>48</v>
      </c>
      <c r="F231" s="149">
        <f>+C231*E231</f>
        <v>21600</v>
      </c>
      <c r="G231" s="149">
        <f t="shared" ref="G231:G239" si="35">+F231*1.12</f>
        <v>24192.000000000004</v>
      </c>
      <c r="H231" s="860"/>
      <c r="I231" s="860"/>
      <c r="J231"/>
      <c r="K231"/>
      <c r="L231"/>
      <c r="M231"/>
    </row>
    <row r="232" spans="1:13" ht="20.25" customHeight="1">
      <c r="A232" s="155" t="s">
        <v>488</v>
      </c>
      <c r="B232" s="190" t="s">
        <v>315</v>
      </c>
      <c r="C232" s="149">
        <v>80</v>
      </c>
      <c r="D232" s="149" t="s">
        <v>320</v>
      </c>
      <c r="E232" s="149">
        <v>100</v>
      </c>
      <c r="F232" s="149">
        <f t="shared" ref="F232:F239" si="36">+C232*E232</f>
        <v>8000</v>
      </c>
      <c r="G232" s="149">
        <f t="shared" si="35"/>
        <v>8960</v>
      </c>
      <c r="H232" s="860"/>
      <c r="I232" s="860"/>
      <c r="J232"/>
      <c r="K232"/>
      <c r="L232"/>
      <c r="M232"/>
    </row>
    <row r="233" spans="1:13" ht="20.25" customHeight="1">
      <c r="A233" s="155" t="s">
        <v>488</v>
      </c>
      <c r="B233" s="190" t="s">
        <v>317</v>
      </c>
      <c r="C233" s="149">
        <v>70</v>
      </c>
      <c r="D233" s="149" t="s">
        <v>321</v>
      </c>
      <c r="E233" s="149">
        <v>25</v>
      </c>
      <c r="F233" s="149">
        <f t="shared" si="36"/>
        <v>1750</v>
      </c>
      <c r="G233" s="149">
        <f t="shared" si="35"/>
        <v>1960.0000000000002</v>
      </c>
      <c r="H233" s="860"/>
      <c r="I233" s="860"/>
      <c r="J233"/>
      <c r="K233"/>
      <c r="L233"/>
      <c r="M233"/>
    </row>
    <row r="234" spans="1:13" ht="20.25" customHeight="1">
      <c r="A234" s="155" t="s">
        <v>488</v>
      </c>
      <c r="B234" s="190" t="s">
        <v>318</v>
      </c>
      <c r="C234" s="149">
        <v>70</v>
      </c>
      <c r="D234" s="149" t="s">
        <v>321</v>
      </c>
      <c r="E234" s="149">
        <v>30</v>
      </c>
      <c r="F234" s="149">
        <f t="shared" si="36"/>
        <v>2100</v>
      </c>
      <c r="G234" s="149">
        <f t="shared" si="35"/>
        <v>2352</v>
      </c>
      <c r="H234" s="860"/>
      <c r="I234" s="860"/>
      <c r="J234"/>
      <c r="K234"/>
      <c r="L234"/>
      <c r="M234"/>
    </row>
    <row r="235" spans="1:13" ht="20.25" customHeight="1">
      <c r="A235" s="155" t="s">
        <v>488</v>
      </c>
      <c r="B235" s="190" t="s">
        <v>319</v>
      </c>
      <c r="C235" s="149">
        <v>13</v>
      </c>
      <c r="D235" s="149" t="s">
        <v>322</v>
      </c>
      <c r="E235" s="149">
        <v>20</v>
      </c>
      <c r="F235" s="149">
        <f t="shared" si="36"/>
        <v>260</v>
      </c>
      <c r="G235" s="149">
        <f t="shared" si="35"/>
        <v>291.20000000000005</v>
      </c>
      <c r="H235" s="860"/>
      <c r="I235" s="860"/>
      <c r="J235"/>
      <c r="K235"/>
      <c r="L235"/>
      <c r="M235"/>
    </row>
    <row r="236" spans="1:13" ht="20.25" customHeight="1">
      <c r="A236" s="155" t="s">
        <v>488</v>
      </c>
      <c r="B236" s="190" t="s">
        <v>326</v>
      </c>
      <c r="C236" s="149">
        <v>8</v>
      </c>
      <c r="D236" s="149" t="s">
        <v>322</v>
      </c>
      <c r="E236" s="149">
        <v>5</v>
      </c>
      <c r="F236" s="149">
        <f t="shared" si="36"/>
        <v>40</v>
      </c>
      <c r="G236" s="149">
        <f t="shared" si="35"/>
        <v>44.800000000000004</v>
      </c>
      <c r="H236" s="860"/>
      <c r="I236" s="860"/>
      <c r="J236"/>
      <c r="K236"/>
      <c r="L236"/>
      <c r="M236"/>
    </row>
    <row r="237" spans="1:13" ht="20.25" customHeight="1">
      <c r="A237" s="155" t="s">
        <v>488</v>
      </c>
      <c r="B237" s="190" t="s">
        <v>323</v>
      </c>
      <c r="C237" s="149">
        <v>2</v>
      </c>
      <c r="D237" s="149" t="s">
        <v>324</v>
      </c>
      <c r="E237" s="149">
        <v>40</v>
      </c>
      <c r="F237" s="149">
        <f t="shared" si="36"/>
        <v>80</v>
      </c>
      <c r="G237" s="149">
        <f t="shared" si="35"/>
        <v>89.600000000000009</v>
      </c>
      <c r="H237" s="860"/>
      <c r="I237" s="860"/>
      <c r="J237"/>
      <c r="K237"/>
      <c r="L237"/>
      <c r="M237"/>
    </row>
    <row r="238" spans="1:13" ht="20.25" customHeight="1">
      <c r="A238" s="155" t="s">
        <v>488</v>
      </c>
      <c r="B238" s="190" t="s">
        <v>328</v>
      </c>
      <c r="C238" s="149">
        <v>100</v>
      </c>
      <c r="D238" s="149" t="s">
        <v>329</v>
      </c>
      <c r="E238" s="149">
        <v>3</v>
      </c>
      <c r="F238" s="149">
        <f t="shared" si="36"/>
        <v>300</v>
      </c>
      <c r="G238" s="149">
        <f t="shared" si="35"/>
        <v>336.00000000000006</v>
      </c>
      <c r="H238" s="860"/>
      <c r="I238" s="860"/>
      <c r="J238"/>
      <c r="K238"/>
      <c r="L238"/>
      <c r="M238"/>
    </row>
    <row r="239" spans="1:13" ht="20.25" customHeight="1">
      <c r="A239" s="155" t="s">
        <v>488</v>
      </c>
      <c r="B239" s="190" t="s">
        <v>327</v>
      </c>
      <c r="C239" s="149">
        <v>100</v>
      </c>
      <c r="D239" s="149" t="s">
        <v>329</v>
      </c>
      <c r="E239" s="149">
        <v>3</v>
      </c>
      <c r="F239" s="149">
        <f t="shared" si="36"/>
        <v>300</v>
      </c>
      <c r="G239" s="149">
        <f t="shared" si="35"/>
        <v>336.00000000000006</v>
      </c>
      <c r="H239" s="863"/>
      <c r="I239" s="863"/>
      <c r="J239"/>
      <c r="K239"/>
      <c r="L239"/>
      <c r="M239"/>
    </row>
    <row r="240" spans="1:13" ht="20.25" customHeight="1">
      <c r="A240" s="864" t="s">
        <v>101</v>
      </c>
      <c r="B240" s="865"/>
      <c r="C240" s="865"/>
      <c r="D240" s="865"/>
      <c r="E240" s="866"/>
      <c r="F240" s="638">
        <f>SUM(F230:F239)</f>
        <v>35870</v>
      </c>
      <c r="G240" s="638">
        <f>SUM(G230:G239)</f>
        <v>40174.400000000001</v>
      </c>
      <c r="H240" s="155"/>
      <c r="I240" s="155"/>
      <c r="J240"/>
      <c r="K240"/>
      <c r="L240"/>
      <c r="M240"/>
    </row>
    <row r="241" spans="1:13" ht="20.25" customHeight="1">
      <c r="A241" s="864"/>
      <c r="B241" s="865"/>
      <c r="C241" s="865"/>
      <c r="D241" s="865"/>
      <c r="E241" s="865"/>
      <c r="F241" s="865"/>
      <c r="G241" s="865"/>
      <c r="H241" s="865"/>
      <c r="I241" s="866"/>
      <c r="J241"/>
      <c r="K241"/>
      <c r="L241"/>
      <c r="M241"/>
    </row>
    <row r="242" spans="1:13" ht="20.25" customHeight="1">
      <c r="A242" s="146" t="s">
        <v>341</v>
      </c>
      <c r="B242" s="155" t="s">
        <v>342</v>
      </c>
      <c r="C242" s="637">
        <v>3</v>
      </c>
      <c r="D242" s="637" t="s">
        <v>343</v>
      </c>
      <c r="E242" s="637">
        <v>750</v>
      </c>
      <c r="F242" s="640">
        <f>+C242*E242</f>
        <v>2250</v>
      </c>
      <c r="G242" s="640">
        <f>+F242*1.12</f>
        <v>2520.0000000000005</v>
      </c>
      <c r="H242" s="155"/>
      <c r="I242" s="155"/>
      <c r="J242"/>
      <c r="K242"/>
      <c r="L242"/>
      <c r="M242"/>
    </row>
    <row r="243" spans="1:13" ht="20.25" customHeight="1">
      <c r="A243" s="864" t="s">
        <v>101</v>
      </c>
      <c r="B243" s="865"/>
      <c r="C243" s="865"/>
      <c r="D243" s="865"/>
      <c r="E243" s="866"/>
      <c r="F243" s="638">
        <f>SUM(F242)</f>
        <v>2250</v>
      </c>
      <c r="G243" s="638">
        <f>SUM(G242)</f>
        <v>2520.0000000000005</v>
      </c>
      <c r="H243" s="642"/>
      <c r="I243" s="642"/>
      <c r="J243"/>
      <c r="K243"/>
      <c r="L243"/>
      <c r="M243"/>
    </row>
    <row r="244" spans="1:13" ht="20.25" customHeight="1">
      <c r="A244" s="628"/>
      <c r="B244" s="628"/>
      <c r="C244" s="628"/>
      <c r="D244" s="628"/>
      <c r="E244" s="146" t="s">
        <v>35</v>
      </c>
      <c r="F244" s="638">
        <f>+F243+F240</f>
        <v>38120</v>
      </c>
      <c r="G244" s="638">
        <f>+G243+G240</f>
        <v>42694.400000000001</v>
      </c>
      <c r="H244" s="628"/>
      <c r="I244" s="628"/>
      <c r="J244"/>
      <c r="K244"/>
      <c r="L244"/>
      <c r="M244"/>
    </row>
    <row r="245" spans="1:13" ht="20.25" customHeight="1">
      <c r="A245" s="628"/>
      <c r="B245" s="628"/>
      <c r="C245" s="628"/>
      <c r="D245" s="628"/>
      <c r="E245" s="628"/>
      <c r="F245" s="628"/>
      <c r="G245" s="628"/>
      <c r="H245" s="628"/>
      <c r="I245" s="628"/>
      <c r="J245"/>
      <c r="K245"/>
      <c r="L245"/>
      <c r="M245"/>
    </row>
    <row r="246" spans="1:13" ht="20.25" customHeight="1">
      <c r="A246" s="628"/>
      <c r="B246" s="628"/>
      <c r="C246" s="628"/>
      <c r="D246" s="628"/>
      <c r="E246" s="628"/>
      <c r="F246" s="628"/>
      <c r="G246" s="628"/>
      <c r="H246" s="628"/>
      <c r="I246" s="628"/>
      <c r="J246"/>
      <c r="K246"/>
      <c r="L246"/>
      <c r="M246"/>
    </row>
    <row r="247" spans="1:13" ht="20.25" customHeight="1">
      <c r="A247" s="628"/>
      <c r="B247" s="628"/>
      <c r="C247" s="628"/>
      <c r="D247" s="628"/>
      <c r="E247" s="628"/>
      <c r="F247" s="628"/>
      <c r="G247" s="628"/>
      <c r="H247" s="628"/>
      <c r="I247" s="628"/>
      <c r="J247"/>
      <c r="K247"/>
      <c r="L247"/>
      <c r="M247"/>
    </row>
    <row r="248" spans="1:13" ht="20.25" customHeight="1">
      <c r="A248" s="867" t="s">
        <v>599</v>
      </c>
      <c r="B248" s="867"/>
      <c r="C248" s="867"/>
      <c r="D248" s="867"/>
      <c r="E248" s="867"/>
      <c r="F248" s="867"/>
      <c r="G248" s="867"/>
      <c r="H248" s="867"/>
      <c r="I248" s="867"/>
      <c r="J248"/>
      <c r="K248"/>
      <c r="L248"/>
      <c r="M248"/>
    </row>
    <row r="249" spans="1:13" ht="20.25" customHeight="1">
      <c r="A249" s="627"/>
      <c r="B249" s="627"/>
      <c r="C249" s="627"/>
      <c r="D249" s="627"/>
      <c r="E249" s="627"/>
      <c r="F249" s="627"/>
      <c r="G249" s="627"/>
      <c r="H249" s="627"/>
      <c r="I249" s="627"/>
      <c r="J249"/>
      <c r="K249"/>
      <c r="L249"/>
      <c r="M249"/>
    </row>
    <row r="250" spans="1:13" ht="20.25" customHeight="1">
      <c r="A250" s="139" t="s">
        <v>298</v>
      </c>
      <c r="B250" s="141" t="s">
        <v>292</v>
      </c>
      <c r="C250" s="141"/>
      <c r="D250" s="141"/>
      <c r="E250" s="141"/>
      <c r="F250" s="141"/>
      <c r="G250" s="141"/>
      <c r="H250" s="141"/>
      <c r="I250" s="141"/>
      <c r="J250"/>
      <c r="K250"/>
      <c r="L250"/>
      <c r="M250"/>
    </row>
    <row r="251" spans="1:13" ht="20.25" customHeight="1">
      <c r="A251" s="139" t="s">
        <v>299</v>
      </c>
      <c r="B251" s="868" t="s">
        <v>600</v>
      </c>
      <c r="C251" s="868"/>
      <c r="D251" s="868"/>
      <c r="E251" s="868"/>
      <c r="F251" s="868"/>
      <c r="G251" s="868"/>
      <c r="H251" s="868"/>
      <c r="I251" s="868"/>
      <c r="J251"/>
      <c r="K251"/>
      <c r="L251"/>
      <c r="M251"/>
    </row>
    <row r="252" spans="1:13" ht="20.25" customHeight="1">
      <c r="A252" s="139" t="s">
        <v>300</v>
      </c>
      <c r="B252" s="869" t="s">
        <v>601</v>
      </c>
      <c r="C252" s="869"/>
      <c r="D252" s="869"/>
      <c r="E252" s="869"/>
      <c r="F252" s="869"/>
      <c r="G252" s="861" t="s">
        <v>484</v>
      </c>
      <c r="H252" s="861"/>
      <c r="I252" s="861"/>
      <c r="J252"/>
      <c r="K252"/>
      <c r="L252"/>
      <c r="M252"/>
    </row>
    <row r="253" spans="1:13" ht="20.25" customHeight="1">
      <c r="A253" s="628"/>
      <c r="B253" s="628" t="s">
        <v>100</v>
      </c>
      <c r="C253" s="628"/>
      <c r="D253" s="628"/>
      <c r="E253" s="628"/>
      <c r="F253" s="628"/>
      <c r="G253" s="862" t="s">
        <v>311</v>
      </c>
      <c r="H253" s="862"/>
      <c r="I253" s="628"/>
      <c r="J253"/>
      <c r="K253"/>
      <c r="L253"/>
      <c r="M253"/>
    </row>
    <row r="254" spans="1:13" ht="20.25" customHeight="1">
      <c r="A254" s="629" t="s">
        <v>301</v>
      </c>
      <c r="B254" s="148" t="s">
        <v>302</v>
      </c>
      <c r="C254" s="148" t="s">
        <v>312</v>
      </c>
      <c r="D254" s="148" t="s">
        <v>303</v>
      </c>
      <c r="E254" s="148" t="s">
        <v>304</v>
      </c>
      <c r="F254" s="148" t="s">
        <v>305</v>
      </c>
      <c r="G254" s="148" t="s">
        <v>306</v>
      </c>
      <c r="H254" s="148" t="s">
        <v>307</v>
      </c>
      <c r="I254" s="148" t="s">
        <v>308</v>
      </c>
      <c r="J254"/>
      <c r="K254"/>
      <c r="L254"/>
      <c r="M254"/>
    </row>
    <row r="255" spans="1:13" ht="20.25" customHeight="1">
      <c r="A255" s="155" t="s">
        <v>488</v>
      </c>
      <c r="B255" s="155" t="s">
        <v>313</v>
      </c>
      <c r="C255" s="149">
        <v>100</v>
      </c>
      <c r="D255" s="149" t="s">
        <v>314</v>
      </c>
      <c r="E255" s="149">
        <v>8</v>
      </c>
      <c r="F255" s="149">
        <f>+C255*E255</f>
        <v>800</v>
      </c>
      <c r="G255" s="149">
        <f>+F255*1.12</f>
        <v>896.00000000000011</v>
      </c>
      <c r="H255" s="859">
        <v>750102</v>
      </c>
      <c r="I255" s="859" t="s">
        <v>309</v>
      </c>
      <c r="J255"/>
      <c r="K255"/>
      <c r="L255"/>
      <c r="M255"/>
    </row>
    <row r="256" spans="1:13" ht="20.25" customHeight="1">
      <c r="A256" s="155" t="s">
        <v>488</v>
      </c>
      <c r="B256" s="190" t="s">
        <v>325</v>
      </c>
      <c r="C256" s="149">
        <v>600</v>
      </c>
      <c r="D256" s="149" t="s">
        <v>320</v>
      </c>
      <c r="E256" s="149">
        <v>53</v>
      </c>
      <c r="F256" s="149">
        <f>+C256*E256</f>
        <v>31800</v>
      </c>
      <c r="G256" s="149">
        <f t="shared" ref="G256:G263" si="37">+F256*1.12</f>
        <v>35616</v>
      </c>
      <c r="H256" s="860"/>
      <c r="I256" s="860"/>
      <c r="J256"/>
      <c r="K256"/>
      <c r="L256"/>
      <c r="M256"/>
    </row>
    <row r="257" spans="1:13" ht="20.25" customHeight="1">
      <c r="A257" s="155" t="s">
        <v>488</v>
      </c>
      <c r="B257" s="190" t="s">
        <v>317</v>
      </c>
      <c r="C257" s="149">
        <v>22</v>
      </c>
      <c r="D257" s="149" t="s">
        <v>321</v>
      </c>
      <c r="E257" s="149">
        <v>25</v>
      </c>
      <c r="F257" s="149">
        <f t="shared" ref="F257:F263" si="38">+C257*E257</f>
        <v>550</v>
      </c>
      <c r="G257" s="149">
        <f t="shared" si="37"/>
        <v>616.00000000000011</v>
      </c>
      <c r="H257" s="860"/>
      <c r="I257" s="860"/>
      <c r="J257"/>
      <c r="K257"/>
      <c r="L257"/>
      <c r="M257"/>
    </row>
    <row r="258" spans="1:13" ht="20.25" customHeight="1">
      <c r="A258" s="155" t="s">
        <v>488</v>
      </c>
      <c r="B258" s="190" t="s">
        <v>318</v>
      </c>
      <c r="C258" s="149">
        <v>22</v>
      </c>
      <c r="D258" s="149" t="s">
        <v>321</v>
      </c>
      <c r="E258" s="149">
        <v>30</v>
      </c>
      <c r="F258" s="149">
        <f t="shared" si="38"/>
        <v>660</v>
      </c>
      <c r="G258" s="149">
        <f t="shared" si="37"/>
        <v>739.2</v>
      </c>
      <c r="H258" s="860"/>
      <c r="I258" s="860"/>
      <c r="J258"/>
      <c r="K258"/>
      <c r="L258"/>
      <c r="M258"/>
    </row>
    <row r="259" spans="1:13" ht="20.25" customHeight="1">
      <c r="A259" s="155" t="s">
        <v>488</v>
      </c>
      <c r="B259" s="190" t="s">
        <v>319</v>
      </c>
      <c r="C259" s="149">
        <v>20</v>
      </c>
      <c r="D259" s="149" t="s">
        <v>322</v>
      </c>
      <c r="E259" s="149">
        <v>20</v>
      </c>
      <c r="F259" s="149">
        <f t="shared" si="38"/>
        <v>400</v>
      </c>
      <c r="G259" s="149">
        <f t="shared" si="37"/>
        <v>448.00000000000006</v>
      </c>
      <c r="H259" s="860"/>
      <c r="I259" s="860"/>
      <c r="J259"/>
      <c r="K259"/>
      <c r="L259"/>
      <c r="M259"/>
    </row>
    <row r="260" spans="1:13" ht="20.25" customHeight="1">
      <c r="A260" s="155" t="s">
        <v>488</v>
      </c>
      <c r="B260" s="190" t="s">
        <v>326</v>
      </c>
      <c r="C260" s="149">
        <v>10</v>
      </c>
      <c r="D260" s="149" t="s">
        <v>322</v>
      </c>
      <c r="E260" s="149">
        <v>5</v>
      </c>
      <c r="F260" s="149">
        <f t="shared" si="38"/>
        <v>50</v>
      </c>
      <c r="G260" s="149">
        <f t="shared" si="37"/>
        <v>56.000000000000007</v>
      </c>
      <c r="H260" s="860"/>
      <c r="I260" s="860"/>
      <c r="J260"/>
      <c r="K260"/>
      <c r="L260"/>
      <c r="M260"/>
    </row>
    <row r="261" spans="1:13" ht="20.25" customHeight="1">
      <c r="A261" s="155" t="s">
        <v>488</v>
      </c>
      <c r="B261" s="190" t="s">
        <v>323</v>
      </c>
      <c r="C261" s="149">
        <v>2</v>
      </c>
      <c r="D261" s="149" t="s">
        <v>324</v>
      </c>
      <c r="E261" s="149">
        <v>40</v>
      </c>
      <c r="F261" s="149">
        <f t="shared" si="38"/>
        <v>80</v>
      </c>
      <c r="G261" s="149">
        <f t="shared" si="37"/>
        <v>89.600000000000009</v>
      </c>
      <c r="H261" s="860"/>
      <c r="I261" s="860"/>
      <c r="J261"/>
      <c r="K261"/>
      <c r="L261"/>
      <c r="M261"/>
    </row>
    <row r="262" spans="1:13" ht="20.25" customHeight="1">
      <c r="A262" s="155" t="s">
        <v>488</v>
      </c>
      <c r="B262" s="190" t="s">
        <v>328</v>
      </c>
      <c r="C262" s="149">
        <v>100</v>
      </c>
      <c r="D262" s="149" t="s">
        <v>329</v>
      </c>
      <c r="E262" s="149">
        <v>3</v>
      </c>
      <c r="F262" s="149">
        <f t="shared" si="38"/>
        <v>300</v>
      </c>
      <c r="G262" s="149">
        <f t="shared" si="37"/>
        <v>336.00000000000006</v>
      </c>
      <c r="H262" s="860"/>
      <c r="I262" s="860"/>
      <c r="J262"/>
      <c r="K262"/>
      <c r="L262"/>
      <c r="M262"/>
    </row>
    <row r="263" spans="1:13" ht="20.25" customHeight="1">
      <c r="A263" s="155" t="s">
        <v>488</v>
      </c>
      <c r="B263" s="190" t="s">
        <v>327</v>
      </c>
      <c r="C263" s="149">
        <v>100</v>
      </c>
      <c r="D263" s="149" t="s">
        <v>329</v>
      </c>
      <c r="E263" s="149">
        <v>3</v>
      </c>
      <c r="F263" s="149">
        <f t="shared" si="38"/>
        <v>300</v>
      </c>
      <c r="G263" s="149">
        <f t="shared" si="37"/>
        <v>336.00000000000006</v>
      </c>
      <c r="H263" s="863"/>
      <c r="I263" s="863"/>
      <c r="J263"/>
      <c r="K263"/>
      <c r="L263"/>
      <c r="M263"/>
    </row>
    <row r="264" spans="1:13" ht="20.25" customHeight="1">
      <c r="A264" s="864" t="s">
        <v>101</v>
      </c>
      <c r="B264" s="865"/>
      <c r="C264" s="865"/>
      <c r="D264" s="865"/>
      <c r="E264" s="866"/>
      <c r="F264" s="638">
        <f>SUM(F255:F263)</f>
        <v>34940</v>
      </c>
      <c r="G264" s="638">
        <f>SUM(G255:G263)</f>
        <v>39132.799999999996</v>
      </c>
      <c r="H264" s="155"/>
      <c r="I264" s="155"/>
      <c r="J264"/>
      <c r="K264"/>
      <c r="L264"/>
      <c r="M264"/>
    </row>
    <row r="265" spans="1:13" ht="20.25" customHeight="1">
      <c r="A265" s="864"/>
      <c r="B265" s="865"/>
      <c r="C265" s="865"/>
      <c r="D265" s="865"/>
      <c r="E265" s="865"/>
      <c r="F265" s="865"/>
      <c r="G265" s="865"/>
      <c r="H265" s="865"/>
      <c r="I265" s="866"/>
      <c r="J265"/>
      <c r="K265"/>
      <c r="L265"/>
      <c r="M265"/>
    </row>
    <row r="266" spans="1:13" ht="20.25" customHeight="1">
      <c r="A266" s="146" t="s">
        <v>341</v>
      </c>
      <c r="B266" s="155" t="s">
        <v>342</v>
      </c>
      <c r="C266" s="637">
        <v>3</v>
      </c>
      <c r="D266" s="637" t="s">
        <v>343</v>
      </c>
      <c r="E266" s="637">
        <v>750</v>
      </c>
      <c r="F266" s="640">
        <f>+C266*E266</f>
        <v>2250</v>
      </c>
      <c r="G266" s="640">
        <f>+F266*1.12</f>
        <v>2520.0000000000005</v>
      </c>
      <c r="H266" s="155"/>
      <c r="I266" s="155"/>
      <c r="J266"/>
      <c r="K266"/>
      <c r="L266"/>
      <c r="M266"/>
    </row>
    <row r="267" spans="1:13" ht="20.25" customHeight="1">
      <c r="A267" s="864" t="s">
        <v>101</v>
      </c>
      <c r="B267" s="865"/>
      <c r="C267" s="865"/>
      <c r="D267" s="865"/>
      <c r="E267" s="866"/>
      <c r="F267" s="638">
        <f>SUM(F266)</f>
        <v>2250</v>
      </c>
      <c r="G267" s="638">
        <f>SUM(G266)</f>
        <v>2520.0000000000005</v>
      </c>
      <c r="H267" s="642"/>
      <c r="I267" s="642"/>
      <c r="J267"/>
      <c r="K267"/>
      <c r="L267"/>
      <c r="M267"/>
    </row>
    <row r="268" spans="1:13" ht="20.25" customHeight="1">
      <c r="A268" s="628"/>
      <c r="B268" s="628"/>
      <c r="C268" s="628"/>
      <c r="D268" s="628"/>
      <c r="E268" s="146" t="s">
        <v>35</v>
      </c>
      <c r="F268" s="638">
        <f>+F267+F264</f>
        <v>37190</v>
      </c>
      <c r="G268" s="638">
        <f>+G267+G264</f>
        <v>41652.799999999996</v>
      </c>
      <c r="H268" s="628"/>
      <c r="I268" s="628"/>
      <c r="J268"/>
      <c r="K268"/>
      <c r="L268"/>
      <c r="M268"/>
    </row>
    <row r="269" spans="1:13" ht="20.25" customHeight="1">
      <c r="A269" s="628"/>
      <c r="B269" s="628"/>
      <c r="C269" s="628"/>
      <c r="D269" s="628"/>
      <c r="E269" s="628"/>
      <c r="F269" s="628"/>
      <c r="G269" s="628"/>
      <c r="H269" s="628"/>
      <c r="I269" s="628"/>
      <c r="J269"/>
      <c r="K269"/>
      <c r="L269"/>
      <c r="M269"/>
    </row>
    <row r="270" spans="1:13" ht="20.25" customHeight="1">
      <c r="A270" s="628"/>
      <c r="B270" s="628"/>
      <c r="C270" s="628"/>
      <c r="D270" s="628"/>
      <c r="E270" s="628"/>
      <c r="F270" s="628"/>
      <c r="G270" s="628"/>
      <c r="H270" s="628"/>
      <c r="I270" s="628"/>
      <c r="J270"/>
      <c r="K270"/>
      <c r="L270"/>
      <c r="M270"/>
    </row>
    <row r="271" spans="1:13" ht="20.25" customHeight="1">
      <c r="A271" s="867" t="s">
        <v>599</v>
      </c>
      <c r="B271" s="867"/>
      <c r="C271" s="867"/>
      <c r="D271" s="867"/>
      <c r="E271" s="867"/>
      <c r="F271" s="867"/>
      <c r="G271" s="867"/>
      <c r="H271" s="867"/>
      <c r="I271" s="867"/>
      <c r="J271"/>
      <c r="K271"/>
      <c r="L271"/>
      <c r="M271"/>
    </row>
    <row r="272" spans="1:13" ht="20.25" customHeight="1">
      <c r="A272" s="627"/>
      <c r="B272" s="627"/>
      <c r="C272" s="627"/>
      <c r="D272" s="627"/>
      <c r="E272" s="627"/>
      <c r="F272" s="627"/>
      <c r="G272" s="627"/>
      <c r="H272" s="627"/>
      <c r="I272" s="627"/>
      <c r="J272"/>
      <c r="K272"/>
      <c r="L272"/>
      <c r="M272"/>
    </row>
    <row r="273" spans="1:13" ht="20.25" customHeight="1">
      <c r="A273" s="139" t="s">
        <v>298</v>
      </c>
      <c r="B273" s="141" t="s">
        <v>293</v>
      </c>
      <c r="C273" s="141"/>
      <c r="D273" s="141"/>
      <c r="E273" s="141"/>
      <c r="F273" s="141"/>
      <c r="G273" s="141"/>
      <c r="H273" s="141"/>
      <c r="I273" s="141"/>
      <c r="J273"/>
      <c r="K273"/>
      <c r="L273"/>
      <c r="M273"/>
    </row>
    <row r="274" spans="1:13" ht="20.25" customHeight="1">
      <c r="A274" s="139" t="s">
        <v>299</v>
      </c>
      <c r="B274" s="868" t="s">
        <v>600</v>
      </c>
      <c r="C274" s="868"/>
      <c r="D274" s="868"/>
      <c r="E274" s="868"/>
      <c r="F274" s="868"/>
      <c r="G274" s="868"/>
      <c r="H274" s="868"/>
      <c r="I274" s="868"/>
      <c r="J274"/>
      <c r="K274"/>
      <c r="L274"/>
      <c r="M274"/>
    </row>
    <row r="275" spans="1:13" ht="20.25" customHeight="1">
      <c r="A275" s="139" t="s">
        <v>300</v>
      </c>
      <c r="B275" s="869" t="s">
        <v>601</v>
      </c>
      <c r="C275" s="869"/>
      <c r="D275" s="869"/>
      <c r="E275" s="869"/>
      <c r="F275" s="869"/>
      <c r="G275" s="861" t="s">
        <v>484</v>
      </c>
      <c r="H275" s="861"/>
      <c r="I275" s="861"/>
      <c r="J275"/>
      <c r="K275"/>
      <c r="L275"/>
      <c r="M275"/>
    </row>
    <row r="276" spans="1:13" ht="20.25" customHeight="1">
      <c r="A276" s="628"/>
      <c r="B276" s="628"/>
      <c r="C276" s="628"/>
      <c r="D276" s="628"/>
      <c r="E276" s="628"/>
      <c r="F276" s="628"/>
      <c r="G276" s="862" t="s">
        <v>311</v>
      </c>
      <c r="H276" s="862"/>
      <c r="I276" s="628"/>
      <c r="J276"/>
      <c r="K276"/>
      <c r="L276"/>
      <c r="M276"/>
    </row>
    <row r="277" spans="1:13" ht="20.25" customHeight="1">
      <c r="A277" s="629" t="s">
        <v>301</v>
      </c>
      <c r="B277" s="148" t="s">
        <v>302</v>
      </c>
      <c r="C277" s="148" t="s">
        <v>312</v>
      </c>
      <c r="D277" s="148" t="s">
        <v>303</v>
      </c>
      <c r="E277" s="148" t="s">
        <v>304</v>
      </c>
      <c r="F277" s="148" t="s">
        <v>305</v>
      </c>
      <c r="G277" s="148" t="s">
        <v>306</v>
      </c>
      <c r="H277" s="148" t="s">
        <v>307</v>
      </c>
      <c r="I277" s="148" t="s">
        <v>308</v>
      </c>
      <c r="J277"/>
      <c r="K277"/>
      <c r="L277"/>
      <c r="M277"/>
    </row>
    <row r="278" spans="1:13" ht="20.25" customHeight="1">
      <c r="A278" s="155" t="s">
        <v>488</v>
      </c>
      <c r="B278" s="155" t="s">
        <v>313</v>
      </c>
      <c r="C278" s="149">
        <v>1400</v>
      </c>
      <c r="D278" s="149" t="s">
        <v>314</v>
      </c>
      <c r="E278" s="149">
        <v>8</v>
      </c>
      <c r="F278" s="149">
        <f>+C278*E278</f>
        <v>11200</v>
      </c>
      <c r="G278" s="149">
        <f>+F278*1.12</f>
        <v>12544.000000000002</v>
      </c>
      <c r="H278" s="859">
        <v>750102</v>
      </c>
      <c r="I278" s="859" t="s">
        <v>602</v>
      </c>
      <c r="J278"/>
      <c r="K278"/>
      <c r="L278"/>
      <c r="M278"/>
    </row>
    <row r="279" spans="1:13" ht="20.25" customHeight="1">
      <c r="A279" s="155" t="s">
        <v>488</v>
      </c>
      <c r="B279" s="190" t="s">
        <v>315</v>
      </c>
      <c r="C279" s="149">
        <v>120</v>
      </c>
      <c r="D279" s="149" t="s">
        <v>320</v>
      </c>
      <c r="E279" s="149">
        <v>100</v>
      </c>
      <c r="F279" s="149">
        <f t="shared" ref="F279:F286" si="39">+C279*E279</f>
        <v>12000</v>
      </c>
      <c r="G279" s="149">
        <f t="shared" ref="G279:G286" si="40">+F279*1.12</f>
        <v>13440.000000000002</v>
      </c>
      <c r="H279" s="860"/>
      <c r="I279" s="860"/>
      <c r="J279"/>
      <c r="K279"/>
      <c r="L279"/>
      <c r="M279"/>
    </row>
    <row r="280" spans="1:13" ht="20.25" customHeight="1">
      <c r="A280" s="155" t="s">
        <v>488</v>
      </c>
      <c r="B280" s="190" t="s">
        <v>317</v>
      </c>
      <c r="C280" s="149">
        <v>160</v>
      </c>
      <c r="D280" s="149" t="s">
        <v>321</v>
      </c>
      <c r="E280" s="149">
        <v>25</v>
      </c>
      <c r="F280" s="149">
        <f t="shared" si="39"/>
        <v>4000</v>
      </c>
      <c r="G280" s="149">
        <f t="shared" si="40"/>
        <v>4480</v>
      </c>
      <c r="H280" s="860"/>
      <c r="I280" s="860"/>
      <c r="J280"/>
      <c r="K280"/>
      <c r="L280"/>
      <c r="M280"/>
    </row>
    <row r="281" spans="1:13" ht="20.25" customHeight="1">
      <c r="A281" s="155" t="s">
        <v>488</v>
      </c>
      <c r="B281" s="190" t="s">
        <v>318</v>
      </c>
      <c r="C281" s="149">
        <v>160</v>
      </c>
      <c r="D281" s="149" t="s">
        <v>321</v>
      </c>
      <c r="E281" s="149">
        <v>25</v>
      </c>
      <c r="F281" s="149">
        <f t="shared" si="39"/>
        <v>4000</v>
      </c>
      <c r="G281" s="149">
        <f t="shared" si="40"/>
        <v>4480</v>
      </c>
      <c r="H281" s="860"/>
      <c r="I281" s="860"/>
      <c r="J281"/>
      <c r="K281"/>
      <c r="L281"/>
      <c r="M281"/>
    </row>
    <row r="282" spans="1:13" ht="20.25" customHeight="1">
      <c r="A282" s="155" t="s">
        <v>488</v>
      </c>
      <c r="B282" s="190" t="s">
        <v>332</v>
      </c>
      <c r="C282" s="149">
        <v>90</v>
      </c>
      <c r="D282" s="149" t="s">
        <v>322</v>
      </c>
      <c r="E282" s="149">
        <v>20</v>
      </c>
      <c r="F282" s="149">
        <f t="shared" si="39"/>
        <v>1800</v>
      </c>
      <c r="G282" s="149">
        <f t="shared" si="40"/>
        <v>2016.0000000000002</v>
      </c>
      <c r="H282" s="860"/>
      <c r="I282" s="860"/>
      <c r="J282"/>
      <c r="K282"/>
      <c r="L282"/>
      <c r="M282"/>
    </row>
    <row r="283" spans="1:13" ht="20.25" customHeight="1">
      <c r="A283" s="155" t="s">
        <v>488</v>
      </c>
      <c r="B283" s="190" t="s">
        <v>323</v>
      </c>
      <c r="C283" s="149">
        <v>10</v>
      </c>
      <c r="D283" s="149" t="s">
        <v>324</v>
      </c>
      <c r="E283" s="149">
        <v>40</v>
      </c>
      <c r="F283" s="149">
        <f t="shared" si="39"/>
        <v>400</v>
      </c>
      <c r="G283" s="149">
        <f t="shared" si="40"/>
        <v>448.00000000000006</v>
      </c>
      <c r="H283" s="860"/>
      <c r="I283" s="860"/>
      <c r="J283"/>
      <c r="K283"/>
      <c r="L283"/>
      <c r="M283"/>
    </row>
    <row r="284" spans="1:13" ht="20.25" customHeight="1">
      <c r="A284" s="155" t="s">
        <v>488</v>
      </c>
      <c r="B284" s="190" t="s">
        <v>328</v>
      </c>
      <c r="C284" s="149">
        <v>150</v>
      </c>
      <c r="D284" s="149" t="s">
        <v>329</v>
      </c>
      <c r="E284" s="149">
        <v>3</v>
      </c>
      <c r="F284" s="149">
        <f t="shared" si="39"/>
        <v>450</v>
      </c>
      <c r="G284" s="149">
        <f t="shared" si="40"/>
        <v>504.00000000000006</v>
      </c>
      <c r="H284" s="860"/>
      <c r="I284" s="860"/>
      <c r="J284"/>
      <c r="K284"/>
      <c r="L284"/>
      <c r="M284"/>
    </row>
    <row r="285" spans="1:13" ht="20.25" customHeight="1">
      <c r="A285" s="155" t="s">
        <v>488</v>
      </c>
      <c r="B285" s="190" t="s">
        <v>327</v>
      </c>
      <c r="C285" s="149">
        <v>150</v>
      </c>
      <c r="D285" s="149" t="s">
        <v>329</v>
      </c>
      <c r="E285" s="149">
        <v>3</v>
      </c>
      <c r="F285" s="149">
        <f t="shared" si="39"/>
        <v>450</v>
      </c>
      <c r="G285" s="149">
        <f t="shared" si="40"/>
        <v>504.00000000000006</v>
      </c>
      <c r="H285" s="860"/>
      <c r="I285" s="860"/>
      <c r="J285"/>
      <c r="K285"/>
      <c r="L285"/>
      <c r="M285"/>
    </row>
    <row r="286" spans="1:13" ht="20.25" customHeight="1">
      <c r="A286" s="155" t="s">
        <v>488</v>
      </c>
      <c r="B286" s="190" t="s">
        <v>330</v>
      </c>
      <c r="C286" s="149">
        <v>3</v>
      </c>
      <c r="D286" s="149" t="s">
        <v>331</v>
      </c>
      <c r="E286" s="149">
        <v>40</v>
      </c>
      <c r="F286" s="149">
        <f t="shared" si="39"/>
        <v>120</v>
      </c>
      <c r="G286" s="149">
        <f t="shared" si="40"/>
        <v>134.4</v>
      </c>
      <c r="H286" s="863"/>
      <c r="I286" s="860"/>
      <c r="J286"/>
      <c r="K286"/>
      <c r="L286"/>
      <c r="M286"/>
    </row>
    <row r="287" spans="1:13" ht="20.25" customHeight="1">
      <c r="A287" s="864" t="s">
        <v>101</v>
      </c>
      <c r="B287" s="865"/>
      <c r="C287" s="865"/>
      <c r="D287" s="865"/>
      <c r="E287" s="866"/>
      <c r="F287" s="638">
        <f>SUM(F278:F286)</f>
        <v>34420</v>
      </c>
      <c r="G287" s="638">
        <f>SUM(G278:G286)</f>
        <v>38550.400000000001</v>
      </c>
      <c r="H287" s="155"/>
      <c r="I287" s="643"/>
      <c r="J287"/>
      <c r="K287"/>
      <c r="L287"/>
      <c r="M287"/>
    </row>
    <row r="288" spans="1:13" ht="20.25" customHeight="1">
      <c r="A288" s="864"/>
      <c r="B288" s="865"/>
      <c r="C288" s="865"/>
      <c r="D288" s="865"/>
      <c r="E288" s="865"/>
      <c r="F288" s="865"/>
      <c r="G288" s="865"/>
      <c r="H288" s="865"/>
      <c r="I288" s="866"/>
      <c r="J288"/>
      <c r="K288"/>
      <c r="L288"/>
      <c r="M288"/>
    </row>
    <row r="289" spans="1:13" ht="20.25" customHeight="1">
      <c r="A289" s="146" t="s">
        <v>341</v>
      </c>
      <c r="B289" s="155" t="s">
        <v>342</v>
      </c>
      <c r="C289" s="637">
        <v>3</v>
      </c>
      <c r="D289" s="637" t="s">
        <v>343</v>
      </c>
      <c r="E289" s="637">
        <v>750</v>
      </c>
      <c r="F289" s="640">
        <f>+C289*E289</f>
        <v>2250</v>
      </c>
      <c r="G289" s="640">
        <f>+F289*1.12</f>
        <v>2520.0000000000005</v>
      </c>
      <c r="H289" s="155"/>
      <c r="I289" s="155"/>
      <c r="J289"/>
      <c r="K289"/>
      <c r="L289"/>
      <c r="M289"/>
    </row>
    <row r="290" spans="1:13" ht="20.25" customHeight="1">
      <c r="A290" s="864" t="s">
        <v>101</v>
      </c>
      <c r="B290" s="865"/>
      <c r="C290" s="865"/>
      <c r="D290" s="865"/>
      <c r="E290" s="866"/>
      <c r="F290" s="638">
        <f>SUM(F289)</f>
        <v>2250</v>
      </c>
      <c r="G290" s="638">
        <f>SUM(G289)</f>
        <v>2520.0000000000005</v>
      </c>
      <c r="H290" s="642"/>
      <c r="I290" s="642"/>
      <c r="J290"/>
      <c r="K290"/>
      <c r="L290"/>
      <c r="M290"/>
    </row>
    <row r="291" spans="1:13" ht="20.25" customHeight="1">
      <c r="A291" s="628"/>
      <c r="B291" s="628"/>
      <c r="C291" s="628"/>
      <c r="D291" s="628"/>
      <c r="E291" s="146" t="s">
        <v>35</v>
      </c>
      <c r="F291" s="638">
        <f>+F290+F287</f>
        <v>36670</v>
      </c>
      <c r="G291" s="638">
        <f>+G290+G287</f>
        <v>41070.400000000001</v>
      </c>
      <c r="H291" s="628"/>
      <c r="I291" s="628"/>
      <c r="J291"/>
      <c r="K291"/>
      <c r="L291"/>
      <c r="M291"/>
    </row>
    <row r="292" spans="1:13" ht="20.25" customHeight="1">
      <c r="A292" s="628"/>
      <c r="B292" s="628"/>
      <c r="C292" s="628"/>
      <c r="D292" s="628"/>
      <c r="E292" s="628"/>
      <c r="F292" s="628"/>
      <c r="G292" s="628"/>
      <c r="H292" s="628"/>
      <c r="I292" s="628"/>
      <c r="J292"/>
      <c r="K292"/>
      <c r="L292"/>
      <c r="M292"/>
    </row>
    <row r="293" spans="1:13" ht="20.25" customHeight="1">
      <c r="A293" s="628"/>
      <c r="B293" s="628"/>
      <c r="C293" s="628"/>
      <c r="D293" s="628"/>
      <c r="E293" s="628"/>
      <c r="F293" s="628"/>
      <c r="G293" s="628"/>
      <c r="H293" s="628"/>
      <c r="I293" s="628"/>
      <c r="J293"/>
      <c r="K293"/>
      <c r="L293"/>
      <c r="M293"/>
    </row>
    <row r="294" spans="1:13" ht="20.25" customHeight="1">
      <c r="A294" s="867" t="s">
        <v>599</v>
      </c>
      <c r="B294" s="867"/>
      <c r="C294" s="867"/>
      <c r="D294" s="867"/>
      <c r="E294" s="867"/>
      <c r="F294" s="867"/>
      <c r="G294" s="867"/>
      <c r="H294" s="867"/>
      <c r="I294" s="867"/>
      <c r="J294"/>
      <c r="K294"/>
      <c r="L294"/>
      <c r="M294"/>
    </row>
    <row r="295" spans="1:13" ht="20.25" customHeight="1">
      <c r="A295" s="627"/>
      <c r="B295" s="627"/>
      <c r="C295" s="627"/>
      <c r="D295" s="627"/>
      <c r="E295" s="627"/>
      <c r="F295" s="627"/>
      <c r="G295" s="627"/>
      <c r="H295" s="627"/>
      <c r="I295" s="627"/>
      <c r="J295"/>
      <c r="K295"/>
      <c r="L295"/>
      <c r="M295"/>
    </row>
    <row r="296" spans="1:13" ht="20.25" customHeight="1">
      <c r="A296" s="139" t="s">
        <v>298</v>
      </c>
      <c r="B296" s="141" t="s">
        <v>294</v>
      </c>
      <c r="C296" s="141"/>
      <c r="D296" s="141"/>
      <c r="E296" s="141"/>
      <c r="F296" s="141"/>
      <c r="G296" s="141"/>
      <c r="H296" s="141"/>
      <c r="I296" s="141"/>
      <c r="J296"/>
      <c r="K296"/>
      <c r="L296"/>
      <c r="M296"/>
    </row>
    <row r="297" spans="1:13" ht="20.25" customHeight="1">
      <c r="A297" s="139" t="s">
        <v>299</v>
      </c>
      <c r="B297" s="868" t="s">
        <v>600</v>
      </c>
      <c r="C297" s="868"/>
      <c r="D297" s="868"/>
      <c r="E297" s="868"/>
      <c r="F297" s="868"/>
      <c r="G297" s="868"/>
      <c r="H297" s="868"/>
      <c r="I297" s="868"/>
      <c r="J297"/>
      <c r="K297"/>
      <c r="L297"/>
      <c r="M297"/>
    </row>
    <row r="298" spans="1:13" ht="20.25" customHeight="1">
      <c r="A298" s="139" t="s">
        <v>300</v>
      </c>
      <c r="B298" s="869" t="s">
        <v>601</v>
      </c>
      <c r="C298" s="869"/>
      <c r="D298" s="869"/>
      <c r="E298" s="869"/>
      <c r="F298" s="869"/>
      <c r="G298" s="861" t="s">
        <v>484</v>
      </c>
      <c r="H298" s="861"/>
      <c r="I298" s="861"/>
      <c r="J298"/>
      <c r="K298"/>
      <c r="L298"/>
      <c r="M298"/>
    </row>
    <row r="299" spans="1:13" ht="20.25" customHeight="1">
      <c r="A299" s="628"/>
      <c r="B299" s="628" t="s">
        <v>100</v>
      </c>
      <c r="C299" s="628"/>
      <c r="D299" s="628"/>
      <c r="E299" s="628"/>
      <c r="F299" s="628"/>
      <c r="G299" s="862" t="s">
        <v>311</v>
      </c>
      <c r="H299" s="862"/>
      <c r="I299" s="628"/>
      <c r="J299"/>
      <c r="K299"/>
      <c r="L299"/>
      <c r="M299"/>
    </row>
    <row r="300" spans="1:13" ht="20.25" customHeight="1">
      <c r="A300" s="629" t="s">
        <v>301</v>
      </c>
      <c r="B300" s="148" t="s">
        <v>302</v>
      </c>
      <c r="C300" s="148" t="s">
        <v>312</v>
      </c>
      <c r="D300" s="148" t="s">
        <v>303</v>
      </c>
      <c r="E300" s="148" t="s">
        <v>304</v>
      </c>
      <c r="F300" s="148" t="s">
        <v>305</v>
      </c>
      <c r="G300" s="148" t="s">
        <v>306</v>
      </c>
      <c r="H300" s="148" t="s">
        <v>307</v>
      </c>
      <c r="I300" s="148" t="s">
        <v>308</v>
      </c>
      <c r="J300"/>
      <c r="K300"/>
      <c r="L300"/>
      <c r="M300"/>
    </row>
    <row r="301" spans="1:13" ht="20.25" customHeight="1">
      <c r="A301" s="155" t="s">
        <v>488</v>
      </c>
      <c r="B301" s="155" t="s">
        <v>313</v>
      </c>
      <c r="C301" s="637">
        <v>1600</v>
      </c>
      <c r="D301" s="637" t="s">
        <v>314</v>
      </c>
      <c r="E301" s="637">
        <v>8</v>
      </c>
      <c r="F301" s="640">
        <f>+C301*E301</f>
        <v>12800</v>
      </c>
      <c r="G301" s="640">
        <f>+F301*1.12</f>
        <v>14336.000000000002</v>
      </c>
      <c r="H301" s="859">
        <v>750102</v>
      </c>
      <c r="I301" s="859" t="s">
        <v>602</v>
      </c>
      <c r="J301"/>
      <c r="K301"/>
      <c r="L301"/>
      <c r="M301"/>
    </row>
    <row r="302" spans="1:13" ht="20.25" customHeight="1">
      <c r="A302" s="155" t="s">
        <v>488</v>
      </c>
      <c r="B302" s="155" t="s">
        <v>315</v>
      </c>
      <c r="C302" s="637">
        <v>160</v>
      </c>
      <c r="D302" s="637" t="s">
        <v>320</v>
      </c>
      <c r="E302" s="637">
        <v>100</v>
      </c>
      <c r="F302" s="640">
        <f t="shared" ref="F302:F309" si="41">+C302*E302</f>
        <v>16000</v>
      </c>
      <c r="G302" s="640">
        <f t="shared" ref="G302:G309" si="42">+F302*1.12</f>
        <v>17920</v>
      </c>
      <c r="H302" s="860"/>
      <c r="I302" s="860"/>
      <c r="J302"/>
      <c r="K302"/>
      <c r="L302"/>
      <c r="M302"/>
    </row>
    <row r="303" spans="1:13" ht="20.25" customHeight="1">
      <c r="A303" s="155" t="s">
        <v>488</v>
      </c>
      <c r="B303" s="155" t="s">
        <v>317</v>
      </c>
      <c r="C303" s="637">
        <v>180</v>
      </c>
      <c r="D303" s="637" t="s">
        <v>321</v>
      </c>
      <c r="E303" s="637">
        <v>25</v>
      </c>
      <c r="F303" s="640">
        <f t="shared" si="41"/>
        <v>4500</v>
      </c>
      <c r="G303" s="640">
        <f t="shared" si="42"/>
        <v>5040.0000000000009</v>
      </c>
      <c r="H303" s="860"/>
      <c r="I303" s="860"/>
      <c r="J303"/>
      <c r="K303"/>
      <c r="L303"/>
      <c r="M303"/>
    </row>
    <row r="304" spans="1:13" ht="20.25" customHeight="1">
      <c r="A304" s="155" t="s">
        <v>488</v>
      </c>
      <c r="B304" s="155" t="s">
        <v>318</v>
      </c>
      <c r="C304" s="637">
        <v>180</v>
      </c>
      <c r="D304" s="637" t="s">
        <v>321</v>
      </c>
      <c r="E304" s="637">
        <v>25</v>
      </c>
      <c r="F304" s="640">
        <f t="shared" si="41"/>
        <v>4500</v>
      </c>
      <c r="G304" s="640">
        <f t="shared" si="42"/>
        <v>5040.0000000000009</v>
      </c>
      <c r="H304" s="860"/>
      <c r="I304" s="860"/>
      <c r="J304"/>
      <c r="K304"/>
      <c r="L304"/>
      <c r="M304"/>
    </row>
    <row r="305" spans="1:13" ht="20.25" customHeight="1">
      <c r="A305" s="155" t="s">
        <v>488</v>
      </c>
      <c r="B305" s="155" t="s">
        <v>332</v>
      </c>
      <c r="C305" s="637">
        <v>100</v>
      </c>
      <c r="D305" s="637" t="s">
        <v>322</v>
      </c>
      <c r="E305" s="637">
        <v>20</v>
      </c>
      <c r="F305" s="640">
        <f t="shared" si="41"/>
        <v>2000</v>
      </c>
      <c r="G305" s="640">
        <f t="shared" si="42"/>
        <v>2240</v>
      </c>
      <c r="H305" s="860"/>
      <c r="I305" s="860"/>
      <c r="J305"/>
      <c r="K305"/>
      <c r="L305"/>
      <c r="M305"/>
    </row>
    <row r="306" spans="1:13" ht="20.25" customHeight="1">
      <c r="A306" s="155" t="s">
        <v>488</v>
      </c>
      <c r="B306" s="155" t="s">
        <v>323</v>
      </c>
      <c r="C306" s="637">
        <v>10</v>
      </c>
      <c r="D306" s="637" t="s">
        <v>324</v>
      </c>
      <c r="E306" s="637">
        <v>40</v>
      </c>
      <c r="F306" s="640">
        <f t="shared" si="41"/>
        <v>400</v>
      </c>
      <c r="G306" s="640">
        <f t="shared" si="42"/>
        <v>448.00000000000006</v>
      </c>
      <c r="H306" s="860"/>
      <c r="I306" s="860"/>
      <c r="J306"/>
      <c r="K306"/>
      <c r="L306"/>
      <c r="M306"/>
    </row>
    <row r="307" spans="1:13" ht="20.25" customHeight="1">
      <c r="A307" s="155" t="s">
        <v>488</v>
      </c>
      <c r="B307" s="155" t="s">
        <v>328</v>
      </c>
      <c r="C307" s="637">
        <v>150</v>
      </c>
      <c r="D307" s="637" t="s">
        <v>329</v>
      </c>
      <c r="E307" s="637">
        <v>3</v>
      </c>
      <c r="F307" s="640">
        <f t="shared" si="41"/>
        <v>450</v>
      </c>
      <c r="G307" s="640">
        <f t="shared" si="42"/>
        <v>504.00000000000006</v>
      </c>
      <c r="H307" s="860"/>
      <c r="I307" s="860"/>
      <c r="J307"/>
      <c r="K307"/>
      <c r="L307"/>
      <c r="M307"/>
    </row>
    <row r="308" spans="1:13" ht="20.25" customHeight="1">
      <c r="A308" s="155" t="s">
        <v>488</v>
      </c>
      <c r="B308" s="155" t="s">
        <v>327</v>
      </c>
      <c r="C308" s="637">
        <v>150</v>
      </c>
      <c r="D308" s="637" t="s">
        <v>329</v>
      </c>
      <c r="E308" s="637">
        <v>3</v>
      </c>
      <c r="F308" s="640">
        <f t="shared" si="41"/>
        <v>450</v>
      </c>
      <c r="G308" s="640">
        <f t="shared" si="42"/>
        <v>504.00000000000006</v>
      </c>
      <c r="H308" s="860"/>
      <c r="I308" s="860"/>
      <c r="J308"/>
      <c r="K308"/>
      <c r="L308"/>
      <c r="M308"/>
    </row>
    <row r="309" spans="1:13" ht="20.25" customHeight="1">
      <c r="A309" s="155" t="s">
        <v>488</v>
      </c>
      <c r="B309" s="155" t="s">
        <v>330</v>
      </c>
      <c r="C309" s="637">
        <v>3</v>
      </c>
      <c r="D309" s="637" t="s">
        <v>331</v>
      </c>
      <c r="E309" s="637">
        <v>40</v>
      </c>
      <c r="F309" s="640">
        <f t="shared" si="41"/>
        <v>120</v>
      </c>
      <c r="G309" s="640">
        <f t="shared" si="42"/>
        <v>134.4</v>
      </c>
      <c r="H309" s="863"/>
      <c r="I309" s="860"/>
      <c r="J309"/>
      <c r="K309"/>
      <c r="L309"/>
      <c r="M309"/>
    </row>
    <row r="310" spans="1:13" ht="20.25" customHeight="1">
      <c r="A310" s="864" t="s">
        <v>101</v>
      </c>
      <c r="B310" s="865"/>
      <c r="C310" s="865"/>
      <c r="D310" s="865"/>
      <c r="E310" s="866"/>
      <c r="F310" s="638">
        <f>SUM(F301:F309)</f>
        <v>41220</v>
      </c>
      <c r="G310" s="638">
        <f>SUM(G301:G309)</f>
        <v>46166.400000000001</v>
      </c>
      <c r="H310" s="155"/>
      <c r="I310" s="863"/>
      <c r="J310"/>
      <c r="K310"/>
      <c r="L310"/>
      <c r="M310"/>
    </row>
    <row r="311" spans="1:13" ht="20.25" customHeight="1">
      <c r="A311" s="864"/>
      <c r="B311" s="865"/>
      <c r="C311" s="865"/>
      <c r="D311" s="865"/>
      <c r="E311" s="865"/>
      <c r="F311" s="865"/>
      <c r="G311" s="865"/>
      <c r="H311" s="865"/>
      <c r="I311" s="866"/>
      <c r="J311"/>
      <c r="K311"/>
      <c r="L311"/>
      <c r="M311"/>
    </row>
    <row r="312" spans="1:13" ht="20.25" customHeight="1">
      <c r="A312" s="146" t="s">
        <v>341</v>
      </c>
      <c r="B312" s="155" t="s">
        <v>342</v>
      </c>
      <c r="C312" s="637">
        <v>3</v>
      </c>
      <c r="D312" s="637" t="s">
        <v>343</v>
      </c>
      <c r="E312" s="637">
        <v>750</v>
      </c>
      <c r="F312" s="640">
        <f>+C312*E312</f>
        <v>2250</v>
      </c>
      <c r="G312" s="640">
        <f>+F312*1.12</f>
        <v>2520.0000000000005</v>
      </c>
      <c r="H312" s="155"/>
      <c r="I312" s="155"/>
      <c r="J312"/>
      <c r="K312"/>
      <c r="L312"/>
      <c r="M312"/>
    </row>
    <row r="313" spans="1:13" ht="20.25" customHeight="1">
      <c r="A313" s="864" t="s">
        <v>101</v>
      </c>
      <c r="B313" s="865"/>
      <c r="C313" s="865"/>
      <c r="D313" s="865"/>
      <c r="E313" s="866"/>
      <c r="F313" s="638">
        <f>SUM(F312)</f>
        <v>2250</v>
      </c>
      <c r="G313" s="638">
        <f>SUM(G312)</f>
        <v>2520.0000000000005</v>
      </c>
      <c r="H313" s="642"/>
      <c r="I313" s="642"/>
      <c r="J313"/>
      <c r="K313"/>
      <c r="L313"/>
      <c r="M313"/>
    </row>
    <row r="314" spans="1:13" ht="20.25" customHeight="1">
      <c r="A314" s="628"/>
      <c r="B314" s="628"/>
      <c r="C314" s="628"/>
      <c r="D314" s="628"/>
      <c r="E314" s="146" t="s">
        <v>35</v>
      </c>
      <c r="F314" s="638">
        <f>+F313+F310</f>
        <v>43470</v>
      </c>
      <c r="G314" s="638">
        <f>+G313+G310</f>
        <v>48686.400000000001</v>
      </c>
      <c r="H314" s="628"/>
      <c r="I314" s="628"/>
      <c r="J314"/>
      <c r="K314"/>
      <c r="L314"/>
      <c r="M314"/>
    </row>
    <row r="315" spans="1:13" ht="20.25" customHeight="1">
      <c r="A315" s="628"/>
      <c r="B315" s="628"/>
      <c r="C315" s="628"/>
      <c r="D315" s="628"/>
      <c r="E315" s="628"/>
      <c r="F315" s="628"/>
      <c r="G315" s="628"/>
      <c r="H315" s="628"/>
      <c r="I315" s="628"/>
      <c r="J315"/>
      <c r="K315"/>
      <c r="L315"/>
      <c r="M315"/>
    </row>
    <row r="316" spans="1:13" ht="20.25" customHeight="1">
      <c r="A316" s="628"/>
      <c r="B316" s="628"/>
      <c r="C316" s="628"/>
      <c r="D316" s="628"/>
      <c r="E316" s="628"/>
      <c r="F316" s="628"/>
      <c r="G316" s="628"/>
      <c r="H316" s="628"/>
      <c r="I316" s="628"/>
      <c r="J316"/>
      <c r="K316"/>
      <c r="L316"/>
      <c r="M316"/>
    </row>
    <row r="317" spans="1:13" ht="20.25" customHeight="1">
      <c r="A317" s="628"/>
      <c r="B317" s="628"/>
      <c r="C317" s="628"/>
      <c r="D317" s="628"/>
      <c r="E317" s="628"/>
      <c r="F317" s="628"/>
      <c r="G317" s="628"/>
      <c r="H317" s="628"/>
      <c r="I317" s="628"/>
      <c r="J317"/>
      <c r="K317"/>
      <c r="L317"/>
      <c r="M317"/>
    </row>
    <row r="318" spans="1:13" ht="20.25" customHeight="1">
      <c r="A318" s="867" t="s">
        <v>599</v>
      </c>
      <c r="B318" s="867"/>
      <c r="C318" s="867"/>
      <c r="D318" s="867"/>
      <c r="E318" s="867"/>
      <c r="F318" s="867"/>
      <c r="G318" s="867"/>
      <c r="H318" s="867"/>
      <c r="I318" s="867"/>
      <c r="J318"/>
      <c r="K318"/>
      <c r="L318"/>
      <c r="M318"/>
    </row>
    <row r="319" spans="1:13" ht="20.25" customHeight="1">
      <c r="A319" s="627"/>
      <c r="B319" s="627"/>
      <c r="C319" s="627"/>
      <c r="D319" s="627"/>
      <c r="E319" s="627"/>
      <c r="F319" s="627"/>
      <c r="G319" s="627"/>
      <c r="H319" s="627"/>
      <c r="I319" s="627"/>
      <c r="J319"/>
      <c r="K319"/>
      <c r="L319"/>
      <c r="M319"/>
    </row>
    <row r="320" spans="1:13" ht="20.25" customHeight="1">
      <c r="A320" s="139" t="s">
        <v>298</v>
      </c>
      <c r="B320" s="141" t="s">
        <v>295</v>
      </c>
      <c r="C320" s="141"/>
      <c r="D320" s="141"/>
      <c r="E320" s="141"/>
      <c r="F320" s="141"/>
      <c r="G320" s="141"/>
      <c r="H320" s="141"/>
      <c r="I320" s="141"/>
      <c r="J320"/>
      <c r="K320"/>
      <c r="L320"/>
      <c r="M320"/>
    </row>
    <row r="321" spans="1:13" ht="20.25" customHeight="1">
      <c r="A321" s="139" t="s">
        <v>299</v>
      </c>
      <c r="B321" s="868" t="s">
        <v>600</v>
      </c>
      <c r="C321" s="868"/>
      <c r="D321" s="868"/>
      <c r="E321" s="868"/>
      <c r="F321" s="868"/>
      <c r="G321" s="868"/>
      <c r="H321" s="868"/>
      <c r="I321" s="868"/>
      <c r="J321"/>
      <c r="K321"/>
      <c r="L321"/>
      <c r="M321"/>
    </row>
    <row r="322" spans="1:13" ht="20.25" customHeight="1">
      <c r="A322" s="139" t="s">
        <v>300</v>
      </c>
      <c r="B322" s="869" t="s">
        <v>601</v>
      </c>
      <c r="C322" s="869"/>
      <c r="D322" s="869"/>
      <c r="E322" s="869"/>
      <c r="F322" s="869"/>
      <c r="G322" s="861" t="s">
        <v>484</v>
      </c>
      <c r="H322" s="861"/>
      <c r="I322" s="861"/>
      <c r="J322"/>
      <c r="K322"/>
      <c r="L322"/>
      <c r="M322"/>
    </row>
    <row r="323" spans="1:13" ht="20.25" customHeight="1">
      <c r="A323" s="628"/>
      <c r="B323" s="628" t="s">
        <v>100</v>
      </c>
      <c r="C323" s="628"/>
      <c r="D323" s="628"/>
      <c r="E323" s="628"/>
      <c r="F323" s="628"/>
      <c r="G323" s="862" t="s">
        <v>311</v>
      </c>
      <c r="H323" s="862"/>
      <c r="I323" s="628"/>
      <c r="J323"/>
      <c r="K323"/>
      <c r="L323"/>
      <c r="M323"/>
    </row>
    <row r="324" spans="1:13" ht="20.25" customHeight="1">
      <c r="A324" s="629" t="s">
        <v>301</v>
      </c>
      <c r="B324" s="148" t="s">
        <v>302</v>
      </c>
      <c r="C324" s="148" t="s">
        <v>312</v>
      </c>
      <c r="D324" s="148" t="s">
        <v>303</v>
      </c>
      <c r="E324" s="148" t="s">
        <v>304</v>
      </c>
      <c r="F324" s="148" t="s">
        <v>305</v>
      </c>
      <c r="G324" s="148" t="s">
        <v>306</v>
      </c>
      <c r="H324" s="148" t="s">
        <v>307</v>
      </c>
      <c r="I324" s="148" t="s">
        <v>308</v>
      </c>
      <c r="J324"/>
      <c r="K324"/>
      <c r="L324"/>
      <c r="M324"/>
    </row>
    <row r="325" spans="1:13" ht="20.25" customHeight="1">
      <c r="A325" s="155" t="s">
        <v>488</v>
      </c>
      <c r="B325" s="155" t="s">
        <v>313</v>
      </c>
      <c r="C325" s="149">
        <v>800</v>
      </c>
      <c r="D325" s="149" t="s">
        <v>314</v>
      </c>
      <c r="E325" s="149">
        <v>8</v>
      </c>
      <c r="F325" s="149">
        <f>+C325*E325</f>
        <v>6400</v>
      </c>
      <c r="G325" s="149">
        <f>+F325*1.12</f>
        <v>7168.0000000000009</v>
      </c>
      <c r="H325" s="859">
        <v>750102</v>
      </c>
      <c r="I325" s="859" t="s">
        <v>602</v>
      </c>
      <c r="J325"/>
      <c r="K325"/>
      <c r="L325"/>
      <c r="M325"/>
    </row>
    <row r="326" spans="1:13" ht="20.25" customHeight="1">
      <c r="A326" s="155" t="s">
        <v>488</v>
      </c>
      <c r="B326" s="190" t="s">
        <v>315</v>
      </c>
      <c r="C326" s="149">
        <v>100</v>
      </c>
      <c r="D326" s="149" t="s">
        <v>320</v>
      </c>
      <c r="E326" s="149">
        <v>100</v>
      </c>
      <c r="F326" s="149">
        <f t="shared" ref="F326:F334" si="43">+C326*E326</f>
        <v>10000</v>
      </c>
      <c r="G326" s="149">
        <f t="shared" ref="G326:G334" si="44">+F326*1.12</f>
        <v>11200.000000000002</v>
      </c>
      <c r="H326" s="860"/>
      <c r="I326" s="860"/>
      <c r="J326"/>
      <c r="K326"/>
      <c r="L326"/>
      <c r="M326"/>
    </row>
    <row r="327" spans="1:13" ht="20.25" customHeight="1">
      <c r="A327" s="155" t="s">
        <v>488</v>
      </c>
      <c r="B327" s="190" t="s">
        <v>317</v>
      </c>
      <c r="C327" s="149">
        <v>92</v>
      </c>
      <c r="D327" s="149" t="s">
        <v>321</v>
      </c>
      <c r="E327" s="149">
        <v>20</v>
      </c>
      <c r="F327" s="149">
        <f t="shared" si="43"/>
        <v>1840</v>
      </c>
      <c r="G327" s="149">
        <f t="shared" si="44"/>
        <v>2060.8000000000002</v>
      </c>
      <c r="H327" s="860"/>
      <c r="I327" s="860"/>
      <c r="J327"/>
      <c r="K327"/>
      <c r="L327"/>
      <c r="M327"/>
    </row>
    <row r="328" spans="1:13" ht="20.25" customHeight="1">
      <c r="A328" s="155" t="s">
        <v>488</v>
      </c>
      <c r="B328" s="190" t="s">
        <v>318</v>
      </c>
      <c r="C328" s="149">
        <v>92</v>
      </c>
      <c r="D328" s="149" t="s">
        <v>321</v>
      </c>
      <c r="E328" s="149">
        <v>20</v>
      </c>
      <c r="F328" s="149">
        <f t="shared" si="43"/>
        <v>1840</v>
      </c>
      <c r="G328" s="149">
        <f t="shared" si="44"/>
        <v>2060.8000000000002</v>
      </c>
      <c r="H328" s="860"/>
      <c r="I328" s="860"/>
      <c r="J328"/>
      <c r="K328"/>
      <c r="L328"/>
      <c r="M328"/>
    </row>
    <row r="329" spans="1:13" ht="20.25" customHeight="1">
      <c r="A329" s="155" t="s">
        <v>488</v>
      </c>
      <c r="B329" s="190" t="s">
        <v>332</v>
      </c>
      <c r="C329" s="149">
        <v>50</v>
      </c>
      <c r="D329" s="149" t="s">
        <v>322</v>
      </c>
      <c r="E329" s="149">
        <v>20</v>
      </c>
      <c r="F329" s="149">
        <f t="shared" si="43"/>
        <v>1000</v>
      </c>
      <c r="G329" s="149">
        <f t="shared" si="44"/>
        <v>1120</v>
      </c>
      <c r="H329" s="860"/>
      <c r="I329" s="860"/>
      <c r="J329"/>
      <c r="K329"/>
      <c r="L329"/>
      <c r="M329"/>
    </row>
    <row r="330" spans="1:13" ht="20.25" customHeight="1">
      <c r="A330" s="155" t="s">
        <v>488</v>
      </c>
      <c r="B330" s="190" t="s">
        <v>323</v>
      </c>
      <c r="C330" s="149">
        <v>8</v>
      </c>
      <c r="D330" s="149" t="s">
        <v>324</v>
      </c>
      <c r="E330" s="149">
        <v>40</v>
      </c>
      <c r="F330" s="149">
        <f t="shared" si="43"/>
        <v>320</v>
      </c>
      <c r="G330" s="149">
        <f t="shared" si="44"/>
        <v>358.40000000000003</v>
      </c>
      <c r="H330" s="860"/>
      <c r="I330" s="860"/>
      <c r="J330"/>
      <c r="K330"/>
      <c r="L330"/>
      <c r="M330"/>
    </row>
    <row r="331" spans="1:13" ht="20.25" customHeight="1">
      <c r="A331" s="155" t="s">
        <v>488</v>
      </c>
      <c r="B331" s="190" t="s">
        <v>328</v>
      </c>
      <c r="C331" s="149">
        <v>120</v>
      </c>
      <c r="D331" s="149" t="s">
        <v>329</v>
      </c>
      <c r="E331" s="149">
        <v>3</v>
      </c>
      <c r="F331" s="149">
        <f t="shared" si="43"/>
        <v>360</v>
      </c>
      <c r="G331" s="149">
        <f t="shared" si="44"/>
        <v>403.20000000000005</v>
      </c>
      <c r="H331" s="860"/>
      <c r="I331" s="860"/>
      <c r="J331"/>
      <c r="K331"/>
      <c r="L331"/>
      <c r="M331"/>
    </row>
    <row r="332" spans="1:13" ht="20.25" customHeight="1">
      <c r="A332" s="155" t="s">
        <v>488</v>
      </c>
      <c r="B332" s="190" t="s">
        <v>327</v>
      </c>
      <c r="C332" s="149">
        <v>120</v>
      </c>
      <c r="D332" s="149" t="s">
        <v>329</v>
      </c>
      <c r="E332" s="149">
        <v>3</v>
      </c>
      <c r="F332" s="149">
        <f t="shared" si="43"/>
        <v>360</v>
      </c>
      <c r="G332" s="149">
        <f t="shared" si="44"/>
        <v>403.20000000000005</v>
      </c>
      <c r="H332" s="860"/>
      <c r="I332" s="860"/>
      <c r="J332"/>
      <c r="K332"/>
      <c r="L332"/>
      <c r="M332"/>
    </row>
    <row r="333" spans="1:13" ht="20.25" customHeight="1">
      <c r="A333" s="155" t="s">
        <v>488</v>
      </c>
      <c r="B333" s="190" t="s">
        <v>330</v>
      </c>
      <c r="C333" s="149">
        <v>3</v>
      </c>
      <c r="D333" s="149" t="s">
        <v>331</v>
      </c>
      <c r="E333" s="149">
        <v>40</v>
      </c>
      <c r="F333" s="149">
        <f t="shared" si="43"/>
        <v>120</v>
      </c>
      <c r="G333" s="149">
        <f t="shared" si="44"/>
        <v>134.4</v>
      </c>
      <c r="H333" s="860"/>
      <c r="I333" s="860"/>
      <c r="J333"/>
      <c r="K333"/>
      <c r="L333"/>
      <c r="M333"/>
    </row>
    <row r="334" spans="1:13" ht="20.25" customHeight="1">
      <c r="A334" s="155" t="s">
        <v>488</v>
      </c>
      <c r="B334" s="190" t="s">
        <v>334</v>
      </c>
      <c r="C334" s="149">
        <v>30</v>
      </c>
      <c r="D334" s="149" t="s">
        <v>333</v>
      </c>
      <c r="E334" s="149">
        <v>320</v>
      </c>
      <c r="F334" s="149">
        <f t="shared" si="43"/>
        <v>9600</v>
      </c>
      <c r="G334" s="149">
        <f t="shared" si="44"/>
        <v>10752.000000000002</v>
      </c>
      <c r="H334" s="863"/>
      <c r="I334" s="863"/>
      <c r="J334"/>
      <c r="K334"/>
      <c r="L334"/>
      <c r="M334"/>
    </row>
    <row r="335" spans="1:13" ht="20.25" customHeight="1">
      <c r="A335" s="864" t="s">
        <v>101</v>
      </c>
      <c r="B335" s="865"/>
      <c r="C335" s="865"/>
      <c r="D335" s="865"/>
      <c r="E335" s="866"/>
      <c r="F335" s="638">
        <f>SUM(F325:F334)</f>
        <v>31840</v>
      </c>
      <c r="G335" s="638">
        <f>SUM(G325:G334)</f>
        <v>35660.80000000001</v>
      </c>
      <c r="H335" s="155"/>
      <c r="I335" s="155"/>
      <c r="J335"/>
      <c r="K335"/>
      <c r="L335"/>
      <c r="M335"/>
    </row>
    <row r="336" spans="1:13" ht="20.25" customHeight="1">
      <c r="A336" s="864"/>
      <c r="B336" s="865"/>
      <c r="C336" s="865"/>
      <c r="D336" s="865"/>
      <c r="E336" s="865"/>
      <c r="F336" s="865"/>
      <c r="G336" s="865"/>
      <c r="H336" s="865"/>
      <c r="I336" s="866"/>
      <c r="J336"/>
      <c r="K336"/>
      <c r="L336"/>
      <c r="M336"/>
    </row>
    <row r="337" spans="1:13" ht="20.25" customHeight="1">
      <c r="A337" s="146" t="s">
        <v>341</v>
      </c>
      <c r="B337" s="155" t="s">
        <v>342</v>
      </c>
      <c r="C337" s="637">
        <v>3</v>
      </c>
      <c r="D337" s="637" t="s">
        <v>343</v>
      </c>
      <c r="E337" s="637">
        <v>750</v>
      </c>
      <c r="F337" s="637">
        <f>+C337*E337</f>
        <v>2250</v>
      </c>
      <c r="G337" s="637">
        <f>+F337*1.12</f>
        <v>2520.0000000000005</v>
      </c>
      <c r="H337" s="155"/>
      <c r="I337" s="155"/>
      <c r="J337"/>
      <c r="K337"/>
      <c r="L337"/>
      <c r="M337"/>
    </row>
    <row r="338" spans="1:13" ht="20.25" customHeight="1">
      <c r="A338" s="864" t="s">
        <v>101</v>
      </c>
      <c r="B338" s="865"/>
      <c r="C338" s="865"/>
      <c r="D338" s="865"/>
      <c r="E338" s="866"/>
      <c r="F338" s="636">
        <f>SUM(F337)</f>
        <v>2250</v>
      </c>
      <c r="G338" s="636">
        <f>SUM(G337)</f>
        <v>2520.0000000000005</v>
      </c>
      <c r="H338" s="642"/>
      <c r="I338" s="642"/>
      <c r="J338"/>
      <c r="K338"/>
      <c r="L338"/>
      <c r="M338"/>
    </row>
    <row r="339" spans="1:13" ht="20.25" customHeight="1">
      <c r="A339" s="628"/>
      <c r="B339" s="628"/>
      <c r="C339" s="628"/>
      <c r="D339" s="628"/>
      <c r="E339" s="146" t="s">
        <v>35</v>
      </c>
      <c r="F339" s="636">
        <f>+F338+F335</f>
        <v>34090</v>
      </c>
      <c r="G339" s="636">
        <f>+G338+G335</f>
        <v>38180.80000000001</v>
      </c>
      <c r="H339" s="628"/>
      <c r="I339" s="628"/>
      <c r="J339"/>
      <c r="K339"/>
      <c r="L339"/>
      <c r="M339"/>
    </row>
    <row r="340" spans="1:13" ht="20.25" customHeight="1">
      <c r="A340" s="628"/>
      <c r="B340" s="628"/>
      <c r="C340" s="628"/>
      <c r="D340" s="628"/>
      <c r="E340" s="628"/>
      <c r="F340" s="628"/>
      <c r="G340" s="628"/>
      <c r="H340" s="628"/>
      <c r="I340" s="628"/>
      <c r="J340"/>
      <c r="K340"/>
      <c r="L340"/>
      <c r="M340"/>
    </row>
    <row r="341" spans="1:13" ht="20.25" customHeight="1">
      <c r="A341" s="867" t="s">
        <v>599</v>
      </c>
      <c r="B341" s="867"/>
      <c r="C341" s="867"/>
      <c r="D341" s="867"/>
      <c r="E341" s="867"/>
      <c r="F341" s="867"/>
      <c r="G341" s="867"/>
      <c r="H341" s="867"/>
      <c r="I341" s="867"/>
      <c r="J341"/>
      <c r="K341"/>
      <c r="L341"/>
      <c r="M341"/>
    </row>
    <row r="342" spans="1:13" ht="20.25" customHeight="1">
      <c r="A342" s="627"/>
      <c r="B342" s="627"/>
      <c r="C342" s="627"/>
      <c r="D342" s="627"/>
      <c r="E342" s="627"/>
      <c r="F342" s="627"/>
      <c r="G342" s="627"/>
      <c r="H342" s="627"/>
      <c r="I342" s="627"/>
      <c r="J342"/>
      <c r="K342"/>
      <c r="L342"/>
      <c r="M342"/>
    </row>
    <row r="343" spans="1:13" ht="20.25" customHeight="1">
      <c r="A343" s="139" t="s">
        <v>298</v>
      </c>
      <c r="B343" s="141" t="s">
        <v>296</v>
      </c>
      <c r="C343" s="141"/>
      <c r="D343" s="141"/>
      <c r="E343" s="141"/>
      <c r="F343" s="141"/>
      <c r="G343" s="141"/>
      <c r="H343" s="141"/>
      <c r="I343" s="141"/>
      <c r="J343"/>
      <c r="K343"/>
      <c r="L343"/>
      <c r="M343"/>
    </row>
    <row r="344" spans="1:13" ht="20.25" customHeight="1">
      <c r="A344" s="139" t="s">
        <v>299</v>
      </c>
      <c r="B344" s="868" t="s">
        <v>600</v>
      </c>
      <c r="C344" s="868"/>
      <c r="D344" s="868"/>
      <c r="E344" s="868"/>
      <c r="F344" s="868"/>
      <c r="G344" s="868"/>
      <c r="H344" s="868"/>
      <c r="I344" s="868"/>
      <c r="J344"/>
      <c r="K344"/>
      <c r="L344"/>
      <c r="M344"/>
    </row>
    <row r="345" spans="1:13" ht="20.25" customHeight="1">
      <c r="A345" s="139" t="s">
        <v>300</v>
      </c>
      <c r="B345" s="869" t="s">
        <v>601</v>
      </c>
      <c r="C345" s="869"/>
      <c r="D345" s="869"/>
      <c r="E345" s="869"/>
      <c r="F345" s="869"/>
      <c r="G345" s="861" t="s">
        <v>484</v>
      </c>
      <c r="H345" s="861"/>
      <c r="I345" s="861"/>
      <c r="J345"/>
      <c r="K345"/>
      <c r="L345"/>
      <c r="M345"/>
    </row>
    <row r="346" spans="1:13" ht="20.25" customHeight="1">
      <c r="A346" s="628"/>
      <c r="B346" s="628" t="s">
        <v>100</v>
      </c>
      <c r="C346" s="628"/>
      <c r="D346" s="628"/>
      <c r="E346" s="628"/>
      <c r="F346" s="628"/>
      <c r="G346" s="862" t="s">
        <v>311</v>
      </c>
      <c r="H346" s="862"/>
      <c r="I346" s="628"/>
      <c r="J346"/>
      <c r="K346"/>
      <c r="L346"/>
      <c r="M346"/>
    </row>
    <row r="347" spans="1:13" ht="20.25" customHeight="1">
      <c r="A347" s="629" t="s">
        <v>301</v>
      </c>
      <c r="B347" s="148" t="s">
        <v>302</v>
      </c>
      <c r="C347" s="148" t="s">
        <v>312</v>
      </c>
      <c r="D347" s="148" t="s">
        <v>303</v>
      </c>
      <c r="E347" s="644" t="e">
        <f>+#REF!+#REF!</f>
        <v>#REF!</v>
      </c>
      <c r="F347" s="148" t="s">
        <v>305</v>
      </c>
      <c r="G347" s="148" t="s">
        <v>306</v>
      </c>
      <c r="H347" s="148" t="s">
        <v>307</v>
      </c>
      <c r="I347" s="148" t="s">
        <v>308</v>
      </c>
      <c r="J347"/>
      <c r="K347"/>
      <c r="L347"/>
      <c r="M347"/>
    </row>
    <row r="348" spans="1:13" ht="20.25" customHeight="1">
      <c r="A348" s="155" t="s">
        <v>488</v>
      </c>
      <c r="B348" s="155" t="s">
        <v>313</v>
      </c>
      <c r="C348" s="149">
        <v>1250</v>
      </c>
      <c r="D348" s="149" t="s">
        <v>314</v>
      </c>
      <c r="E348" s="149">
        <v>8</v>
      </c>
      <c r="F348" s="149">
        <f>+C348*E348</f>
        <v>10000</v>
      </c>
      <c r="G348" s="149">
        <f>+F348*1.12</f>
        <v>11200.000000000002</v>
      </c>
      <c r="H348" s="859">
        <v>750102</v>
      </c>
      <c r="I348" s="859" t="s">
        <v>602</v>
      </c>
      <c r="J348"/>
      <c r="K348"/>
      <c r="L348"/>
      <c r="M348"/>
    </row>
    <row r="349" spans="1:13" ht="20.25" customHeight="1">
      <c r="A349" s="155" t="s">
        <v>488</v>
      </c>
      <c r="B349" s="190" t="s">
        <v>315</v>
      </c>
      <c r="C349" s="149">
        <v>170</v>
      </c>
      <c r="D349" s="149" t="s">
        <v>320</v>
      </c>
      <c r="E349" s="149">
        <v>100</v>
      </c>
      <c r="F349" s="149">
        <f t="shared" ref="F349:F357" si="45">+C349*E349</f>
        <v>17000</v>
      </c>
      <c r="G349" s="149">
        <f t="shared" ref="G349:G357" si="46">+F349*1.12</f>
        <v>19040</v>
      </c>
      <c r="H349" s="860"/>
      <c r="I349" s="860"/>
      <c r="J349"/>
      <c r="K349"/>
      <c r="L349"/>
      <c r="M349"/>
    </row>
    <row r="350" spans="1:13" ht="20.25" customHeight="1">
      <c r="A350" s="155" t="s">
        <v>488</v>
      </c>
      <c r="B350" s="190" t="s">
        <v>317</v>
      </c>
      <c r="C350" s="149">
        <v>150</v>
      </c>
      <c r="D350" s="149" t="s">
        <v>321</v>
      </c>
      <c r="E350" s="149">
        <v>30</v>
      </c>
      <c r="F350" s="149">
        <f t="shared" si="45"/>
        <v>4500</v>
      </c>
      <c r="G350" s="149">
        <f t="shared" si="46"/>
        <v>5040.0000000000009</v>
      </c>
      <c r="H350" s="860"/>
      <c r="I350" s="860"/>
      <c r="J350"/>
      <c r="K350"/>
      <c r="L350"/>
      <c r="M350"/>
    </row>
    <row r="351" spans="1:13" ht="20.25" customHeight="1">
      <c r="A351" s="155" t="s">
        <v>488</v>
      </c>
      <c r="B351" s="190" t="s">
        <v>318</v>
      </c>
      <c r="C351" s="149">
        <v>150</v>
      </c>
      <c r="D351" s="149" t="s">
        <v>321</v>
      </c>
      <c r="E351" s="149">
        <v>30</v>
      </c>
      <c r="F351" s="149">
        <f t="shared" si="45"/>
        <v>4500</v>
      </c>
      <c r="G351" s="149">
        <f t="shared" si="46"/>
        <v>5040.0000000000009</v>
      </c>
      <c r="H351" s="860"/>
      <c r="I351" s="860"/>
      <c r="J351"/>
      <c r="K351"/>
      <c r="L351"/>
      <c r="M351"/>
    </row>
    <row r="352" spans="1:13" ht="20.25" customHeight="1">
      <c r="A352" s="155" t="s">
        <v>488</v>
      </c>
      <c r="B352" s="190" t="s">
        <v>332</v>
      </c>
      <c r="C352" s="149">
        <v>80</v>
      </c>
      <c r="D352" s="149" t="s">
        <v>322</v>
      </c>
      <c r="E352" s="149">
        <v>20</v>
      </c>
      <c r="F352" s="149">
        <f t="shared" si="45"/>
        <v>1600</v>
      </c>
      <c r="G352" s="149">
        <f t="shared" si="46"/>
        <v>1792.0000000000002</v>
      </c>
      <c r="H352" s="860"/>
      <c r="I352" s="860"/>
      <c r="J352"/>
      <c r="K352"/>
      <c r="L352"/>
      <c r="M352"/>
    </row>
    <row r="353" spans="1:13" ht="20.25" customHeight="1">
      <c r="A353" s="155" t="s">
        <v>488</v>
      </c>
      <c r="B353" s="190" t="s">
        <v>323</v>
      </c>
      <c r="C353" s="149">
        <v>8</v>
      </c>
      <c r="D353" s="149" t="s">
        <v>324</v>
      </c>
      <c r="E353" s="149">
        <v>40</v>
      </c>
      <c r="F353" s="149">
        <f t="shared" si="45"/>
        <v>320</v>
      </c>
      <c r="G353" s="149">
        <f t="shared" si="46"/>
        <v>358.40000000000003</v>
      </c>
      <c r="H353" s="860"/>
      <c r="I353" s="860"/>
      <c r="J353"/>
      <c r="K353"/>
      <c r="L353"/>
      <c r="M353"/>
    </row>
    <row r="354" spans="1:13" ht="20.25" customHeight="1">
      <c r="A354" s="155" t="s">
        <v>488</v>
      </c>
      <c r="B354" s="190" t="s">
        <v>328</v>
      </c>
      <c r="C354" s="149">
        <v>120</v>
      </c>
      <c r="D354" s="149" t="s">
        <v>329</v>
      </c>
      <c r="E354" s="149">
        <v>3</v>
      </c>
      <c r="F354" s="149">
        <f t="shared" si="45"/>
        <v>360</v>
      </c>
      <c r="G354" s="149">
        <f t="shared" si="46"/>
        <v>403.20000000000005</v>
      </c>
      <c r="H354" s="860"/>
      <c r="I354" s="860"/>
      <c r="J354"/>
      <c r="K354"/>
      <c r="L354"/>
      <c r="M354"/>
    </row>
    <row r="355" spans="1:13" ht="20.25" customHeight="1">
      <c r="A355" s="155" t="s">
        <v>488</v>
      </c>
      <c r="B355" s="190" t="s">
        <v>327</v>
      </c>
      <c r="C355" s="149">
        <v>120</v>
      </c>
      <c r="D355" s="149" t="s">
        <v>329</v>
      </c>
      <c r="E355" s="149">
        <v>3</v>
      </c>
      <c r="F355" s="149">
        <f t="shared" si="45"/>
        <v>360</v>
      </c>
      <c r="G355" s="149">
        <f t="shared" si="46"/>
        <v>403.20000000000005</v>
      </c>
      <c r="H355" s="860"/>
      <c r="I355" s="860"/>
      <c r="J355"/>
      <c r="K355"/>
      <c r="L355"/>
      <c r="M355"/>
    </row>
    <row r="356" spans="1:13" ht="20.25" customHeight="1">
      <c r="A356" s="155" t="s">
        <v>488</v>
      </c>
      <c r="B356" s="190" t="s">
        <v>330</v>
      </c>
      <c r="C356" s="149">
        <v>3</v>
      </c>
      <c r="D356" s="149" t="s">
        <v>331</v>
      </c>
      <c r="E356" s="149">
        <v>40</v>
      </c>
      <c r="F356" s="149">
        <f t="shared" si="45"/>
        <v>120</v>
      </c>
      <c r="G356" s="149">
        <f t="shared" si="46"/>
        <v>134.4</v>
      </c>
      <c r="H356" s="860"/>
      <c r="I356" s="860"/>
      <c r="J356"/>
      <c r="K356"/>
      <c r="L356"/>
      <c r="M356"/>
    </row>
    <row r="357" spans="1:13" ht="20.25" customHeight="1">
      <c r="A357" s="155" t="s">
        <v>488</v>
      </c>
      <c r="B357" s="190" t="s">
        <v>335</v>
      </c>
      <c r="C357" s="149">
        <v>20</v>
      </c>
      <c r="D357" s="149" t="s">
        <v>333</v>
      </c>
      <c r="E357" s="149">
        <v>200</v>
      </c>
      <c r="F357" s="149">
        <f t="shared" si="45"/>
        <v>4000</v>
      </c>
      <c r="G357" s="149">
        <f t="shared" si="46"/>
        <v>4480</v>
      </c>
      <c r="H357" s="863"/>
      <c r="I357" s="860"/>
      <c r="J357"/>
      <c r="K357"/>
      <c r="L357"/>
      <c r="M357"/>
    </row>
    <row r="358" spans="1:13" ht="20.25" customHeight="1">
      <c r="A358" s="864" t="s">
        <v>101</v>
      </c>
      <c r="B358" s="865"/>
      <c r="C358" s="865"/>
      <c r="D358" s="865"/>
      <c r="E358" s="866"/>
      <c r="F358" s="638">
        <f>SUM(F348:F357)</f>
        <v>42760</v>
      </c>
      <c r="G358" s="638">
        <f>SUM(G348:G357)</f>
        <v>47891.199999999997</v>
      </c>
      <c r="H358" s="155"/>
      <c r="I358" s="863"/>
      <c r="J358"/>
      <c r="K358"/>
      <c r="L358"/>
      <c r="M358"/>
    </row>
    <row r="359" spans="1:13" ht="20.25" customHeight="1">
      <c r="A359" s="864"/>
      <c r="B359" s="865"/>
      <c r="C359" s="865"/>
      <c r="D359" s="865"/>
      <c r="E359" s="865"/>
      <c r="F359" s="865"/>
      <c r="G359" s="865"/>
      <c r="H359" s="865"/>
      <c r="I359" s="866"/>
      <c r="J359"/>
      <c r="K359"/>
      <c r="L359"/>
      <c r="M359"/>
    </row>
    <row r="360" spans="1:13" ht="20.25" customHeight="1">
      <c r="A360" s="146" t="s">
        <v>341</v>
      </c>
      <c r="B360" s="155" t="s">
        <v>342</v>
      </c>
      <c r="C360" s="637">
        <v>3</v>
      </c>
      <c r="D360" s="637" t="s">
        <v>343</v>
      </c>
      <c r="E360" s="637">
        <v>750</v>
      </c>
      <c r="F360" s="640">
        <f>+C360*E360</f>
        <v>2250</v>
      </c>
      <c r="G360" s="640">
        <f>+F360*1.12</f>
        <v>2520.0000000000005</v>
      </c>
      <c r="H360" s="155"/>
      <c r="I360" s="155"/>
      <c r="J360"/>
      <c r="K360"/>
      <c r="L360"/>
      <c r="M360"/>
    </row>
    <row r="361" spans="1:13" ht="20.25" customHeight="1">
      <c r="A361" s="864" t="s">
        <v>101</v>
      </c>
      <c r="B361" s="865"/>
      <c r="C361" s="865"/>
      <c r="D361" s="865"/>
      <c r="E361" s="866"/>
      <c r="F361" s="638">
        <f>SUM(F360)</f>
        <v>2250</v>
      </c>
      <c r="G361" s="638">
        <f>SUM(G360)</f>
        <v>2520.0000000000005</v>
      </c>
      <c r="H361" s="642"/>
      <c r="I361" s="642"/>
      <c r="J361"/>
      <c r="K361"/>
      <c r="L361"/>
      <c r="M361"/>
    </row>
    <row r="362" spans="1:13" ht="20.25" customHeight="1">
      <c r="A362" s="628"/>
      <c r="B362" s="628"/>
      <c r="C362" s="628"/>
      <c r="D362" s="628"/>
      <c r="E362" s="146" t="s">
        <v>35</v>
      </c>
      <c r="F362" s="638">
        <f>+F361+F358</f>
        <v>45010</v>
      </c>
      <c r="G362" s="638">
        <f>+G361+G358</f>
        <v>50411.199999999997</v>
      </c>
      <c r="H362" s="628"/>
      <c r="I362" s="628"/>
      <c r="J362"/>
      <c r="K362"/>
      <c r="L362"/>
      <c r="M362"/>
    </row>
    <row r="363" spans="1:13" ht="20.25" customHeight="1">
      <c r="A363" s="628"/>
      <c r="B363" s="628"/>
      <c r="C363" s="628"/>
      <c r="D363" s="628"/>
      <c r="E363" s="628"/>
      <c r="F363" s="628"/>
      <c r="G363" s="628"/>
      <c r="H363" s="628"/>
      <c r="I363" s="628"/>
      <c r="J363"/>
      <c r="K363"/>
      <c r="L363"/>
      <c r="M363"/>
    </row>
    <row r="364" spans="1:13" ht="20.25" customHeight="1">
      <c r="A364" s="867" t="s">
        <v>599</v>
      </c>
      <c r="B364" s="867"/>
      <c r="C364" s="867"/>
      <c r="D364" s="867"/>
      <c r="E364" s="867"/>
      <c r="F364" s="867"/>
      <c r="G364" s="867"/>
      <c r="H364" s="867"/>
      <c r="I364" s="867"/>
      <c r="J364"/>
      <c r="K364"/>
      <c r="L364"/>
      <c r="M364"/>
    </row>
    <row r="365" spans="1:13" ht="20.25" customHeight="1">
      <c r="A365" s="627"/>
      <c r="B365" s="627"/>
      <c r="C365" s="627"/>
      <c r="D365" s="627"/>
      <c r="E365" s="627"/>
      <c r="F365" s="627"/>
      <c r="G365" s="627"/>
      <c r="H365" s="627"/>
      <c r="I365" s="627"/>
      <c r="J365"/>
      <c r="K365"/>
      <c r="L365"/>
      <c r="M365"/>
    </row>
    <row r="366" spans="1:13" ht="33.75" customHeight="1">
      <c r="A366" s="139" t="s">
        <v>298</v>
      </c>
      <c r="B366" s="141" t="s">
        <v>297</v>
      </c>
      <c r="C366" s="141"/>
      <c r="D366" s="141"/>
      <c r="E366" s="141"/>
      <c r="F366" s="141"/>
      <c r="G366" s="141"/>
      <c r="H366" s="141"/>
      <c r="I366" s="141"/>
      <c r="J366"/>
      <c r="K366"/>
      <c r="L366"/>
      <c r="M366"/>
    </row>
    <row r="367" spans="1:13" ht="20.25" customHeight="1">
      <c r="A367" s="139" t="s">
        <v>299</v>
      </c>
      <c r="B367" s="868" t="s">
        <v>600</v>
      </c>
      <c r="C367" s="868"/>
      <c r="D367" s="868"/>
      <c r="E367" s="868"/>
      <c r="F367" s="868"/>
      <c r="G367" s="868"/>
      <c r="H367" s="868"/>
      <c r="I367" s="868"/>
      <c r="J367"/>
      <c r="K367"/>
      <c r="L367"/>
      <c r="M367"/>
    </row>
    <row r="368" spans="1:13" ht="20.25" customHeight="1">
      <c r="A368" s="139" t="s">
        <v>300</v>
      </c>
      <c r="B368" s="869" t="s">
        <v>601</v>
      </c>
      <c r="C368" s="869"/>
      <c r="D368" s="869"/>
      <c r="E368" s="869"/>
      <c r="F368" s="869"/>
      <c r="G368" s="861" t="s">
        <v>484</v>
      </c>
      <c r="H368" s="861"/>
      <c r="I368" s="861"/>
      <c r="J368"/>
      <c r="K368"/>
      <c r="L368"/>
      <c r="M368"/>
    </row>
    <row r="369" spans="1:13" ht="20.25" customHeight="1">
      <c r="A369" s="628"/>
      <c r="B369" s="628" t="s">
        <v>100</v>
      </c>
      <c r="C369" s="628"/>
      <c r="D369" s="628"/>
      <c r="E369" s="628"/>
      <c r="F369" s="628"/>
      <c r="G369" s="862" t="s">
        <v>311</v>
      </c>
      <c r="H369" s="862"/>
      <c r="I369" s="628"/>
      <c r="J369"/>
      <c r="K369"/>
      <c r="L369"/>
      <c r="M369"/>
    </row>
    <row r="370" spans="1:13" ht="20.25" customHeight="1">
      <c r="A370" s="629" t="s">
        <v>301</v>
      </c>
      <c r="B370" s="148" t="s">
        <v>302</v>
      </c>
      <c r="C370" s="148" t="s">
        <v>312</v>
      </c>
      <c r="D370" s="148" t="s">
        <v>303</v>
      </c>
      <c r="E370" s="148" t="s">
        <v>304</v>
      </c>
      <c r="F370" s="148" t="s">
        <v>305</v>
      </c>
      <c r="G370" s="148" t="s">
        <v>306</v>
      </c>
      <c r="H370" s="148" t="s">
        <v>307</v>
      </c>
      <c r="I370" s="148" t="s">
        <v>308</v>
      </c>
      <c r="J370"/>
      <c r="K370"/>
      <c r="L370"/>
      <c r="M370"/>
    </row>
    <row r="371" spans="1:13" ht="20.25" customHeight="1">
      <c r="A371" s="155" t="s">
        <v>488</v>
      </c>
      <c r="B371" s="155" t="s">
        <v>313</v>
      </c>
      <c r="C371" s="149">
        <v>150</v>
      </c>
      <c r="D371" s="149" t="s">
        <v>314</v>
      </c>
      <c r="E371" s="149">
        <v>8</v>
      </c>
      <c r="F371" s="149">
        <f>+C371*E371</f>
        <v>1200</v>
      </c>
      <c r="G371" s="149">
        <f>+F371*1.12</f>
        <v>1344.0000000000002</v>
      </c>
      <c r="H371" s="859">
        <v>750102</v>
      </c>
      <c r="I371" s="859" t="s">
        <v>603</v>
      </c>
      <c r="J371"/>
      <c r="K371"/>
      <c r="L371"/>
      <c r="M371"/>
    </row>
    <row r="372" spans="1:13" ht="20.25" customHeight="1">
      <c r="A372" s="155" t="s">
        <v>488</v>
      </c>
      <c r="B372" s="190" t="s">
        <v>315</v>
      </c>
      <c r="C372" s="149">
        <v>40</v>
      </c>
      <c r="D372" s="149" t="s">
        <v>320</v>
      </c>
      <c r="E372" s="149">
        <v>100</v>
      </c>
      <c r="F372" s="149">
        <f t="shared" ref="F372:F385" si="47">+C372*E372</f>
        <v>4000</v>
      </c>
      <c r="G372" s="149">
        <f t="shared" ref="G372:G385" si="48">+F372*1.12</f>
        <v>4480</v>
      </c>
      <c r="H372" s="860"/>
      <c r="I372" s="860"/>
      <c r="J372"/>
      <c r="K372"/>
      <c r="L372"/>
      <c r="M372"/>
    </row>
    <row r="373" spans="1:13" ht="20.25" customHeight="1">
      <c r="A373" s="155" t="s">
        <v>488</v>
      </c>
      <c r="B373" s="190" t="s">
        <v>317</v>
      </c>
      <c r="C373" s="149">
        <v>17</v>
      </c>
      <c r="D373" s="149" t="s">
        <v>321</v>
      </c>
      <c r="E373" s="149">
        <v>30</v>
      </c>
      <c r="F373" s="149">
        <f t="shared" si="47"/>
        <v>510</v>
      </c>
      <c r="G373" s="149">
        <f t="shared" si="48"/>
        <v>571.20000000000005</v>
      </c>
      <c r="H373" s="860"/>
      <c r="I373" s="860"/>
      <c r="J373"/>
      <c r="K373"/>
      <c r="L373"/>
      <c r="M373"/>
    </row>
    <row r="374" spans="1:13" ht="20.25" customHeight="1">
      <c r="A374" s="155" t="s">
        <v>488</v>
      </c>
      <c r="B374" s="190" t="s">
        <v>318</v>
      </c>
      <c r="C374" s="149">
        <v>17</v>
      </c>
      <c r="D374" s="149" t="s">
        <v>321</v>
      </c>
      <c r="E374" s="149">
        <v>30</v>
      </c>
      <c r="F374" s="149">
        <f t="shared" si="47"/>
        <v>510</v>
      </c>
      <c r="G374" s="149">
        <f t="shared" si="48"/>
        <v>571.20000000000005</v>
      </c>
      <c r="H374" s="860"/>
      <c r="I374" s="860"/>
      <c r="J374"/>
      <c r="K374"/>
      <c r="L374"/>
      <c r="M374"/>
    </row>
    <row r="375" spans="1:13" ht="20.25" customHeight="1">
      <c r="A375" s="155" t="s">
        <v>488</v>
      </c>
      <c r="B375" s="190" t="s">
        <v>332</v>
      </c>
      <c r="C375" s="149">
        <v>9</v>
      </c>
      <c r="D375" s="149" t="s">
        <v>322</v>
      </c>
      <c r="E375" s="149">
        <v>20</v>
      </c>
      <c r="F375" s="149">
        <f t="shared" si="47"/>
        <v>180</v>
      </c>
      <c r="G375" s="149">
        <f t="shared" si="48"/>
        <v>201.60000000000002</v>
      </c>
      <c r="H375" s="860"/>
      <c r="I375" s="860"/>
      <c r="J375"/>
      <c r="K375"/>
      <c r="L375"/>
      <c r="M375"/>
    </row>
    <row r="376" spans="1:13" ht="20.25" customHeight="1">
      <c r="A376" s="155" t="s">
        <v>488</v>
      </c>
      <c r="B376" s="190" t="s">
        <v>323</v>
      </c>
      <c r="C376" s="149">
        <v>3</v>
      </c>
      <c r="D376" s="149" t="s">
        <v>324</v>
      </c>
      <c r="E376" s="149">
        <v>40</v>
      </c>
      <c r="F376" s="149">
        <f t="shared" si="47"/>
        <v>120</v>
      </c>
      <c r="G376" s="149">
        <f t="shared" si="48"/>
        <v>134.4</v>
      </c>
      <c r="H376" s="860"/>
      <c r="I376" s="860"/>
      <c r="J376"/>
      <c r="K376"/>
      <c r="L376"/>
      <c r="M376"/>
    </row>
    <row r="377" spans="1:13" ht="20.25" customHeight="1">
      <c r="A377" s="155" t="s">
        <v>488</v>
      </c>
      <c r="B377" s="190" t="s">
        <v>328</v>
      </c>
      <c r="C377" s="149">
        <v>95</v>
      </c>
      <c r="D377" s="149" t="s">
        <v>329</v>
      </c>
      <c r="E377" s="149">
        <v>3</v>
      </c>
      <c r="F377" s="149">
        <f t="shared" si="47"/>
        <v>285</v>
      </c>
      <c r="G377" s="149">
        <f t="shared" si="48"/>
        <v>319.20000000000005</v>
      </c>
      <c r="H377" s="860"/>
      <c r="I377" s="860"/>
      <c r="J377"/>
      <c r="K377"/>
      <c r="L377"/>
      <c r="M377"/>
    </row>
    <row r="378" spans="1:13" ht="20.25" customHeight="1">
      <c r="A378" s="155" t="s">
        <v>488</v>
      </c>
      <c r="B378" s="190" t="s">
        <v>327</v>
      </c>
      <c r="C378" s="149">
        <v>95</v>
      </c>
      <c r="D378" s="149" t="s">
        <v>329</v>
      </c>
      <c r="E378" s="149">
        <v>3</v>
      </c>
      <c r="F378" s="149">
        <f t="shared" si="47"/>
        <v>285</v>
      </c>
      <c r="G378" s="149">
        <f t="shared" si="48"/>
        <v>319.20000000000005</v>
      </c>
      <c r="H378" s="860"/>
      <c r="I378" s="860"/>
      <c r="J378"/>
      <c r="K378"/>
      <c r="L378"/>
      <c r="M378"/>
    </row>
    <row r="379" spans="1:13" ht="20.25" customHeight="1">
      <c r="A379" s="155" t="s">
        <v>488</v>
      </c>
      <c r="B379" s="190" t="s">
        <v>330</v>
      </c>
      <c r="C379" s="149">
        <v>2</v>
      </c>
      <c r="D379" s="149" t="s">
        <v>331</v>
      </c>
      <c r="E379" s="149">
        <v>40</v>
      </c>
      <c r="F379" s="149">
        <f t="shared" si="47"/>
        <v>80</v>
      </c>
      <c r="G379" s="149">
        <f t="shared" si="48"/>
        <v>89.600000000000009</v>
      </c>
      <c r="H379" s="860"/>
      <c r="I379" s="860"/>
      <c r="J379"/>
      <c r="K379"/>
      <c r="L379"/>
      <c r="M379"/>
    </row>
    <row r="380" spans="1:13" ht="20.25" customHeight="1">
      <c r="A380" s="155" t="s">
        <v>488</v>
      </c>
      <c r="B380" s="190" t="s">
        <v>336</v>
      </c>
      <c r="C380" s="149">
        <v>490</v>
      </c>
      <c r="D380" s="149" t="s">
        <v>333</v>
      </c>
      <c r="E380" s="149">
        <v>20</v>
      </c>
      <c r="F380" s="149">
        <f t="shared" si="47"/>
        <v>9800</v>
      </c>
      <c r="G380" s="149">
        <f t="shared" si="48"/>
        <v>10976.000000000002</v>
      </c>
      <c r="H380" s="860"/>
      <c r="I380" s="860"/>
      <c r="J380"/>
      <c r="K380"/>
      <c r="L380"/>
      <c r="M380"/>
    </row>
    <row r="381" spans="1:13" ht="20.25" customHeight="1">
      <c r="A381" s="155" t="s">
        <v>488</v>
      </c>
      <c r="B381" s="190" t="s">
        <v>337</v>
      </c>
      <c r="C381" s="149">
        <v>500</v>
      </c>
      <c r="D381" s="149" t="s">
        <v>333</v>
      </c>
      <c r="E381" s="149">
        <v>15</v>
      </c>
      <c r="F381" s="149">
        <f t="shared" si="47"/>
        <v>7500</v>
      </c>
      <c r="G381" s="149">
        <f t="shared" si="48"/>
        <v>8400</v>
      </c>
      <c r="H381" s="860"/>
      <c r="I381" s="860"/>
      <c r="J381"/>
      <c r="K381"/>
      <c r="L381"/>
      <c r="M381"/>
    </row>
    <row r="382" spans="1:13" ht="20.25" customHeight="1">
      <c r="A382" s="155" t="s">
        <v>488</v>
      </c>
      <c r="B382" s="190" t="s">
        <v>338</v>
      </c>
      <c r="C382" s="149">
        <v>500</v>
      </c>
      <c r="D382" s="149" t="s">
        <v>333</v>
      </c>
      <c r="E382" s="149">
        <v>12</v>
      </c>
      <c r="F382" s="149">
        <f t="shared" si="47"/>
        <v>6000</v>
      </c>
      <c r="G382" s="149">
        <f t="shared" si="48"/>
        <v>6720.0000000000009</v>
      </c>
      <c r="H382" s="860"/>
      <c r="I382" s="860"/>
      <c r="J382"/>
      <c r="K382"/>
      <c r="L382"/>
      <c r="M382"/>
    </row>
    <row r="383" spans="1:13" ht="20.25" customHeight="1">
      <c r="A383" s="155" t="s">
        <v>488</v>
      </c>
      <c r="B383" s="190" t="s">
        <v>340</v>
      </c>
      <c r="C383" s="149">
        <v>500</v>
      </c>
      <c r="D383" s="149" t="s">
        <v>333</v>
      </c>
      <c r="E383" s="149">
        <v>8</v>
      </c>
      <c r="F383" s="149">
        <f t="shared" si="47"/>
        <v>4000</v>
      </c>
      <c r="G383" s="149">
        <f t="shared" si="48"/>
        <v>4480</v>
      </c>
      <c r="H383" s="860"/>
      <c r="I383" s="860"/>
      <c r="J383"/>
      <c r="K383"/>
      <c r="L383"/>
      <c r="M383"/>
    </row>
    <row r="384" spans="1:13" ht="20.25" customHeight="1">
      <c r="A384" s="155" t="s">
        <v>488</v>
      </c>
      <c r="B384" s="190" t="s">
        <v>339</v>
      </c>
      <c r="C384" s="149">
        <v>25</v>
      </c>
      <c r="D384" s="149" t="s">
        <v>324</v>
      </c>
      <c r="E384" s="149">
        <v>120</v>
      </c>
      <c r="F384" s="149">
        <f t="shared" si="47"/>
        <v>3000</v>
      </c>
      <c r="G384" s="149">
        <f t="shared" si="48"/>
        <v>3360.0000000000005</v>
      </c>
      <c r="H384" s="860"/>
      <c r="I384" s="860"/>
      <c r="J384"/>
      <c r="K384"/>
      <c r="L384"/>
      <c r="M384"/>
    </row>
    <row r="385" spans="1:13" ht="20.25" customHeight="1">
      <c r="A385" s="155" t="s">
        <v>488</v>
      </c>
      <c r="B385" s="190" t="s">
        <v>326</v>
      </c>
      <c r="C385" s="149">
        <v>20</v>
      </c>
      <c r="D385" s="149" t="s">
        <v>322</v>
      </c>
      <c r="E385" s="149">
        <v>6</v>
      </c>
      <c r="F385" s="149">
        <f t="shared" si="47"/>
        <v>120</v>
      </c>
      <c r="G385" s="149">
        <f t="shared" si="48"/>
        <v>134.4</v>
      </c>
      <c r="H385" s="863"/>
      <c r="I385" s="863"/>
      <c r="J385"/>
      <c r="K385"/>
      <c r="L385"/>
      <c r="M385"/>
    </row>
    <row r="386" spans="1:13" ht="20.25" customHeight="1">
      <c r="A386" s="864" t="s">
        <v>101</v>
      </c>
      <c r="B386" s="865"/>
      <c r="C386" s="865"/>
      <c r="D386" s="865"/>
      <c r="E386" s="866"/>
      <c r="F386" s="645">
        <f>SUM(F371:F385)</f>
        <v>37590</v>
      </c>
      <c r="G386" s="645">
        <f>SUM(G371:G385)</f>
        <v>42100.800000000003</v>
      </c>
      <c r="H386" s="155"/>
      <c r="I386" s="155"/>
      <c r="J386"/>
      <c r="K386"/>
      <c r="L386"/>
      <c r="M386"/>
    </row>
    <row r="387" spans="1:13" ht="20.25" customHeight="1">
      <c r="A387" s="864"/>
      <c r="B387" s="865"/>
      <c r="C387" s="865"/>
      <c r="D387" s="865"/>
      <c r="E387" s="865"/>
      <c r="F387" s="865"/>
      <c r="G387" s="865"/>
      <c r="H387" s="865"/>
      <c r="I387" s="866"/>
      <c r="J387"/>
      <c r="K387"/>
      <c r="L387"/>
      <c r="M387"/>
    </row>
    <row r="388" spans="1:13" ht="20.25" customHeight="1">
      <c r="A388" s="146" t="s">
        <v>341</v>
      </c>
      <c r="B388" s="155" t="s">
        <v>342</v>
      </c>
      <c r="C388" s="637">
        <v>3</v>
      </c>
      <c r="D388" s="637" t="s">
        <v>343</v>
      </c>
      <c r="E388" s="637">
        <v>750</v>
      </c>
      <c r="F388" s="640">
        <f>+C388*E388</f>
        <v>2250</v>
      </c>
      <c r="G388" s="640">
        <f>+F388*1.12</f>
        <v>2520.0000000000005</v>
      </c>
      <c r="H388" s="155"/>
      <c r="I388" s="155"/>
      <c r="J388"/>
      <c r="K388"/>
      <c r="L388"/>
      <c r="M388"/>
    </row>
    <row r="389" spans="1:13" ht="20.25" customHeight="1">
      <c r="A389" s="864" t="s">
        <v>101</v>
      </c>
      <c r="B389" s="865"/>
      <c r="C389" s="865"/>
      <c r="D389" s="865"/>
      <c r="E389" s="866"/>
      <c r="F389" s="638">
        <f>SUM(F388)</f>
        <v>2250</v>
      </c>
      <c r="G389" s="638">
        <f>SUM(G388)</f>
        <v>2520.0000000000005</v>
      </c>
      <c r="H389" s="642"/>
      <c r="I389" s="642"/>
      <c r="J389"/>
      <c r="K389"/>
      <c r="L389"/>
      <c r="M389"/>
    </row>
    <row r="390" spans="1:13" ht="20.25" customHeight="1">
      <c r="A390" s="628"/>
      <c r="B390" s="628"/>
      <c r="C390" s="628"/>
      <c r="D390" s="628"/>
      <c r="E390" s="146" t="s">
        <v>35</v>
      </c>
      <c r="F390" s="638">
        <f>+F389+F386</f>
        <v>39840</v>
      </c>
      <c r="G390" s="638">
        <f>+G389+G386</f>
        <v>44620.800000000003</v>
      </c>
      <c r="H390" s="628"/>
      <c r="I390" s="628"/>
      <c r="J390"/>
      <c r="K390"/>
      <c r="L390"/>
      <c r="M390"/>
    </row>
    <row r="391" spans="1:13" ht="20.25" customHeight="1">
      <c r="A391" s="628"/>
      <c r="B391" s="628"/>
      <c r="C391" s="628"/>
      <c r="D391" s="628"/>
      <c r="E391" s="628"/>
      <c r="F391" s="628"/>
      <c r="G391" s="628"/>
      <c r="H391" s="628"/>
      <c r="I391" s="628"/>
      <c r="J391"/>
      <c r="K391"/>
      <c r="L391"/>
      <c r="M391"/>
    </row>
    <row r="392" spans="1:13" ht="20.25" customHeight="1">
      <c r="A392" s="628"/>
      <c r="B392" s="628"/>
      <c r="C392" s="628"/>
      <c r="D392" s="628"/>
      <c r="E392" s="628"/>
      <c r="F392" s="628"/>
      <c r="G392" s="628"/>
      <c r="H392" s="628"/>
      <c r="I392" s="628"/>
      <c r="J392"/>
      <c r="K392"/>
      <c r="L392"/>
      <c r="M392"/>
    </row>
    <row r="393" spans="1:13" ht="20.25" customHeight="1">
      <c r="A393" s="628"/>
      <c r="B393" s="628"/>
      <c r="C393" s="628"/>
      <c r="D393" s="628"/>
      <c r="E393" s="628"/>
      <c r="F393" s="646" t="s">
        <v>344</v>
      </c>
      <c r="G393" s="647"/>
      <c r="H393" s="648">
        <f>+F240+F264+F287+F310+F335+F358+F386</f>
        <v>258640</v>
      </c>
      <c r="I393" s="628"/>
      <c r="J393"/>
      <c r="K393"/>
      <c r="L393"/>
      <c r="M393"/>
    </row>
    <row r="394" spans="1:13" ht="20.25" customHeight="1">
      <c r="A394" s="628"/>
      <c r="B394" s="628"/>
      <c r="C394" s="628"/>
      <c r="D394" s="628"/>
      <c r="E394" s="628"/>
      <c r="F394" s="870" t="s">
        <v>345</v>
      </c>
      <c r="G394" s="870"/>
      <c r="H394" s="648">
        <f>+F243+F267+F290+F313+F338+F361+F389</f>
        <v>15750</v>
      </c>
      <c r="I394" s="628"/>
      <c r="J394"/>
      <c r="K394"/>
      <c r="L394"/>
      <c r="M394"/>
    </row>
    <row r="395" spans="1:13" ht="20.25" customHeight="1">
      <c r="A395" s="628"/>
      <c r="B395" s="628"/>
      <c r="C395" s="628"/>
      <c r="D395" s="628"/>
      <c r="E395" s="628"/>
      <c r="F395" s="628"/>
      <c r="G395" s="628"/>
      <c r="H395" s="628"/>
      <c r="I395" s="628"/>
      <c r="J395"/>
      <c r="K395"/>
      <c r="L395"/>
      <c r="M395"/>
    </row>
    <row r="396" spans="1:13" ht="20.25" customHeight="1">
      <c r="A396" s="59"/>
      <c r="B396" s="59"/>
      <c r="C396" s="59"/>
      <c r="D396" s="59"/>
      <c r="E396" s="59"/>
      <c r="F396" s="59"/>
      <c r="G396" s="59"/>
      <c r="H396" s="59"/>
      <c r="I396" s="59"/>
      <c r="J396"/>
      <c r="K396"/>
      <c r="L396"/>
      <c r="M396"/>
    </row>
    <row r="397" spans="1:13" ht="20.25" customHeight="1">
      <c r="A397" s="875" t="s">
        <v>955</v>
      </c>
      <c r="B397" s="876"/>
      <c r="C397" s="876"/>
      <c r="D397" s="876"/>
      <c r="E397" s="876"/>
      <c r="F397" s="876"/>
      <c r="G397" s="876"/>
      <c r="H397" s="876"/>
      <c r="I397" s="877"/>
      <c r="J397"/>
      <c r="K397"/>
      <c r="L397"/>
      <c r="M397"/>
    </row>
    <row r="398" spans="1:13" ht="20.25" customHeight="1">
      <c r="A398" s="59"/>
      <c r="B398" s="59"/>
      <c r="C398" s="59"/>
      <c r="D398" s="59"/>
      <c r="E398" s="59"/>
      <c r="F398" s="59"/>
      <c r="G398" s="59"/>
      <c r="H398" s="59"/>
      <c r="I398" s="59"/>
      <c r="J398"/>
      <c r="K398"/>
      <c r="L398"/>
      <c r="M398"/>
    </row>
    <row r="399" spans="1:13" ht="61.5" customHeight="1">
      <c r="A399" s="163" t="s">
        <v>298</v>
      </c>
      <c r="B399" s="164" t="s">
        <v>693</v>
      </c>
      <c r="C399" s="165"/>
      <c r="D399" s="165"/>
      <c r="E399" s="165"/>
      <c r="F399" s="165"/>
      <c r="G399" s="165"/>
      <c r="H399" s="165"/>
      <c r="I399" s="166"/>
      <c r="J399"/>
      <c r="K399"/>
      <c r="L399"/>
      <c r="M399"/>
    </row>
    <row r="400" spans="1:13" ht="20.25" customHeight="1">
      <c r="A400" s="163" t="s">
        <v>692</v>
      </c>
      <c r="B400" s="138" t="s">
        <v>730</v>
      </c>
      <c r="J400"/>
      <c r="K400"/>
      <c r="L400"/>
      <c r="M400"/>
    </row>
    <row r="401" spans="1:13" ht="20.25" customHeight="1">
      <c r="A401" s="878" t="s">
        <v>694</v>
      </c>
      <c r="B401" s="879"/>
      <c r="C401" s="879"/>
      <c r="D401" s="879"/>
      <c r="E401" s="879"/>
      <c r="F401" s="879"/>
      <c r="G401" s="880"/>
      <c r="H401" s="881" t="s">
        <v>695</v>
      </c>
      <c r="I401" s="882"/>
      <c r="J401"/>
      <c r="K401"/>
      <c r="L401"/>
      <c r="M401"/>
    </row>
    <row r="402" spans="1:13" ht="20.25" customHeight="1">
      <c r="A402" s="167" t="s">
        <v>696</v>
      </c>
      <c r="B402" s="167" t="s">
        <v>302</v>
      </c>
      <c r="C402" s="167" t="s">
        <v>312</v>
      </c>
      <c r="D402" s="167" t="s">
        <v>303</v>
      </c>
      <c r="E402" s="168" t="s">
        <v>304</v>
      </c>
      <c r="F402" s="168" t="s">
        <v>697</v>
      </c>
      <c r="G402" s="168" t="s">
        <v>306</v>
      </c>
      <c r="H402" s="168" t="s">
        <v>307</v>
      </c>
      <c r="I402" s="168" t="s">
        <v>698</v>
      </c>
      <c r="J402"/>
      <c r="K402"/>
      <c r="L402"/>
      <c r="M402"/>
    </row>
    <row r="403" spans="1:13" ht="20.25" customHeight="1">
      <c r="A403" s="886" t="s">
        <v>699</v>
      </c>
      <c r="B403" s="887"/>
      <c r="C403" s="167"/>
      <c r="D403" s="167"/>
      <c r="E403" s="168"/>
      <c r="F403" s="168"/>
      <c r="G403" s="168"/>
      <c r="H403" s="168"/>
      <c r="I403" s="168"/>
      <c r="J403"/>
      <c r="K403"/>
      <c r="L403"/>
      <c r="M403"/>
    </row>
    <row r="404" spans="1:13" ht="20.25" customHeight="1">
      <c r="A404" s="888" t="s">
        <v>373</v>
      </c>
      <c r="B404" s="169" t="s">
        <v>700</v>
      </c>
      <c r="C404" s="170">
        <v>800</v>
      </c>
      <c r="D404" s="170" t="s">
        <v>850</v>
      </c>
      <c r="E404" s="171">
        <v>4.83</v>
      </c>
      <c r="F404" s="171">
        <f>+E404*C404</f>
        <v>3864</v>
      </c>
      <c r="G404" s="171">
        <f>+F404*1.12</f>
        <v>4327.68</v>
      </c>
      <c r="H404" s="172">
        <v>750102</v>
      </c>
      <c r="I404" s="891" t="s">
        <v>701</v>
      </c>
      <c r="J404"/>
      <c r="K404"/>
      <c r="L404"/>
      <c r="M404"/>
    </row>
    <row r="405" spans="1:13" ht="20.25" customHeight="1">
      <c r="A405" s="889"/>
      <c r="B405" s="169" t="s">
        <v>702</v>
      </c>
      <c r="C405" s="170">
        <v>14</v>
      </c>
      <c r="D405" s="170" t="s">
        <v>850</v>
      </c>
      <c r="E405" s="171">
        <v>5.34</v>
      </c>
      <c r="F405" s="171">
        <f>+E405*C405</f>
        <v>74.759999999999991</v>
      </c>
      <c r="G405" s="171">
        <f>+F405*1.12</f>
        <v>83.731200000000001</v>
      </c>
      <c r="H405" s="172">
        <v>750102</v>
      </c>
      <c r="I405" s="892"/>
      <c r="J405"/>
      <c r="K405"/>
      <c r="L405"/>
      <c r="M405"/>
    </row>
    <row r="406" spans="1:13" ht="20.25" customHeight="1">
      <c r="A406" s="890"/>
      <c r="B406" s="169" t="s">
        <v>703</v>
      </c>
      <c r="C406" s="170">
        <v>100</v>
      </c>
      <c r="D406" s="170" t="s">
        <v>851</v>
      </c>
      <c r="E406" s="171">
        <v>67</v>
      </c>
      <c r="F406" s="171">
        <f>+E406*C406</f>
        <v>6700</v>
      </c>
      <c r="G406" s="171">
        <f>+F406*1.12</f>
        <v>7504.0000000000009</v>
      </c>
      <c r="H406" s="172">
        <v>750102</v>
      </c>
      <c r="I406" s="893"/>
      <c r="J406"/>
      <c r="K406"/>
      <c r="L406"/>
      <c r="M406"/>
    </row>
    <row r="407" spans="1:13" ht="20.25" customHeight="1">
      <c r="A407" s="173"/>
      <c r="B407" s="884" t="s">
        <v>704</v>
      </c>
      <c r="C407" s="884"/>
      <c r="D407" s="884"/>
      <c r="E407" s="885"/>
      <c r="F407" s="174">
        <f>SUM(F404:F406)</f>
        <v>10638.76</v>
      </c>
      <c r="G407" s="174">
        <f>SUM(G404:G406)</f>
        <v>11915.411200000002</v>
      </c>
      <c r="H407" s="172"/>
      <c r="I407" s="613"/>
      <c r="J407"/>
      <c r="K407"/>
      <c r="L407"/>
      <c r="M407"/>
    </row>
    <row r="408" spans="1:13" ht="20.25" customHeight="1">
      <c r="A408" s="886" t="s">
        <v>705</v>
      </c>
      <c r="B408" s="887"/>
      <c r="C408" s="167"/>
      <c r="D408" s="167"/>
      <c r="E408" s="168"/>
      <c r="F408" s="168"/>
      <c r="G408" s="168"/>
      <c r="H408" s="168"/>
      <c r="I408" s="168"/>
      <c r="J408"/>
      <c r="K408"/>
      <c r="L408"/>
      <c r="M408"/>
    </row>
    <row r="409" spans="1:13" ht="20.25" customHeight="1">
      <c r="A409" s="888" t="s">
        <v>373</v>
      </c>
      <c r="B409" s="169" t="s">
        <v>700</v>
      </c>
      <c r="C409" s="170">
        <v>2500</v>
      </c>
      <c r="D409" s="170" t="s">
        <v>850</v>
      </c>
      <c r="E409" s="171">
        <v>4.83</v>
      </c>
      <c r="F409" s="171">
        <f>+E409*C409</f>
        <v>12075</v>
      </c>
      <c r="G409" s="171">
        <f>+F409*1.12</f>
        <v>13524.000000000002</v>
      </c>
      <c r="H409" s="172">
        <v>750102</v>
      </c>
      <c r="I409" s="891" t="s">
        <v>701</v>
      </c>
      <c r="J409"/>
      <c r="K409"/>
      <c r="L409"/>
      <c r="M409"/>
    </row>
    <row r="410" spans="1:13" ht="20.25" customHeight="1">
      <c r="A410" s="889"/>
      <c r="B410" s="169" t="s">
        <v>702</v>
      </c>
      <c r="C410" s="170">
        <v>20</v>
      </c>
      <c r="D410" s="170" t="s">
        <v>850</v>
      </c>
      <c r="E410" s="171">
        <v>5.34</v>
      </c>
      <c r="F410" s="171">
        <f>+E410*C410</f>
        <v>106.8</v>
      </c>
      <c r="G410" s="171">
        <f>+F410*1.12</f>
        <v>119.61600000000001</v>
      </c>
      <c r="H410" s="172">
        <v>750102</v>
      </c>
      <c r="I410" s="892"/>
      <c r="J410"/>
      <c r="K410"/>
      <c r="L410"/>
      <c r="M410"/>
    </row>
    <row r="411" spans="1:13" ht="20.25" customHeight="1">
      <c r="A411" s="890"/>
      <c r="B411" s="169" t="s">
        <v>703</v>
      </c>
      <c r="C411" s="170">
        <v>100</v>
      </c>
      <c r="D411" s="170" t="s">
        <v>851</v>
      </c>
      <c r="E411" s="171">
        <v>67</v>
      </c>
      <c r="F411" s="171">
        <f>+E411*C411</f>
        <v>6700</v>
      </c>
      <c r="G411" s="171">
        <f>+F411*1.12</f>
        <v>7504.0000000000009</v>
      </c>
      <c r="H411" s="172">
        <v>750102</v>
      </c>
      <c r="I411" s="893"/>
      <c r="J411"/>
      <c r="K411"/>
      <c r="L411"/>
      <c r="M411"/>
    </row>
    <row r="412" spans="1:13" ht="20.25" customHeight="1">
      <c r="A412" s="173"/>
      <c r="B412" s="884" t="s">
        <v>704</v>
      </c>
      <c r="C412" s="884"/>
      <c r="D412" s="884"/>
      <c r="E412" s="885"/>
      <c r="F412" s="174">
        <f>SUM(F409:F411)</f>
        <v>18881.8</v>
      </c>
      <c r="G412" s="174">
        <f>SUM(G409:G411)</f>
        <v>21147.616000000002</v>
      </c>
      <c r="H412" s="172"/>
      <c r="I412" s="613"/>
      <c r="J412"/>
      <c r="K412"/>
      <c r="L412"/>
      <c r="M412"/>
    </row>
    <row r="413" spans="1:13" ht="20.25" customHeight="1">
      <c r="A413" s="886" t="s">
        <v>706</v>
      </c>
      <c r="B413" s="887"/>
      <c r="C413" s="167"/>
      <c r="D413" s="167"/>
      <c r="E413" s="168"/>
      <c r="F413" s="168"/>
      <c r="G413" s="168"/>
      <c r="H413" s="168"/>
      <c r="I413" s="168"/>
      <c r="J413"/>
      <c r="K413"/>
      <c r="L413"/>
      <c r="M413"/>
    </row>
    <row r="414" spans="1:13" ht="20.25" customHeight="1">
      <c r="A414" s="888" t="s">
        <v>373</v>
      </c>
      <c r="B414" s="169" t="s">
        <v>700</v>
      </c>
      <c r="C414" s="170">
        <v>950</v>
      </c>
      <c r="D414" s="170" t="s">
        <v>850</v>
      </c>
      <c r="E414" s="171">
        <v>4.83</v>
      </c>
      <c r="F414" s="171">
        <f>+E414*C414</f>
        <v>4588.5</v>
      </c>
      <c r="G414" s="171">
        <f>+F414*1.12</f>
        <v>5139.1200000000008</v>
      </c>
      <c r="H414" s="172">
        <v>750102</v>
      </c>
      <c r="I414" s="891" t="s">
        <v>701</v>
      </c>
      <c r="J414"/>
      <c r="K414"/>
      <c r="L414"/>
      <c r="M414"/>
    </row>
    <row r="415" spans="1:13" ht="20.25" customHeight="1">
      <c r="A415" s="889"/>
      <c r="B415" s="169" t="s">
        <v>702</v>
      </c>
      <c r="C415" s="170">
        <v>14</v>
      </c>
      <c r="D415" s="170" t="s">
        <v>850</v>
      </c>
      <c r="E415" s="171">
        <v>5.34</v>
      </c>
      <c r="F415" s="171">
        <f>+E415*C415</f>
        <v>74.759999999999991</v>
      </c>
      <c r="G415" s="171">
        <f>+F415*1.12</f>
        <v>83.731200000000001</v>
      </c>
      <c r="H415" s="172">
        <v>750102</v>
      </c>
      <c r="I415" s="892"/>
      <c r="J415"/>
      <c r="K415"/>
      <c r="L415"/>
      <c r="M415"/>
    </row>
    <row r="416" spans="1:13" ht="20.25" customHeight="1">
      <c r="A416" s="890"/>
      <c r="B416" s="169" t="s">
        <v>703</v>
      </c>
      <c r="C416" s="170">
        <v>100</v>
      </c>
      <c r="D416" s="170" t="s">
        <v>851</v>
      </c>
      <c r="E416" s="171">
        <v>67</v>
      </c>
      <c r="F416" s="171">
        <f>+E416*C416</f>
        <v>6700</v>
      </c>
      <c r="G416" s="171">
        <f>+F416*1.12</f>
        <v>7504.0000000000009</v>
      </c>
      <c r="H416" s="172">
        <v>750102</v>
      </c>
      <c r="I416" s="893"/>
      <c r="J416"/>
      <c r="K416"/>
      <c r="L416"/>
      <c r="M416"/>
    </row>
    <row r="417" spans="1:13" ht="20.25" customHeight="1">
      <c r="A417" s="173"/>
      <c r="B417" s="884" t="s">
        <v>704</v>
      </c>
      <c r="C417" s="884"/>
      <c r="D417" s="884"/>
      <c r="E417" s="885"/>
      <c r="F417" s="174">
        <f>SUM(F414:F416)</f>
        <v>11363.26</v>
      </c>
      <c r="G417" s="174">
        <f>SUM(G414:G416)</f>
        <v>12726.851200000001</v>
      </c>
      <c r="H417" s="172"/>
      <c r="I417" s="613"/>
      <c r="J417"/>
      <c r="K417"/>
      <c r="L417"/>
      <c r="M417"/>
    </row>
    <row r="418" spans="1:13" ht="20.25" customHeight="1">
      <c r="A418" s="886" t="s">
        <v>707</v>
      </c>
      <c r="B418" s="887"/>
      <c r="C418" s="167"/>
      <c r="D418" s="167"/>
      <c r="E418" s="168"/>
      <c r="F418" s="168"/>
      <c r="G418" s="168"/>
      <c r="H418" s="168"/>
      <c r="I418" s="168"/>
      <c r="J418"/>
      <c r="K418"/>
      <c r="L418"/>
      <c r="M418"/>
    </row>
    <row r="419" spans="1:13" ht="20.25" customHeight="1">
      <c r="A419" s="888" t="s">
        <v>373</v>
      </c>
      <c r="B419" s="169" t="s">
        <v>700</v>
      </c>
      <c r="C419" s="170">
        <v>600</v>
      </c>
      <c r="D419" s="170" t="s">
        <v>850</v>
      </c>
      <c r="E419" s="171">
        <v>4.83</v>
      </c>
      <c r="F419" s="171">
        <f>+E419*C419</f>
        <v>2898</v>
      </c>
      <c r="G419" s="171">
        <f>+F419*1.12</f>
        <v>3245.76</v>
      </c>
      <c r="H419" s="172">
        <v>750102</v>
      </c>
      <c r="I419" s="891" t="s">
        <v>701</v>
      </c>
      <c r="J419"/>
      <c r="K419"/>
      <c r="L419"/>
      <c r="M419"/>
    </row>
    <row r="420" spans="1:13" ht="20.25" customHeight="1">
      <c r="A420" s="889"/>
      <c r="B420" s="169" t="s">
        <v>702</v>
      </c>
      <c r="C420" s="170">
        <v>10</v>
      </c>
      <c r="D420" s="170" t="s">
        <v>850</v>
      </c>
      <c r="E420" s="171">
        <v>5.34</v>
      </c>
      <c r="F420" s="171">
        <f>+E420*C420</f>
        <v>53.4</v>
      </c>
      <c r="G420" s="171">
        <f>+F420*1.12</f>
        <v>59.808000000000007</v>
      </c>
      <c r="H420" s="172">
        <v>750102</v>
      </c>
      <c r="I420" s="892"/>
      <c r="J420"/>
      <c r="K420"/>
      <c r="L420"/>
      <c r="M420"/>
    </row>
    <row r="421" spans="1:13" ht="20.25" customHeight="1">
      <c r="A421" s="890"/>
      <c r="B421" s="169" t="s">
        <v>703</v>
      </c>
      <c r="C421" s="170">
        <v>100</v>
      </c>
      <c r="D421" s="170" t="s">
        <v>851</v>
      </c>
      <c r="E421" s="171">
        <v>67</v>
      </c>
      <c r="F421" s="171">
        <f>+E421*C421</f>
        <v>6700</v>
      </c>
      <c r="G421" s="171">
        <f>+F421*1.12</f>
        <v>7504.0000000000009</v>
      </c>
      <c r="H421" s="172">
        <v>750102</v>
      </c>
      <c r="I421" s="893"/>
      <c r="J421"/>
      <c r="K421"/>
      <c r="L421"/>
      <c r="M421"/>
    </row>
    <row r="422" spans="1:13" ht="20.25" customHeight="1">
      <c r="A422" s="173"/>
      <c r="B422" s="884" t="s">
        <v>704</v>
      </c>
      <c r="C422" s="884"/>
      <c r="D422" s="884"/>
      <c r="E422" s="885"/>
      <c r="F422" s="174">
        <f>SUM(F419:F421)</f>
        <v>9651.4</v>
      </c>
      <c r="G422" s="174">
        <f>SUM(G419:G421)</f>
        <v>10809.568000000001</v>
      </c>
      <c r="H422" s="172"/>
      <c r="I422" s="613"/>
      <c r="J422"/>
      <c r="K422"/>
      <c r="L422"/>
      <c r="M422"/>
    </row>
    <row r="423" spans="1:13" ht="20.25" customHeight="1">
      <c r="A423" s="886" t="s">
        <v>708</v>
      </c>
      <c r="B423" s="887"/>
      <c r="C423" s="167"/>
      <c r="D423" s="167"/>
      <c r="E423" s="168"/>
      <c r="F423" s="168"/>
      <c r="G423" s="168"/>
      <c r="H423" s="168"/>
      <c r="I423" s="168"/>
      <c r="J423"/>
      <c r="K423"/>
      <c r="L423"/>
      <c r="M423"/>
    </row>
    <row r="424" spans="1:13" ht="20.25" customHeight="1">
      <c r="A424" s="888" t="s">
        <v>373</v>
      </c>
      <c r="B424" s="169" t="s">
        <v>700</v>
      </c>
      <c r="C424" s="170">
        <v>800</v>
      </c>
      <c r="D424" s="170" t="s">
        <v>850</v>
      </c>
      <c r="E424" s="171">
        <v>4.83</v>
      </c>
      <c r="F424" s="171">
        <f>+E424*C424</f>
        <v>3864</v>
      </c>
      <c r="G424" s="171">
        <f>+F424*1.12</f>
        <v>4327.68</v>
      </c>
      <c r="H424" s="172">
        <v>750102</v>
      </c>
      <c r="I424" s="891" t="s">
        <v>701</v>
      </c>
      <c r="J424"/>
      <c r="K424"/>
      <c r="L424"/>
      <c r="M424"/>
    </row>
    <row r="425" spans="1:13" ht="20.25" customHeight="1">
      <c r="A425" s="889"/>
      <c r="B425" s="169" t="s">
        <v>702</v>
      </c>
      <c r="C425" s="170">
        <v>21</v>
      </c>
      <c r="D425" s="170" t="s">
        <v>850</v>
      </c>
      <c r="E425" s="171">
        <v>5.34</v>
      </c>
      <c r="F425" s="171">
        <f>+E425*C425</f>
        <v>112.14</v>
      </c>
      <c r="G425" s="171">
        <f>+F425*1.12</f>
        <v>125.59680000000002</v>
      </c>
      <c r="H425" s="172">
        <v>750102</v>
      </c>
      <c r="I425" s="892"/>
      <c r="J425"/>
      <c r="K425"/>
      <c r="L425"/>
      <c r="M425"/>
    </row>
    <row r="426" spans="1:13" ht="20.25" customHeight="1">
      <c r="A426" s="890"/>
      <c r="B426" s="169" t="s">
        <v>703</v>
      </c>
      <c r="C426" s="170">
        <v>100</v>
      </c>
      <c r="D426" s="170" t="s">
        <v>851</v>
      </c>
      <c r="E426" s="171">
        <v>67</v>
      </c>
      <c r="F426" s="171">
        <f>+E426*C426</f>
        <v>6700</v>
      </c>
      <c r="G426" s="171">
        <f>+F426*1.12</f>
        <v>7504.0000000000009</v>
      </c>
      <c r="H426" s="172">
        <v>750102</v>
      </c>
      <c r="I426" s="893"/>
      <c r="J426"/>
      <c r="K426"/>
      <c r="L426"/>
      <c r="M426"/>
    </row>
    <row r="427" spans="1:13" ht="20.25" customHeight="1">
      <c r="A427" s="173"/>
      <c r="B427" s="884" t="s">
        <v>704</v>
      </c>
      <c r="C427" s="884"/>
      <c r="D427" s="884"/>
      <c r="E427" s="885"/>
      <c r="F427" s="174">
        <f>SUM(F424:F426)</f>
        <v>10676.14</v>
      </c>
      <c r="G427" s="174">
        <f>SUM(G424:G426)</f>
        <v>11957.276800000001</v>
      </c>
      <c r="H427" s="172"/>
      <c r="I427" s="613"/>
      <c r="J427"/>
      <c r="K427"/>
      <c r="L427"/>
      <c r="M427"/>
    </row>
    <row r="428" spans="1:13" ht="20.25" customHeight="1">
      <c r="A428" s="175"/>
      <c r="B428" s="175"/>
      <c r="C428" s="175"/>
      <c r="D428" s="175"/>
      <c r="E428" s="176" t="s">
        <v>255</v>
      </c>
      <c r="F428" s="177">
        <f>+F427+F422+F417+F412+F407</f>
        <v>61211.360000000008</v>
      </c>
      <c r="G428" s="177">
        <f>+G427+G422+G417+G412+G407</f>
        <v>68556.723200000008</v>
      </c>
      <c r="H428" s="178"/>
      <c r="I428" s="178"/>
      <c r="J428"/>
      <c r="K428"/>
      <c r="L428"/>
      <c r="M428"/>
    </row>
    <row r="429" spans="1:13" ht="20.25" customHeight="1">
      <c r="A429" s="161"/>
      <c r="B429" s="161"/>
      <c r="C429" s="161"/>
      <c r="D429" s="161"/>
      <c r="E429" s="162"/>
      <c r="F429" s="162"/>
      <c r="G429" s="162"/>
      <c r="H429" s="161"/>
      <c r="I429" s="161"/>
      <c r="J429"/>
      <c r="K429"/>
      <c r="L429"/>
      <c r="M429"/>
    </row>
    <row r="430" spans="1:13" ht="20.25" customHeight="1">
      <c r="A430" s="875" t="s">
        <v>955</v>
      </c>
      <c r="B430" s="876"/>
      <c r="C430" s="876"/>
      <c r="D430" s="876"/>
      <c r="E430" s="876"/>
      <c r="F430" s="876"/>
      <c r="G430" s="876"/>
      <c r="H430" s="876"/>
      <c r="I430" s="877"/>
      <c r="J430"/>
      <c r="K430"/>
      <c r="L430"/>
      <c r="M430"/>
    </row>
    <row r="431" spans="1:13" ht="56.25" customHeight="1">
      <c r="A431" s="163" t="s">
        <v>298</v>
      </c>
      <c r="B431" s="179" t="s">
        <v>1113</v>
      </c>
      <c r="C431" s="180"/>
      <c r="D431" s="180"/>
      <c r="E431" s="180"/>
      <c r="F431" s="180"/>
      <c r="G431" s="180"/>
      <c r="H431" s="180"/>
      <c r="I431" s="181"/>
      <c r="J431"/>
      <c r="K431"/>
      <c r="L431"/>
      <c r="M431"/>
    </row>
    <row r="432" spans="1:13" ht="20.25" customHeight="1">
      <c r="A432" s="163" t="s">
        <v>692</v>
      </c>
      <c r="B432" s="138" t="s">
        <v>730</v>
      </c>
      <c r="J432"/>
      <c r="K432"/>
      <c r="L432"/>
      <c r="M432"/>
    </row>
    <row r="433" spans="1:13" ht="20.25" customHeight="1">
      <c r="A433" s="878" t="s">
        <v>694</v>
      </c>
      <c r="B433" s="879"/>
      <c r="C433" s="879"/>
      <c r="D433" s="879"/>
      <c r="E433" s="879"/>
      <c r="F433" s="879"/>
      <c r="G433" s="880"/>
      <c r="H433" s="881" t="s">
        <v>695</v>
      </c>
      <c r="I433" s="882"/>
      <c r="J433"/>
      <c r="K433"/>
      <c r="L433"/>
      <c r="M433"/>
    </row>
    <row r="434" spans="1:13" ht="20.25" customHeight="1">
      <c r="A434" s="167" t="s">
        <v>696</v>
      </c>
      <c r="B434" s="167" t="s">
        <v>302</v>
      </c>
      <c r="C434" s="167" t="s">
        <v>312</v>
      </c>
      <c r="D434" s="167" t="s">
        <v>303</v>
      </c>
      <c r="E434" s="168" t="s">
        <v>304</v>
      </c>
      <c r="F434" s="168" t="s">
        <v>697</v>
      </c>
      <c r="G434" s="168" t="s">
        <v>306</v>
      </c>
      <c r="H434" s="168" t="s">
        <v>307</v>
      </c>
      <c r="I434" s="168" t="s">
        <v>698</v>
      </c>
      <c r="J434"/>
      <c r="K434"/>
      <c r="L434"/>
      <c r="M434"/>
    </row>
    <row r="435" spans="1:13" ht="20.25" customHeight="1">
      <c r="A435" s="886" t="s">
        <v>709</v>
      </c>
      <c r="B435" s="887"/>
      <c r="C435" s="167"/>
      <c r="D435" s="167"/>
      <c r="E435" s="168"/>
      <c r="F435" s="168"/>
      <c r="G435" s="168"/>
      <c r="H435" s="168"/>
      <c r="I435" s="168"/>
      <c r="J435"/>
      <c r="K435"/>
      <c r="L435"/>
      <c r="M435"/>
    </row>
    <row r="436" spans="1:13" ht="20.25" customHeight="1">
      <c r="A436" s="888" t="s">
        <v>373</v>
      </c>
      <c r="B436" s="169" t="s">
        <v>700</v>
      </c>
      <c r="C436" s="170">
        <v>800</v>
      </c>
      <c r="D436" s="170" t="s">
        <v>850</v>
      </c>
      <c r="E436" s="171">
        <v>4.83</v>
      </c>
      <c r="F436" s="171">
        <f>+E436*C436</f>
        <v>3864</v>
      </c>
      <c r="G436" s="171">
        <f>+F436*1.12</f>
        <v>4327.68</v>
      </c>
      <c r="H436" s="172">
        <v>750102</v>
      </c>
      <c r="I436" s="891" t="s">
        <v>701</v>
      </c>
      <c r="J436"/>
      <c r="K436"/>
      <c r="L436"/>
      <c r="M436"/>
    </row>
    <row r="437" spans="1:13" ht="20.25" customHeight="1">
      <c r="A437" s="889"/>
      <c r="B437" s="169" t="s">
        <v>702</v>
      </c>
      <c r="C437" s="170">
        <v>10</v>
      </c>
      <c r="D437" s="170" t="s">
        <v>850</v>
      </c>
      <c r="E437" s="171">
        <v>5.34</v>
      </c>
      <c r="F437" s="171">
        <f>+E437*C437</f>
        <v>53.4</v>
      </c>
      <c r="G437" s="171">
        <f>+F437*1.12</f>
        <v>59.808000000000007</v>
      </c>
      <c r="H437" s="172">
        <v>750102</v>
      </c>
      <c r="I437" s="892"/>
      <c r="J437"/>
      <c r="K437"/>
      <c r="L437"/>
      <c r="M437"/>
    </row>
    <row r="438" spans="1:13" ht="20.25" customHeight="1">
      <c r="A438" s="890"/>
      <c r="B438" s="169" t="s">
        <v>703</v>
      </c>
      <c r="C438" s="170">
        <v>80</v>
      </c>
      <c r="D438" s="170" t="s">
        <v>851</v>
      </c>
      <c r="E438" s="171">
        <v>67</v>
      </c>
      <c r="F438" s="171">
        <f>+E438*C438</f>
        <v>5360</v>
      </c>
      <c r="G438" s="171">
        <f>+F438*1.12</f>
        <v>6003.2000000000007</v>
      </c>
      <c r="H438" s="172">
        <v>750102</v>
      </c>
      <c r="I438" s="893"/>
      <c r="J438"/>
      <c r="K438"/>
      <c r="L438"/>
      <c r="M438"/>
    </row>
    <row r="439" spans="1:13" ht="20.25" customHeight="1">
      <c r="A439" s="173"/>
      <c r="B439" s="884" t="s">
        <v>704</v>
      </c>
      <c r="C439" s="884"/>
      <c r="D439" s="884"/>
      <c r="E439" s="885"/>
      <c r="F439" s="174">
        <f>SUM(F436:F438)</f>
        <v>9277.4</v>
      </c>
      <c r="G439" s="174">
        <f>SUM(G436:G438)</f>
        <v>10390.688000000002</v>
      </c>
      <c r="H439" s="172"/>
      <c r="I439" s="613"/>
      <c r="J439"/>
      <c r="K439"/>
      <c r="L439"/>
      <c r="M439"/>
    </row>
    <row r="440" spans="1:13" ht="20.25" customHeight="1">
      <c r="A440" s="886" t="s">
        <v>710</v>
      </c>
      <c r="B440" s="887"/>
      <c r="C440" s="167"/>
      <c r="D440" s="167"/>
      <c r="E440" s="168"/>
      <c r="F440" s="168"/>
      <c r="G440" s="168"/>
      <c r="H440" s="168"/>
      <c r="I440" s="168"/>
      <c r="J440"/>
      <c r="K440"/>
      <c r="L440"/>
      <c r="M440"/>
    </row>
    <row r="441" spans="1:13" ht="20.25" customHeight="1">
      <c r="A441" s="888" t="s">
        <v>373</v>
      </c>
      <c r="B441" s="169" t="s">
        <v>700</v>
      </c>
      <c r="C441" s="170">
        <v>950</v>
      </c>
      <c r="D441" s="170" t="s">
        <v>850</v>
      </c>
      <c r="E441" s="171">
        <v>4.83</v>
      </c>
      <c r="F441" s="171">
        <f>+E441*C441</f>
        <v>4588.5</v>
      </c>
      <c r="G441" s="171">
        <f>+F441*1.12</f>
        <v>5139.1200000000008</v>
      </c>
      <c r="H441" s="172">
        <v>750102</v>
      </c>
      <c r="I441" s="891" t="s">
        <v>701</v>
      </c>
      <c r="J441"/>
      <c r="K441"/>
      <c r="L441"/>
      <c r="M441"/>
    </row>
    <row r="442" spans="1:13" ht="20.25" customHeight="1">
      <c r="A442" s="889"/>
      <c r="B442" s="169" t="s">
        <v>702</v>
      </c>
      <c r="C442" s="170">
        <v>21</v>
      </c>
      <c r="D442" s="170" t="s">
        <v>850</v>
      </c>
      <c r="E442" s="171">
        <v>5.34</v>
      </c>
      <c r="F442" s="171">
        <f>+E442*C442</f>
        <v>112.14</v>
      </c>
      <c r="G442" s="171">
        <f>+F442*1.12</f>
        <v>125.59680000000002</v>
      </c>
      <c r="H442" s="172">
        <v>750102</v>
      </c>
      <c r="I442" s="892"/>
      <c r="J442"/>
      <c r="K442"/>
      <c r="L442"/>
      <c r="M442"/>
    </row>
    <row r="443" spans="1:13" ht="20.25" customHeight="1">
      <c r="A443" s="890"/>
      <c r="B443" s="169" t="s">
        <v>703</v>
      </c>
      <c r="C443" s="170">
        <v>80</v>
      </c>
      <c r="D443" s="170" t="s">
        <v>851</v>
      </c>
      <c r="E443" s="171">
        <v>67</v>
      </c>
      <c r="F443" s="171">
        <f>+E443*C443</f>
        <v>5360</v>
      </c>
      <c r="G443" s="171">
        <f>+F443*1.12</f>
        <v>6003.2000000000007</v>
      </c>
      <c r="H443" s="172">
        <v>750102</v>
      </c>
      <c r="I443" s="893"/>
      <c r="J443"/>
      <c r="K443"/>
      <c r="L443"/>
      <c r="M443"/>
    </row>
    <row r="444" spans="1:13" ht="20.25" customHeight="1">
      <c r="A444" s="173"/>
      <c r="B444" s="884" t="s">
        <v>704</v>
      </c>
      <c r="C444" s="884"/>
      <c r="D444" s="884"/>
      <c r="E444" s="885"/>
      <c r="F444" s="174">
        <f>SUM(F441:F443)</f>
        <v>10060.64</v>
      </c>
      <c r="G444" s="174">
        <f>SUM(G441:G443)</f>
        <v>11267.916800000003</v>
      </c>
      <c r="H444" s="172"/>
      <c r="I444" s="613"/>
      <c r="J444"/>
      <c r="K444"/>
      <c r="L444"/>
      <c r="M444"/>
    </row>
    <row r="445" spans="1:13" ht="20.25" customHeight="1">
      <c r="A445" s="886" t="s">
        <v>711</v>
      </c>
      <c r="B445" s="887"/>
      <c r="C445" s="167"/>
      <c r="D445" s="167"/>
      <c r="E445" s="168"/>
      <c r="F445" s="168"/>
      <c r="G445" s="168"/>
      <c r="H445" s="168"/>
      <c r="I445" s="168"/>
      <c r="J445"/>
      <c r="K445"/>
      <c r="L445"/>
      <c r="M445"/>
    </row>
    <row r="446" spans="1:13" ht="20.25" customHeight="1">
      <c r="A446" s="888" t="s">
        <v>373</v>
      </c>
      <c r="B446" s="169" t="s">
        <v>700</v>
      </c>
      <c r="C446" s="170">
        <v>800</v>
      </c>
      <c r="D446" s="170" t="s">
        <v>850</v>
      </c>
      <c r="E446" s="171">
        <v>4.83</v>
      </c>
      <c r="F446" s="171">
        <f>+E446*C446</f>
        <v>3864</v>
      </c>
      <c r="G446" s="171">
        <f>+F446*1.12</f>
        <v>4327.68</v>
      </c>
      <c r="H446" s="172">
        <v>750102</v>
      </c>
      <c r="I446" s="891" t="s">
        <v>701</v>
      </c>
      <c r="J446"/>
      <c r="K446"/>
      <c r="L446"/>
      <c r="M446"/>
    </row>
    <row r="447" spans="1:13" ht="20.25" customHeight="1">
      <c r="A447" s="889"/>
      <c r="B447" s="169" t="s">
        <v>702</v>
      </c>
      <c r="C447" s="170">
        <v>10</v>
      </c>
      <c r="D447" s="170" t="s">
        <v>850</v>
      </c>
      <c r="E447" s="171">
        <v>5.34</v>
      </c>
      <c r="F447" s="171">
        <f>+E447*C447</f>
        <v>53.4</v>
      </c>
      <c r="G447" s="171">
        <f>+F447*1.12</f>
        <v>59.808000000000007</v>
      </c>
      <c r="H447" s="172">
        <v>750102</v>
      </c>
      <c r="I447" s="892"/>
      <c r="J447"/>
      <c r="K447"/>
      <c r="L447"/>
      <c r="M447"/>
    </row>
    <row r="448" spans="1:13" ht="20.25" customHeight="1">
      <c r="A448" s="890"/>
      <c r="B448" s="169" t="s">
        <v>703</v>
      </c>
      <c r="C448" s="170">
        <v>80</v>
      </c>
      <c r="D448" s="170" t="s">
        <v>851</v>
      </c>
      <c r="E448" s="171">
        <v>67</v>
      </c>
      <c r="F448" s="171">
        <f>+E448*C448</f>
        <v>5360</v>
      </c>
      <c r="G448" s="171">
        <f>+F448*1.12</f>
        <v>6003.2000000000007</v>
      </c>
      <c r="H448" s="172">
        <v>750102</v>
      </c>
      <c r="I448" s="893"/>
      <c r="J448"/>
      <c r="K448"/>
      <c r="L448"/>
      <c r="M448"/>
    </row>
    <row r="449" spans="1:13" ht="20.25" customHeight="1">
      <c r="A449" s="173"/>
      <c r="B449" s="884" t="s">
        <v>704</v>
      </c>
      <c r="C449" s="884"/>
      <c r="D449" s="884"/>
      <c r="E449" s="885"/>
      <c r="F449" s="174">
        <f>SUM(F446:F448)</f>
        <v>9277.4</v>
      </c>
      <c r="G449" s="174">
        <f>SUM(G446:G448)</f>
        <v>10390.688000000002</v>
      </c>
      <c r="H449" s="172"/>
      <c r="I449" s="613"/>
      <c r="J449"/>
      <c r="K449"/>
      <c r="L449"/>
      <c r="M449"/>
    </row>
    <row r="450" spans="1:13" ht="20.25" customHeight="1">
      <c r="A450" s="886" t="s">
        <v>712</v>
      </c>
      <c r="B450" s="887"/>
      <c r="C450" s="167"/>
      <c r="D450" s="167"/>
      <c r="E450" s="168"/>
      <c r="F450" s="168"/>
      <c r="G450" s="168"/>
      <c r="H450" s="168"/>
      <c r="I450" s="168"/>
      <c r="J450"/>
      <c r="K450"/>
      <c r="L450"/>
      <c r="M450"/>
    </row>
    <row r="451" spans="1:13" ht="20.25" customHeight="1">
      <c r="A451" s="888" t="s">
        <v>373</v>
      </c>
      <c r="B451" s="169" t="s">
        <v>700</v>
      </c>
      <c r="C451" s="170">
        <v>800</v>
      </c>
      <c r="D451" s="170" t="s">
        <v>850</v>
      </c>
      <c r="E451" s="171">
        <v>4.83</v>
      </c>
      <c r="F451" s="171">
        <f>+E451*C451</f>
        <v>3864</v>
      </c>
      <c r="G451" s="171">
        <f>+F451*1.12</f>
        <v>4327.68</v>
      </c>
      <c r="H451" s="172">
        <v>750102</v>
      </c>
      <c r="I451" s="891" t="s">
        <v>701</v>
      </c>
      <c r="J451"/>
      <c r="K451"/>
      <c r="L451"/>
      <c r="M451"/>
    </row>
    <row r="452" spans="1:13" ht="20.25" customHeight="1">
      <c r="A452" s="889"/>
      <c r="B452" s="169" t="s">
        <v>702</v>
      </c>
      <c r="C452" s="170">
        <v>10</v>
      </c>
      <c r="D452" s="170" t="s">
        <v>850</v>
      </c>
      <c r="E452" s="171">
        <v>5.34</v>
      </c>
      <c r="F452" s="171">
        <f>+E452*C452</f>
        <v>53.4</v>
      </c>
      <c r="G452" s="171">
        <f>+F452*1.12</f>
        <v>59.808000000000007</v>
      </c>
      <c r="H452" s="172">
        <v>750102</v>
      </c>
      <c r="I452" s="892"/>
      <c r="J452"/>
      <c r="K452"/>
      <c r="L452"/>
      <c r="M452"/>
    </row>
    <row r="453" spans="1:13" ht="20.25" customHeight="1">
      <c r="A453" s="890"/>
      <c r="B453" s="169" t="s">
        <v>703</v>
      </c>
      <c r="C453" s="170">
        <v>100</v>
      </c>
      <c r="D453" s="170" t="s">
        <v>851</v>
      </c>
      <c r="E453" s="171">
        <v>67</v>
      </c>
      <c r="F453" s="171">
        <f>+E453*C453</f>
        <v>6700</v>
      </c>
      <c r="G453" s="171">
        <f>+F453*1.12</f>
        <v>7504.0000000000009</v>
      </c>
      <c r="H453" s="172">
        <v>750102</v>
      </c>
      <c r="I453" s="893"/>
      <c r="J453"/>
      <c r="K453"/>
      <c r="L453"/>
      <c r="M453"/>
    </row>
    <row r="454" spans="1:13" ht="20.25" customHeight="1">
      <c r="A454" s="173"/>
      <c r="B454" s="884" t="s">
        <v>704</v>
      </c>
      <c r="C454" s="884"/>
      <c r="D454" s="884"/>
      <c r="E454" s="885"/>
      <c r="F454" s="174">
        <f>SUM(F451:F453)</f>
        <v>10617.4</v>
      </c>
      <c r="G454" s="174">
        <f>SUM(G451:G453)</f>
        <v>11891.488000000001</v>
      </c>
      <c r="H454" s="172"/>
      <c r="I454" s="613"/>
      <c r="J454"/>
      <c r="K454"/>
      <c r="L454"/>
      <c r="M454"/>
    </row>
    <row r="455" spans="1:13" ht="20.25" customHeight="1">
      <c r="A455" s="886" t="s">
        <v>713</v>
      </c>
      <c r="B455" s="887"/>
      <c r="C455" s="167"/>
      <c r="D455" s="167"/>
      <c r="E455" s="168"/>
      <c r="F455" s="168"/>
      <c r="G455" s="168"/>
      <c r="H455" s="168"/>
      <c r="I455" s="168"/>
      <c r="J455"/>
      <c r="K455"/>
      <c r="L455"/>
      <c r="M455"/>
    </row>
    <row r="456" spans="1:13" ht="20.25" customHeight="1">
      <c r="A456" s="888" t="s">
        <v>373</v>
      </c>
      <c r="B456" s="169" t="s">
        <v>700</v>
      </c>
      <c r="C456" s="170">
        <v>800</v>
      </c>
      <c r="D456" s="170" t="s">
        <v>850</v>
      </c>
      <c r="E456" s="171">
        <v>4.83</v>
      </c>
      <c r="F456" s="171">
        <f>+E456*C456</f>
        <v>3864</v>
      </c>
      <c r="G456" s="171">
        <f>+F456*1.12</f>
        <v>4327.68</v>
      </c>
      <c r="H456" s="172">
        <v>750102</v>
      </c>
      <c r="I456" s="891" t="s">
        <v>701</v>
      </c>
      <c r="J456"/>
      <c r="K456"/>
      <c r="L456"/>
      <c r="M456"/>
    </row>
    <row r="457" spans="1:13" ht="20.25" customHeight="1">
      <c r="A457" s="889"/>
      <c r="B457" s="169" t="s">
        <v>702</v>
      </c>
      <c r="C457" s="170">
        <v>10</v>
      </c>
      <c r="D457" s="170" t="s">
        <v>850</v>
      </c>
      <c r="E457" s="171">
        <v>5.34</v>
      </c>
      <c r="F457" s="171">
        <f>+E457*C457</f>
        <v>53.4</v>
      </c>
      <c r="G457" s="171">
        <f>+F457*1.12</f>
        <v>59.808000000000007</v>
      </c>
      <c r="H457" s="172">
        <v>750102</v>
      </c>
      <c r="I457" s="892"/>
      <c r="J457"/>
      <c r="K457"/>
      <c r="L457"/>
      <c r="M457"/>
    </row>
    <row r="458" spans="1:13" ht="20.25" customHeight="1">
      <c r="A458" s="890"/>
      <c r="B458" s="169" t="s">
        <v>703</v>
      </c>
      <c r="C458" s="170">
        <v>80</v>
      </c>
      <c r="D458" s="170" t="s">
        <v>851</v>
      </c>
      <c r="E458" s="171">
        <v>67</v>
      </c>
      <c r="F458" s="171">
        <f>+E458*C458</f>
        <v>5360</v>
      </c>
      <c r="G458" s="171">
        <f>+F458*1.12</f>
        <v>6003.2000000000007</v>
      </c>
      <c r="H458" s="172">
        <v>750102</v>
      </c>
      <c r="I458" s="893"/>
      <c r="J458"/>
      <c r="K458"/>
      <c r="L458"/>
      <c r="M458"/>
    </row>
    <row r="459" spans="1:13" ht="20.25" customHeight="1">
      <c r="A459" s="173"/>
      <c r="B459" s="884" t="s">
        <v>704</v>
      </c>
      <c r="C459" s="884"/>
      <c r="D459" s="884"/>
      <c r="E459" s="885"/>
      <c r="F459" s="174">
        <f>SUM(F456:F458)</f>
        <v>9277.4</v>
      </c>
      <c r="G459" s="174">
        <f>SUM(G456:G458)</f>
        <v>10390.688000000002</v>
      </c>
      <c r="H459" s="172"/>
      <c r="I459" s="613"/>
      <c r="J459"/>
      <c r="K459"/>
      <c r="L459"/>
      <c r="M459"/>
    </row>
    <row r="460" spans="1:13" ht="20.25" customHeight="1">
      <c r="A460" s="175"/>
      <c r="B460" s="175"/>
      <c r="C460" s="175"/>
      <c r="D460" s="175"/>
      <c r="E460" s="176" t="s">
        <v>255</v>
      </c>
      <c r="F460" s="177">
        <f>+F459+F454+F449+F444+F439</f>
        <v>48510.239999999998</v>
      </c>
      <c r="G460" s="177">
        <f>+G459+G454+G449+G444+G439</f>
        <v>54331.46880000001</v>
      </c>
      <c r="H460" s="175"/>
      <c r="I460" s="175"/>
      <c r="J460"/>
      <c r="K460"/>
      <c r="L460"/>
      <c r="M460"/>
    </row>
    <row r="461" spans="1:13" ht="20.25" customHeight="1">
      <c r="A461" s="175"/>
      <c r="B461" s="175"/>
      <c r="C461" s="175"/>
      <c r="D461" s="175"/>
      <c r="E461" s="175"/>
      <c r="F461" s="175"/>
      <c r="G461" s="175"/>
      <c r="H461" s="175"/>
      <c r="I461" s="175"/>
      <c r="J461"/>
      <c r="K461"/>
      <c r="L461"/>
      <c r="M461"/>
    </row>
    <row r="462" spans="1:13" ht="20.25" customHeight="1">
      <c r="A462" s="175"/>
      <c r="B462" s="175"/>
      <c r="C462" s="175"/>
      <c r="D462" s="175"/>
      <c r="E462" s="175"/>
      <c r="F462" s="175"/>
      <c r="G462" s="175"/>
      <c r="H462" s="175"/>
      <c r="I462" s="175"/>
      <c r="J462"/>
      <c r="K462"/>
      <c r="L462"/>
      <c r="M462"/>
    </row>
    <row r="463" spans="1:13" ht="54.75" customHeight="1">
      <c r="A463" s="163" t="s">
        <v>298</v>
      </c>
      <c r="B463" s="179" t="s">
        <v>714</v>
      </c>
      <c r="C463" s="180"/>
      <c r="D463" s="180"/>
      <c r="E463" s="180"/>
      <c r="F463" s="180"/>
      <c r="G463" s="180"/>
      <c r="H463" s="180"/>
      <c r="I463" s="181"/>
      <c r="J463"/>
      <c r="K463"/>
      <c r="L463"/>
      <c r="M463"/>
    </row>
    <row r="464" spans="1:13" ht="20.25" customHeight="1">
      <c r="A464" s="163" t="s">
        <v>692</v>
      </c>
      <c r="B464" s="138" t="s">
        <v>730</v>
      </c>
      <c r="J464"/>
      <c r="K464"/>
      <c r="L464"/>
      <c r="M464"/>
    </row>
    <row r="465" spans="1:13" ht="20.25" customHeight="1">
      <c r="A465" s="878" t="s">
        <v>694</v>
      </c>
      <c r="B465" s="879"/>
      <c r="C465" s="879"/>
      <c r="D465" s="879"/>
      <c r="E465" s="879"/>
      <c r="F465" s="879"/>
      <c r="G465" s="880"/>
      <c r="H465" s="881" t="s">
        <v>695</v>
      </c>
      <c r="I465" s="882"/>
      <c r="J465"/>
      <c r="K465"/>
      <c r="L465"/>
      <c r="M465"/>
    </row>
    <row r="466" spans="1:13" ht="20.25" customHeight="1">
      <c r="A466" s="167" t="s">
        <v>696</v>
      </c>
      <c r="B466" s="167" t="s">
        <v>302</v>
      </c>
      <c r="C466" s="167" t="s">
        <v>312</v>
      </c>
      <c r="D466" s="167" t="s">
        <v>303</v>
      </c>
      <c r="E466" s="168" t="s">
        <v>304</v>
      </c>
      <c r="F466" s="168" t="s">
        <v>697</v>
      </c>
      <c r="G466" s="168" t="s">
        <v>306</v>
      </c>
      <c r="H466" s="168" t="s">
        <v>307</v>
      </c>
      <c r="I466" s="168" t="s">
        <v>698</v>
      </c>
      <c r="J466"/>
      <c r="K466"/>
      <c r="L466"/>
      <c r="M466"/>
    </row>
    <row r="467" spans="1:13" ht="20.25" customHeight="1">
      <c r="A467" s="886" t="s">
        <v>715</v>
      </c>
      <c r="B467" s="887"/>
      <c r="C467" s="167"/>
      <c r="D467" s="167"/>
      <c r="E467" s="168"/>
      <c r="F467" s="168"/>
      <c r="G467" s="168"/>
      <c r="H467" s="168"/>
      <c r="I467" s="168"/>
      <c r="J467"/>
      <c r="K467"/>
      <c r="L467"/>
      <c r="M467"/>
    </row>
    <row r="468" spans="1:13" ht="20.25" customHeight="1">
      <c r="A468" s="888" t="s">
        <v>373</v>
      </c>
      <c r="B468" s="169" t="s">
        <v>700</v>
      </c>
      <c r="C468" s="170">
        <v>500</v>
      </c>
      <c r="D468" s="170" t="s">
        <v>850</v>
      </c>
      <c r="E468" s="171">
        <v>4.83</v>
      </c>
      <c r="F468" s="171">
        <f>+E468*C468</f>
        <v>2415</v>
      </c>
      <c r="G468" s="171">
        <f>+F468*1.12</f>
        <v>2704.8</v>
      </c>
      <c r="H468" s="172">
        <v>750102</v>
      </c>
      <c r="I468" s="891" t="s">
        <v>701</v>
      </c>
      <c r="J468"/>
      <c r="K468"/>
      <c r="L468"/>
      <c r="M468"/>
    </row>
    <row r="469" spans="1:13" ht="20.25" customHeight="1">
      <c r="A469" s="889"/>
      <c r="B469" s="169" t="s">
        <v>702</v>
      </c>
      <c r="C469" s="170">
        <v>5</v>
      </c>
      <c r="D469" s="170" t="s">
        <v>850</v>
      </c>
      <c r="E469" s="171">
        <v>5.34</v>
      </c>
      <c r="F469" s="171">
        <f>+E469*C469</f>
        <v>26.7</v>
      </c>
      <c r="G469" s="171">
        <f>+F469*1.12</f>
        <v>29.904000000000003</v>
      </c>
      <c r="H469" s="172">
        <v>750102</v>
      </c>
      <c r="I469" s="892"/>
      <c r="J469"/>
      <c r="K469"/>
      <c r="L469"/>
      <c r="M469"/>
    </row>
    <row r="470" spans="1:13" ht="20.25" customHeight="1">
      <c r="A470" s="890"/>
      <c r="B470" s="169" t="s">
        <v>703</v>
      </c>
      <c r="C470" s="170">
        <v>80</v>
      </c>
      <c r="D470" s="170" t="s">
        <v>851</v>
      </c>
      <c r="E470" s="171">
        <v>67</v>
      </c>
      <c r="F470" s="171">
        <f>+E470*C470</f>
        <v>5360</v>
      </c>
      <c r="G470" s="171">
        <f>+F470*1.12</f>
        <v>6003.2000000000007</v>
      </c>
      <c r="H470" s="172">
        <v>750102</v>
      </c>
      <c r="I470" s="893"/>
      <c r="J470"/>
      <c r="K470"/>
      <c r="L470"/>
      <c r="M470"/>
    </row>
    <row r="471" spans="1:13" ht="20.25" customHeight="1">
      <c r="A471" s="173"/>
      <c r="B471" s="884" t="s">
        <v>704</v>
      </c>
      <c r="C471" s="884"/>
      <c r="D471" s="884"/>
      <c r="E471" s="885"/>
      <c r="F471" s="174">
        <f>SUM(F468:F470)</f>
        <v>7801.7</v>
      </c>
      <c r="G471" s="174">
        <f>SUM(G468:G470)</f>
        <v>8737.9040000000005</v>
      </c>
      <c r="H471" s="172"/>
      <c r="I471" s="613"/>
      <c r="J471"/>
      <c r="K471"/>
      <c r="L471"/>
      <c r="M471"/>
    </row>
    <row r="472" spans="1:13" ht="20.25" customHeight="1">
      <c r="A472" s="886" t="s">
        <v>716</v>
      </c>
      <c r="B472" s="887"/>
      <c r="C472" s="167"/>
      <c r="D472" s="167"/>
      <c r="E472" s="168"/>
      <c r="F472" s="168"/>
      <c r="G472" s="168"/>
      <c r="H472" s="168"/>
      <c r="I472" s="168"/>
      <c r="J472"/>
      <c r="K472"/>
      <c r="L472"/>
      <c r="M472"/>
    </row>
    <row r="473" spans="1:13" ht="20.25" customHeight="1">
      <c r="A473" s="888" t="s">
        <v>373</v>
      </c>
      <c r="B473" s="169" t="s">
        <v>700</v>
      </c>
      <c r="C473" s="170">
        <v>800</v>
      </c>
      <c r="D473" s="170" t="s">
        <v>850</v>
      </c>
      <c r="E473" s="171">
        <v>4.83</v>
      </c>
      <c r="F473" s="171">
        <f>+E473*C473</f>
        <v>3864</v>
      </c>
      <c r="G473" s="171">
        <f>+F473*1.12</f>
        <v>4327.68</v>
      </c>
      <c r="H473" s="172">
        <v>750102</v>
      </c>
      <c r="I473" s="891" t="s">
        <v>701</v>
      </c>
      <c r="J473"/>
      <c r="K473"/>
      <c r="L473"/>
      <c r="M473"/>
    </row>
    <row r="474" spans="1:13" ht="20.25" customHeight="1">
      <c r="A474" s="889"/>
      <c r="B474" s="169" t="s">
        <v>702</v>
      </c>
      <c r="C474" s="170">
        <v>10</v>
      </c>
      <c r="D474" s="170" t="s">
        <v>850</v>
      </c>
      <c r="E474" s="171">
        <v>5.34</v>
      </c>
      <c r="F474" s="171">
        <f>+E474*C474</f>
        <v>53.4</v>
      </c>
      <c r="G474" s="171">
        <f>+F474*1.12</f>
        <v>59.808000000000007</v>
      </c>
      <c r="H474" s="172">
        <v>750102</v>
      </c>
      <c r="I474" s="892"/>
      <c r="J474"/>
      <c r="K474"/>
      <c r="L474"/>
      <c r="M474"/>
    </row>
    <row r="475" spans="1:13" ht="20.25" customHeight="1">
      <c r="A475" s="890"/>
      <c r="B475" s="169" t="s">
        <v>703</v>
      </c>
      <c r="C475" s="170">
        <v>80</v>
      </c>
      <c r="D475" s="170" t="s">
        <v>851</v>
      </c>
      <c r="E475" s="171">
        <v>67</v>
      </c>
      <c r="F475" s="171">
        <f>+E475*C475</f>
        <v>5360</v>
      </c>
      <c r="G475" s="171">
        <f>+F475*1.12</f>
        <v>6003.2000000000007</v>
      </c>
      <c r="H475" s="172">
        <v>750102</v>
      </c>
      <c r="I475" s="893"/>
      <c r="J475"/>
      <c r="K475"/>
      <c r="L475"/>
      <c r="M475"/>
    </row>
    <row r="476" spans="1:13" ht="20.25" customHeight="1">
      <c r="A476" s="173"/>
      <c r="B476" s="884" t="s">
        <v>704</v>
      </c>
      <c r="C476" s="884"/>
      <c r="D476" s="884"/>
      <c r="E476" s="885"/>
      <c r="F476" s="174">
        <f>SUM(F473:F475)</f>
        <v>9277.4</v>
      </c>
      <c r="G476" s="174">
        <f>SUM(G473:G475)</f>
        <v>10390.688000000002</v>
      </c>
      <c r="H476" s="172"/>
      <c r="I476" s="613"/>
      <c r="J476"/>
      <c r="K476"/>
      <c r="L476"/>
      <c r="M476"/>
    </row>
    <row r="477" spans="1:13" ht="20.25" customHeight="1">
      <c r="A477" s="886" t="s">
        <v>717</v>
      </c>
      <c r="B477" s="887"/>
      <c r="C477" s="167"/>
      <c r="D477" s="167"/>
      <c r="E477" s="168"/>
      <c r="F477" s="168"/>
      <c r="G477" s="168"/>
      <c r="H477" s="168"/>
      <c r="I477" s="168"/>
      <c r="J477"/>
      <c r="K477"/>
      <c r="L477"/>
      <c r="M477"/>
    </row>
    <row r="478" spans="1:13" ht="20.25" customHeight="1">
      <c r="A478" s="888" t="s">
        <v>373</v>
      </c>
      <c r="B478" s="169" t="s">
        <v>700</v>
      </c>
      <c r="C478" s="170">
        <v>500</v>
      </c>
      <c r="D478" s="170" t="s">
        <v>850</v>
      </c>
      <c r="E478" s="171">
        <v>4.83</v>
      </c>
      <c r="F478" s="171">
        <f>+E478*C478</f>
        <v>2415</v>
      </c>
      <c r="G478" s="171">
        <f>+F478*1.12</f>
        <v>2704.8</v>
      </c>
      <c r="H478" s="172">
        <v>750102</v>
      </c>
      <c r="I478" s="891" t="s">
        <v>701</v>
      </c>
      <c r="J478"/>
      <c r="K478"/>
      <c r="L478"/>
      <c r="M478"/>
    </row>
    <row r="479" spans="1:13" ht="20.25" customHeight="1">
      <c r="A479" s="889"/>
      <c r="B479" s="169" t="s">
        <v>702</v>
      </c>
      <c r="C479" s="170">
        <v>10</v>
      </c>
      <c r="D479" s="170" t="s">
        <v>850</v>
      </c>
      <c r="E479" s="171">
        <v>5.34</v>
      </c>
      <c r="F479" s="171">
        <f>+E479*C479</f>
        <v>53.4</v>
      </c>
      <c r="G479" s="171">
        <f>+F479*1.12</f>
        <v>59.808000000000007</v>
      </c>
      <c r="H479" s="172">
        <v>750102</v>
      </c>
      <c r="I479" s="892"/>
      <c r="J479"/>
      <c r="K479"/>
      <c r="L479"/>
      <c r="M479"/>
    </row>
    <row r="480" spans="1:13" ht="20.25" customHeight="1">
      <c r="A480" s="890"/>
      <c r="B480" s="169" t="s">
        <v>703</v>
      </c>
      <c r="C480" s="170">
        <v>100</v>
      </c>
      <c r="D480" s="170" t="s">
        <v>851</v>
      </c>
      <c r="E480" s="171">
        <v>67</v>
      </c>
      <c r="F480" s="171">
        <f>+E480*C480</f>
        <v>6700</v>
      </c>
      <c r="G480" s="171">
        <f>+F480*1.12</f>
        <v>7504.0000000000009</v>
      </c>
      <c r="H480" s="172">
        <v>750102</v>
      </c>
      <c r="I480" s="893"/>
      <c r="J480"/>
      <c r="K480"/>
      <c r="L480"/>
      <c r="M480"/>
    </row>
    <row r="481" spans="1:13" ht="20.25" customHeight="1">
      <c r="A481" s="173"/>
      <c r="B481" s="884" t="s">
        <v>704</v>
      </c>
      <c r="C481" s="884"/>
      <c r="D481" s="884"/>
      <c r="E481" s="885"/>
      <c r="F481" s="174">
        <f>SUM(F478:F480)</f>
        <v>9168.4</v>
      </c>
      <c r="G481" s="174">
        <f>SUM(G478:G480)</f>
        <v>10268.608</v>
      </c>
      <c r="H481" s="172"/>
      <c r="I481" s="613"/>
      <c r="J481"/>
      <c r="K481"/>
      <c r="L481"/>
      <c r="M481"/>
    </row>
    <row r="482" spans="1:13" ht="20.25" customHeight="1">
      <c r="A482" s="886" t="s">
        <v>718</v>
      </c>
      <c r="B482" s="887"/>
      <c r="C482" s="167"/>
      <c r="D482" s="167"/>
      <c r="E482" s="168"/>
      <c r="F482" s="168"/>
      <c r="G482" s="168"/>
      <c r="H482" s="168"/>
      <c r="I482" s="168"/>
      <c r="J482"/>
      <c r="K482"/>
      <c r="L482"/>
      <c r="M482"/>
    </row>
    <row r="483" spans="1:13" ht="20.25" customHeight="1">
      <c r="A483" s="888" t="s">
        <v>373</v>
      </c>
      <c r="B483" s="169" t="s">
        <v>700</v>
      </c>
      <c r="C483" s="170">
        <v>400</v>
      </c>
      <c r="D483" s="170" t="s">
        <v>850</v>
      </c>
      <c r="E483" s="171">
        <v>4.83</v>
      </c>
      <c r="F483" s="171">
        <f>+E483*C483</f>
        <v>1932</v>
      </c>
      <c r="G483" s="171">
        <f>+F483*1.12</f>
        <v>2163.84</v>
      </c>
      <c r="H483" s="172">
        <v>750102</v>
      </c>
      <c r="I483" s="891" t="s">
        <v>701</v>
      </c>
      <c r="J483"/>
      <c r="K483"/>
      <c r="L483"/>
      <c r="M483"/>
    </row>
    <row r="484" spans="1:13" ht="20.25" customHeight="1">
      <c r="A484" s="889"/>
      <c r="B484" s="169" t="s">
        <v>702</v>
      </c>
      <c r="C484" s="170">
        <v>10</v>
      </c>
      <c r="D484" s="170" t="s">
        <v>850</v>
      </c>
      <c r="E484" s="171">
        <v>5.34</v>
      </c>
      <c r="F484" s="171">
        <f>+E484*C484</f>
        <v>53.4</v>
      </c>
      <c r="G484" s="171">
        <f>+F484*1.12</f>
        <v>59.808000000000007</v>
      </c>
      <c r="H484" s="172">
        <v>750102</v>
      </c>
      <c r="I484" s="892"/>
      <c r="J484"/>
      <c r="K484"/>
      <c r="L484"/>
      <c r="M484"/>
    </row>
    <row r="485" spans="1:13" ht="20.25" customHeight="1">
      <c r="A485" s="890"/>
      <c r="B485" s="169" t="s">
        <v>703</v>
      </c>
      <c r="C485" s="170">
        <v>80</v>
      </c>
      <c r="D485" s="170" t="s">
        <v>851</v>
      </c>
      <c r="E485" s="171">
        <v>67</v>
      </c>
      <c r="F485" s="171">
        <f>+E485*C485</f>
        <v>5360</v>
      </c>
      <c r="G485" s="171">
        <f>+F485*1.12</f>
        <v>6003.2000000000007</v>
      </c>
      <c r="H485" s="172">
        <v>750102</v>
      </c>
      <c r="I485" s="893"/>
      <c r="J485"/>
      <c r="K485"/>
      <c r="L485"/>
      <c r="M485"/>
    </row>
    <row r="486" spans="1:13" ht="20.25" customHeight="1">
      <c r="A486" s="173"/>
      <c r="B486" s="884" t="s">
        <v>704</v>
      </c>
      <c r="C486" s="884"/>
      <c r="D486" s="884"/>
      <c r="E486" s="885"/>
      <c r="F486" s="174">
        <f>SUM(F483:F485)</f>
        <v>7345.4</v>
      </c>
      <c r="G486" s="174">
        <f>SUM(G483:G485)</f>
        <v>8226.8480000000018</v>
      </c>
      <c r="H486" s="172"/>
      <c r="I486" s="613"/>
      <c r="J486"/>
      <c r="K486"/>
      <c r="L486"/>
      <c r="M486"/>
    </row>
    <row r="487" spans="1:13" ht="20.25" customHeight="1">
      <c r="A487" s="175"/>
      <c r="B487" s="175"/>
      <c r="C487" s="175"/>
      <c r="D487" s="175"/>
      <c r="E487" s="176" t="s">
        <v>255</v>
      </c>
      <c r="F487" s="177">
        <f>+F486+F481+F1382</f>
        <v>18013.8</v>
      </c>
      <c r="G487" s="177">
        <f>+G486+G481+G1382</f>
        <v>20175.456000000002</v>
      </c>
      <c r="H487" s="175"/>
      <c r="I487" s="175"/>
      <c r="J487"/>
      <c r="K487"/>
      <c r="L487"/>
      <c r="M487"/>
    </row>
    <row r="488" spans="1:13" ht="20.25" customHeight="1">
      <c r="A488" s="175"/>
      <c r="B488" s="175"/>
      <c r="C488" s="175"/>
      <c r="D488" s="175"/>
      <c r="E488" s="175"/>
      <c r="F488" s="175"/>
      <c r="G488" s="175"/>
      <c r="H488" s="175"/>
      <c r="I488" s="175"/>
      <c r="J488"/>
      <c r="K488"/>
      <c r="L488"/>
      <c r="M488"/>
    </row>
    <row r="489" spans="1:13" ht="53.25" customHeight="1">
      <c r="A489" s="163" t="s">
        <v>298</v>
      </c>
      <c r="B489" s="179" t="s">
        <v>719</v>
      </c>
      <c r="C489" s="180"/>
      <c r="D489" s="180"/>
      <c r="E489" s="180"/>
      <c r="F489" s="180"/>
      <c r="G489" s="180"/>
      <c r="H489" s="180"/>
      <c r="I489" s="181"/>
      <c r="J489"/>
      <c r="K489"/>
      <c r="L489"/>
      <c r="M489"/>
    </row>
    <row r="490" spans="1:13" ht="20.25" customHeight="1">
      <c r="A490" s="163" t="s">
        <v>692</v>
      </c>
      <c r="B490" s="138" t="s">
        <v>730</v>
      </c>
      <c r="J490"/>
      <c r="K490"/>
      <c r="L490"/>
      <c r="M490"/>
    </row>
    <row r="491" spans="1:13" ht="20.25" customHeight="1">
      <c r="A491" s="878" t="s">
        <v>694</v>
      </c>
      <c r="B491" s="879"/>
      <c r="C491" s="879"/>
      <c r="D491" s="879"/>
      <c r="E491" s="879"/>
      <c r="F491" s="879"/>
      <c r="G491" s="880"/>
      <c r="H491" s="881" t="s">
        <v>695</v>
      </c>
      <c r="I491" s="882"/>
      <c r="J491"/>
      <c r="K491"/>
      <c r="L491"/>
      <c r="M491"/>
    </row>
    <row r="492" spans="1:13" ht="20.25" customHeight="1">
      <c r="A492" s="167" t="s">
        <v>696</v>
      </c>
      <c r="B492" s="167" t="s">
        <v>302</v>
      </c>
      <c r="C492" s="167" t="s">
        <v>312</v>
      </c>
      <c r="D492" s="167" t="s">
        <v>303</v>
      </c>
      <c r="E492" s="168" t="s">
        <v>304</v>
      </c>
      <c r="F492" s="168" t="s">
        <v>697</v>
      </c>
      <c r="G492" s="168" t="s">
        <v>306</v>
      </c>
      <c r="H492" s="168" t="s">
        <v>307</v>
      </c>
      <c r="I492" s="168" t="s">
        <v>698</v>
      </c>
      <c r="J492"/>
      <c r="K492"/>
      <c r="L492"/>
      <c r="M492"/>
    </row>
    <row r="493" spans="1:13" ht="20.25" customHeight="1">
      <c r="A493" s="886" t="s">
        <v>715</v>
      </c>
      <c r="B493" s="887"/>
      <c r="C493" s="167"/>
      <c r="D493" s="167"/>
      <c r="E493" s="168"/>
      <c r="F493" s="168"/>
      <c r="G493" s="168"/>
      <c r="H493" s="168"/>
      <c r="I493" s="168"/>
      <c r="J493"/>
      <c r="K493"/>
      <c r="L493"/>
      <c r="M493"/>
    </row>
    <row r="494" spans="1:13" ht="20.25" customHeight="1">
      <c r="A494" s="888" t="s">
        <v>373</v>
      </c>
      <c r="B494" s="169" t="s">
        <v>700</v>
      </c>
      <c r="C494" s="170">
        <v>400</v>
      </c>
      <c r="D494" s="170" t="s">
        <v>850</v>
      </c>
      <c r="E494" s="171">
        <v>4.83</v>
      </c>
      <c r="F494" s="171">
        <f>+E494*C494</f>
        <v>1932</v>
      </c>
      <c r="G494" s="171">
        <f>+F494*1.12</f>
        <v>2163.84</v>
      </c>
      <c r="H494" s="172">
        <v>750102</v>
      </c>
      <c r="I494" s="891" t="s">
        <v>701</v>
      </c>
      <c r="J494"/>
      <c r="K494"/>
      <c r="L494"/>
      <c r="M494"/>
    </row>
    <row r="495" spans="1:13" ht="20.25" customHeight="1">
      <c r="A495" s="889"/>
      <c r="B495" s="169" t="s">
        <v>702</v>
      </c>
      <c r="C495" s="170">
        <v>10</v>
      </c>
      <c r="D495" s="170" t="s">
        <v>850</v>
      </c>
      <c r="E495" s="171">
        <v>5.34</v>
      </c>
      <c r="F495" s="171">
        <f>+E495*C495</f>
        <v>53.4</v>
      </c>
      <c r="G495" s="171">
        <f>+F495*1.12</f>
        <v>59.808000000000007</v>
      </c>
      <c r="H495" s="172">
        <v>750102</v>
      </c>
      <c r="I495" s="892"/>
      <c r="J495"/>
      <c r="K495"/>
      <c r="L495"/>
      <c r="M495"/>
    </row>
    <row r="496" spans="1:13" ht="20.25" customHeight="1">
      <c r="A496" s="890"/>
      <c r="B496" s="169" t="s">
        <v>720</v>
      </c>
      <c r="C496" s="170">
        <v>80</v>
      </c>
      <c r="D496" s="170" t="s">
        <v>850</v>
      </c>
      <c r="E496" s="171">
        <v>300</v>
      </c>
      <c r="F496" s="171">
        <f>+E496*C496</f>
        <v>24000</v>
      </c>
      <c r="G496" s="171">
        <f>+F496*1.12</f>
        <v>26880.000000000004</v>
      </c>
      <c r="H496" s="172">
        <v>750102</v>
      </c>
      <c r="I496" s="893"/>
      <c r="J496"/>
      <c r="K496"/>
      <c r="L496"/>
      <c r="M496"/>
    </row>
    <row r="497" spans="1:13" ht="20.25" customHeight="1">
      <c r="A497" s="175"/>
      <c r="B497" s="175"/>
      <c r="C497" s="175"/>
      <c r="D497" s="175"/>
      <c r="E497" s="176" t="s">
        <v>255</v>
      </c>
      <c r="F497" s="177">
        <f>SUM(F494:F496)</f>
        <v>25985.4</v>
      </c>
      <c r="G497" s="177">
        <f>SUM(G494:G496)</f>
        <v>29103.648000000005</v>
      </c>
      <c r="H497" s="175"/>
      <c r="I497" s="175"/>
      <c r="J497"/>
      <c r="K497"/>
      <c r="L497"/>
      <c r="M497"/>
    </row>
    <row r="498" spans="1:13" ht="20.25" customHeight="1">
      <c r="A498" s="175"/>
      <c r="B498" s="175"/>
      <c r="C498" s="175"/>
      <c r="D498" s="175"/>
      <c r="E498" s="175"/>
      <c r="F498" s="175"/>
      <c r="G498" s="175"/>
      <c r="H498" s="175"/>
      <c r="I498" s="175"/>
      <c r="J498"/>
      <c r="K498"/>
      <c r="L498"/>
      <c r="M498"/>
    </row>
    <row r="499" spans="1:13" ht="51.75" customHeight="1">
      <c r="A499" s="163" t="s">
        <v>298</v>
      </c>
      <c r="B499" s="179" t="s">
        <v>721</v>
      </c>
      <c r="C499" s="180"/>
      <c r="D499" s="180"/>
      <c r="E499" s="180"/>
      <c r="F499" s="180"/>
      <c r="G499" s="180"/>
      <c r="H499" s="180"/>
      <c r="I499" s="181"/>
      <c r="J499"/>
      <c r="K499"/>
      <c r="L499"/>
      <c r="M499"/>
    </row>
    <row r="500" spans="1:13" ht="20.25" customHeight="1">
      <c r="A500" s="163" t="s">
        <v>692</v>
      </c>
      <c r="B500" s="138" t="s">
        <v>730</v>
      </c>
      <c r="J500"/>
      <c r="K500"/>
      <c r="L500"/>
      <c r="M500"/>
    </row>
    <row r="501" spans="1:13" ht="20.25" customHeight="1">
      <c r="A501" s="878" t="s">
        <v>694</v>
      </c>
      <c r="B501" s="879"/>
      <c r="C501" s="879"/>
      <c r="D501" s="879"/>
      <c r="E501" s="879"/>
      <c r="F501" s="879"/>
      <c r="G501" s="880"/>
      <c r="H501" s="881" t="s">
        <v>695</v>
      </c>
      <c r="I501" s="882"/>
      <c r="J501"/>
      <c r="K501"/>
      <c r="L501"/>
      <c r="M501"/>
    </row>
    <row r="502" spans="1:13" ht="20.25" customHeight="1">
      <c r="A502" s="167" t="s">
        <v>696</v>
      </c>
      <c r="B502" s="167" t="s">
        <v>302</v>
      </c>
      <c r="C502" s="167" t="s">
        <v>312</v>
      </c>
      <c r="D502" s="167" t="s">
        <v>303</v>
      </c>
      <c r="E502" s="168" t="s">
        <v>304</v>
      </c>
      <c r="F502" s="168" t="s">
        <v>697</v>
      </c>
      <c r="G502" s="168" t="s">
        <v>306</v>
      </c>
      <c r="H502" s="168" t="s">
        <v>307</v>
      </c>
      <c r="I502" s="168" t="s">
        <v>698</v>
      </c>
      <c r="J502"/>
      <c r="K502"/>
      <c r="L502"/>
      <c r="M502"/>
    </row>
    <row r="503" spans="1:13" ht="20.25" customHeight="1">
      <c r="A503" s="886" t="s">
        <v>722</v>
      </c>
      <c r="B503" s="887"/>
      <c r="C503" s="167"/>
      <c r="D503" s="167"/>
      <c r="E503" s="168"/>
      <c r="F503" s="168"/>
      <c r="G503" s="168"/>
      <c r="H503" s="168"/>
      <c r="I503" s="168"/>
      <c r="J503"/>
      <c r="K503"/>
      <c r="L503"/>
      <c r="M503"/>
    </row>
    <row r="504" spans="1:13" ht="20.25" customHeight="1">
      <c r="A504" s="888" t="s">
        <v>373</v>
      </c>
      <c r="B504" s="169" t="s">
        <v>700</v>
      </c>
      <c r="C504" s="170">
        <v>400</v>
      </c>
      <c r="D504" s="170" t="s">
        <v>850</v>
      </c>
      <c r="E504" s="171">
        <v>4.83</v>
      </c>
      <c r="F504" s="171">
        <f>+E504*C504</f>
        <v>1932</v>
      </c>
      <c r="G504" s="171">
        <f>+F504*1.12</f>
        <v>2163.84</v>
      </c>
      <c r="H504" s="172">
        <v>750102</v>
      </c>
      <c r="I504" s="891" t="s">
        <v>701</v>
      </c>
      <c r="J504"/>
      <c r="K504"/>
      <c r="L504"/>
      <c r="M504"/>
    </row>
    <row r="505" spans="1:13" ht="20.25" customHeight="1">
      <c r="A505" s="889"/>
      <c r="B505" s="169" t="s">
        <v>702</v>
      </c>
      <c r="C505" s="170">
        <v>10</v>
      </c>
      <c r="D505" s="170" t="s">
        <v>850</v>
      </c>
      <c r="E505" s="171">
        <v>5.34</v>
      </c>
      <c r="F505" s="171">
        <f>+E505*C505</f>
        <v>53.4</v>
      </c>
      <c r="G505" s="171">
        <f>+F505*1.12</f>
        <v>59.808000000000007</v>
      </c>
      <c r="H505" s="172">
        <v>750102</v>
      </c>
      <c r="I505" s="892"/>
      <c r="J505"/>
      <c r="K505"/>
      <c r="L505"/>
      <c r="M505"/>
    </row>
    <row r="506" spans="1:13" ht="20.25" customHeight="1">
      <c r="A506" s="890"/>
      <c r="B506" s="169" t="s">
        <v>703</v>
      </c>
      <c r="C506" s="170">
        <v>153</v>
      </c>
      <c r="D506" s="170" t="s">
        <v>851</v>
      </c>
      <c r="E506" s="171">
        <v>67</v>
      </c>
      <c r="F506" s="171">
        <f>+E506*C506</f>
        <v>10251</v>
      </c>
      <c r="G506" s="171">
        <f>+F506*1.2</f>
        <v>12301.199999999999</v>
      </c>
      <c r="H506" s="172">
        <v>750102</v>
      </c>
      <c r="I506" s="893"/>
      <c r="J506"/>
      <c r="K506"/>
      <c r="L506"/>
      <c r="M506"/>
    </row>
    <row r="507" spans="1:13" ht="20.25" customHeight="1">
      <c r="A507" s="175"/>
      <c r="B507" s="175"/>
      <c r="C507" s="175"/>
      <c r="D507" s="175"/>
      <c r="E507" s="176" t="s">
        <v>255</v>
      </c>
      <c r="F507" s="177">
        <f>SUM(F504:F506)</f>
        <v>12236.4</v>
      </c>
      <c r="G507" s="177">
        <f>SUM(G504:G506)</f>
        <v>14524.847999999998</v>
      </c>
      <c r="H507" s="175"/>
      <c r="I507" s="175"/>
      <c r="J507"/>
      <c r="K507"/>
      <c r="L507"/>
      <c r="M507"/>
    </row>
    <row r="508" spans="1:13" ht="20.25" customHeight="1">
      <c r="A508" s="161"/>
      <c r="B508" s="161"/>
      <c r="C508" s="161"/>
      <c r="D508" s="161"/>
      <c r="E508" s="162"/>
      <c r="F508" s="162"/>
      <c r="G508" s="162"/>
      <c r="H508" s="161"/>
      <c r="I508" s="161"/>
      <c r="J508"/>
      <c r="K508"/>
      <c r="L508"/>
      <c r="M508"/>
    </row>
    <row r="509" spans="1:13" ht="51.75" customHeight="1">
      <c r="A509" s="163" t="s">
        <v>298</v>
      </c>
      <c r="B509" s="179" t="s">
        <v>723</v>
      </c>
      <c r="C509" s="180"/>
      <c r="D509" s="180"/>
      <c r="E509" s="180"/>
      <c r="F509" s="180"/>
      <c r="G509" s="180"/>
      <c r="H509" s="180"/>
      <c r="I509" s="181"/>
      <c r="J509"/>
      <c r="K509"/>
      <c r="L509"/>
      <c r="M509"/>
    </row>
    <row r="510" spans="1:13" ht="20.25" customHeight="1">
      <c r="A510" s="163" t="s">
        <v>692</v>
      </c>
      <c r="B510" s="138" t="s">
        <v>730</v>
      </c>
      <c r="J510"/>
      <c r="K510"/>
      <c r="L510"/>
      <c r="M510"/>
    </row>
    <row r="511" spans="1:13" ht="20.25" customHeight="1">
      <c r="A511" s="878" t="s">
        <v>694</v>
      </c>
      <c r="B511" s="879"/>
      <c r="C511" s="879"/>
      <c r="D511" s="879"/>
      <c r="E511" s="879"/>
      <c r="F511" s="879"/>
      <c r="G511" s="880"/>
      <c r="H511" s="881" t="s">
        <v>695</v>
      </c>
      <c r="I511" s="882"/>
      <c r="J511"/>
      <c r="K511"/>
      <c r="L511"/>
      <c r="M511"/>
    </row>
    <row r="512" spans="1:13" ht="20.25" customHeight="1">
      <c r="A512" s="167" t="s">
        <v>696</v>
      </c>
      <c r="B512" s="167" t="s">
        <v>302</v>
      </c>
      <c r="C512" s="167" t="s">
        <v>312</v>
      </c>
      <c r="D512" s="167" t="s">
        <v>303</v>
      </c>
      <c r="E512" s="168" t="s">
        <v>304</v>
      </c>
      <c r="F512" s="168" t="s">
        <v>697</v>
      </c>
      <c r="G512" s="168" t="s">
        <v>306</v>
      </c>
      <c r="H512" s="168" t="s">
        <v>307</v>
      </c>
      <c r="I512" s="168" t="s">
        <v>698</v>
      </c>
      <c r="J512"/>
      <c r="K512"/>
      <c r="L512"/>
      <c r="M512"/>
    </row>
    <row r="513" spans="1:13" ht="20.25" customHeight="1">
      <c r="A513" s="886" t="s">
        <v>724</v>
      </c>
      <c r="B513" s="887"/>
      <c r="C513" s="167"/>
      <c r="D513" s="167"/>
      <c r="E513" s="168"/>
      <c r="F513" s="168"/>
      <c r="G513" s="168"/>
      <c r="H513" s="168"/>
      <c r="I513" s="168"/>
      <c r="J513"/>
      <c r="K513"/>
      <c r="L513"/>
      <c r="M513"/>
    </row>
    <row r="514" spans="1:13" ht="20.25" customHeight="1">
      <c r="A514" s="888" t="s">
        <v>373</v>
      </c>
      <c r="B514" s="169" t="s">
        <v>700</v>
      </c>
      <c r="C514" s="170">
        <v>400</v>
      </c>
      <c r="D514" s="170" t="s">
        <v>850</v>
      </c>
      <c r="E514" s="171">
        <v>4.83</v>
      </c>
      <c r="F514" s="171">
        <f>+E514*C514</f>
        <v>1932</v>
      </c>
      <c r="G514" s="171">
        <f>+F514*1.12</f>
        <v>2163.84</v>
      </c>
      <c r="H514" s="172">
        <v>750102</v>
      </c>
      <c r="I514" s="891" t="s">
        <v>701</v>
      </c>
      <c r="J514"/>
      <c r="K514"/>
      <c r="L514"/>
      <c r="M514"/>
    </row>
    <row r="515" spans="1:13" ht="20.25" customHeight="1">
      <c r="A515" s="889"/>
      <c r="B515" s="169" t="s">
        <v>702</v>
      </c>
      <c r="C515" s="170">
        <v>10</v>
      </c>
      <c r="D515" s="170" t="s">
        <v>850</v>
      </c>
      <c r="E515" s="171">
        <v>5.34</v>
      </c>
      <c r="F515" s="171">
        <f>+E515*C515</f>
        <v>53.4</v>
      </c>
      <c r="G515" s="171">
        <f>+F515*1.12</f>
        <v>59.808000000000007</v>
      </c>
      <c r="H515" s="172">
        <v>750102</v>
      </c>
      <c r="I515" s="892"/>
      <c r="J515"/>
      <c r="K515"/>
      <c r="L515"/>
      <c r="M515"/>
    </row>
    <row r="516" spans="1:13" ht="20.25" customHeight="1">
      <c r="A516" s="890"/>
      <c r="B516" s="169" t="s">
        <v>703</v>
      </c>
      <c r="C516" s="170">
        <v>60</v>
      </c>
      <c r="D516" s="170" t="s">
        <v>851</v>
      </c>
      <c r="E516" s="171">
        <v>67</v>
      </c>
      <c r="F516" s="171">
        <f>+E516*C516</f>
        <v>4020</v>
      </c>
      <c r="G516" s="171">
        <f>+F516*1.12</f>
        <v>4502.4000000000005</v>
      </c>
      <c r="H516" s="172">
        <v>750102</v>
      </c>
      <c r="I516" s="893"/>
      <c r="J516"/>
      <c r="K516"/>
      <c r="L516"/>
      <c r="M516"/>
    </row>
    <row r="517" spans="1:13" ht="20.25" customHeight="1">
      <c r="A517" s="175"/>
      <c r="B517" s="175"/>
      <c r="C517" s="175"/>
      <c r="D517" s="175"/>
      <c r="E517" s="176" t="s">
        <v>255</v>
      </c>
      <c r="F517" s="177">
        <f>SUM(F514:F516)</f>
        <v>6005.4</v>
      </c>
      <c r="G517" s="177">
        <f>SUM(G514:G516)</f>
        <v>6726.0480000000007</v>
      </c>
      <c r="H517" s="175"/>
      <c r="I517" s="175"/>
      <c r="J517"/>
      <c r="K517"/>
      <c r="L517"/>
      <c r="M517"/>
    </row>
    <row r="518" spans="1:13" ht="20.25" customHeight="1">
      <c r="A518" s="175"/>
      <c r="B518" s="175"/>
      <c r="C518" s="175"/>
      <c r="D518" s="175"/>
      <c r="E518" s="175"/>
      <c r="F518" s="175"/>
      <c r="G518" s="175"/>
      <c r="H518" s="175"/>
      <c r="I518" s="175"/>
      <c r="J518"/>
      <c r="K518"/>
      <c r="L518"/>
      <c r="M518"/>
    </row>
    <row r="519" spans="1:13" ht="55.5" customHeight="1">
      <c r="A519" s="163" t="s">
        <v>298</v>
      </c>
      <c r="B519" s="179" t="s">
        <v>725</v>
      </c>
      <c r="C519" s="180"/>
      <c r="D519" s="180"/>
      <c r="E519" s="180"/>
      <c r="F519" s="180"/>
      <c r="G519" s="180"/>
      <c r="H519" s="180"/>
      <c r="I519" s="181"/>
      <c r="J519"/>
      <c r="K519"/>
      <c r="L519"/>
      <c r="M519"/>
    </row>
    <row r="520" spans="1:13" ht="20.25" customHeight="1">
      <c r="A520" s="163" t="s">
        <v>692</v>
      </c>
      <c r="B520" s="138" t="s">
        <v>730</v>
      </c>
      <c r="J520"/>
      <c r="K520"/>
      <c r="L520"/>
      <c r="M520"/>
    </row>
    <row r="521" spans="1:13" ht="20.25" customHeight="1">
      <c r="A521" s="878" t="s">
        <v>694</v>
      </c>
      <c r="B521" s="879"/>
      <c r="C521" s="879"/>
      <c r="D521" s="879"/>
      <c r="E521" s="879"/>
      <c r="F521" s="879"/>
      <c r="G521" s="880"/>
      <c r="H521" s="881" t="s">
        <v>695</v>
      </c>
      <c r="I521" s="882"/>
      <c r="J521"/>
      <c r="K521"/>
      <c r="L521"/>
      <c r="M521"/>
    </row>
    <row r="522" spans="1:13" ht="20.25" customHeight="1">
      <c r="A522" s="167" t="s">
        <v>696</v>
      </c>
      <c r="B522" s="167" t="s">
        <v>302</v>
      </c>
      <c r="C522" s="167" t="s">
        <v>312</v>
      </c>
      <c r="D522" s="167" t="s">
        <v>303</v>
      </c>
      <c r="E522" s="168" t="s">
        <v>304</v>
      </c>
      <c r="F522" s="168" t="s">
        <v>697</v>
      </c>
      <c r="G522" s="168" t="s">
        <v>306</v>
      </c>
      <c r="H522" s="168" t="s">
        <v>307</v>
      </c>
      <c r="I522" s="168" t="s">
        <v>698</v>
      </c>
      <c r="J522"/>
      <c r="K522"/>
      <c r="L522"/>
      <c r="M522"/>
    </row>
    <row r="523" spans="1:13" ht="20.25" customHeight="1">
      <c r="A523" s="886" t="s">
        <v>726</v>
      </c>
      <c r="B523" s="887"/>
      <c r="C523" s="167"/>
      <c r="D523" s="167"/>
      <c r="E523" s="168"/>
      <c r="F523" s="168"/>
      <c r="G523" s="168"/>
      <c r="H523" s="168"/>
      <c r="I523" s="168"/>
      <c r="J523"/>
      <c r="K523"/>
      <c r="L523"/>
      <c r="M523"/>
    </row>
    <row r="524" spans="1:13" ht="20.25" customHeight="1">
      <c r="A524" s="888" t="s">
        <v>373</v>
      </c>
      <c r="B524" s="169" t="s">
        <v>700</v>
      </c>
      <c r="C524" s="170">
        <v>400</v>
      </c>
      <c r="D524" s="170" t="s">
        <v>850</v>
      </c>
      <c r="E524" s="171">
        <v>4.83</v>
      </c>
      <c r="F524" s="171">
        <f>+E524*C524</f>
        <v>1932</v>
      </c>
      <c r="G524" s="171">
        <f>+F524*1.12</f>
        <v>2163.84</v>
      </c>
      <c r="H524" s="172">
        <v>750102</v>
      </c>
      <c r="I524" s="891" t="s">
        <v>701</v>
      </c>
      <c r="J524"/>
      <c r="K524"/>
      <c r="L524"/>
      <c r="M524"/>
    </row>
    <row r="525" spans="1:13" ht="20.25" customHeight="1">
      <c r="A525" s="889"/>
      <c r="B525" s="169" t="s">
        <v>702</v>
      </c>
      <c r="C525" s="170">
        <v>10</v>
      </c>
      <c r="D525" s="170" t="s">
        <v>850</v>
      </c>
      <c r="E525" s="171">
        <v>5.34</v>
      </c>
      <c r="F525" s="171">
        <f>+E525*C525</f>
        <v>53.4</v>
      </c>
      <c r="G525" s="171">
        <f>+F525*1.12</f>
        <v>59.808000000000007</v>
      </c>
      <c r="H525" s="172">
        <v>750102</v>
      </c>
      <c r="I525" s="892"/>
      <c r="J525"/>
      <c r="K525"/>
      <c r="L525"/>
      <c r="M525"/>
    </row>
    <row r="526" spans="1:13" ht="20.25" customHeight="1">
      <c r="A526" s="890"/>
      <c r="B526" s="169" t="s">
        <v>703</v>
      </c>
      <c r="C526" s="170">
        <v>80</v>
      </c>
      <c r="D526" s="170" t="s">
        <v>851</v>
      </c>
      <c r="E526" s="171">
        <v>67</v>
      </c>
      <c r="F526" s="171">
        <f>+E526*C526</f>
        <v>5360</v>
      </c>
      <c r="G526" s="171">
        <f>+F526*1.12</f>
        <v>6003.2000000000007</v>
      </c>
      <c r="H526" s="172">
        <v>750102</v>
      </c>
      <c r="I526" s="893"/>
      <c r="J526"/>
      <c r="K526"/>
      <c r="L526"/>
      <c r="M526"/>
    </row>
    <row r="527" spans="1:13" ht="20.25" customHeight="1">
      <c r="A527" s="175"/>
      <c r="B527" s="175"/>
      <c r="C527" s="175"/>
      <c r="D527" s="175"/>
      <c r="E527" s="176" t="s">
        <v>255</v>
      </c>
      <c r="F527" s="177">
        <f>SUM(F524:F526)</f>
        <v>7345.4</v>
      </c>
      <c r="G527" s="177">
        <f>SUM(G524:G526)</f>
        <v>8226.8480000000018</v>
      </c>
      <c r="H527" s="175"/>
      <c r="I527" s="175"/>
      <c r="J527"/>
      <c r="K527"/>
      <c r="L527"/>
      <c r="M527"/>
    </row>
    <row r="528" spans="1:13" ht="20.25" customHeight="1">
      <c r="A528" s="175"/>
      <c r="B528" s="175"/>
      <c r="C528" s="175"/>
      <c r="D528" s="175"/>
      <c r="E528" s="175"/>
      <c r="F528" s="175"/>
      <c r="G528" s="175"/>
      <c r="H528" s="175"/>
      <c r="I528" s="175"/>
      <c r="J528"/>
      <c r="K528"/>
      <c r="L528"/>
      <c r="M528"/>
    </row>
    <row r="529" spans="1:13" ht="52.5" customHeight="1">
      <c r="A529" s="163" t="s">
        <v>298</v>
      </c>
      <c r="B529" s="179" t="s">
        <v>727</v>
      </c>
      <c r="C529" s="180"/>
      <c r="D529" s="180"/>
      <c r="E529" s="180"/>
      <c r="F529" s="180"/>
      <c r="G529" s="180"/>
      <c r="H529" s="180"/>
      <c r="I529" s="181"/>
      <c r="J529"/>
      <c r="K529"/>
      <c r="L529"/>
      <c r="M529"/>
    </row>
    <row r="530" spans="1:13" ht="20.25" customHeight="1">
      <c r="A530" s="163" t="s">
        <v>692</v>
      </c>
      <c r="B530" s="138" t="s">
        <v>730</v>
      </c>
      <c r="J530"/>
      <c r="K530"/>
      <c r="L530"/>
      <c r="M530"/>
    </row>
    <row r="531" spans="1:13" ht="20.25" customHeight="1">
      <c r="A531" s="878" t="s">
        <v>694</v>
      </c>
      <c r="B531" s="879"/>
      <c r="C531" s="879"/>
      <c r="D531" s="879"/>
      <c r="E531" s="879"/>
      <c r="F531" s="879"/>
      <c r="G531" s="880"/>
      <c r="H531" s="881" t="s">
        <v>695</v>
      </c>
      <c r="I531" s="882"/>
      <c r="J531"/>
      <c r="K531"/>
      <c r="L531"/>
      <c r="M531"/>
    </row>
    <row r="532" spans="1:13" ht="20.25" customHeight="1">
      <c r="A532" s="167" t="s">
        <v>696</v>
      </c>
      <c r="B532" s="167" t="s">
        <v>302</v>
      </c>
      <c r="C532" s="167" t="s">
        <v>312</v>
      </c>
      <c r="D532" s="167" t="s">
        <v>303</v>
      </c>
      <c r="E532" s="168" t="s">
        <v>304</v>
      </c>
      <c r="F532" s="168" t="s">
        <v>697</v>
      </c>
      <c r="G532" s="168" t="s">
        <v>306</v>
      </c>
      <c r="H532" s="168" t="s">
        <v>307</v>
      </c>
      <c r="I532" s="168" t="s">
        <v>698</v>
      </c>
      <c r="J532"/>
      <c r="K532"/>
      <c r="L532"/>
      <c r="M532"/>
    </row>
    <row r="533" spans="1:13" ht="20.25" customHeight="1">
      <c r="A533" s="886" t="s">
        <v>728</v>
      </c>
      <c r="B533" s="887"/>
      <c r="C533" s="167"/>
      <c r="D533" s="167"/>
      <c r="E533" s="168"/>
      <c r="F533" s="168"/>
      <c r="G533" s="168"/>
      <c r="H533" s="168"/>
      <c r="I533" s="168"/>
      <c r="J533"/>
      <c r="K533"/>
      <c r="L533"/>
      <c r="M533"/>
    </row>
    <row r="534" spans="1:13" ht="20.25" customHeight="1">
      <c r="A534" s="888" t="s">
        <v>373</v>
      </c>
      <c r="B534" s="169" t="s">
        <v>700</v>
      </c>
      <c r="C534" s="170">
        <v>500</v>
      </c>
      <c r="D534" s="170" t="s">
        <v>850</v>
      </c>
      <c r="E534" s="171">
        <v>4.83</v>
      </c>
      <c r="F534" s="171">
        <f>+E534*C534</f>
        <v>2415</v>
      </c>
      <c r="G534" s="171">
        <f>+F534*1.12</f>
        <v>2704.8</v>
      </c>
      <c r="H534" s="172">
        <v>750102</v>
      </c>
      <c r="I534" s="891" t="s">
        <v>701</v>
      </c>
      <c r="J534"/>
      <c r="K534"/>
      <c r="L534"/>
      <c r="M534"/>
    </row>
    <row r="535" spans="1:13" ht="20.25" customHeight="1">
      <c r="A535" s="889"/>
      <c r="B535" s="169" t="s">
        <v>702</v>
      </c>
      <c r="C535" s="170">
        <v>10</v>
      </c>
      <c r="D535" s="170" t="s">
        <v>850</v>
      </c>
      <c r="E535" s="171">
        <v>5.34</v>
      </c>
      <c r="F535" s="171">
        <f>+E535*C535</f>
        <v>53.4</v>
      </c>
      <c r="G535" s="171">
        <f>+F535*1.12</f>
        <v>59.808000000000007</v>
      </c>
      <c r="H535" s="172">
        <v>750102</v>
      </c>
      <c r="I535" s="892"/>
      <c r="J535"/>
      <c r="K535"/>
      <c r="L535"/>
      <c r="M535"/>
    </row>
    <row r="536" spans="1:13" ht="20.25" customHeight="1">
      <c r="A536" s="890"/>
      <c r="B536" s="169" t="s">
        <v>703</v>
      </c>
      <c r="C536" s="170">
        <v>80</v>
      </c>
      <c r="D536" s="170" t="s">
        <v>851</v>
      </c>
      <c r="E536" s="171">
        <v>67</v>
      </c>
      <c r="F536" s="171">
        <f>+E536*C536</f>
        <v>5360</v>
      </c>
      <c r="G536" s="171">
        <f>+F536*1.12</f>
        <v>6003.2000000000007</v>
      </c>
      <c r="H536" s="172">
        <v>750102</v>
      </c>
      <c r="I536" s="893"/>
      <c r="J536"/>
      <c r="K536"/>
      <c r="L536"/>
      <c r="M536"/>
    </row>
    <row r="537" spans="1:13" ht="20.25" customHeight="1">
      <c r="A537" s="175"/>
      <c r="B537" s="175"/>
      <c r="C537" s="175"/>
      <c r="D537" s="175"/>
      <c r="E537" s="176" t="s">
        <v>255</v>
      </c>
      <c r="F537" s="177">
        <f>SUM(F534:F536)</f>
        <v>7828.4</v>
      </c>
      <c r="G537" s="177">
        <f>SUM(G534:G536)</f>
        <v>8767.8080000000009</v>
      </c>
      <c r="H537" s="175"/>
      <c r="I537" s="175"/>
      <c r="J537"/>
      <c r="K537"/>
      <c r="L537"/>
      <c r="M537"/>
    </row>
    <row r="538" spans="1:13" ht="20.25" customHeight="1">
      <c r="A538" s="175"/>
      <c r="B538" s="175"/>
      <c r="C538" s="175"/>
      <c r="D538" s="175"/>
      <c r="E538" s="175"/>
      <c r="F538" s="175"/>
      <c r="G538" s="175"/>
      <c r="H538" s="175"/>
      <c r="I538" s="175"/>
      <c r="J538"/>
      <c r="K538"/>
      <c r="L538"/>
      <c r="M538"/>
    </row>
    <row r="539" spans="1:13" ht="20.25" customHeight="1">
      <c r="A539" s="161"/>
      <c r="B539" s="161"/>
      <c r="C539" s="161"/>
      <c r="D539" s="161"/>
      <c r="E539" s="182" t="s">
        <v>729</v>
      </c>
      <c r="F539" s="183">
        <f>+F537+F527+F517+F507+F497+F487+F1372+F1353</f>
        <v>78022.8</v>
      </c>
      <c r="G539" s="183">
        <f>+G537+G527+G517+G507+G497+G487+G1372+G1353</f>
        <v>88205.616000000024</v>
      </c>
      <c r="H539" s="161">
        <v>152220</v>
      </c>
      <c r="I539" s="161">
        <v>80000</v>
      </c>
      <c r="J539"/>
      <c r="K539"/>
      <c r="L539"/>
      <c r="M539"/>
    </row>
    <row r="540" spans="1:13" ht="20.25" customHeight="1">
      <c r="A540" s="161"/>
      <c r="B540" s="161"/>
      <c r="C540" s="161"/>
      <c r="D540" s="161"/>
      <c r="E540" s="162"/>
      <c r="F540" s="162"/>
      <c r="G540" s="162"/>
      <c r="H540" s="161"/>
      <c r="I540" s="184">
        <f>+H539+I539</f>
        <v>232220</v>
      </c>
      <c r="J540"/>
      <c r="K540"/>
      <c r="L540"/>
      <c r="M540"/>
    </row>
    <row r="541" spans="1:13" ht="20.25" customHeight="1">
      <c r="A541" s="161"/>
      <c r="B541" s="161"/>
      <c r="C541" s="161"/>
      <c r="D541" s="161"/>
      <c r="E541" s="162"/>
      <c r="F541" s="162"/>
      <c r="G541" s="162"/>
      <c r="H541" s="161"/>
      <c r="I541" s="161"/>
      <c r="J541"/>
      <c r="K541"/>
      <c r="L541"/>
      <c r="M541"/>
    </row>
    <row r="542" spans="1:13" ht="20.25" customHeight="1">
      <c r="A542" s="875" t="s">
        <v>955</v>
      </c>
      <c r="B542" s="876"/>
      <c r="C542" s="876"/>
      <c r="D542" s="876"/>
      <c r="E542" s="876"/>
      <c r="F542" s="876"/>
      <c r="G542" s="876"/>
      <c r="H542" s="876"/>
      <c r="I542" s="877"/>
      <c r="J542"/>
      <c r="K542"/>
      <c r="L542"/>
      <c r="M542"/>
    </row>
    <row r="543" spans="1:13" ht="36" customHeight="1">
      <c r="A543" s="163" t="s">
        <v>298</v>
      </c>
      <c r="B543" s="649" t="s">
        <v>1095</v>
      </c>
      <c r="C543" s="650"/>
      <c r="D543" s="650"/>
      <c r="E543" s="650"/>
      <c r="F543" s="650"/>
      <c r="G543" s="650"/>
      <c r="H543" s="651"/>
      <c r="I543" s="181"/>
      <c r="J543"/>
      <c r="K543"/>
      <c r="L543"/>
      <c r="M543"/>
    </row>
    <row r="544" spans="1:13" ht="20.25" customHeight="1">
      <c r="A544" s="163" t="s">
        <v>692</v>
      </c>
      <c r="B544" s="138" t="s">
        <v>730</v>
      </c>
      <c r="J544"/>
      <c r="K544"/>
      <c r="L544"/>
      <c r="M544"/>
    </row>
    <row r="545" spans="1:13" ht="20.25" customHeight="1">
      <c r="A545" s="878" t="s">
        <v>694</v>
      </c>
      <c r="B545" s="879"/>
      <c r="C545" s="879"/>
      <c r="D545" s="879"/>
      <c r="E545" s="879"/>
      <c r="F545" s="879"/>
      <c r="G545" s="880"/>
      <c r="H545" s="881" t="s">
        <v>695</v>
      </c>
      <c r="I545" s="882"/>
      <c r="J545"/>
      <c r="K545"/>
      <c r="L545"/>
      <c r="M545"/>
    </row>
    <row r="546" spans="1:13" ht="20.25" customHeight="1">
      <c r="A546" s="167" t="s">
        <v>696</v>
      </c>
      <c r="B546" s="167" t="s">
        <v>302</v>
      </c>
      <c r="C546" s="167" t="s">
        <v>312</v>
      </c>
      <c r="D546" s="167" t="s">
        <v>303</v>
      </c>
      <c r="E546" s="168" t="s">
        <v>304</v>
      </c>
      <c r="F546" s="168" t="s">
        <v>697</v>
      </c>
      <c r="G546" s="168" t="s">
        <v>306</v>
      </c>
      <c r="H546" s="168" t="s">
        <v>307</v>
      </c>
      <c r="I546" s="168" t="s">
        <v>698</v>
      </c>
      <c r="J546"/>
      <c r="K546"/>
      <c r="L546"/>
      <c r="M546"/>
    </row>
    <row r="547" spans="1:13" ht="20.25" customHeight="1">
      <c r="A547" s="886" t="s">
        <v>713</v>
      </c>
      <c r="B547" s="887"/>
      <c r="C547" s="167"/>
      <c r="D547" s="167"/>
      <c r="E547" s="168"/>
      <c r="F547" s="168"/>
      <c r="G547" s="168"/>
      <c r="H547" s="168"/>
      <c r="I547" s="168"/>
      <c r="J547"/>
      <c r="K547"/>
      <c r="L547"/>
      <c r="M547"/>
    </row>
    <row r="548" spans="1:13" ht="53.25" customHeight="1">
      <c r="A548" s="185" t="s">
        <v>373</v>
      </c>
      <c r="B548" s="169" t="s">
        <v>733</v>
      </c>
      <c r="C548" s="170">
        <v>1</v>
      </c>
      <c r="D548" s="170" t="s">
        <v>732</v>
      </c>
      <c r="E548" s="171">
        <f>41951.7</f>
        <v>41951.7</v>
      </c>
      <c r="F548" s="171">
        <f>+E548*C548</f>
        <v>41951.7</v>
      </c>
      <c r="G548" s="171">
        <f>+F548*1.12</f>
        <v>46985.904000000002</v>
      </c>
      <c r="H548" s="172">
        <v>750102</v>
      </c>
      <c r="I548" s="612" t="s">
        <v>701</v>
      </c>
      <c r="J548"/>
      <c r="K548"/>
      <c r="L548"/>
      <c r="M548"/>
    </row>
    <row r="549" spans="1:13" ht="20.25" customHeight="1">
      <c r="A549" s="173"/>
      <c r="B549" s="884" t="s">
        <v>704</v>
      </c>
      <c r="C549" s="884"/>
      <c r="D549" s="884"/>
      <c r="E549" s="885"/>
      <c r="F549" s="174">
        <f>SUM(F548:F548)</f>
        <v>41951.7</v>
      </c>
      <c r="G549" s="174">
        <f>SUM(G548:G548)</f>
        <v>46985.904000000002</v>
      </c>
      <c r="H549" s="172"/>
      <c r="I549" s="613"/>
      <c r="J549"/>
      <c r="K549"/>
      <c r="L549"/>
      <c r="M549"/>
    </row>
    <row r="550" spans="1:13" ht="20.25" customHeight="1">
      <c r="A550" s="175"/>
      <c r="B550" s="175"/>
      <c r="C550" s="175"/>
      <c r="D550" s="175"/>
      <c r="E550" s="176" t="s">
        <v>255</v>
      </c>
      <c r="F550" s="177">
        <f>+F549</f>
        <v>41951.7</v>
      </c>
      <c r="G550" s="177">
        <f>+G549</f>
        <v>46985.904000000002</v>
      </c>
      <c r="H550" s="175"/>
      <c r="I550" s="175"/>
      <c r="J550"/>
      <c r="K550"/>
      <c r="L550"/>
      <c r="M550"/>
    </row>
    <row r="551" spans="1:13" ht="20.25" customHeight="1">
      <c r="A551" s="161"/>
      <c r="B551" s="161"/>
      <c r="C551" s="161"/>
      <c r="D551" s="161"/>
      <c r="E551" s="162"/>
      <c r="F551" s="162"/>
      <c r="G551" s="162"/>
      <c r="H551" s="161"/>
      <c r="I551" s="184">
        <v>160000</v>
      </c>
      <c r="J551"/>
      <c r="K551"/>
      <c r="L551"/>
      <c r="M551"/>
    </row>
    <row r="552" spans="1:13" ht="20.25" customHeight="1">
      <c r="A552" s="161"/>
      <c r="B552" s="161"/>
      <c r="C552" s="161"/>
      <c r="D552" s="161"/>
      <c r="E552" s="186"/>
      <c r="F552" s="186">
        <f>+F550+F539</f>
        <v>119974.5</v>
      </c>
      <c r="G552" s="186">
        <f>+G550+G539</f>
        <v>135191.52000000002</v>
      </c>
      <c r="H552" s="161"/>
      <c r="I552" s="161">
        <f>+I551+I540</f>
        <v>392220</v>
      </c>
      <c r="J552"/>
      <c r="K552"/>
      <c r="L552"/>
      <c r="M552"/>
    </row>
    <row r="553" spans="1:13" ht="20.25" customHeight="1">
      <c r="A553" s="161"/>
      <c r="B553" s="161"/>
      <c r="C553" s="161"/>
      <c r="D553" s="161"/>
      <c r="E553" s="186"/>
      <c r="F553" s="186"/>
      <c r="G553" s="186"/>
      <c r="H553" s="161"/>
      <c r="I553" s="161"/>
      <c r="J553"/>
      <c r="K553"/>
      <c r="L553"/>
      <c r="M553"/>
    </row>
    <row r="554" spans="1:13" ht="20.25" customHeight="1">
      <c r="A554" s="875" t="s">
        <v>955</v>
      </c>
      <c r="B554" s="876"/>
      <c r="C554" s="876"/>
      <c r="D554" s="876"/>
      <c r="E554" s="876"/>
      <c r="F554" s="876"/>
      <c r="G554" s="876"/>
      <c r="H554" s="876"/>
      <c r="I554" s="877"/>
      <c r="J554"/>
      <c r="K554"/>
      <c r="L554"/>
      <c r="M554"/>
    </row>
    <row r="555" spans="1:13" ht="49.5" customHeight="1">
      <c r="A555" s="163" t="s">
        <v>298</v>
      </c>
      <c r="B555" s="179" t="s">
        <v>734</v>
      </c>
      <c r="C555" s="180"/>
      <c r="D555" s="180"/>
      <c r="E555" s="180"/>
      <c r="F555" s="180"/>
      <c r="G555" s="180"/>
      <c r="H555" s="180"/>
      <c r="I555" s="181"/>
      <c r="J555"/>
      <c r="K555"/>
      <c r="L555"/>
      <c r="M555"/>
    </row>
    <row r="556" spans="1:13" ht="74.25" customHeight="1">
      <c r="A556" s="163" t="s">
        <v>692</v>
      </c>
      <c r="B556" s="164" t="s">
        <v>838</v>
      </c>
      <c r="C556" s="165"/>
      <c r="D556" s="165"/>
      <c r="E556" s="165"/>
      <c r="F556" s="165"/>
      <c r="G556" s="165"/>
      <c r="H556" s="187"/>
      <c r="I556" s="188"/>
      <c r="J556"/>
      <c r="K556"/>
      <c r="L556"/>
      <c r="M556"/>
    </row>
    <row r="557" spans="1:13" ht="20.25" customHeight="1">
      <c r="A557" s="878" t="s">
        <v>694</v>
      </c>
      <c r="B557" s="879"/>
      <c r="C557" s="879"/>
      <c r="D557" s="879"/>
      <c r="E557" s="879"/>
      <c r="F557" s="879"/>
      <c r="G557" s="880"/>
      <c r="H557" s="881" t="s">
        <v>695</v>
      </c>
      <c r="I557" s="882"/>
      <c r="J557"/>
      <c r="K557"/>
      <c r="L557"/>
      <c r="M557"/>
    </row>
    <row r="558" spans="1:13" ht="20.25" customHeight="1">
      <c r="A558" s="167" t="s">
        <v>696</v>
      </c>
      <c r="B558" s="167" t="s">
        <v>302</v>
      </c>
      <c r="C558" s="167" t="s">
        <v>312</v>
      </c>
      <c r="D558" s="167" t="s">
        <v>303</v>
      </c>
      <c r="E558" s="168" t="s">
        <v>304</v>
      </c>
      <c r="F558" s="168" t="s">
        <v>697</v>
      </c>
      <c r="G558" s="168" t="s">
        <v>306</v>
      </c>
      <c r="H558" s="168" t="s">
        <v>307</v>
      </c>
      <c r="I558" s="168" t="s">
        <v>698</v>
      </c>
      <c r="J558"/>
      <c r="K558"/>
      <c r="L558"/>
      <c r="M558"/>
    </row>
    <row r="559" spans="1:13" ht="20.25" customHeight="1">
      <c r="A559" s="150" t="s">
        <v>488</v>
      </c>
      <c r="B559" s="155" t="s">
        <v>735</v>
      </c>
      <c r="C559" s="149">
        <v>20</v>
      </c>
      <c r="D559" s="149" t="s">
        <v>490</v>
      </c>
      <c r="E559" s="149">
        <v>63</v>
      </c>
      <c r="F559" s="189">
        <f>+E559*C559</f>
        <v>1260</v>
      </c>
      <c r="G559" s="189">
        <f>+F559*1.12</f>
        <v>1411.2</v>
      </c>
      <c r="H559" s="898">
        <v>750102</v>
      </c>
      <c r="I559" s="860" t="s">
        <v>701</v>
      </c>
      <c r="J559"/>
      <c r="K559"/>
      <c r="L559"/>
      <c r="M559"/>
    </row>
    <row r="560" spans="1:13" ht="20.25" customHeight="1">
      <c r="A560" s="150" t="s">
        <v>488</v>
      </c>
      <c r="B560" s="155" t="s">
        <v>736</v>
      </c>
      <c r="C560" s="149">
        <v>20</v>
      </c>
      <c r="D560" s="149" t="s">
        <v>490</v>
      </c>
      <c r="E560" s="149">
        <v>95</v>
      </c>
      <c r="F560" s="189">
        <f t="shared" ref="F560:F566" si="49">+E560*C560</f>
        <v>1900</v>
      </c>
      <c r="G560" s="189">
        <f t="shared" ref="G560:G566" si="50">+F560*1.12</f>
        <v>2128</v>
      </c>
      <c r="H560" s="899"/>
      <c r="I560" s="860"/>
      <c r="J560"/>
      <c r="K560"/>
      <c r="L560"/>
      <c r="M560"/>
    </row>
    <row r="561" spans="1:13" ht="20.25" customHeight="1">
      <c r="A561" s="150" t="s">
        <v>488</v>
      </c>
      <c r="B561" s="155" t="s">
        <v>737</v>
      </c>
      <c r="C561" s="149">
        <v>20</v>
      </c>
      <c r="D561" s="149" t="s">
        <v>329</v>
      </c>
      <c r="E561" s="149">
        <v>28</v>
      </c>
      <c r="F561" s="189">
        <f t="shared" si="49"/>
        <v>560</v>
      </c>
      <c r="G561" s="189">
        <f t="shared" si="50"/>
        <v>627.20000000000005</v>
      </c>
      <c r="H561" s="899"/>
      <c r="I561" s="860"/>
      <c r="J561"/>
      <c r="K561"/>
      <c r="L561"/>
      <c r="M561"/>
    </row>
    <row r="562" spans="1:13" ht="20.25" customHeight="1">
      <c r="A562" s="150" t="s">
        <v>488</v>
      </c>
      <c r="B562" s="155" t="s">
        <v>738</v>
      </c>
      <c r="C562" s="149">
        <v>20</v>
      </c>
      <c r="D562" s="149" t="s">
        <v>329</v>
      </c>
      <c r="E562" s="149">
        <v>22</v>
      </c>
      <c r="F562" s="189">
        <f t="shared" si="49"/>
        <v>440</v>
      </c>
      <c r="G562" s="189">
        <f t="shared" si="50"/>
        <v>492.80000000000007</v>
      </c>
      <c r="H562" s="899"/>
      <c r="I562" s="860"/>
      <c r="J562"/>
      <c r="K562"/>
      <c r="L562"/>
      <c r="M562"/>
    </row>
    <row r="563" spans="1:13" ht="20.25" customHeight="1">
      <c r="A563" s="150" t="s">
        <v>488</v>
      </c>
      <c r="B563" s="155" t="s">
        <v>313</v>
      </c>
      <c r="C563" s="149">
        <v>100</v>
      </c>
      <c r="D563" s="149" t="s">
        <v>314</v>
      </c>
      <c r="E563" s="149">
        <v>8</v>
      </c>
      <c r="F563" s="189">
        <f t="shared" si="49"/>
        <v>800</v>
      </c>
      <c r="G563" s="189">
        <f t="shared" si="50"/>
        <v>896.00000000000011</v>
      </c>
      <c r="H563" s="899"/>
      <c r="I563" s="860"/>
      <c r="J563"/>
      <c r="K563"/>
      <c r="L563"/>
      <c r="M563"/>
    </row>
    <row r="564" spans="1:13" ht="20.25" customHeight="1">
      <c r="A564" s="150" t="s">
        <v>488</v>
      </c>
      <c r="B564" s="190" t="s">
        <v>317</v>
      </c>
      <c r="C564" s="149">
        <v>10</v>
      </c>
      <c r="D564" s="149" t="s">
        <v>321</v>
      </c>
      <c r="E564" s="149">
        <v>25</v>
      </c>
      <c r="F564" s="189">
        <f t="shared" si="49"/>
        <v>250</v>
      </c>
      <c r="G564" s="189">
        <f t="shared" si="50"/>
        <v>280</v>
      </c>
      <c r="H564" s="899"/>
      <c r="I564" s="860"/>
      <c r="J564"/>
      <c r="K564"/>
      <c r="L564"/>
      <c r="M564"/>
    </row>
    <row r="565" spans="1:13" ht="20.25" customHeight="1">
      <c r="A565" s="150" t="s">
        <v>488</v>
      </c>
      <c r="B565" s="190" t="s">
        <v>318</v>
      </c>
      <c r="C565" s="149">
        <v>12</v>
      </c>
      <c r="D565" s="149" t="s">
        <v>321</v>
      </c>
      <c r="E565" s="149">
        <v>30</v>
      </c>
      <c r="F565" s="189">
        <f t="shared" si="49"/>
        <v>360</v>
      </c>
      <c r="G565" s="189">
        <f t="shared" si="50"/>
        <v>403.20000000000005</v>
      </c>
      <c r="H565" s="899"/>
      <c r="I565" s="860"/>
      <c r="J565"/>
      <c r="K565"/>
      <c r="L565"/>
      <c r="M565"/>
    </row>
    <row r="566" spans="1:13" ht="20.25" customHeight="1">
      <c r="A566" s="150" t="s">
        <v>488</v>
      </c>
      <c r="B566" s="190" t="s">
        <v>326</v>
      </c>
      <c r="C566" s="149">
        <v>5</v>
      </c>
      <c r="D566" s="149" t="s">
        <v>322</v>
      </c>
      <c r="E566" s="149">
        <v>5</v>
      </c>
      <c r="F566" s="189">
        <f t="shared" si="49"/>
        <v>25</v>
      </c>
      <c r="G566" s="189">
        <f t="shared" si="50"/>
        <v>28.000000000000004</v>
      </c>
      <c r="H566" s="899"/>
      <c r="I566" s="860"/>
      <c r="J566"/>
      <c r="K566"/>
      <c r="L566"/>
      <c r="M566"/>
    </row>
    <row r="567" spans="1:13" ht="20.25" customHeight="1">
      <c r="A567" s="894" t="s">
        <v>101</v>
      </c>
      <c r="B567" s="895"/>
      <c r="C567" s="895"/>
      <c r="D567" s="895"/>
      <c r="E567" s="896"/>
      <c r="F567" s="191">
        <f>SUM(F559:F566)</f>
        <v>5595</v>
      </c>
      <c r="G567" s="191">
        <f>SUM(G559:G566)</f>
        <v>6266.4</v>
      </c>
      <c r="H567" s="900"/>
      <c r="I567" s="863"/>
      <c r="J567"/>
      <c r="K567"/>
      <c r="L567"/>
      <c r="M567"/>
    </row>
    <row r="568" spans="1:13" ht="20.25" customHeight="1">
      <c r="A568" s="894"/>
      <c r="B568" s="895"/>
      <c r="C568" s="895"/>
      <c r="D568" s="895"/>
      <c r="E568" s="895"/>
      <c r="F568" s="895"/>
      <c r="G568" s="895"/>
      <c r="H568" s="895"/>
      <c r="I568" s="896"/>
      <c r="J568"/>
      <c r="K568"/>
      <c r="L568"/>
      <c r="M568"/>
    </row>
    <row r="569" spans="1:13" ht="20.25" customHeight="1">
      <c r="A569" s="192" t="s">
        <v>341</v>
      </c>
      <c r="B569" s="155" t="s">
        <v>342</v>
      </c>
      <c r="C569" s="149">
        <v>1</v>
      </c>
      <c r="D569" s="149" t="s">
        <v>343</v>
      </c>
      <c r="E569" s="149">
        <v>750</v>
      </c>
      <c r="F569" s="189">
        <f>+E569*C569</f>
        <v>750</v>
      </c>
      <c r="G569" s="189">
        <f>+F569*1.12</f>
        <v>840.00000000000011</v>
      </c>
      <c r="H569" s="190"/>
      <c r="I569" s="190"/>
      <c r="J569"/>
      <c r="K569"/>
      <c r="L569"/>
      <c r="M569"/>
    </row>
    <row r="570" spans="1:13" ht="20.25" customHeight="1">
      <c r="A570" s="894" t="s">
        <v>101</v>
      </c>
      <c r="B570" s="895"/>
      <c r="C570" s="895"/>
      <c r="D570" s="895"/>
      <c r="E570" s="896"/>
      <c r="F570" s="191">
        <f>+F569</f>
        <v>750</v>
      </c>
      <c r="G570" s="191">
        <f>+G569</f>
        <v>840.00000000000011</v>
      </c>
      <c r="H570" s="193"/>
      <c r="I570" s="193"/>
      <c r="J570"/>
      <c r="K570"/>
      <c r="L570"/>
      <c r="M570"/>
    </row>
    <row r="571" spans="1:13" ht="20.25" customHeight="1">
      <c r="E571" s="192" t="s">
        <v>35</v>
      </c>
      <c r="F571" s="191">
        <f>+F570+F567</f>
        <v>6345</v>
      </c>
      <c r="G571" s="191">
        <f>+G570+G567</f>
        <v>7106.4</v>
      </c>
      <c r="J571"/>
      <c r="K571"/>
      <c r="L571"/>
      <c r="M571"/>
    </row>
    <row r="572" spans="1:13" ht="20.25" customHeight="1">
      <c r="A572" s="161"/>
      <c r="B572" s="161"/>
      <c r="C572" s="161"/>
      <c r="D572" s="161"/>
      <c r="E572" s="162"/>
      <c r="F572" s="162"/>
      <c r="G572" s="162"/>
      <c r="H572" s="161"/>
      <c r="I572" s="161"/>
      <c r="J572"/>
      <c r="K572"/>
      <c r="L572"/>
      <c r="M572"/>
    </row>
    <row r="573" spans="1:13" ht="39.75" customHeight="1">
      <c r="A573" s="163" t="s">
        <v>298</v>
      </c>
      <c r="B573" s="179" t="s">
        <v>739</v>
      </c>
      <c r="C573" s="180"/>
      <c r="D573" s="180"/>
      <c r="E573" s="180"/>
      <c r="F573" s="180"/>
      <c r="G573" s="180"/>
      <c r="H573" s="180"/>
      <c r="I573" s="181"/>
      <c r="J573"/>
      <c r="K573"/>
      <c r="L573"/>
      <c r="M573"/>
    </row>
    <row r="574" spans="1:13" ht="66.75" customHeight="1">
      <c r="A574" s="163" t="s">
        <v>692</v>
      </c>
      <c r="B574" s="194" t="s">
        <v>839</v>
      </c>
      <c r="C574" s="187"/>
      <c r="D574" s="187"/>
      <c r="E574" s="187"/>
      <c r="F574" s="187"/>
      <c r="G574" s="187"/>
      <c r="H574" s="187"/>
      <c r="I574" s="188"/>
      <c r="J574"/>
      <c r="K574"/>
      <c r="L574"/>
      <c r="M574"/>
    </row>
    <row r="575" spans="1:13" ht="20.25" customHeight="1">
      <c r="A575" s="878" t="s">
        <v>694</v>
      </c>
      <c r="B575" s="879"/>
      <c r="C575" s="879"/>
      <c r="D575" s="879"/>
      <c r="E575" s="879"/>
      <c r="F575" s="879"/>
      <c r="G575" s="880"/>
      <c r="H575" s="897" t="s">
        <v>695</v>
      </c>
      <c r="I575" s="897"/>
      <c r="J575"/>
      <c r="K575"/>
      <c r="L575"/>
      <c r="M575"/>
    </row>
    <row r="576" spans="1:13" ht="20.25" customHeight="1">
      <c r="A576" s="167" t="s">
        <v>696</v>
      </c>
      <c r="B576" s="167" t="s">
        <v>302</v>
      </c>
      <c r="C576" s="167" t="s">
        <v>312</v>
      </c>
      <c r="D576" s="167" t="s">
        <v>303</v>
      </c>
      <c r="E576" s="168" t="s">
        <v>304</v>
      </c>
      <c r="F576" s="168" t="s">
        <v>697</v>
      </c>
      <c r="G576" s="168" t="s">
        <v>306</v>
      </c>
      <c r="H576" s="168" t="s">
        <v>307</v>
      </c>
      <c r="I576" s="168" t="s">
        <v>698</v>
      </c>
      <c r="J576"/>
      <c r="K576"/>
      <c r="L576"/>
      <c r="M576"/>
    </row>
    <row r="577" spans="1:13" ht="20.25" customHeight="1">
      <c r="A577" s="150" t="s">
        <v>488</v>
      </c>
      <c r="B577" s="155" t="s">
        <v>740</v>
      </c>
      <c r="C577" s="149">
        <v>10</v>
      </c>
      <c r="D577" s="149" t="s">
        <v>490</v>
      </c>
      <c r="E577" s="149">
        <v>253</v>
      </c>
      <c r="F577" s="189">
        <f t="shared" ref="F577:F585" si="51">+E577*C577</f>
        <v>2530</v>
      </c>
      <c r="G577" s="189">
        <f t="shared" ref="G577:G585" si="52">+F577*1.12</f>
        <v>2833.6000000000004</v>
      </c>
      <c r="H577" s="898">
        <v>750102</v>
      </c>
      <c r="I577" s="860" t="s">
        <v>701</v>
      </c>
      <c r="J577"/>
      <c r="K577"/>
      <c r="L577"/>
      <c r="M577"/>
    </row>
    <row r="578" spans="1:13" ht="20.25" customHeight="1">
      <c r="A578" s="150" t="s">
        <v>488</v>
      </c>
      <c r="B578" s="155" t="s">
        <v>735</v>
      </c>
      <c r="C578" s="149">
        <v>10</v>
      </c>
      <c r="D578" s="149" t="s">
        <v>490</v>
      </c>
      <c r="E578" s="149">
        <v>63</v>
      </c>
      <c r="F578" s="189">
        <f t="shared" si="51"/>
        <v>630</v>
      </c>
      <c r="G578" s="189">
        <f t="shared" si="52"/>
        <v>705.6</v>
      </c>
      <c r="H578" s="899"/>
      <c r="I578" s="860"/>
      <c r="J578"/>
      <c r="K578"/>
      <c r="L578"/>
      <c r="M578"/>
    </row>
    <row r="579" spans="1:13" ht="20.25" customHeight="1">
      <c r="A579" s="150" t="s">
        <v>488</v>
      </c>
      <c r="B579" s="155" t="s">
        <v>736</v>
      </c>
      <c r="C579" s="149">
        <v>5</v>
      </c>
      <c r="D579" s="149" t="s">
        <v>490</v>
      </c>
      <c r="E579" s="149">
        <v>95</v>
      </c>
      <c r="F579" s="189">
        <f t="shared" si="51"/>
        <v>475</v>
      </c>
      <c r="G579" s="189">
        <f t="shared" si="52"/>
        <v>532</v>
      </c>
      <c r="H579" s="899"/>
      <c r="I579" s="860"/>
      <c r="J579"/>
      <c r="K579"/>
      <c r="L579"/>
      <c r="M579"/>
    </row>
    <row r="580" spans="1:13" ht="20.25" customHeight="1">
      <c r="A580" s="150" t="s">
        <v>488</v>
      </c>
      <c r="B580" s="155" t="s">
        <v>741</v>
      </c>
      <c r="C580" s="149">
        <v>4</v>
      </c>
      <c r="D580" s="149" t="s">
        <v>490</v>
      </c>
      <c r="E580" s="149">
        <v>85</v>
      </c>
      <c r="F580" s="189">
        <f t="shared" si="51"/>
        <v>340</v>
      </c>
      <c r="G580" s="189">
        <f t="shared" si="52"/>
        <v>380.8</v>
      </c>
      <c r="H580" s="899"/>
      <c r="I580" s="860"/>
      <c r="J580"/>
      <c r="K580"/>
      <c r="L580"/>
      <c r="M580"/>
    </row>
    <row r="581" spans="1:13" ht="20.25" customHeight="1">
      <c r="A581" s="150" t="s">
        <v>488</v>
      </c>
      <c r="B581" s="155" t="s">
        <v>742</v>
      </c>
      <c r="C581" s="149">
        <v>4</v>
      </c>
      <c r="D581" s="149" t="s">
        <v>490</v>
      </c>
      <c r="E581" s="149">
        <v>48</v>
      </c>
      <c r="F581" s="189">
        <f t="shared" si="51"/>
        <v>192</v>
      </c>
      <c r="G581" s="189">
        <f t="shared" si="52"/>
        <v>215.04000000000002</v>
      </c>
      <c r="H581" s="899"/>
      <c r="I581" s="860"/>
      <c r="J581"/>
      <c r="K581"/>
      <c r="L581"/>
      <c r="M581"/>
    </row>
    <row r="582" spans="1:13" ht="20.25" customHeight="1">
      <c r="A582" s="150" t="s">
        <v>488</v>
      </c>
      <c r="B582" s="155" t="s">
        <v>743</v>
      </c>
      <c r="C582" s="149">
        <v>4</v>
      </c>
      <c r="D582" s="149" t="s">
        <v>490</v>
      </c>
      <c r="E582" s="149">
        <v>36</v>
      </c>
      <c r="F582" s="189">
        <f t="shared" si="51"/>
        <v>144</v>
      </c>
      <c r="G582" s="189">
        <f t="shared" si="52"/>
        <v>161.28000000000003</v>
      </c>
      <c r="H582" s="899"/>
      <c r="I582" s="860"/>
      <c r="J582"/>
      <c r="K582"/>
      <c r="L582"/>
      <c r="M582"/>
    </row>
    <row r="583" spans="1:13" ht="20.25" customHeight="1">
      <c r="A583" s="150" t="s">
        <v>488</v>
      </c>
      <c r="B583" s="155" t="s">
        <v>313</v>
      </c>
      <c r="C583" s="149">
        <v>100</v>
      </c>
      <c r="D583" s="149" t="s">
        <v>314</v>
      </c>
      <c r="E583" s="149">
        <v>8</v>
      </c>
      <c r="F583" s="189">
        <f t="shared" si="51"/>
        <v>800</v>
      </c>
      <c r="G583" s="189">
        <f t="shared" si="52"/>
        <v>896.00000000000011</v>
      </c>
      <c r="H583" s="899"/>
      <c r="I583" s="860"/>
      <c r="J583"/>
      <c r="K583"/>
      <c r="L583"/>
      <c r="M583"/>
    </row>
    <row r="584" spans="1:13" ht="20.25" customHeight="1">
      <c r="A584" s="150" t="s">
        <v>488</v>
      </c>
      <c r="B584" s="190" t="s">
        <v>317</v>
      </c>
      <c r="C584" s="149">
        <v>10</v>
      </c>
      <c r="D584" s="149" t="s">
        <v>321</v>
      </c>
      <c r="E584" s="149">
        <v>25</v>
      </c>
      <c r="F584" s="189">
        <f t="shared" si="51"/>
        <v>250</v>
      </c>
      <c r="G584" s="189">
        <f t="shared" si="52"/>
        <v>280</v>
      </c>
      <c r="H584" s="899"/>
      <c r="I584" s="860"/>
      <c r="J584"/>
      <c r="K584"/>
      <c r="L584"/>
      <c r="M584"/>
    </row>
    <row r="585" spans="1:13" ht="20.25" customHeight="1">
      <c r="A585" s="150" t="s">
        <v>488</v>
      </c>
      <c r="B585" s="190" t="s">
        <v>318</v>
      </c>
      <c r="C585" s="149">
        <v>13</v>
      </c>
      <c r="D585" s="149" t="s">
        <v>321</v>
      </c>
      <c r="E585" s="149">
        <v>30</v>
      </c>
      <c r="F585" s="189">
        <f t="shared" si="51"/>
        <v>390</v>
      </c>
      <c r="G585" s="189">
        <f t="shared" si="52"/>
        <v>436.80000000000007</v>
      </c>
      <c r="H585" s="899"/>
      <c r="I585" s="860"/>
      <c r="J585"/>
      <c r="K585"/>
      <c r="L585"/>
      <c r="M585"/>
    </row>
    <row r="586" spans="1:13" ht="20.25" customHeight="1">
      <c r="A586" s="894" t="s">
        <v>101</v>
      </c>
      <c r="B586" s="895"/>
      <c r="C586" s="895"/>
      <c r="D586" s="895"/>
      <c r="E586" s="896"/>
      <c r="F586" s="191">
        <f>SUM(F577:F585)</f>
        <v>5751</v>
      </c>
      <c r="G586" s="191">
        <f>SUM(G577:G585)</f>
        <v>6441.12</v>
      </c>
      <c r="H586" s="900"/>
      <c r="I586" s="863"/>
      <c r="J586"/>
      <c r="K586"/>
      <c r="L586"/>
      <c r="M586"/>
    </row>
    <row r="587" spans="1:13" ht="20.25" customHeight="1">
      <c r="A587" s="894"/>
      <c r="B587" s="895"/>
      <c r="C587" s="895"/>
      <c r="D587" s="895"/>
      <c r="E587" s="895"/>
      <c r="F587" s="895"/>
      <c r="G587" s="895"/>
      <c r="H587" s="895"/>
      <c r="I587" s="896"/>
      <c r="J587"/>
      <c r="K587"/>
      <c r="L587"/>
      <c r="M587"/>
    </row>
    <row r="588" spans="1:13" ht="20.25" customHeight="1">
      <c r="A588" s="192" t="s">
        <v>341</v>
      </c>
      <c r="B588" s="155" t="s">
        <v>342</v>
      </c>
      <c r="C588" s="149">
        <v>1</v>
      </c>
      <c r="D588" s="149" t="s">
        <v>343</v>
      </c>
      <c r="E588" s="149">
        <v>750</v>
      </c>
      <c r="F588" s="189">
        <f>+E588*C588</f>
        <v>750</v>
      </c>
      <c r="G588" s="189">
        <f>+F588*1.12</f>
        <v>840.00000000000011</v>
      </c>
      <c r="H588" s="190"/>
      <c r="I588" s="190"/>
      <c r="J588"/>
      <c r="K588"/>
      <c r="L588"/>
      <c r="M588"/>
    </row>
    <row r="589" spans="1:13" ht="20.25" customHeight="1">
      <c r="A589" s="894" t="s">
        <v>101</v>
      </c>
      <c r="B589" s="895"/>
      <c r="C589" s="895"/>
      <c r="D589" s="895"/>
      <c r="E589" s="896"/>
      <c r="F589" s="191">
        <f>+F588</f>
        <v>750</v>
      </c>
      <c r="G589" s="191">
        <f>+G588</f>
        <v>840.00000000000011</v>
      </c>
      <c r="H589" s="193"/>
      <c r="I589" s="193"/>
      <c r="J589"/>
      <c r="K589"/>
      <c r="L589"/>
      <c r="M589"/>
    </row>
    <row r="590" spans="1:13" ht="20.25" customHeight="1">
      <c r="E590" s="192" t="s">
        <v>35</v>
      </c>
      <c r="F590" s="191">
        <f>+F589+F586</f>
        <v>6501</v>
      </c>
      <c r="G590" s="191">
        <f>+G589+G586</f>
        <v>7281.12</v>
      </c>
      <c r="J590"/>
      <c r="K590"/>
      <c r="L590"/>
      <c r="M590"/>
    </row>
    <row r="591" spans="1:13" ht="20.25" customHeight="1">
      <c r="A591" s="161"/>
      <c r="B591" s="161"/>
      <c r="C591" s="161"/>
      <c r="D591" s="161"/>
      <c r="E591" s="162"/>
      <c r="F591" s="162"/>
      <c r="G591" s="162"/>
      <c r="H591" s="161"/>
      <c r="I591" s="161"/>
      <c r="J591"/>
      <c r="K591"/>
      <c r="L591"/>
      <c r="M591"/>
    </row>
    <row r="592" spans="1:13" ht="20.25" customHeight="1">
      <c r="A592" s="161"/>
      <c r="B592" s="161"/>
      <c r="C592" s="161"/>
      <c r="D592" s="161"/>
      <c r="E592" s="162"/>
      <c r="F592" s="162"/>
      <c r="G592" s="162"/>
      <c r="H592" s="161"/>
      <c r="I592" s="161"/>
      <c r="J592"/>
      <c r="K592"/>
      <c r="L592"/>
      <c r="M592"/>
    </row>
    <row r="593" spans="1:13" ht="20.25" customHeight="1">
      <c r="A593" s="161"/>
      <c r="B593" s="161"/>
      <c r="C593" s="161"/>
      <c r="D593" s="161"/>
      <c r="E593" s="162"/>
      <c r="F593" s="162"/>
      <c r="G593" s="162"/>
      <c r="H593" s="161"/>
      <c r="I593" s="161"/>
      <c r="J593"/>
      <c r="K593"/>
      <c r="L593"/>
      <c r="M593"/>
    </row>
    <row r="594" spans="1:13" ht="37.5" customHeight="1">
      <c r="A594" s="163" t="s">
        <v>298</v>
      </c>
      <c r="B594" s="179" t="s">
        <v>744</v>
      </c>
      <c r="C594" s="180"/>
      <c r="D594" s="180"/>
      <c r="E594" s="180"/>
      <c r="F594" s="180"/>
      <c r="G594" s="180"/>
      <c r="H594" s="180"/>
      <c r="I594" s="181"/>
      <c r="J594"/>
      <c r="K594"/>
      <c r="L594"/>
      <c r="M594"/>
    </row>
    <row r="595" spans="1:13" ht="74.25" customHeight="1">
      <c r="A595" s="163" t="s">
        <v>692</v>
      </c>
      <c r="B595" s="194" t="s">
        <v>840</v>
      </c>
      <c r="C595" s="187"/>
      <c r="D595" s="187"/>
      <c r="E595" s="187"/>
      <c r="F595" s="187"/>
      <c r="G595" s="187"/>
      <c r="H595" s="187"/>
      <c r="I595" s="188"/>
      <c r="J595"/>
      <c r="K595"/>
      <c r="L595"/>
      <c r="M595"/>
    </row>
    <row r="596" spans="1:13" ht="20.25" customHeight="1">
      <c r="A596" s="878" t="s">
        <v>694</v>
      </c>
      <c r="B596" s="879"/>
      <c r="C596" s="879"/>
      <c r="D596" s="879"/>
      <c r="E596" s="879"/>
      <c r="F596" s="879"/>
      <c r="G596" s="880"/>
      <c r="H596" s="897" t="s">
        <v>695</v>
      </c>
      <c r="I596" s="897"/>
      <c r="J596"/>
      <c r="K596"/>
      <c r="L596"/>
      <c r="M596"/>
    </row>
    <row r="597" spans="1:13" ht="20.25" customHeight="1">
      <c r="A597" s="167" t="s">
        <v>696</v>
      </c>
      <c r="B597" s="167" t="s">
        <v>302</v>
      </c>
      <c r="C597" s="167" t="s">
        <v>312</v>
      </c>
      <c r="D597" s="167" t="s">
        <v>303</v>
      </c>
      <c r="E597" s="168" t="s">
        <v>304</v>
      </c>
      <c r="F597" s="168" t="s">
        <v>697</v>
      </c>
      <c r="G597" s="168" t="s">
        <v>306</v>
      </c>
      <c r="H597" s="168" t="s">
        <v>307</v>
      </c>
      <c r="I597" s="168" t="s">
        <v>698</v>
      </c>
      <c r="J597"/>
      <c r="K597"/>
      <c r="L597"/>
      <c r="M597"/>
    </row>
    <row r="598" spans="1:13" ht="20.25" customHeight="1">
      <c r="A598" s="190" t="s">
        <v>488</v>
      </c>
      <c r="B598" s="155" t="s">
        <v>740</v>
      </c>
      <c r="C598" s="149">
        <v>10</v>
      </c>
      <c r="D598" s="149" t="s">
        <v>490</v>
      </c>
      <c r="E598" s="149">
        <v>253</v>
      </c>
      <c r="F598" s="189">
        <f t="shared" ref="F598:F610" si="53">+E598*C598</f>
        <v>2530</v>
      </c>
      <c r="G598" s="189">
        <f t="shared" ref="G598:G610" si="54">+F598*1.12</f>
        <v>2833.6000000000004</v>
      </c>
      <c r="H598" s="898">
        <v>750102</v>
      </c>
      <c r="I598" s="860" t="s">
        <v>701</v>
      </c>
      <c r="J598"/>
      <c r="K598"/>
      <c r="L598"/>
      <c r="M598"/>
    </row>
    <row r="599" spans="1:13" ht="20.25" customHeight="1">
      <c r="A599" s="190" t="s">
        <v>488</v>
      </c>
      <c r="B599" s="155" t="s">
        <v>745</v>
      </c>
      <c r="C599" s="149">
        <v>5</v>
      </c>
      <c r="D599" s="149" t="s">
        <v>490</v>
      </c>
      <c r="E599" s="149">
        <v>240</v>
      </c>
      <c r="F599" s="189">
        <f t="shared" si="53"/>
        <v>1200</v>
      </c>
      <c r="G599" s="189">
        <f t="shared" si="54"/>
        <v>1344.0000000000002</v>
      </c>
      <c r="H599" s="899"/>
      <c r="I599" s="860"/>
      <c r="J599"/>
      <c r="K599"/>
      <c r="L599"/>
      <c r="M599"/>
    </row>
    <row r="600" spans="1:13" ht="20.25" customHeight="1">
      <c r="A600" s="190" t="s">
        <v>488</v>
      </c>
      <c r="B600" s="155" t="s">
        <v>736</v>
      </c>
      <c r="C600" s="149">
        <v>5</v>
      </c>
      <c r="D600" s="149" t="s">
        <v>490</v>
      </c>
      <c r="E600" s="149">
        <v>95</v>
      </c>
      <c r="F600" s="189">
        <f t="shared" si="53"/>
        <v>475</v>
      </c>
      <c r="G600" s="189">
        <f t="shared" si="54"/>
        <v>532</v>
      </c>
      <c r="H600" s="899"/>
      <c r="I600" s="860"/>
      <c r="J600"/>
      <c r="K600"/>
      <c r="L600"/>
      <c r="M600"/>
    </row>
    <row r="601" spans="1:13" ht="20.25" customHeight="1">
      <c r="A601" s="190" t="s">
        <v>488</v>
      </c>
      <c r="B601" s="155" t="s">
        <v>746</v>
      </c>
      <c r="C601" s="149">
        <v>5</v>
      </c>
      <c r="D601" s="149" t="s">
        <v>490</v>
      </c>
      <c r="E601" s="149">
        <v>34</v>
      </c>
      <c r="F601" s="189">
        <f t="shared" si="53"/>
        <v>170</v>
      </c>
      <c r="G601" s="189">
        <f t="shared" si="54"/>
        <v>190.4</v>
      </c>
      <c r="H601" s="899"/>
      <c r="I601" s="860"/>
      <c r="J601"/>
      <c r="K601"/>
      <c r="L601"/>
      <c r="M601"/>
    </row>
    <row r="602" spans="1:13" ht="20.25" customHeight="1">
      <c r="A602" s="190" t="s">
        <v>488</v>
      </c>
      <c r="B602" s="155" t="s">
        <v>747</v>
      </c>
      <c r="C602" s="149">
        <v>5</v>
      </c>
      <c r="D602" s="149" t="s">
        <v>490</v>
      </c>
      <c r="E602" s="149">
        <v>22</v>
      </c>
      <c r="F602" s="189">
        <f t="shared" si="53"/>
        <v>110</v>
      </c>
      <c r="G602" s="189">
        <f t="shared" si="54"/>
        <v>123.20000000000002</v>
      </c>
      <c r="H602" s="899"/>
      <c r="I602" s="860"/>
      <c r="J602"/>
      <c r="K602"/>
      <c r="L602"/>
      <c r="M602"/>
    </row>
    <row r="603" spans="1:13" ht="20.25" customHeight="1">
      <c r="A603" s="190" t="s">
        <v>488</v>
      </c>
      <c r="B603" s="155" t="s">
        <v>748</v>
      </c>
      <c r="C603" s="149">
        <v>5</v>
      </c>
      <c r="D603" s="149" t="s">
        <v>490</v>
      </c>
      <c r="E603" s="149">
        <v>40</v>
      </c>
      <c r="F603" s="189">
        <f t="shared" si="53"/>
        <v>200</v>
      </c>
      <c r="G603" s="189">
        <f t="shared" si="54"/>
        <v>224.00000000000003</v>
      </c>
      <c r="H603" s="899"/>
      <c r="I603" s="860"/>
      <c r="J603"/>
      <c r="K603"/>
      <c r="L603"/>
      <c r="M603"/>
    </row>
    <row r="604" spans="1:13" ht="20.25" customHeight="1">
      <c r="A604" s="190" t="s">
        <v>488</v>
      </c>
      <c r="B604" s="155" t="s">
        <v>749</v>
      </c>
      <c r="C604" s="149">
        <v>5</v>
      </c>
      <c r="D604" s="149" t="s">
        <v>329</v>
      </c>
      <c r="E604" s="149">
        <v>32.5</v>
      </c>
      <c r="F604" s="189">
        <f t="shared" si="53"/>
        <v>162.5</v>
      </c>
      <c r="G604" s="189">
        <f t="shared" si="54"/>
        <v>182.00000000000003</v>
      </c>
      <c r="H604" s="899"/>
      <c r="I604" s="860"/>
      <c r="J604"/>
      <c r="K604"/>
      <c r="L604"/>
      <c r="M604"/>
    </row>
    <row r="605" spans="1:13" ht="20.25" customHeight="1">
      <c r="A605" s="190" t="s">
        <v>488</v>
      </c>
      <c r="B605" s="155" t="s">
        <v>741</v>
      </c>
      <c r="C605" s="149">
        <v>5</v>
      </c>
      <c r="D605" s="149" t="s">
        <v>490</v>
      </c>
      <c r="E605" s="149">
        <v>85</v>
      </c>
      <c r="F605" s="189">
        <f t="shared" si="53"/>
        <v>425</v>
      </c>
      <c r="G605" s="189">
        <f t="shared" si="54"/>
        <v>476.00000000000006</v>
      </c>
      <c r="H605" s="899"/>
      <c r="I605" s="860"/>
      <c r="J605"/>
      <c r="K605"/>
      <c r="L605"/>
      <c r="M605"/>
    </row>
    <row r="606" spans="1:13" ht="20.25" customHeight="1">
      <c r="A606" s="190" t="s">
        <v>488</v>
      </c>
      <c r="B606" s="155" t="s">
        <v>750</v>
      </c>
      <c r="C606" s="149">
        <v>5</v>
      </c>
      <c r="D606" s="149" t="s">
        <v>490</v>
      </c>
      <c r="E606" s="149">
        <v>65</v>
      </c>
      <c r="F606" s="189">
        <f t="shared" si="53"/>
        <v>325</v>
      </c>
      <c r="G606" s="189">
        <f t="shared" si="54"/>
        <v>364.00000000000006</v>
      </c>
      <c r="H606" s="899"/>
      <c r="I606" s="860"/>
      <c r="J606"/>
      <c r="K606"/>
      <c r="L606"/>
      <c r="M606"/>
    </row>
    <row r="607" spans="1:13" ht="20.25" customHeight="1">
      <c r="A607" s="190" t="s">
        <v>488</v>
      </c>
      <c r="B607" s="155" t="s">
        <v>742</v>
      </c>
      <c r="C607" s="149">
        <v>5</v>
      </c>
      <c r="D607" s="149" t="s">
        <v>490</v>
      </c>
      <c r="E607" s="149">
        <v>48</v>
      </c>
      <c r="F607" s="189">
        <f t="shared" si="53"/>
        <v>240</v>
      </c>
      <c r="G607" s="189">
        <f t="shared" si="54"/>
        <v>268.8</v>
      </c>
      <c r="H607" s="899"/>
      <c r="I607" s="860"/>
      <c r="J607"/>
      <c r="K607"/>
      <c r="L607"/>
      <c r="M607"/>
    </row>
    <row r="608" spans="1:13" ht="20.25" customHeight="1">
      <c r="A608" s="190" t="s">
        <v>488</v>
      </c>
      <c r="B608" s="155" t="s">
        <v>313</v>
      </c>
      <c r="C608" s="149">
        <v>100</v>
      </c>
      <c r="D608" s="149" t="s">
        <v>314</v>
      </c>
      <c r="E608" s="149">
        <v>8</v>
      </c>
      <c r="F608" s="189">
        <f t="shared" si="53"/>
        <v>800</v>
      </c>
      <c r="G608" s="189">
        <f t="shared" si="54"/>
        <v>896.00000000000011</v>
      </c>
      <c r="H608" s="899"/>
      <c r="I608" s="860"/>
      <c r="J608"/>
      <c r="K608"/>
      <c r="L608"/>
      <c r="M608"/>
    </row>
    <row r="609" spans="1:13" ht="20.25" customHeight="1">
      <c r="A609" s="190" t="s">
        <v>488</v>
      </c>
      <c r="B609" s="190" t="s">
        <v>317</v>
      </c>
      <c r="C609" s="149">
        <v>10</v>
      </c>
      <c r="D609" s="149" t="s">
        <v>321</v>
      </c>
      <c r="E609" s="149">
        <v>25</v>
      </c>
      <c r="F609" s="189">
        <f t="shared" si="53"/>
        <v>250</v>
      </c>
      <c r="G609" s="189">
        <f t="shared" si="54"/>
        <v>280</v>
      </c>
      <c r="H609" s="899"/>
      <c r="I609" s="860"/>
      <c r="J609"/>
      <c r="K609"/>
      <c r="L609"/>
      <c r="M609"/>
    </row>
    <row r="610" spans="1:13" ht="20.25" customHeight="1">
      <c r="A610" s="190" t="s">
        <v>488</v>
      </c>
      <c r="B610" s="190" t="s">
        <v>318</v>
      </c>
      <c r="C610" s="149">
        <v>13</v>
      </c>
      <c r="D610" s="149" t="s">
        <v>321</v>
      </c>
      <c r="E610" s="149">
        <v>30</v>
      </c>
      <c r="F610" s="189">
        <f t="shared" si="53"/>
        <v>390</v>
      </c>
      <c r="G610" s="189">
        <f t="shared" si="54"/>
        <v>436.80000000000007</v>
      </c>
      <c r="H610" s="899"/>
      <c r="I610" s="860"/>
      <c r="J610"/>
      <c r="K610"/>
      <c r="L610"/>
      <c r="M610"/>
    </row>
    <row r="611" spans="1:13" ht="20.25" customHeight="1">
      <c r="A611" s="894" t="s">
        <v>101</v>
      </c>
      <c r="B611" s="895"/>
      <c r="C611" s="895"/>
      <c r="D611" s="895"/>
      <c r="E611" s="896"/>
      <c r="F611" s="191">
        <f>SUM(F598:F610)</f>
        <v>7277.5</v>
      </c>
      <c r="G611" s="191">
        <f>SUM(G598:G610)</f>
        <v>8150.8</v>
      </c>
      <c r="H611" s="900"/>
      <c r="I611" s="863"/>
      <c r="J611"/>
      <c r="K611"/>
      <c r="L611"/>
      <c r="M611"/>
    </row>
    <row r="612" spans="1:13" ht="20.25" customHeight="1">
      <c r="A612" s="894"/>
      <c r="B612" s="895"/>
      <c r="C612" s="895"/>
      <c r="D612" s="895"/>
      <c r="E612" s="895"/>
      <c r="F612" s="895"/>
      <c r="G612" s="895"/>
      <c r="H612" s="895"/>
      <c r="I612" s="896"/>
      <c r="J612"/>
      <c r="K612"/>
      <c r="L612"/>
      <c r="M612"/>
    </row>
    <row r="613" spans="1:13" ht="20.25" customHeight="1">
      <c r="A613" s="192" t="s">
        <v>341</v>
      </c>
      <c r="B613" s="155" t="s">
        <v>342</v>
      </c>
      <c r="C613" s="149">
        <v>1</v>
      </c>
      <c r="D613" s="149" t="s">
        <v>343</v>
      </c>
      <c r="E613" s="149">
        <v>750</v>
      </c>
      <c r="F613" s="189">
        <f>+E613*C613</f>
        <v>750</v>
      </c>
      <c r="G613" s="189">
        <f>+F613*1.12</f>
        <v>840.00000000000011</v>
      </c>
      <c r="H613" s="190"/>
      <c r="I613" s="190"/>
      <c r="J613"/>
      <c r="K613"/>
      <c r="L613"/>
      <c r="M613"/>
    </row>
    <row r="614" spans="1:13" ht="20.25" customHeight="1">
      <c r="A614" s="894" t="s">
        <v>101</v>
      </c>
      <c r="B614" s="895"/>
      <c r="C614" s="895"/>
      <c r="D614" s="895"/>
      <c r="E614" s="896"/>
      <c r="F614" s="191">
        <f>+F613</f>
        <v>750</v>
      </c>
      <c r="G614" s="191">
        <f>+G613</f>
        <v>840.00000000000011</v>
      </c>
      <c r="H614" s="193"/>
      <c r="I614" s="193"/>
      <c r="J614"/>
      <c r="K614"/>
      <c r="L614"/>
      <c r="M614"/>
    </row>
    <row r="615" spans="1:13" ht="20.25" customHeight="1">
      <c r="E615" s="192" t="s">
        <v>35</v>
      </c>
      <c r="F615" s="191">
        <f>+F614+F611</f>
        <v>8027.5</v>
      </c>
      <c r="G615" s="191">
        <f>+G614+G611</f>
        <v>8990.8000000000011</v>
      </c>
      <c r="J615"/>
      <c r="K615"/>
      <c r="L615"/>
      <c r="M615"/>
    </row>
    <row r="616" spans="1:13" ht="20.25" customHeight="1">
      <c r="A616" s="161"/>
      <c r="B616" s="161"/>
      <c r="C616" s="161"/>
      <c r="D616" s="161"/>
      <c r="E616" s="162"/>
      <c r="F616" s="162"/>
      <c r="G616" s="162"/>
      <c r="H616" s="161"/>
      <c r="I616" s="161"/>
      <c r="J616"/>
      <c r="K616"/>
      <c r="L616"/>
      <c r="M616"/>
    </row>
    <row r="617" spans="1:13" ht="20.25" customHeight="1">
      <c r="A617" s="161"/>
      <c r="B617" s="161"/>
      <c r="C617" s="161"/>
      <c r="D617" s="161"/>
      <c r="E617" s="162"/>
      <c r="F617" s="162"/>
      <c r="G617" s="162"/>
      <c r="H617" s="161"/>
      <c r="I617" s="161"/>
      <c r="J617"/>
      <c r="K617"/>
      <c r="L617"/>
      <c r="M617"/>
    </row>
    <row r="618" spans="1:13" ht="39" customHeight="1">
      <c r="A618" s="163" t="s">
        <v>298</v>
      </c>
      <c r="B618" s="179" t="s">
        <v>751</v>
      </c>
      <c r="C618" s="180"/>
      <c r="D618" s="180"/>
      <c r="E618" s="180"/>
      <c r="F618" s="180"/>
      <c r="G618" s="180"/>
      <c r="H618" s="180"/>
      <c r="I618" s="181"/>
      <c r="J618"/>
      <c r="K618"/>
      <c r="L618"/>
      <c r="M618"/>
    </row>
    <row r="619" spans="1:13" ht="72" customHeight="1">
      <c r="A619" s="163" t="s">
        <v>692</v>
      </c>
      <c r="B619" s="164" t="s">
        <v>841</v>
      </c>
      <c r="C619" s="165"/>
      <c r="D619" s="165"/>
      <c r="E619" s="165"/>
      <c r="F619" s="165"/>
      <c r="G619" s="165"/>
      <c r="H619" s="165"/>
      <c r="I619" s="166"/>
      <c r="J619"/>
      <c r="K619"/>
      <c r="L619"/>
      <c r="M619"/>
    </row>
    <row r="620" spans="1:13" ht="20.25" customHeight="1">
      <c r="A620" s="878" t="s">
        <v>694</v>
      </c>
      <c r="B620" s="879"/>
      <c r="C620" s="879"/>
      <c r="D620" s="879"/>
      <c r="E620" s="879"/>
      <c r="F620" s="879"/>
      <c r="G620" s="880"/>
      <c r="H620" s="897" t="s">
        <v>695</v>
      </c>
      <c r="I620" s="897"/>
      <c r="J620"/>
      <c r="K620"/>
      <c r="L620"/>
      <c r="M620"/>
    </row>
    <row r="621" spans="1:13" ht="20.25" customHeight="1">
      <c r="A621" s="167" t="s">
        <v>696</v>
      </c>
      <c r="B621" s="167" t="s">
        <v>302</v>
      </c>
      <c r="C621" s="167" t="s">
        <v>312</v>
      </c>
      <c r="D621" s="167" t="s">
        <v>303</v>
      </c>
      <c r="E621" s="168" t="s">
        <v>304</v>
      </c>
      <c r="F621" s="168" t="s">
        <v>697</v>
      </c>
      <c r="G621" s="168" t="s">
        <v>306</v>
      </c>
      <c r="H621" s="168" t="s">
        <v>307</v>
      </c>
      <c r="I621" s="168" t="s">
        <v>698</v>
      </c>
      <c r="J621"/>
      <c r="K621"/>
      <c r="L621"/>
      <c r="M621"/>
    </row>
    <row r="622" spans="1:13" ht="20.25" customHeight="1">
      <c r="A622" s="192"/>
      <c r="B622" s="155" t="s">
        <v>735</v>
      </c>
      <c r="C622" s="149">
        <v>10</v>
      </c>
      <c r="D622" s="149" t="s">
        <v>490</v>
      </c>
      <c r="E622" s="149">
        <v>63</v>
      </c>
      <c r="F622" s="189">
        <f t="shared" ref="F622:F628" si="55">+E622*C622</f>
        <v>630</v>
      </c>
      <c r="G622" s="189">
        <f t="shared" ref="G622:G628" si="56">+F622*1.12</f>
        <v>705.6</v>
      </c>
      <c r="H622" s="901">
        <v>750102</v>
      </c>
      <c r="I622" s="860" t="s">
        <v>701</v>
      </c>
      <c r="J622"/>
      <c r="K622"/>
      <c r="L622"/>
      <c r="M622"/>
    </row>
    <row r="623" spans="1:13" ht="20.25" customHeight="1">
      <c r="A623" s="192"/>
      <c r="B623" s="155" t="s">
        <v>736</v>
      </c>
      <c r="C623" s="149">
        <v>10</v>
      </c>
      <c r="D623" s="149" t="s">
        <v>490</v>
      </c>
      <c r="E623" s="149">
        <v>95</v>
      </c>
      <c r="F623" s="189">
        <f t="shared" si="55"/>
        <v>950</v>
      </c>
      <c r="G623" s="189">
        <f t="shared" si="56"/>
        <v>1064</v>
      </c>
      <c r="H623" s="902"/>
      <c r="I623" s="860"/>
      <c r="J623"/>
      <c r="K623"/>
      <c r="L623"/>
      <c r="M623"/>
    </row>
    <row r="624" spans="1:13" ht="20.25" customHeight="1">
      <c r="A624" s="190"/>
      <c r="B624" s="155" t="s">
        <v>313</v>
      </c>
      <c r="C624" s="149">
        <v>100</v>
      </c>
      <c r="D624" s="149" t="s">
        <v>314</v>
      </c>
      <c r="E624" s="149">
        <v>8</v>
      </c>
      <c r="F624" s="189">
        <f t="shared" si="55"/>
        <v>800</v>
      </c>
      <c r="G624" s="189">
        <f t="shared" si="56"/>
        <v>896.00000000000011</v>
      </c>
      <c r="H624" s="902"/>
      <c r="I624" s="860"/>
      <c r="J624"/>
      <c r="K624"/>
      <c r="L624"/>
      <c r="M624"/>
    </row>
    <row r="625" spans="1:13" ht="20.25" customHeight="1">
      <c r="A625" s="190"/>
      <c r="B625" s="190" t="s">
        <v>317</v>
      </c>
      <c r="C625" s="149">
        <v>10</v>
      </c>
      <c r="D625" s="149" t="s">
        <v>321</v>
      </c>
      <c r="E625" s="149">
        <v>25</v>
      </c>
      <c r="F625" s="189">
        <f t="shared" si="55"/>
        <v>250</v>
      </c>
      <c r="G625" s="189">
        <f t="shared" si="56"/>
        <v>280</v>
      </c>
      <c r="H625" s="902"/>
      <c r="I625" s="860"/>
      <c r="J625"/>
      <c r="K625"/>
      <c r="L625"/>
      <c r="M625"/>
    </row>
    <row r="626" spans="1:13" ht="20.25" customHeight="1">
      <c r="A626" s="190"/>
      <c r="B626" s="190" t="s">
        <v>318</v>
      </c>
      <c r="C626" s="149">
        <v>13</v>
      </c>
      <c r="D626" s="149" t="s">
        <v>321</v>
      </c>
      <c r="E626" s="149">
        <v>30</v>
      </c>
      <c r="F626" s="189">
        <f t="shared" si="55"/>
        <v>390</v>
      </c>
      <c r="G626" s="189">
        <f t="shared" si="56"/>
        <v>436.80000000000007</v>
      </c>
      <c r="H626" s="902"/>
      <c r="I626" s="860"/>
      <c r="J626"/>
      <c r="K626"/>
      <c r="L626"/>
      <c r="M626"/>
    </row>
    <row r="627" spans="1:13" ht="20.25" customHeight="1">
      <c r="A627" s="190"/>
      <c r="B627" s="190" t="s">
        <v>319</v>
      </c>
      <c r="C627" s="149">
        <v>20</v>
      </c>
      <c r="D627" s="149" t="s">
        <v>322</v>
      </c>
      <c r="E627" s="149">
        <v>20</v>
      </c>
      <c r="F627" s="189">
        <f t="shared" si="55"/>
        <v>400</v>
      </c>
      <c r="G627" s="189">
        <f t="shared" si="56"/>
        <v>448.00000000000006</v>
      </c>
      <c r="H627" s="902"/>
      <c r="I627" s="860"/>
      <c r="J627"/>
      <c r="K627"/>
      <c r="L627"/>
      <c r="M627"/>
    </row>
    <row r="628" spans="1:13" ht="20.25" customHeight="1">
      <c r="A628" s="190"/>
      <c r="B628" s="190" t="s">
        <v>326</v>
      </c>
      <c r="C628" s="149">
        <v>10</v>
      </c>
      <c r="D628" s="149" t="s">
        <v>322</v>
      </c>
      <c r="E628" s="149">
        <v>5</v>
      </c>
      <c r="F628" s="189">
        <f t="shared" si="55"/>
        <v>50</v>
      </c>
      <c r="G628" s="189">
        <f t="shared" si="56"/>
        <v>56.000000000000007</v>
      </c>
      <c r="H628" s="902"/>
      <c r="I628" s="860"/>
      <c r="J628"/>
      <c r="K628"/>
      <c r="L628"/>
      <c r="M628"/>
    </row>
    <row r="629" spans="1:13" ht="20.25" customHeight="1">
      <c r="A629" s="894" t="s">
        <v>101</v>
      </c>
      <c r="B629" s="895"/>
      <c r="C629" s="895"/>
      <c r="D629" s="895"/>
      <c r="E629" s="896"/>
      <c r="F629" s="191">
        <f>SUM(F622:F628)</f>
        <v>3470</v>
      </c>
      <c r="G629" s="191">
        <f>SUM(G622:G628)</f>
        <v>3886.4</v>
      </c>
      <c r="H629" s="903"/>
      <c r="I629" s="863"/>
      <c r="J629"/>
      <c r="K629"/>
      <c r="L629"/>
      <c r="M629"/>
    </row>
    <row r="630" spans="1:13" ht="20.25" customHeight="1">
      <c r="A630" s="894"/>
      <c r="B630" s="895"/>
      <c r="C630" s="895"/>
      <c r="D630" s="895"/>
      <c r="E630" s="895"/>
      <c r="F630" s="895"/>
      <c r="G630" s="895"/>
      <c r="H630" s="895"/>
      <c r="I630" s="896"/>
      <c r="J630"/>
      <c r="K630"/>
      <c r="L630"/>
      <c r="M630"/>
    </row>
    <row r="631" spans="1:13" ht="20.25" customHeight="1">
      <c r="A631" s="192" t="s">
        <v>341</v>
      </c>
      <c r="B631" s="155" t="s">
        <v>342</v>
      </c>
      <c r="C631" s="149">
        <v>1</v>
      </c>
      <c r="D631" s="149" t="s">
        <v>343</v>
      </c>
      <c r="E631" s="149">
        <v>750</v>
      </c>
      <c r="F631" s="189">
        <f>+E631*C631</f>
        <v>750</v>
      </c>
      <c r="G631" s="189">
        <f>+F631*1.12</f>
        <v>840.00000000000011</v>
      </c>
      <c r="H631" s="190"/>
      <c r="I631" s="190"/>
      <c r="J631"/>
      <c r="K631"/>
      <c r="L631"/>
      <c r="M631"/>
    </row>
    <row r="632" spans="1:13" ht="20.25" customHeight="1">
      <c r="A632" s="894" t="s">
        <v>101</v>
      </c>
      <c r="B632" s="895"/>
      <c r="C632" s="895"/>
      <c r="D632" s="895"/>
      <c r="E632" s="896"/>
      <c r="F632" s="191">
        <f>+F631</f>
        <v>750</v>
      </c>
      <c r="G632" s="191">
        <f>+G631</f>
        <v>840.00000000000011</v>
      </c>
      <c r="H632" s="193"/>
      <c r="I632" s="193"/>
      <c r="J632"/>
      <c r="K632"/>
      <c r="L632"/>
      <c r="M632"/>
    </row>
    <row r="633" spans="1:13" ht="20.25" customHeight="1">
      <c r="E633" s="192" t="s">
        <v>35</v>
      </c>
      <c r="F633" s="191">
        <f>+F632+F629</f>
        <v>4220</v>
      </c>
      <c r="G633" s="191">
        <f>+G632+G629</f>
        <v>4726.4000000000005</v>
      </c>
      <c r="J633"/>
      <c r="K633"/>
      <c r="L633"/>
      <c r="M633"/>
    </row>
    <row r="634" spans="1:13" ht="20.25" customHeight="1">
      <c r="A634" s="161"/>
      <c r="B634" s="161"/>
      <c r="C634" s="161"/>
      <c r="D634" s="161"/>
      <c r="E634" s="162"/>
      <c r="F634" s="162"/>
      <c r="G634" s="162"/>
      <c r="H634" s="161"/>
      <c r="I634" s="161"/>
      <c r="J634"/>
      <c r="K634"/>
      <c r="L634"/>
      <c r="M634"/>
    </row>
    <row r="635" spans="1:13" ht="20.25" customHeight="1">
      <c r="A635" s="161"/>
      <c r="B635" s="161"/>
      <c r="C635" s="161"/>
      <c r="D635" s="161"/>
      <c r="E635" s="162"/>
      <c r="F635" s="162"/>
      <c r="G635" s="162"/>
      <c r="H635" s="161"/>
      <c r="I635" s="161"/>
      <c r="J635"/>
      <c r="K635"/>
      <c r="L635"/>
      <c r="M635"/>
    </row>
    <row r="636" spans="1:13" ht="20.25" customHeight="1">
      <c r="A636" s="161"/>
      <c r="B636" s="161"/>
      <c r="C636" s="161"/>
      <c r="D636" s="161"/>
      <c r="E636" s="162"/>
      <c r="F636" s="162"/>
      <c r="G636" s="162"/>
      <c r="H636" s="161"/>
      <c r="I636" s="161"/>
      <c r="J636"/>
      <c r="K636"/>
      <c r="L636"/>
      <c r="M636"/>
    </row>
    <row r="637" spans="1:13" ht="20.25" customHeight="1">
      <c r="A637" s="161"/>
      <c r="B637" s="161"/>
      <c r="C637" s="161"/>
      <c r="D637" s="161"/>
      <c r="E637" s="162"/>
      <c r="F637" s="162"/>
      <c r="G637" s="162"/>
      <c r="H637" s="161"/>
      <c r="I637" s="161"/>
      <c r="J637"/>
      <c r="K637"/>
      <c r="L637"/>
      <c r="M637"/>
    </row>
    <row r="638" spans="1:13" ht="20.25" customHeight="1">
      <c r="A638" s="161"/>
      <c r="B638" s="161"/>
      <c r="C638" s="161"/>
      <c r="D638" s="161"/>
      <c r="E638" s="162"/>
      <c r="F638" s="162"/>
      <c r="G638" s="162"/>
      <c r="H638" s="161"/>
      <c r="I638" s="161"/>
      <c r="J638"/>
      <c r="K638"/>
      <c r="L638"/>
      <c r="M638"/>
    </row>
    <row r="639" spans="1:13" ht="20.25" customHeight="1">
      <c r="A639" s="161"/>
      <c r="B639" s="161"/>
      <c r="C639" s="161"/>
      <c r="D639" s="161"/>
      <c r="E639" s="162"/>
      <c r="F639" s="162"/>
      <c r="G639" s="162"/>
      <c r="H639" s="161"/>
      <c r="I639" s="161"/>
      <c r="J639"/>
      <c r="K639"/>
      <c r="L639"/>
      <c r="M639"/>
    </row>
    <row r="640" spans="1:13" ht="37.5" customHeight="1">
      <c r="A640" s="163" t="s">
        <v>298</v>
      </c>
      <c r="B640" s="179" t="s">
        <v>752</v>
      </c>
      <c r="C640" s="180"/>
      <c r="D640" s="180"/>
      <c r="E640" s="180"/>
      <c r="F640" s="180"/>
      <c r="G640" s="180"/>
      <c r="H640" s="180"/>
      <c r="I640" s="181"/>
      <c r="J640"/>
      <c r="K640"/>
      <c r="L640"/>
      <c r="M640"/>
    </row>
    <row r="641" spans="1:13" ht="72.75" customHeight="1">
      <c r="A641" s="163" t="s">
        <v>692</v>
      </c>
      <c r="B641" s="164" t="s">
        <v>842</v>
      </c>
      <c r="C641" s="165"/>
      <c r="D641" s="165"/>
      <c r="E641" s="165"/>
      <c r="F641" s="165"/>
      <c r="G641" s="165"/>
      <c r="H641" s="165"/>
      <c r="I641" s="166"/>
      <c r="J641"/>
      <c r="K641"/>
      <c r="L641"/>
      <c r="M641"/>
    </row>
    <row r="642" spans="1:13" ht="20.25" customHeight="1">
      <c r="A642" s="878" t="s">
        <v>694</v>
      </c>
      <c r="B642" s="879"/>
      <c r="C642" s="879"/>
      <c r="D642" s="879"/>
      <c r="E642" s="879"/>
      <c r="F642" s="879"/>
      <c r="G642" s="880"/>
      <c r="H642" s="897" t="s">
        <v>695</v>
      </c>
      <c r="I642" s="897"/>
      <c r="J642"/>
      <c r="K642"/>
      <c r="L642"/>
      <c r="M642"/>
    </row>
    <row r="643" spans="1:13" ht="20.25" customHeight="1">
      <c r="A643" s="167" t="s">
        <v>696</v>
      </c>
      <c r="B643" s="167" t="s">
        <v>302</v>
      </c>
      <c r="C643" s="167" t="s">
        <v>312</v>
      </c>
      <c r="D643" s="167" t="s">
        <v>303</v>
      </c>
      <c r="E643" s="168" t="s">
        <v>304</v>
      </c>
      <c r="F643" s="168" t="s">
        <v>697</v>
      </c>
      <c r="G643" s="168" t="s">
        <v>306</v>
      </c>
      <c r="H643" s="168" t="s">
        <v>307</v>
      </c>
      <c r="I643" s="168" t="s">
        <v>698</v>
      </c>
      <c r="J643"/>
      <c r="K643"/>
      <c r="L643"/>
      <c r="M643"/>
    </row>
    <row r="644" spans="1:13" ht="20.25" customHeight="1">
      <c r="A644" s="149" t="s">
        <v>361</v>
      </c>
      <c r="B644" s="155" t="s">
        <v>753</v>
      </c>
      <c r="C644" s="149">
        <v>10</v>
      </c>
      <c r="D644" s="149" t="s">
        <v>490</v>
      </c>
      <c r="E644" s="149">
        <v>52</v>
      </c>
      <c r="F644" s="189">
        <f t="shared" ref="F644:F659" si="57">+E644*C644</f>
        <v>520</v>
      </c>
      <c r="G644" s="189">
        <f t="shared" ref="G644:G659" si="58">+F644*1.12</f>
        <v>582.40000000000009</v>
      </c>
      <c r="H644" s="901">
        <v>750102</v>
      </c>
      <c r="I644" s="860" t="s">
        <v>701</v>
      </c>
      <c r="J644"/>
      <c r="K644"/>
      <c r="L644"/>
      <c r="M644"/>
    </row>
    <row r="645" spans="1:13" ht="20.25" customHeight="1">
      <c r="A645" s="149" t="s">
        <v>361</v>
      </c>
      <c r="B645" s="155" t="s">
        <v>746</v>
      </c>
      <c r="C645" s="149">
        <v>10</v>
      </c>
      <c r="D645" s="149" t="s">
        <v>490</v>
      </c>
      <c r="E645" s="149">
        <v>34</v>
      </c>
      <c r="F645" s="189">
        <f t="shared" si="57"/>
        <v>340</v>
      </c>
      <c r="G645" s="189">
        <f t="shared" si="58"/>
        <v>380.8</v>
      </c>
      <c r="H645" s="902"/>
      <c r="I645" s="860"/>
      <c r="J645"/>
      <c r="K645"/>
      <c r="L645"/>
      <c r="M645"/>
    </row>
    <row r="646" spans="1:13" ht="20.25" customHeight="1">
      <c r="A646" s="149" t="s">
        <v>361</v>
      </c>
      <c r="B646" s="155" t="s">
        <v>737</v>
      </c>
      <c r="C646" s="149">
        <v>10</v>
      </c>
      <c r="D646" s="149" t="s">
        <v>329</v>
      </c>
      <c r="E646" s="149">
        <v>28</v>
      </c>
      <c r="F646" s="189">
        <f t="shared" si="57"/>
        <v>280</v>
      </c>
      <c r="G646" s="189">
        <f t="shared" si="58"/>
        <v>313.60000000000002</v>
      </c>
      <c r="H646" s="902"/>
      <c r="I646" s="860"/>
      <c r="J646"/>
      <c r="K646"/>
      <c r="L646"/>
      <c r="M646"/>
    </row>
    <row r="647" spans="1:13" ht="20.25" customHeight="1">
      <c r="A647" s="149" t="s">
        <v>361</v>
      </c>
      <c r="B647" s="155" t="s">
        <v>747</v>
      </c>
      <c r="C647" s="149">
        <v>20</v>
      </c>
      <c r="D647" s="149" t="s">
        <v>490</v>
      </c>
      <c r="E647" s="149">
        <v>22</v>
      </c>
      <c r="F647" s="189">
        <f t="shared" si="57"/>
        <v>440</v>
      </c>
      <c r="G647" s="189">
        <f t="shared" si="58"/>
        <v>492.80000000000007</v>
      </c>
      <c r="H647" s="902"/>
      <c r="I647" s="860"/>
      <c r="J647"/>
      <c r="K647"/>
      <c r="L647"/>
      <c r="M647"/>
    </row>
    <row r="648" spans="1:13" ht="20.25" customHeight="1">
      <c r="A648" s="149" t="s">
        <v>361</v>
      </c>
      <c r="B648" s="155" t="s">
        <v>750</v>
      </c>
      <c r="C648" s="149">
        <v>5</v>
      </c>
      <c r="D648" s="149" t="s">
        <v>490</v>
      </c>
      <c r="E648" s="149">
        <v>65</v>
      </c>
      <c r="F648" s="189">
        <f t="shared" si="57"/>
        <v>325</v>
      </c>
      <c r="G648" s="189">
        <f t="shared" si="58"/>
        <v>364.00000000000006</v>
      </c>
      <c r="H648" s="902"/>
      <c r="I648" s="860"/>
      <c r="J648"/>
      <c r="K648"/>
      <c r="L648"/>
      <c r="M648"/>
    </row>
    <row r="649" spans="1:13" ht="20.25" customHeight="1">
      <c r="A649" s="149" t="s">
        <v>361</v>
      </c>
      <c r="B649" s="155" t="s">
        <v>742</v>
      </c>
      <c r="C649" s="149">
        <v>5</v>
      </c>
      <c r="D649" s="149" t="s">
        <v>490</v>
      </c>
      <c r="E649" s="149">
        <v>48</v>
      </c>
      <c r="F649" s="189">
        <f t="shared" si="57"/>
        <v>240</v>
      </c>
      <c r="G649" s="189">
        <f t="shared" si="58"/>
        <v>268.8</v>
      </c>
      <c r="H649" s="902"/>
      <c r="I649" s="860"/>
      <c r="J649"/>
      <c r="K649"/>
      <c r="L649"/>
      <c r="M649"/>
    </row>
    <row r="650" spans="1:13" ht="20.25" customHeight="1">
      <c r="A650" s="149" t="s">
        <v>361</v>
      </c>
      <c r="B650" s="155" t="s">
        <v>743</v>
      </c>
      <c r="C650" s="149">
        <v>5</v>
      </c>
      <c r="D650" s="149" t="s">
        <v>490</v>
      </c>
      <c r="E650" s="149">
        <v>36</v>
      </c>
      <c r="F650" s="189">
        <f t="shared" si="57"/>
        <v>180</v>
      </c>
      <c r="G650" s="189">
        <f t="shared" si="58"/>
        <v>201.60000000000002</v>
      </c>
      <c r="H650" s="902"/>
      <c r="I650" s="860"/>
      <c r="J650"/>
      <c r="K650"/>
      <c r="L650"/>
      <c r="M650"/>
    </row>
    <row r="651" spans="1:13" ht="20.25" customHeight="1">
      <c r="A651" s="149" t="s">
        <v>361</v>
      </c>
      <c r="B651" s="195" t="s">
        <v>754</v>
      </c>
      <c r="C651" s="149">
        <v>10</v>
      </c>
      <c r="D651" s="149" t="s">
        <v>490</v>
      </c>
      <c r="E651" s="149">
        <v>85</v>
      </c>
      <c r="F651" s="189">
        <f t="shared" si="57"/>
        <v>850</v>
      </c>
      <c r="G651" s="189">
        <f t="shared" si="58"/>
        <v>952.00000000000011</v>
      </c>
      <c r="H651" s="902"/>
      <c r="I651" s="860"/>
      <c r="J651"/>
      <c r="K651"/>
      <c r="L651"/>
      <c r="M651"/>
    </row>
    <row r="652" spans="1:13" ht="20.25" customHeight="1">
      <c r="A652" s="149" t="s">
        <v>361</v>
      </c>
      <c r="B652" s="155" t="s">
        <v>313</v>
      </c>
      <c r="C652" s="149">
        <v>100</v>
      </c>
      <c r="D652" s="149" t="s">
        <v>314</v>
      </c>
      <c r="E652" s="149">
        <v>8</v>
      </c>
      <c r="F652" s="189">
        <f t="shared" si="57"/>
        <v>800</v>
      </c>
      <c r="G652" s="189">
        <f t="shared" si="58"/>
        <v>896.00000000000011</v>
      </c>
      <c r="H652" s="902"/>
      <c r="I652" s="860"/>
      <c r="J652"/>
      <c r="K652"/>
      <c r="L652"/>
      <c r="M652"/>
    </row>
    <row r="653" spans="1:13" ht="20.25" customHeight="1">
      <c r="A653" s="149" t="s">
        <v>361</v>
      </c>
      <c r="B653" s="190" t="s">
        <v>317</v>
      </c>
      <c r="C653" s="149">
        <v>10</v>
      </c>
      <c r="D653" s="149" t="s">
        <v>321</v>
      </c>
      <c r="E653" s="149">
        <v>25</v>
      </c>
      <c r="F653" s="189">
        <f t="shared" si="57"/>
        <v>250</v>
      </c>
      <c r="G653" s="189">
        <f t="shared" si="58"/>
        <v>280</v>
      </c>
      <c r="H653" s="902"/>
      <c r="I653" s="860"/>
      <c r="J653"/>
      <c r="K653"/>
      <c r="L653"/>
      <c r="M653"/>
    </row>
    <row r="654" spans="1:13" ht="20.25" customHeight="1">
      <c r="A654" s="149" t="s">
        <v>361</v>
      </c>
      <c r="B654" s="190" t="s">
        <v>318</v>
      </c>
      <c r="C654" s="149">
        <v>13</v>
      </c>
      <c r="D654" s="149" t="s">
        <v>321</v>
      </c>
      <c r="E654" s="149">
        <v>30</v>
      </c>
      <c r="F654" s="189">
        <f t="shared" si="57"/>
        <v>390</v>
      </c>
      <c r="G654" s="189">
        <f t="shared" si="58"/>
        <v>436.80000000000007</v>
      </c>
      <c r="H654" s="902"/>
      <c r="I654" s="860"/>
      <c r="J654"/>
      <c r="K654"/>
      <c r="L654"/>
      <c r="M654"/>
    </row>
    <row r="655" spans="1:13" ht="20.25" customHeight="1">
      <c r="A655" s="149" t="s">
        <v>361</v>
      </c>
      <c r="B655" s="190" t="s">
        <v>319</v>
      </c>
      <c r="C655" s="149">
        <v>10</v>
      </c>
      <c r="D655" s="149" t="s">
        <v>322</v>
      </c>
      <c r="E655" s="149">
        <v>20</v>
      </c>
      <c r="F655" s="189">
        <f t="shared" si="57"/>
        <v>200</v>
      </c>
      <c r="G655" s="189">
        <f t="shared" si="58"/>
        <v>224.00000000000003</v>
      </c>
      <c r="H655" s="902"/>
      <c r="I655" s="860"/>
      <c r="J655"/>
      <c r="K655"/>
      <c r="L655"/>
      <c r="M655"/>
    </row>
    <row r="656" spans="1:13" ht="20.25" customHeight="1">
      <c r="A656" s="149" t="s">
        <v>361</v>
      </c>
      <c r="B656" s="190" t="s">
        <v>326</v>
      </c>
      <c r="C656" s="149">
        <v>10</v>
      </c>
      <c r="D656" s="149" t="s">
        <v>322</v>
      </c>
      <c r="E656" s="149">
        <v>5</v>
      </c>
      <c r="F656" s="189">
        <f t="shared" si="57"/>
        <v>50</v>
      </c>
      <c r="G656" s="189">
        <f t="shared" si="58"/>
        <v>56.000000000000007</v>
      </c>
      <c r="H656" s="902"/>
      <c r="I656" s="860"/>
      <c r="J656"/>
      <c r="K656"/>
      <c r="L656"/>
      <c r="M656"/>
    </row>
    <row r="657" spans="1:13" ht="20.25" customHeight="1">
      <c r="A657" s="149" t="s">
        <v>361</v>
      </c>
      <c r="B657" s="190" t="s">
        <v>323</v>
      </c>
      <c r="C657" s="149">
        <v>2</v>
      </c>
      <c r="D657" s="149" t="s">
        <v>324</v>
      </c>
      <c r="E657" s="149">
        <v>40</v>
      </c>
      <c r="F657" s="189">
        <f t="shared" si="57"/>
        <v>80</v>
      </c>
      <c r="G657" s="189">
        <f t="shared" si="58"/>
        <v>89.600000000000009</v>
      </c>
      <c r="H657" s="902"/>
      <c r="I657" s="860"/>
      <c r="J657"/>
      <c r="K657"/>
      <c r="L657"/>
      <c r="M657"/>
    </row>
    <row r="658" spans="1:13" ht="20.25" customHeight="1">
      <c r="A658" s="149" t="s">
        <v>361</v>
      </c>
      <c r="B658" s="190" t="s">
        <v>328</v>
      </c>
      <c r="C658" s="149">
        <v>20</v>
      </c>
      <c r="D658" s="149" t="s">
        <v>329</v>
      </c>
      <c r="E658" s="149">
        <v>3</v>
      </c>
      <c r="F658" s="189">
        <f t="shared" si="57"/>
        <v>60</v>
      </c>
      <c r="G658" s="189">
        <f t="shared" si="58"/>
        <v>67.2</v>
      </c>
      <c r="H658" s="902"/>
      <c r="I658" s="860"/>
      <c r="J658"/>
      <c r="K658"/>
      <c r="L658"/>
      <c r="M658"/>
    </row>
    <row r="659" spans="1:13" ht="20.25" customHeight="1">
      <c r="A659" s="149" t="s">
        <v>361</v>
      </c>
      <c r="B659" s="190" t="s">
        <v>327</v>
      </c>
      <c r="C659" s="149">
        <v>20</v>
      </c>
      <c r="D659" s="149" t="s">
        <v>329</v>
      </c>
      <c r="E659" s="149">
        <v>3</v>
      </c>
      <c r="F659" s="189">
        <f t="shared" si="57"/>
        <v>60</v>
      </c>
      <c r="G659" s="189">
        <f t="shared" si="58"/>
        <v>67.2</v>
      </c>
      <c r="H659" s="902"/>
      <c r="I659" s="860"/>
      <c r="J659"/>
      <c r="K659"/>
      <c r="L659"/>
      <c r="M659"/>
    </row>
    <row r="660" spans="1:13" ht="20.25" customHeight="1">
      <c r="A660" s="894" t="s">
        <v>101</v>
      </c>
      <c r="B660" s="895"/>
      <c r="C660" s="895"/>
      <c r="D660" s="895"/>
      <c r="E660" s="896"/>
      <c r="F660" s="191">
        <f>SUM(F644:F659)</f>
        <v>5065</v>
      </c>
      <c r="G660" s="191">
        <f>SUM(G644:G659)</f>
        <v>5672.8000000000011</v>
      </c>
      <c r="H660" s="903"/>
      <c r="I660" s="863"/>
      <c r="J660"/>
      <c r="K660"/>
      <c r="L660"/>
      <c r="M660"/>
    </row>
    <row r="661" spans="1:13" ht="20.25" customHeight="1">
      <c r="A661" s="894"/>
      <c r="B661" s="895"/>
      <c r="C661" s="895"/>
      <c r="D661" s="895"/>
      <c r="E661" s="895"/>
      <c r="F661" s="895"/>
      <c r="G661" s="895"/>
      <c r="H661" s="895"/>
      <c r="I661" s="896"/>
      <c r="J661"/>
      <c r="K661"/>
      <c r="L661"/>
      <c r="M661"/>
    </row>
    <row r="662" spans="1:13" ht="20.25" customHeight="1">
      <c r="A662" s="192" t="s">
        <v>341</v>
      </c>
      <c r="B662" s="155" t="s">
        <v>342</v>
      </c>
      <c r="C662" s="149">
        <v>1</v>
      </c>
      <c r="D662" s="149" t="s">
        <v>343</v>
      </c>
      <c r="E662" s="149">
        <v>750</v>
      </c>
      <c r="F662" s="189">
        <f>+E662*C662</f>
        <v>750</v>
      </c>
      <c r="G662" s="189">
        <f>+F662*1.12</f>
        <v>840.00000000000011</v>
      </c>
      <c r="H662" s="190"/>
      <c r="I662" s="190"/>
      <c r="J662"/>
      <c r="K662"/>
      <c r="L662"/>
      <c r="M662"/>
    </row>
    <row r="663" spans="1:13" ht="20.25" customHeight="1">
      <c r="A663" s="894" t="s">
        <v>101</v>
      </c>
      <c r="B663" s="895"/>
      <c r="C663" s="895"/>
      <c r="D663" s="895"/>
      <c r="E663" s="896"/>
      <c r="F663" s="191">
        <f>+F662</f>
        <v>750</v>
      </c>
      <c r="G663" s="191">
        <f>+G662</f>
        <v>840.00000000000011</v>
      </c>
      <c r="H663" s="193"/>
      <c r="I663" s="193"/>
      <c r="J663"/>
      <c r="K663"/>
      <c r="L663"/>
      <c r="M663"/>
    </row>
    <row r="664" spans="1:13" ht="20.25" customHeight="1">
      <c r="E664" s="192" t="s">
        <v>35</v>
      </c>
      <c r="F664" s="191">
        <f>+F663+F660</f>
        <v>5815</v>
      </c>
      <c r="G664" s="191">
        <f>+G663+G660</f>
        <v>6512.8000000000011</v>
      </c>
      <c r="J664"/>
      <c r="K664"/>
      <c r="L664"/>
      <c r="M664"/>
    </row>
    <row r="665" spans="1:13" ht="20.25" customHeight="1">
      <c r="A665" s="161"/>
      <c r="B665" s="161"/>
      <c r="C665" s="161"/>
      <c r="D665" s="161"/>
      <c r="E665" s="162"/>
      <c r="F665" s="162"/>
      <c r="G665" s="162"/>
      <c r="H665" s="161"/>
      <c r="I665" s="161"/>
      <c r="J665"/>
      <c r="K665"/>
      <c r="L665"/>
      <c r="M665"/>
    </row>
    <row r="666" spans="1:13" ht="20.25" customHeight="1">
      <c r="A666" s="161"/>
      <c r="B666" s="161"/>
      <c r="C666" s="161"/>
      <c r="D666" s="161"/>
      <c r="E666" s="162"/>
      <c r="F666" s="162"/>
      <c r="G666" s="162"/>
      <c r="H666" s="161"/>
      <c r="I666" s="161"/>
      <c r="J666"/>
      <c r="K666"/>
      <c r="L666"/>
      <c r="M666"/>
    </row>
    <row r="667" spans="1:13" ht="39.75" customHeight="1">
      <c r="A667" s="163" t="s">
        <v>298</v>
      </c>
      <c r="B667" s="179" t="s">
        <v>755</v>
      </c>
      <c r="C667" s="180"/>
      <c r="D667" s="180"/>
      <c r="E667" s="180"/>
      <c r="F667" s="180"/>
      <c r="G667" s="180"/>
      <c r="H667" s="180"/>
      <c r="I667" s="181"/>
      <c r="J667"/>
      <c r="K667"/>
      <c r="L667"/>
      <c r="M667"/>
    </row>
    <row r="668" spans="1:13" ht="74.25" customHeight="1">
      <c r="A668" s="163" t="s">
        <v>692</v>
      </c>
      <c r="B668" s="164" t="s">
        <v>843</v>
      </c>
      <c r="C668" s="165"/>
      <c r="D668" s="165"/>
      <c r="E668" s="165"/>
      <c r="F668" s="165"/>
      <c r="G668" s="165"/>
      <c r="H668" s="165"/>
      <c r="I668" s="166"/>
      <c r="J668"/>
      <c r="K668"/>
      <c r="L668"/>
      <c r="M668"/>
    </row>
    <row r="669" spans="1:13" ht="20.25" customHeight="1">
      <c r="A669" s="878" t="s">
        <v>694</v>
      </c>
      <c r="B669" s="879"/>
      <c r="C669" s="879"/>
      <c r="D669" s="879"/>
      <c r="E669" s="879"/>
      <c r="F669" s="879"/>
      <c r="G669" s="880"/>
      <c r="H669" s="897" t="s">
        <v>695</v>
      </c>
      <c r="I669" s="897"/>
      <c r="J669"/>
      <c r="K669"/>
      <c r="L669"/>
      <c r="M669"/>
    </row>
    <row r="670" spans="1:13" ht="20.25" customHeight="1">
      <c r="A670" s="167" t="s">
        <v>696</v>
      </c>
      <c r="B670" s="167" t="s">
        <v>302</v>
      </c>
      <c r="C670" s="167" t="s">
        <v>312</v>
      </c>
      <c r="D670" s="167" t="s">
        <v>303</v>
      </c>
      <c r="E670" s="168" t="s">
        <v>304</v>
      </c>
      <c r="F670" s="168" t="s">
        <v>697</v>
      </c>
      <c r="G670" s="168" t="s">
        <v>306</v>
      </c>
      <c r="H670" s="168" t="s">
        <v>307</v>
      </c>
      <c r="I670" s="168" t="s">
        <v>698</v>
      </c>
      <c r="J670"/>
      <c r="K670"/>
      <c r="L670"/>
      <c r="M670"/>
    </row>
    <row r="671" spans="1:13" ht="20.25" customHeight="1">
      <c r="A671" s="149" t="s">
        <v>361</v>
      </c>
      <c r="B671" s="155" t="s">
        <v>313</v>
      </c>
      <c r="C671" s="150">
        <v>100</v>
      </c>
      <c r="D671" s="150" t="s">
        <v>314</v>
      </c>
      <c r="E671" s="196">
        <v>8</v>
      </c>
      <c r="F671" s="197">
        <f t="shared" ref="F671:F684" si="59">+E671*C671</f>
        <v>800</v>
      </c>
      <c r="G671" s="197">
        <f t="shared" ref="G671:G684" si="60">+F671*1.12</f>
        <v>896.00000000000011</v>
      </c>
      <c r="H671" s="901">
        <v>750102</v>
      </c>
      <c r="I671" s="859" t="s">
        <v>701</v>
      </c>
      <c r="J671"/>
      <c r="K671"/>
      <c r="L671"/>
      <c r="M671"/>
    </row>
    <row r="672" spans="1:13" ht="20.25" customHeight="1">
      <c r="A672" s="149" t="s">
        <v>361</v>
      </c>
      <c r="B672" s="190" t="s">
        <v>757</v>
      </c>
      <c r="C672" s="150">
        <v>30</v>
      </c>
      <c r="D672" s="150" t="s">
        <v>758</v>
      </c>
      <c r="E672" s="196">
        <v>70</v>
      </c>
      <c r="F672" s="197">
        <f t="shared" si="59"/>
        <v>2100</v>
      </c>
      <c r="G672" s="197">
        <f t="shared" si="60"/>
        <v>2352</v>
      </c>
      <c r="H672" s="902"/>
      <c r="I672" s="860"/>
      <c r="J672"/>
      <c r="K672"/>
      <c r="L672"/>
      <c r="M672"/>
    </row>
    <row r="673" spans="1:13" ht="20.25" customHeight="1">
      <c r="A673" s="149" t="s">
        <v>361</v>
      </c>
      <c r="B673" s="190" t="s">
        <v>759</v>
      </c>
      <c r="C673" s="150">
        <v>30</v>
      </c>
      <c r="D673" s="150" t="s">
        <v>758</v>
      </c>
      <c r="E673" s="196">
        <v>46</v>
      </c>
      <c r="F673" s="197">
        <f t="shared" si="59"/>
        <v>1380</v>
      </c>
      <c r="G673" s="197">
        <f t="shared" si="60"/>
        <v>1545.6000000000001</v>
      </c>
      <c r="H673" s="902"/>
      <c r="I673" s="860"/>
      <c r="J673"/>
      <c r="K673"/>
      <c r="L673"/>
      <c r="M673"/>
    </row>
    <row r="674" spans="1:13" ht="20.25" customHeight="1">
      <c r="A674" s="149" t="s">
        <v>361</v>
      </c>
      <c r="B674" s="190" t="s">
        <v>760</v>
      </c>
      <c r="C674" s="150">
        <v>30</v>
      </c>
      <c r="D674" s="150" t="s">
        <v>758</v>
      </c>
      <c r="E674" s="196">
        <v>34</v>
      </c>
      <c r="F674" s="197">
        <f t="shared" si="59"/>
        <v>1020</v>
      </c>
      <c r="G674" s="197">
        <f t="shared" si="60"/>
        <v>1142.4000000000001</v>
      </c>
      <c r="H674" s="902"/>
      <c r="I674" s="860"/>
      <c r="J674"/>
      <c r="K674"/>
      <c r="L674"/>
      <c r="M674"/>
    </row>
    <row r="675" spans="1:13" ht="20.25" customHeight="1">
      <c r="A675" s="149" t="s">
        <v>361</v>
      </c>
      <c r="B675" s="190" t="s">
        <v>761</v>
      </c>
      <c r="C675" s="150">
        <v>30</v>
      </c>
      <c r="D675" s="150" t="s">
        <v>758</v>
      </c>
      <c r="E675" s="196">
        <v>15</v>
      </c>
      <c r="F675" s="197">
        <f t="shared" si="59"/>
        <v>450</v>
      </c>
      <c r="G675" s="197">
        <f t="shared" si="60"/>
        <v>504.00000000000006</v>
      </c>
      <c r="H675" s="902"/>
      <c r="I675" s="860"/>
      <c r="J675"/>
      <c r="K675"/>
      <c r="L675"/>
      <c r="M675"/>
    </row>
    <row r="676" spans="1:13" ht="20.25" customHeight="1">
      <c r="A676" s="149" t="s">
        <v>361</v>
      </c>
      <c r="B676" s="190" t="s">
        <v>762</v>
      </c>
      <c r="C676" s="150">
        <v>10</v>
      </c>
      <c r="D676" s="150" t="s">
        <v>487</v>
      </c>
      <c r="E676" s="196">
        <v>22</v>
      </c>
      <c r="F676" s="197">
        <f t="shared" si="59"/>
        <v>220</v>
      </c>
      <c r="G676" s="197">
        <f t="shared" si="60"/>
        <v>246.40000000000003</v>
      </c>
      <c r="H676" s="902"/>
      <c r="I676" s="860"/>
      <c r="J676"/>
      <c r="K676"/>
      <c r="L676"/>
      <c r="M676"/>
    </row>
    <row r="677" spans="1:13" ht="20.25" customHeight="1">
      <c r="A677" s="149" t="s">
        <v>361</v>
      </c>
      <c r="B677" s="190" t="s">
        <v>763</v>
      </c>
      <c r="C677" s="150">
        <v>10</v>
      </c>
      <c r="D677" s="150" t="s">
        <v>487</v>
      </c>
      <c r="E677" s="196">
        <v>7.5</v>
      </c>
      <c r="F677" s="197">
        <f t="shared" si="59"/>
        <v>75</v>
      </c>
      <c r="G677" s="197">
        <f t="shared" si="60"/>
        <v>84.000000000000014</v>
      </c>
      <c r="H677" s="902"/>
      <c r="I677" s="860"/>
      <c r="J677"/>
      <c r="K677"/>
      <c r="L677"/>
      <c r="M677"/>
    </row>
    <row r="678" spans="1:13" ht="20.25" customHeight="1">
      <c r="A678" s="149" t="s">
        <v>361</v>
      </c>
      <c r="B678" s="190" t="s">
        <v>764</v>
      </c>
      <c r="C678" s="150">
        <v>10</v>
      </c>
      <c r="D678" s="150" t="s">
        <v>487</v>
      </c>
      <c r="E678" s="196">
        <v>72</v>
      </c>
      <c r="F678" s="197">
        <f t="shared" si="59"/>
        <v>720</v>
      </c>
      <c r="G678" s="197">
        <f t="shared" si="60"/>
        <v>806.40000000000009</v>
      </c>
      <c r="H678" s="902"/>
      <c r="I678" s="860"/>
      <c r="J678"/>
      <c r="K678"/>
      <c r="L678"/>
      <c r="M678"/>
    </row>
    <row r="679" spans="1:13" ht="20.25" customHeight="1">
      <c r="A679" s="149" t="s">
        <v>361</v>
      </c>
      <c r="B679" s="198" t="s">
        <v>765</v>
      </c>
      <c r="C679" s="614">
        <v>20</v>
      </c>
      <c r="D679" s="614" t="s">
        <v>487</v>
      </c>
      <c r="E679" s="196">
        <v>1.75</v>
      </c>
      <c r="F679" s="197">
        <f t="shared" si="59"/>
        <v>35</v>
      </c>
      <c r="G679" s="197">
        <f t="shared" si="60"/>
        <v>39.200000000000003</v>
      </c>
      <c r="H679" s="902"/>
      <c r="I679" s="860"/>
      <c r="J679"/>
      <c r="K679"/>
      <c r="L679"/>
      <c r="M679"/>
    </row>
    <row r="680" spans="1:13" ht="20.25" customHeight="1">
      <c r="A680" s="149" t="s">
        <v>361</v>
      </c>
      <c r="B680" s="199" t="s">
        <v>766</v>
      </c>
      <c r="C680" s="172">
        <v>6</v>
      </c>
      <c r="D680" s="172" t="s">
        <v>487</v>
      </c>
      <c r="E680" s="196">
        <v>52</v>
      </c>
      <c r="F680" s="197">
        <f t="shared" si="59"/>
        <v>312</v>
      </c>
      <c r="G680" s="197">
        <f t="shared" si="60"/>
        <v>349.44000000000005</v>
      </c>
      <c r="H680" s="902"/>
      <c r="I680" s="860"/>
      <c r="J680"/>
      <c r="K680"/>
      <c r="L680"/>
      <c r="M680"/>
    </row>
    <row r="681" spans="1:13" ht="20.25" customHeight="1">
      <c r="A681" s="149" t="s">
        <v>361</v>
      </c>
      <c r="B681" s="199" t="s">
        <v>767</v>
      </c>
      <c r="C681" s="172">
        <v>10</v>
      </c>
      <c r="D681" s="172" t="s">
        <v>487</v>
      </c>
      <c r="E681" s="200">
        <v>5</v>
      </c>
      <c r="F681" s="197">
        <f t="shared" si="59"/>
        <v>50</v>
      </c>
      <c r="G681" s="197">
        <f t="shared" si="60"/>
        <v>56.000000000000007</v>
      </c>
      <c r="H681" s="902"/>
      <c r="I681" s="860"/>
      <c r="J681"/>
      <c r="K681"/>
      <c r="L681"/>
      <c r="M681"/>
    </row>
    <row r="682" spans="1:13" ht="20.25" customHeight="1">
      <c r="A682" s="149" t="s">
        <v>361</v>
      </c>
      <c r="B682" s="199" t="s">
        <v>768</v>
      </c>
      <c r="C682" s="172">
        <v>20</v>
      </c>
      <c r="D682" s="172" t="s">
        <v>769</v>
      </c>
      <c r="E682" s="200">
        <v>1.75</v>
      </c>
      <c r="F682" s="197">
        <f t="shared" si="59"/>
        <v>35</v>
      </c>
      <c r="G682" s="197">
        <f t="shared" si="60"/>
        <v>39.200000000000003</v>
      </c>
      <c r="H682" s="902"/>
      <c r="I682" s="860"/>
      <c r="J682"/>
      <c r="K682"/>
      <c r="L682"/>
      <c r="M682"/>
    </row>
    <row r="683" spans="1:13" ht="20.25" customHeight="1">
      <c r="A683" s="149" t="s">
        <v>361</v>
      </c>
      <c r="B683" s="190" t="s">
        <v>328</v>
      </c>
      <c r="C683" s="150">
        <v>20</v>
      </c>
      <c r="D683" s="150" t="s">
        <v>329</v>
      </c>
      <c r="E683" s="196">
        <v>3</v>
      </c>
      <c r="F683" s="197">
        <f t="shared" si="59"/>
        <v>60</v>
      </c>
      <c r="G683" s="197">
        <f t="shared" si="60"/>
        <v>67.2</v>
      </c>
      <c r="H683" s="902"/>
      <c r="I683" s="860"/>
      <c r="J683"/>
      <c r="K683"/>
      <c r="L683"/>
      <c r="M683"/>
    </row>
    <row r="684" spans="1:13" ht="20.25" customHeight="1">
      <c r="A684" s="149" t="s">
        <v>361</v>
      </c>
      <c r="B684" s="190" t="s">
        <v>327</v>
      </c>
      <c r="C684" s="150">
        <v>20</v>
      </c>
      <c r="D684" s="150" t="s">
        <v>329</v>
      </c>
      <c r="E684" s="196">
        <v>3</v>
      </c>
      <c r="F684" s="197">
        <f t="shared" si="59"/>
        <v>60</v>
      </c>
      <c r="G684" s="197">
        <f t="shared" si="60"/>
        <v>67.2</v>
      </c>
      <c r="H684" s="902"/>
      <c r="I684" s="860"/>
      <c r="J684"/>
      <c r="K684"/>
      <c r="L684"/>
      <c r="M684"/>
    </row>
    <row r="685" spans="1:13" ht="20.25" customHeight="1">
      <c r="A685" s="894" t="s">
        <v>101</v>
      </c>
      <c r="B685" s="895"/>
      <c r="C685" s="895"/>
      <c r="D685" s="895"/>
      <c r="E685" s="896"/>
      <c r="F685" s="201">
        <f>SUM(F671:F684)</f>
        <v>7317</v>
      </c>
      <c r="G685" s="201">
        <f>SUM(G671:G684)</f>
        <v>8195.0399999999991</v>
      </c>
      <c r="H685" s="903"/>
      <c r="I685" s="863"/>
      <c r="J685"/>
      <c r="K685"/>
      <c r="L685"/>
      <c r="M685"/>
    </row>
    <row r="686" spans="1:13" ht="20.25" customHeight="1">
      <c r="A686" s="894"/>
      <c r="B686" s="895"/>
      <c r="C686" s="895"/>
      <c r="D686" s="895"/>
      <c r="E686" s="895"/>
      <c r="F686" s="895"/>
      <c r="G686" s="895"/>
      <c r="H686" s="895"/>
      <c r="I686" s="896"/>
      <c r="J686"/>
      <c r="K686"/>
      <c r="L686"/>
      <c r="M686"/>
    </row>
    <row r="687" spans="1:13" ht="20.25" customHeight="1">
      <c r="A687" s="192" t="s">
        <v>341</v>
      </c>
      <c r="B687" s="155" t="s">
        <v>342</v>
      </c>
      <c r="C687" s="149">
        <v>1</v>
      </c>
      <c r="D687" s="149" t="s">
        <v>343</v>
      </c>
      <c r="E687" s="149">
        <v>750</v>
      </c>
      <c r="F687" s="189">
        <f>+C687*E687</f>
        <v>750</v>
      </c>
      <c r="G687" s="189">
        <f>+F687*1.12</f>
        <v>840.00000000000011</v>
      </c>
      <c r="H687" s="190"/>
      <c r="I687" s="190"/>
      <c r="J687"/>
      <c r="K687"/>
      <c r="L687"/>
      <c r="M687"/>
    </row>
    <row r="688" spans="1:13" ht="20.25" customHeight="1">
      <c r="A688" s="894" t="s">
        <v>101</v>
      </c>
      <c r="B688" s="895"/>
      <c r="C688" s="895"/>
      <c r="D688" s="895"/>
      <c r="E688" s="896"/>
      <c r="F688" s="191">
        <f>SUM(F687)</f>
        <v>750</v>
      </c>
      <c r="G688" s="191">
        <f>SUM(G687)</f>
        <v>840.00000000000011</v>
      </c>
      <c r="H688" s="193"/>
      <c r="I688" s="193"/>
      <c r="J688"/>
      <c r="K688"/>
      <c r="L688"/>
      <c r="M688"/>
    </row>
    <row r="689" spans="1:13" ht="20.25" customHeight="1">
      <c r="E689" s="192" t="s">
        <v>35</v>
      </c>
      <c r="F689" s="191">
        <f>+F688+F685</f>
        <v>8067</v>
      </c>
      <c r="G689" s="191">
        <f>+G688+G685</f>
        <v>9035.0399999999991</v>
      </c>
      <c r="J689"/>
      <c r="K689"/>
      <c r="L689"/>
      <c r="M689"/>
    </row>
    <row r="690" spans="1:13" ht="20.25" customHeight="1">
      <c r="A690" s="161"/>
      <c r="B690" s="161"/>
      <c r="C690" s="161"/>
      <c r="D690" s="161"/>
      <c r="E690" s="162"/>
      <c r="F690" s="162"/>
      <c r="G690" s="162"/>
      <c r="H690" s="161"/>
      <c r="I690" s="161"/>
      <c r="J690"/>
      <c r="K690"/>
      <c r="L690"/>
      <c r="M690"/>
    </row>
    <row r="691" spans="1:13" ht="20.25" customHeight="1">
      <c r="A691" s="161"/>
      <c r="B691" s="161"/>
      <c r="C691" s="161"/>
      <c r="D691" s="161"/>
      <c r="E691" s="162"/>
      <c r="F691" s="162"/>
      <c r="G691" s="162"/>
      <c r="H691" s="161"/>
      <c r="I691" s="161"/>
      <c r="J691"/>
      <c r="K691"/>
      <c r="L691"/>
      <c r="M691"/>
    </row>
    <row r="692" spans="1:13" ht="20.25" customHeight="1">
      <c r="A692" s="161"/>
      <c r="B692" s="161"/>
      <c r="C692" s="161"/>
      <c r="D692" s="161"/>
      <c r="E692" s="162"/>
      <c r="F692" s="162"/>
      <c r="G692" s="162"/>
      <c r="H692" s="161"/>
      <c r="I692" s="161"/>
      <c r="J692"/>
      <c r="K692"/>
      <c r="L692"/>
      <c r="M692"/>
    </row>
    <row r="693" spans="1:13" ht="20.25" customHeight="1">
      <c r="A693" s="161"/>
      <c r="B693" s="161"/>
      <c r="C693" s="161"/>
      <c r="D693" s="161"/>
      <c r="E693" s="162"/>
      <c r="F693" s="162"/>
      <c r="G693" s="162"/>
      <c r="H693" s="161"/>
      <c r="I693" s="161"/>
      <c r="J693"/>
      <c r="K693"/>
      <c r="L693"/>
      <c r="M693"/>
    </row>
    <row r="694" spans="1:13" ht="20.25" customHeight="1">
      <c r="A694" s="161"/>
      <c r="B694" s="161"/>
      <c r="C694" s="161"/>
      <c r="D694" s="161"/>
      <c r="E694" s="162"/>
      <c r="F694" s="162"/>
      <c r="G694" s="162"/>
      <c r="H694" s="161"/>
      <c r="I694" s="161"/>
      <c r="J694"/>
      <c r="K694"/>
      <c r="L694"/>
      <c r="M694"/>
    </row>
    <row r="695" spans="1:13" ht="39.75" customHeight="1">
      <c r="A695" s="163" t="s">
        <v>298</v>
      </c>
      <c r="B695" s="179" t="s">
        <v>771</v>
      </c>
      <c r="C695" s="180"/>
      <c r="D695" s="180"/>
      <c r="E695" s="180"/>
      <c r="F695" s="180"/>
      <c r="G695" s="180"/>
      <c r="H695" s="180"/>
      <c r="I695" s="181"/>
      <c r="J695"/>
      <c r="K695"/>
      <c r="L695"/>
      <c r="M695"/>
    </row>
    <row r="696" spans="1:13" ht="68.25" customHeight="1">
      <c r="A696" s="163" t="s">
        <v>692</v>
      </c>
      <c r="B696" s="164" t="s">
        <v>844</v>
      </c>
      <c r="C696" s="165"/>
      <c r="D696" s="165"/>
      <c r="E696" s="165"/>
      <c r="F696" s="165"/>
      <c r="G696" s="165"/>
      <c r="H696" s="165"/>
      <c r="I696" s="166"/>
      <c r="J696"/>
      <c r="K696"/>
      <c r="L696"/>
      <c r="M696"/>
    </row>
    <row r="697" spans="1:13" ht="20.25" customHeight="1">
      <c r="A697" s="878" t="s">
        <v>694</v>
      </c>
      <c r="B697" s="879"/>
      <c r="C697" s="879"/>
      <c r="D697" s="879"/>
      <c r="E697" s="879"/>
      <c r="F697" s="879"/>
      <c r="G697" s="880"/>
      <c r="H697" s="897" t="s">
        <v>695</v>
      </c>
      <c r="I697" s="897"/>
      <c r="J697"/>
      <c r="K697"/>
      <c r="L697"/>
      <c r="M697"/>
    </row>
    <row r="698" spans="1:13" ht="20.25" customHeight="1">
      <c r="A698" s="167" t="s">
        <v>696</v>
      </c>
      <c r="B698" s="167" t="s">
        <v>302</v>
      </c>
      <c r="C698" s="167" t="s">
        <v>312</v>
      </c>
      <c r="D698" s="167" t="s">
        <v>303</v>
      </c>
      <c r="E698" s="168" t="s">
        <v>304</v>
      </c>
      <c r="F698" s="168" t="s">
        <v>697</v>
      </c>
      <c r="G698" s="168" t="s">
        <v>306</v>
      </c>
      <c r="H698" s="168" t="s">
        <v>307</v>
      </c>
      <c r="I698" s="168" t="s">
        <v>698</v>
      </c>
      <c r="J698"/>
      <c r="K698"/>
      <c r="L698"/>
      <c r="M698"/>
    </row>
    <row r="699" spans="1:13" ht="20.25" customHeight="1">
      <c r="A699" s="149" t="s">
        <v>361</v>
      </c>
      <c r="B699" s="155" t="s">
        <v>313</v>
      </c>
      <c r="C699" s="149">
        <v>200</v>
      </c>
      <c r="D699" s="149" t="s">
        <v>314</v>
      </c>
      <c r="E699" s="196">
        <v>8</v>
      </c>
      <c r="F699" s="202">
        <f t="shared" ref="F699:F711" si="61">+C699*E699</f>
        <v>1600</v>
      </c>
      <c r="G699" s="202">
        <f t="shared" ref="G699:G711" si="62">+F699*1.12</f>
        <v>1792.0000000000002</v>
      </c>
      <c r="H699" s="901">
        <v>750102</v>
      </c>
      <c r="I699" s="859" t="s">
        <v>701</v>
      </c>
      <c r="J699"/>
      <c r="K699"/>
      <c r="L699"/>
      <c r="M699"/>
    </row>
    <row r="700" spans="1:13" ht="20.25" customHeight="1">
      <c r="A700" s="149" t="s">
        <v>361</v>
      </c>
      <c r="B700" s="190" t="s">
        <v>757</v>
      </c>
      <c r="C700" s="150">
        <v>30</v>
      </c>
      <c r="D700" s="150" t="s">
        <v>758</v>
      </c>
      <c r="E700" s="196">
        <v>70</v>
      </c>
      <c r="F700" s="202">
        <f t="shared" si="61"/>
        <v>2100</v>
      </c>
      <c r="G700" s="202">
        <f t="shared" si="62"/>
        <v>2352</v>
      </c>
      <c r="H700" s="902"/>
      <c r="I700" s="860"/>
      <c r="J700"/>
      <c r="K700"/>
      <c r="L700"/>
      <c r="M700"/>
    </row>
    <row r="701" spans="1:13" ht="20.25" customHeight="1">
      <c r="A701" s="149" t="s">
        <v>361</v>
      </c>
      <c r="B701" s="190" t="s">
        <v>759</v>
      </c>
      <c r="C701" s="150">
        <v>30</v>
      </c>
      <c r="D701" s="150" t="s">
        <v>758</v>
      </c>
      <c r="E701" s="196">
        <v>46</v>
      </c>
      <c r="F701" s="202">
        <f t="shared" si="61"/>
        <v>1380</v>
      </c>
      <c r="G701" s="202">
        <f t="shared" si="62"/>
        <v>1545.6000000000001</v>
      </c>
      <c r="H701" s="902"/>
      <c r="I701" s="860"/>
      <c r="J701"/>
      <c r="K701"/>
      <c r="L701"/>
      <c r="M701"/>
    </row>
    <row r="702" spans="1:13" ht="20.25" customHeight="1">
      <c r="A702" s="149" t="s">
        <v>361</v>
      </c>
      <c r="B702" s="190" t="s">
        <v>760</v>
      </c>
      <c r="C702" s="150">
        <v>30</v>
      </c>
      <c r="D702" s="150" t="s">
        <v>758</v>
      </c>
      <c r="E702" s="196">
        <v>34</v>
      </c>
      <c r="F702" s="202">
        <f t="shared" si="61"/>
        <v>1020</v>
      </c>
      <c r="G702" s="202">
        <f t="shared" si="62"/>
        <v>1142.4000000000001</v>
      </c>
      <c r="H702" s="902"/>
      <c r="I702" s="860"/>
      <c r="J702"/>
      <c r="K702"/>
      <c r="L702"/>
      <c r="M702"/>
    </row>
    <row r="703" spans="1:13" ht="20.25" customHeight="1">
      <c r="A703" s="149" t="s">
        <v>361</v>
      </c>
      <c r="B703" s="190" t="s">
        <v>761</v>
      </c>
      <c r="C703" s="150">
        <v>30</v>
      </c>
      <c r="D703" s="150" t="s">
        <v>758</v>
      </c>
      <c r="E703" s="196">
        <v>15</v>
      </c>
      <c r="F703" s="202">
        <f t="shared" si="61"/>
        <v>450</v>
      </c>
      <c r="G703" s="202">
        <f t="shared" si="62"/>
        <v>504.00000000000006</v>
      </c>
      <c r="H703" s="902"/>
      <c r="I703" s="860"/>
      <c r="J703"/>
      <c r="K703"/>
      <c r="L703"/>
      <c r="M703"/>
    </row>
    <row r="704" spans="1:13" ht="20.25" customHeight="1">
      <c r="A704" s="149" t="s">
        <v>361</v>
      </c>
      <c r="B704" s="190" t="s">
        <v>762</v>
      </c>
      <c r="C704" s="150">
        <v>10</v>
      </c>
      <c r="D704" s="150" t="s">
        <v>487</v>
      </c>
      <c r="E704" s="196">
        <v>22</v>
      </c>
      <c r="F704" s="202">
        <f t="shared" si="61"/>
        <v>220</v>
      </c>
      <c r="G704" s="202">
        <f t="shared" si="62"/>
        <v>246.40000000000003</v>
      </c>
      <c r="H704" s="902"/>
      <c r="I704" s="860"/>
      <c r="J704"/>
      <c r="K704"/>
      <c r="L704"/>
      <c r="M704"/>
    </row>
    <row r="705" spans="1:13" ht="20.25" customHeight="1">
      <c r="A705" s="149" t="s">
        <v>361</v>
      </c>
      <c r="B705" s="190" t="s">
        <v>763</v>
      </c>
      <c r="C705" s="150">
        <v>10</v>
      </c>
      <c r="D705" s="150" t="s">
        <v>487</v>
      </c>
      <c r="E705" s="196">
        <v>7.5</v>
      </c>
      <c r="F705" s="202">
        <f t="shared" si="61"/>
        <v>75</v>
      </c>
      <c r="G705" s="202">
        <f t="shared" si="62"/>
        <v>84.000000000000014</v>
      </c>
      <c r="H705" s="902"/>
      <c r="I705" s="860"/>
      <c r="J705"/>
      <c r="K705"/>
      <c r="L705"/>
      <c r="M705"/>
    </row>
    <row r="706" spans="1:13" ht="20.25" customHeight="1">
      <c r="A706" s="149" t="s">
        <v>361</v>
      </c>
      <c r="B706" s="190" t="s">
        <v>764</v>
      </c>
      <c r="C706" s="150">
        <v>10</v>
      </c>
      <c r="D706" s="150" t="s">
        <v>487</v>
      </c>
      <c r="E706" s="196">
        <v>72</v>
      </c>
      <c r="F706" s="202">
        <f t="shared" si="61"/>
        <v>720</v>
      </c>
      <c r="G706" s="202">
        <f t="shared" si="62"/>
        <v>806.40000000000009</v>
      </c>
      <c r="H706" s="902"/>
      <c r="I706" s="860"/>
      <c r="J706"/>
      <c r="K706"/>
      <c r="L706"/>
      <c r="M706"/>
    </row>
    <row r="707" spans="1:13" ht="20.25" customHeight="1">
      <c r="A707" s="149" t="s">
        <v>361</v>
      </c>
      <c r="B707" s="198" t="s">
        <v>765</v>
      </c>
      <c r="C707" s="614">
        <v>20</v>
      </c>
      <c r="D707" s="614" t="s">
        <v>487</v>
      </c>
      <c r="E707" s="196">
        <v>1.75</v>
      </c>
      <c r="F707" s="203">
        <f t="shared" si="61"/>
        <v>35</v>
      </c>
      <c r="G707" s="203">
        <f t="shared" si="62"/>
        <v>39.200000000000003</v>
      </c>
      <c r="H707" s="902"/>
      <c r="I707" s="860"/>
      <c r="J707"/>
      <c r="K707"/>
      <c r="L707"/>
      <c r="M707"/>
    </row>
    <row r="708" spans="1:13" ht="20.25" customHeight="1">
      <c r="A708" s="149" t="s">
        <v>361</v>
      </c>
      <c r="B708" s="199" t="s">
        <v>770</v>
      </c>
      <c r="C708" s="172">
        <v>6</v>
      </c>
      <c r="D708" s="172" t="s">
        <v>487</v>
      </c>
      <c r="E708" s="196">
        <v>52</v>
      </c>
      <c r="F708" s="203">
        <f t="shared" si="61"/>
        <v>312</v>
      </c>
      <c r="G708" s="203">
        <f t="shared" si="62"/>
        <v>349.44000000000005</v>
      </c>
      <c r="H708" s="902"/>
      <c r="I708" s="860"/>
      <c r="J708"/>
      <c r="K708"/>
      <c r="L708"/>
      <c r="M708"/>
    </row>
    <row r="709" spans="1:13" ht="20.25" customHeight="1">
      <c r="A709" s="149" t="s">
        <v>361</v>
      </c>
      <c r="B709" s="199" t="s">
        <v>767</v>
      </c>
      <c r="C709" s="172">
        <v>10</v>
      </c>
      <c r="D709" s="172" t="s">
        <v>487</v>
      </c>
      <c r="E709" s="200">
        <v>5</v>
      </c>
      <c r="F709" s="203">
        <f t="shared" si="61"/>
        <v>50</v>
      </c>
      <c r="G709" s="203">
        <f t="shared" si="62"/>
        <v>56.000000000000007</v>
      </c>
      <c r="H709" s="902"/>
      <c r="I709" s="860"/>
      <c r="J709"/>
      <c r="K709"/>
      <c r="L709"/>
      <c r="M709"/>
    </row>
    <row r="710" spans="1:13" ht="20.25" customHeight="1">
      <c r="A710" s="149" t="s">
        <v>361</v>
      </c>
      <c r="B710" s="199" t="s">
        <v>768</v>
      </c>
      <c r="C710" s="172">
        <v>20</v>
      </c>
      <c r="D710" s="172" t="s">
        <v>769</v>
      </c>
      <c r="E710" s="200">
        <v>1.75</v>
      </c>
      <c r="F710" s="204">
        <f>+C710*E710</f>
        <v>35</v>
      </c>
      <c r="G710" s="204">
        <f>+F710*1.12</f>
        <v>39.200000000000003</v>
      </c>
      <c r="H710" s="902"/>
      <c r="I710" s="860"/>
      <c r="J710"/>
      <c r="K710"/>
      <c r="L710"/>
      <c r="M710"/>
    </row>
    <row r="711" spans="1:13" ht="20.25" customHeight="1">
      <c r="A711" s="149" t="s">
        <v>361</v>
      </c>
      <c r="B711" s="190" t="s">
        <v>326</v>
      </c>
      <c r="C711" s="149">
        <v>10</v>
      </c>
      <c r="D711" s="149" t="s">
        <v>322</v>
      </c>
      <c r="E711" s="196">
        <v>5</v>
      </c>
      <c r="F711" s="202">
        <f t="shared" si="61"/>
        <v>50</v>
      </c>
      <c r="G711" s="202">
        <f t="shared" si="62"/>
        <v>56.000000000000007</v>
      </c>
      <c r="H711" s="902"/>
      <c r="I711" s="860"/>
      <c r="J711"/>
      <c r="K711"/>
      <c r="L711"/>
      <c r="M711"/>
    </row>
    <row r="712" spans="1:13" ht="20.25" customHeight="1">
      <c r="A712" s="894" t="s">
        <v>101</v>
      </c>
      <c r="B712" s="895"/>
      <c r="C712" s="895"/>
      <c r="D712" s="895"/>
      <c r="E712" s="896"/>
      <c r="F712" s="205">
        <f>SUM(F699:F711)</f>
        <v>8047</v>
      </c>
      <c r="G712" s="205">
        <f>SUM(G699:G711)</f>
        <v>9012.6400000000012</v>
      </c>
      <c r="H712" s="903"/>
      <c r="I712" s="863"/>
      <c r="J712"/>
      <c r="K712"/>
      <c r="L712"/>
      <c r="M712"/>
    </row>
    <row r="713" spans="1:13" ht="20.25" customHeight="1">
      <c r="A713" s="894"/>
      <c r="B713" s="895"/>
      <c r="C713" s="895"/>
      <c r="D713" s="895"/>
      <c r="E713" s="895"/>
      <c r="F713" s="895"/>
      <c r="G713" s="895"/>
      <c r="H713" s="895"/>
      <c r="I713" s="896"/>
      <c r="J713"/>
      <c r="K713"/>
      <c r="L713"/>
      <c r="M713"/>
    </row>
    <row r="714" spans="1:13" ht="20.25" customHeight="1">
      <c r="A714" s="192" t="s">
        <v>341</v>
      </c>
      <c r="B714" s="155" t="s">
        <v>342</v>
      </c>
      <c r="C714" s="149">
        <v>1</v>
      </c>
      <c r="D714" s="149" t="s">
        <v>343</v>
      </c>
      <c r="E714" s="149">
        <v>750</v>
      </c>
      <c r="F714" s="189">
        <f>+C714*E714</f>
        <v>750</v>
      </c>
      <c r="G714" s="189">
        <f>+F714*1.12</f>
        <v>840.00000000000011</v>
      </c>
      <c r="H714" s="190"/>
      <c r="I714" s="190"/>
      <c r="J714"/>
      <c r="K714"/>
      <c r="L714"/>
      <c r="M714"/>
    </row>
    <row r="715" spans="1:13" ht="20.25" customHeight="1">
      <c r="A715" s="894" t="s">
        <v>101</v>
      </c>
      <c r="B715" s="895"/>
      <c r="C715" s="895"/>
      <c r="D715" s="895"/>
      <c r="E715" s="896"/>
      <c r="F715" s="191">
        <f>SUM(F714)</f>
        <v>750</v>
      </c>
      <c r="G715" s="191">
        <f>SUM(G714)</f>
        <v>840.00000000000011</v>
      </c>
      <c r="H715" s="193"/>
      <c r="I715" s="193"/>
      <c r="J715"/>
      <c r="K715"/>
      <c r="L715"/>
      <c r="M715"/>
    </row>
    <row r="716" spans="1:13" ht="20.25" customHeight="1">
      <c r="E716" s="192" t="s">
        <v>35</v>
      </c>
      <c r="F716" s="191">
        <f>+F715+F712</f>
        <v>8797</v>
      </c>
      <c r="G716" s="191">
        <f>+G715+G712</f>
        <v>9852.6400000000012</v>
      </c>
      <c r="J716"/>
      <c r="K716"/>
      <c r="L716"/>
      <c r="M716"/>
    </row>
    <row r="717" spans="1:13" ht="20.25" customHeight="1">
      <c r="A717" s="161"/>
      <c r="B717" s="161"/>
      <c r="C717" s="161"/>
      <c r="D717" s="161"/>
      <c r="E717" s="162"/>
      <c r="F717" s="162"/>
      <c r="G717" s="162"/>
      <c r="H717" s="161"/>
      <c r="I717" s="161"/>
      <c r="J717"/>
      <c r="K717"/>
      <c r="L717"/>
      <c r="M717"/>
    </row>
    <row r="718" spans="1:13" ht="20.25" customHeight="1">
      <c r="A718" s="161"/>
      <c r="B718" s="161"/>
      <c r="C718" s="161"/>
      <c r="D718" s="161"/>
      <c r="E718" s="162"/>
      <c r="F718" s="162"/>
      <c r="G718" s="162"/>
      <c r="H718" s="161"/>
      <c r="I718" s="161"/>
      <c r="J718"/>
      <c r="K718"/>
      <c r="L718"/>
      <c r="M718"/>
    </row>
    <row r="719" spans="1:13" ht="20.25" customHeight="1">
      <c r="A719" s="161"/>
      <c r="B719" s="161"/>
      <c r="C719" s="161"/>
      <c r="D719" s="161"/>
      <c r="E719" s="162"/>
      <c r="F719" s="162"/>
      <c r="G719" s="162"/>
      <c r="H719" s="161"/>
      <c r="I719" s="161"/>
      <c r="J719"/>
      <c r="K719"/>
      <c r="L719"/>
      <c r="M719"/>
    </row>
    <row r="720" spans="1:13" ht="20.25" customHeight="1">
      <c r="A720" s="161"/>
      <c r="B720" s="161"/>
      <c r="C720" s="161"/>
      <c r="D720" s="161"/>
      <c r="E720" s="162"/>
      <c r="F720" s="162"/>
      <c r="G720" s="162"/>
      <c r="H720" s="161"/>
      <c r="I720" s="161"/>
      <c r="J720"/>
      <c r="K720"/>
      <c r="L720"/>
      <c r="M720"/>
    </row>
    <row r="721" spans="1:13" ht="42" customHeight="1">
      <c r="A721" s="163" t="s">
        <v>298</v>
      </c>
      <c r="B721" s="179" t="s">
        <v>773</v>
      </c>
      <c r="C721" s="180"/>
      <c r="D721" s="180"/>
      <c r="E721" s="180"/>
      <c r="F721" s="180"/>
      <c r="G721" s="180"/>
      <c r="H721" s="180"/>
      <c r="I721" s="181"/>
      <c r="J721"/>
      <c r="K721"/>
      <c r="L721"/>
      <c r="M721"/>
    </row>
    <row r="722" spans="1:13" ht="73.5" customHeight="1">
      <c r="A722" s="163" t="s">
        <v>692</v>
      </c>
      <c r="B722" s="164" t="s">
        <v>1114</v>
      </c>
      <c r="C722" s="165"/>
      <c r="D722" s="165"/>
      <c r="E722" s="165"/>
      <c r="F722" s="165"/>
      <c r="G722" s="165"/>
      <c r="H722" s="165"/>
      <c r="I722" s="166"/>
      <c r="J722"/>
      <c r="K722"/>
      <c r="L722"/>
      <c r="M722"/>
    </row>
    <row r="723" spans="1:13" ht="20.25" customHeight="1">
      <c r="A723" s="878" t="s">
        <v>694</v>
      </c>
      <c r="B723" s="879"/>
      <c r="C723" s="879"/>
      <c r="D723" s="879"/>
      <c r="E723" s="879"/>
      <c r="F723" s="879"/>
      <c r="G723" s="880"/>
      <c r="H723" s="897" t="s">
        <v>695</v>
      </c>
      <c r="I723" s="897"/>
      <c r="J723"/>
      <c r="K723"/>
      <c r="L723"/>
      <c r="M723"/>
    </row>
    <row r="724" spans="1:13" ht="20.25" customHeight="1">
      <c r="A724" s="167" t="s">
        <v>696</v>
      </c>
      <c r="B724" s="167" t="s">
        <v>302</v>
      </c>
      <c r="C724" s="167" t="s">
        <v>312</v>
      </c>
      <c r="D724" s="167" t="s">
        <v>303</v>
      </c>
      <c r="E724" s="168" t="s">
        <v>304</v>
      </c>
      <c r="F724" s="168" t="s">
        <v>697</v>
      </c>
      <c r="G724" s="168" t="s">
        <v>306</v>
      </c>
      <c r="H724" s="168" t="s">
        <v>307</v>
      </c>
      <c r="I724" s="168" t="s">
        <v>698</v>
      </c>
      <c r="J724"/>
      <c r="K724"/>
      <c r="L724"/>
      <c r="M724"/>
    </row>
    <row r="725" spans="1:13" ht="20.25" customHeight="1">
      <c r="A725" s="149" t="s">
        <v>361</v>
      </c>
      <c r="B725" s="155" t="s">
        <v>313</v>
      </c>
      <c r="C725" s="150">
        <v>100</v>
      </c>
      <c r="D725" s="150" t="s">
        <v>314</v>
      </c>
      <c r="E725" s="196">
        <v>8</v>
      </c>
      <c r="F725" s="202">
        <f t="shared" ref="F725:F740" si="63">+C725*E725</f>
        <v>800</v>
      </c>
      <c r="G725" s="202">
        <f t="shared" ref="G725:G740" si="64">+F725*1.12</f>
        <v>896.00000000000011</v>
      </c>
      <c r="H725" s="901">
        <v>750102</v>
      </c>
      <c r="I725" s="859" t="s">
        <v>701</v>
      </c>
      <c r="J725"/>
      <c r="K725"/>
      <c r="L725"/>
      <c r="M725"/>
    </row>
    <row r="726" spans="1:13" ht="20.25" customHeight="1">
      <c r="A726" s="149" t="s">
        <v>361</v>
      </c>
      <c r="B726" s="190" t="s">
        <v>759</v>
      </c>
      <c r="C726" s="150">
        <v>30</v>
      </c>
      <c r="D726" s="150" t="s">
        <v>758</v>
      </c>
      <c r="E726" s="196">
        <v>46</v>
      </c>
      <c r="F726" s="202">
        <f t="shared" si="63"/>
        <v>1380</v>
      </c>
      <c r="G726" s="202">
        <f t="shared" si="64"/>
        <v>1545.6000000000001</v>
      </c>
      <c r="H726" s="902"/>
      <c r="I726" s="860"/>
      <c r="J726"/>
      <c r="K726"/>
      <c r="L726"/>
      <c r="M726"/>
    </row>
    <row r="727" spans="1:13" ht="20.25" customHeight="1">
      <c r="A727" s="149" t="s">
        <v>361</v>
      </c>
      <c r="B727" s="190" t="s">
        <v>760</v>
      </c>
      <c r="C727" s="150">
        <v>30</v>
      </c>
      <c r="D727" s="150" t="s">
        <v>758</v>
      </c>
      <c r="E727" s="196">
        <v>34</v>
      </c>
      <c r="F727" s="202">
        <f t="shared" si="63"/>
        <v>1020</v>
      </c>
      <c r="G727" s="202">
        <f t="shared" si="64"/>
        <v>1142.4000000000001</v>
      </c>
      <c r="H727" s="902"/>
      <c r="I727" s="860"/>
      <c r="J727"/>
      <c r="K727"/>
      <c r="L727"/>
      <c r="M727"/>
    </row>
    <row r="728" spans="1:13" ht="20.25" customHeight="1">
      <c r="A728" s="149" t="s">
        <v>361</v>
      </c>
      <c r="B728" s="190" t="s">
        <v>761</v>
      </c>
      <c r="C728" s="150">
        <v>30</v>
      </c>
      <c r="D728" s="150" t="s">
        <v>758</v>
      </c>
      <c r="E728" s="196">
        <v>15</v>
      </c>
      <c r="F728" s="202">
        <f t="shared" si="63"/>
        <v>450</v>
      </c>
      <c r="G728" s="202">
        <f t="shared" si="64"/>
        <v>504.00000000000006</v>
      </c>
      <c r="H728" s="902"/>
      <c r="I728" s="860"/>
      <c r="J728"/>
      <c r="K728"/>
      <c r="L728"/>
      <c r="M728"/>
    </row>
    <row r="729" spans="1:13" ht="20.25" customHeight="1">
      <c r="A729" s="149" t="s">
        <v>361</v>
      </c>
      <c r="B729" s="190" t="s">
        <v>762</v>
      </c>
      <c r="C729" s="150">
        <v>10</v>
      </c>
      <c r="D729" s="150" t="s">
        <v>487</v>
      </c>
      <c r="E729" s="196">
        <v>22</v>
      </c>
      <c r="F729" s="202">
        <f t="shared" si="63"/>
        <v>220</v>
      </c>
      <c r="G729" s="202">
        <f t="shared" si="64"/>
        <v>246.40000000000003</v>
      </c>
      <c r="H729" s="902"/>
      <c r="I729" s="860"/>
      <c r="J729"/>
      <c r="K729"/>
      <c r="L729"/>
      <c r="M729"/>
    </row>
    <row r="730" spans="1:13" ht="20.25" customHeight="1">
      <c r="A730" s="149" t="s">
        <v>361</v>
      </c>
      <c r="B730" s="190" t="s">
        <v>763</v>
      </c>
      <c r="C730" s="150">
        <v>10</v>
      </c>
      <c r="D730" s="150" t="s">
        <v>487</v>
      </c>
      <c r="E730" s="196">
        <v>7.5</v>
      </c>
      <c r="F730" s="202">
        <f t="shared" si="63"/>
        <v>75</v>
      </c>
      <c r="G730" s="202">
        <f t="shared" si="64"/>
        <v>84.000000000000014</v>
      </c>
      <c r="H730" s="902"/>
      <c r="I730" s="860"/>
      <c r="J730"/>
      <c r="K730"/>
      <c r="L730"/>
      <c r="M730"/>
    </row>
    <row r="731" spans="1:13" ht="20.25" customHeight="1">
      <c r="A731" s="149" t="s">
        <v>361</v>
      </c>
      <c r="B731" s="190" t="s">
        <v>772</v>
      </c>
      <c r="C731" s="150">
        <v>10</v>
      </c>
      <c r="D731" s="150" t="s">
        <v>774</v>
      </c>
      <c r="E731" s="196">
        <v>198</v>
      </c>
      <c r="F731" s="202">
        <f t="shared" si="63"/>
        <v>1980</v>
      </c>
      <c r="G731" s="202">
        <f t="shared" si="64"/>
        <v>2217.6000000000004</v>
      </c>
      <c r="H731" s="902"/>
      <c r="I731" s="860"/>
      <c r="J731"/>
      <c r="K731"/>
      <c r="L731"/>
      <c r="M731"/>
    </row>
    <row r="732" spans="1:13" ht="20.25" customHeight="1">
      <c r="A732" s="149" t="s">
        <v>361</v>
      </c>
      <c r="B732" s="190" t="s">
        <v>775</v>
      </c>
      <c r="C732" s="150">
        <v>10</v>
      </c>
      <c r="D732" s="150" t="s">
        <v>774</v>
      </c>
      <c r="E732" s="196">
        <v>118</v>
      </c>
      <c r="F732" s="202">
        <f t="shared" si="63"/>
        <v>1180</v>
      </c>
      <c r="G732" s="202">
        <f t="shared" si="64"/>
        <v>1321.6000000000001</v>
      </c>
      <c r="H732" s="902"/>
      <c r="I732" s="860"/>
      <c r="J732"/>
      <c r="K732"/>
      <c r="L732"/>
      <c r="M732"/>
    </row>
    <row r="733" spans="1:13" ht="20.25" customHeight="1">
      <c r="A733" s="149" t="s">
        <v>361</v>
      </c>
      <c r="B733" s="190" t="s">
        <v>776</v>
      </c>
      <c r="C733" s="150">
        <v>10</v>
      </c>
      <c r="D733" s="150" t="s">
        <v>777</v>
      </c>
      <c r="E733" s="196">
        <v>22</v>
      </c>
      <c r="F733" s="202">
        <f t="shared" si="63"/>
        <v>220</v>
      </c>
      <c r="G733" s="202">
        <f t="shared" si="64"/>
        <v>246.40000000000003</v>
      </c>
      <c r="H733" s="902"/>
      <c r="I733" s="860"/>
      <c r="J733"/>
      <c r="K733"/>
      <c r="L733"/>
      <c r="M733"/>
    </row>
    <row r="734" spans="1:13" ht="20.25" customHeight="1">
      <c r="A734" s="149" t="s">
        <v>361</v>
      </c>
      <c r="B734" s="190" t="s">
        <v>778</v>
      </c>
      <c r="C734" s="150">
        <v>10</v>
      </c>
      <c r="D734" s="150" t="s">
        <v>777</v>
      </c>
      <c r="E734" s="196">
        <v>7.5</v>
      </c>
      <c r="F734" s="202">
        <f t="shared" si="63"/>
        <v>75</v>
      </c>
      <c r="G734" s="202">
        <f t="shared" si="64"/>
        <v>84.000000000000014</v>
      </c>
      <c r="H734" s="902"/>
      <c r="I734" s="860"/>
      <c r="J734"/>
      <c r="K734"/>
      <c r="L734"/>
      <c r="M734"/>
    </row>
    <row r="735" spans="1:13" ht="20.25" customHeight="1">
      <c r="A735" s="149" t="s">
        <v>361</v>
      </c>
      <c r="B735" s="190" t="s">
        <v>779</v>
      </c>
      <c r="C735" s="150">
        <v>20</v>
      </c>
      <c r="D735" s="150" t="s">
        <v>777</v>
      </c>
      <c r="E735" s="196">
        <v>6</v>
      </c>
      <c r="F735" s="202">
        <f t="shared" si="63"/>
        <v>120</v>
      </c>
      <c r="G735" s="202">
        <f t="shared" si="64"/>
        <v>134.4</v>
      </c>
      <c r="H735" s="902"/>
      <c r="I735" s="860"/>
      <c r="J735"/>
      <c r="K735"/>
      <c r="L735"/>
      <c r="M735"/>
    </row>
    <row r="736" spans="1:13" ht="20.25" customHeight="1">
      <c r="A736" s="149" t="s">
        <v>361</v>
      </c>
      <c r="B736" s="190" t="s">
        <v>780</v>
      </c>
      <c r="C736" s="150">
        <v>5</v>
      </c>
      <c r="D736" s="150" t="s">
        <v>777</v>
      </c>
      <c r="E736" s="196">
        <v>4.0999999999999996</v>
      </c>
      <c r="F736" s="202">
        <f t="shared" si="63"/>
        <v>20.5</v>
      </c>
      <c r="G736" s="202">
        <f t="shared" si="64"/>
        <v>22.96</v>
      </c>
      <c r="H736" s="902"/>
      <c r="I736" s="860"/>
      <c r="J736"/>
      <c r="K736"/>
      <c r="L736"/>
      <c r="M736"/>
    </row>
    <row r="737" spans="1:13" ht="20.25" customHeight="1">
      <c r="A737" s="149" t="s">
        <v>361</v>
      </c>
      <c r="B737" s="190" t="s">
        <v>781</v>
      </c>
      <c r="C737" s="150">
        <v>10</v>
      </c>
      <c r="D737" s="150" t="s">
        <v>777</v>
      </c>
      <c r="E737" s="196">
        <v>48.55</v>
      </c>
      <c r="F737" s="202">
        <f t="shared" si="63"/>
        <v>485.5</v>
      </c>
      <c r="G737" s="202">
        <f t="shared" si="64"/>
        <v>543.7600000000001</v>
      </c>
      <c r="H737" s="902"/>
      <c r="I737" s="860"/>
      <c r="J737"/>
      <c r="K737"/>
      <c r="L737"/>
      <c r="M737"/>
    </row>
    <row r="738" spans="1:13" ht="20.25" customHeight="1">
      <c r="A738" s="149" t="s">
        <v>361</v>
      </c>
      <c r="B738" s="190" t="s">
        <v>782</v>
      </c>
      <c r="C738" s="150">
        <v>10</v>
      </c>
      <c r="D738" s="150" t="s">
        <v>777</v>
      </c>
      <c r="E738" s="196">
        <v>26.85</v>
      </c>
      <c r="F738" s="202">
        <f t="shared" si="63"/>
        <v>268.5</v>
      </c>
      <c r="G738" s="202">
        <f t="shared" si="64"/>
        <v>300.72000000000003</v>
      </c>
      <c r="H738" s="902"/>
      <c r="I738" s="860"/>
      <c r="J738"/>
      <c r="K738"/>
      <c r="L738"/>
      <c r="M738"/>
    </row>
    <row r="739" spans="1:13" ht="20.25" customHeight="1">
      <c r="A739" s="149" t="s">
        <v>361</v>
      </c>
      <c r="B739" s="190" t="s">
        <v>783</v>
      </c>
      <c r="C739" s="150">
        <v>10</v>
      </c>
      <c r="D739" s="150" t="s">
        <v>777</v>
      </c>
      <c r="E739" s="196">
        <v>22.45</v>
      </c>
      <c r="F739" s="202">
        <f t="shared" si="63"/>
        <v>224.5</v>
      </c>
      <c r="G739" s="202">
        <f t="shared" si="64"/>
        <v>251.44000000000003</v>
      </c>
      <c r="H739" s="902"/>
      <c r="I739" s="860"/>
      <c r="J739"/>
      <c r="K739"/>
      <c r="L739"/>
      <c r="M739"/>
    </row>
    <row r="740" spans="1:13" ht="20.25" customHeight="1">
      <c r="A740" s="149" t="s">
        <v>361</v>
      </c>
      <c r="B740" s="190" t="s">
        <v>784</v>
      </c>
      <c r="C740" s="150">
        <v>2</v>
      </c>
      <c r="D740" s="150" t="s">
        <v>777</v>
      </c>
      <c r="E740" s="206">
        <v>215</v>
      </c>
      <c r="F740" s="202">
        <f t="shared" si="63"/>
        <v>430</v>
      </c>
      <c r="G740" s="202">
        <f t="shared" si="64"/>
        <v>481.6</v>
      </c>
      <c r="H740" s="903"/>
      <c r="I740" s="860"/>
      <c r="J740"/>
      <c r="K740"/>
      <c r="L740"/>
      <c r="M740"/>
    </row>
    <row r="741" spans="1:13" ht="20.25" customHeight="1">
      <c r="A741" s="894" t="s">
        <v>101</v>
      </c>
      <c r="B741" s="895"/>
      <c r="C741" s="895"/>
      <c r="D741" s="895"/>
      <c r="E741" s="896"/>
      <c r="F741" s="201">
        <f>SUM(F725:F740)</f>
        <v>8949</v>
      </c>
      <c r="G741" s="201">
        <f>SUM(G725:G740)</f>
        <v>10022.880000000001</v>
      </c>
      <c r="H741" s="190"/>
      <c r="I741" s="863"/>
      <c r="J741"/>
      <c r="K741"/>
      <c r="L741"/>
      <c r="M741"/>
    </row>
    <row r="742" spans="1:13" ht="20.25" customHeight="1">
      <c r="A742" s="894"/>
      <c r="B742" s="895"/>
      <c r="C742" s="895"/>
      <c r="D742" s="895"/>
      <c r="E742" s="895"/>
      <c r="F742" s="895"/>
      <c r="G742" s="895"/>
      <c r="H742" s="895"/>
      <c r="I742" s="896"/>
      <c r="J742"/>
      <c r="K742"/>
      <c r="L742"/>
      <c r="M742"/>
    </row>
    <row r="743" spans="1:13" ht="20.25" customHeight="1">
      <c r="A743" s="192" t="s">
        <v>341</v>
      </c>
      <c r="B743" s="155" t="s">
        <v>342</v>
      </c>
      <c r="C743" s="149">
        <v>1</v>
      </c>
      <c r="D743" s="149" t="s">
        <v>343</v>
      </c>
      <c r="E743" s="149">
        <v>750</v>
      </c>
      <c r="F743" s="189">
        <f>+C743*E743</f>
        <v>750</v>
      </c>
      <c r="G743" s="189">
        <f>+F743*1.12</f>
        <v>840.00000000000011</v>
      </c>
      <c r="H743" s="190"/>
      <c r="I743" s="190"/>
      <c r="J743"/>
      <c r="K743"/>
      <c r="L743"/>
      <c r="M743"/>
    </row>
    <row r="744" spans="1:13" ht="20.25" customHeight="1">
      <c r="A744" s="894" t="s">
        <v>101</v>
      </c>
      <c r="B744" s="895"/>
      <c r="C744" s="895"/>
      <c r="D744" s="895"/>
      <c r="E744" s="896"/>
      <c r="F744" s="191">
        <f>SUM(F743)</f>
        <v>750</v>
      </c>
      <c r="G744" s="191">
        <f>SUM(G743)</f>
        <v>840.00000000000011</v>
      </c>
      <c r="H744" s="193"/>
      <c r="I744" s="193"/>
      <c r="J744"/>
      <c r="K744"/>
      <c r="L744"/>
      <c r="M744"/>
    </row>
    <row r="745" spans="1:13" ht="20.25" customHeight="1">
      <c r="E745" s="192" t="s">
        <v>35</v>
      </c>
      <c r="F745" s="191">
        <f>+F744+F741</f>
        <v>9699</v>
      </c>
      <c r="G745" s="191">
        <f>+G744+G741</f>
        <v>10862.880000000001</v>
      </c>
      <c r="J745"/>
      <c r="K745"/>
      <c r="L745"/>
      <c r="M745"/>
    </row>
    <row r="746" spans="1:13" ht="20.25" customHeight="1">
      <c r="A746" s="161"/>
      <c r="B746" s="161"/>
      <c r="C746" s="161"/>
      <c r="D746" s="161"/>
      <c r="E746" s="162"/>
      <c r="F746" s="162"/>
      <c r="G746" s="162"/>
      <c r="H746" s="161"/>
      <c r="I746" s="161"/>
      <c r="J746"/>
      <c r="K746"/>
      <c r="L746"/>
      <c r="M746"/>
    </row>
    <row r="747" spans="1:13" ht="20.25" customHeight="1">
      <c r="A747" s="161"/>
      <c r="B747" s="161"/>
      <c r="C747" s="161"/>
      <c r="D747" s="161"/>
      <c r="E747" s="162"/>
      <c r="F747" s="162"/>
      <c r="G747" s="162"/>
      <c r="H747" s="161"/>
      <c r="I747" s="161"/>
      <c r="J747"/>
      <c r="K747"/>
      <c r="L747"/>
      <c r="M747"/>
    </row>
    <row r="748" spans="1:13" ht="20.25" customHeight="1">
      <c r="A748" s="161"/>
      <c r="B748" s="161"/>
      <c r="C748" s="161"/>
      <c r="D748" s="161"/>
      <c r="E748" s="162"/>
      <c r="F748" s="162"/>
      <c r="G748" s="162"/>
      <c r="H748" s="161"/>
      <c r="I748" s="161"/>
      <c r="J748"/>
      <c r="K748"/>
      <c r="L748"/>
      <c r="M748"/>
    </row>
    <row r="749" spans="1:13" ht="45.75" customHeight="1">
      <c r="A749" s="163" t="s">
        <v>298</v>
      </c>
      <c r="B749" s="179" t="s">
        <v>785</v>
      </c>
      <c r="C749" s="180"/>
      <c r="D749" s="180"/>
      <c r="E749" s="180"/>
      <c r="F749" s="180"/>
      <c r="G749" s="180"/>
      <c r="H749" s="180"/>
      <c r="I749" s="181"/>
      <c r="J749"/>
      <c r="K749"/>
      <c r="L749"/>
      <c r="M749"/>
    </row>
    <row r="750" spans="1:13" ht="80.25" customHeight="1">
      <c r="A750" s="163" t="s">
        <v>692</v>
      </c>
      <c r="B750" s="164" t="s">
        <v>845</v>
      </c>
      <c r="C750" s="165"/>
      <c r="D750" s="165"/>
      <c r="E750" s="165"/>
      <c r="F750" s="165"/>
      <c r="G750" s="165"/>
      <c r="H750" s="165"/>
      <c r="I750" s="166"/>
      <c r="J750"/>
      <c r="K750"/>
      <c r="L750"/>
      <c r="M750"/>
    </row>
    <row r="751" spans="1:13" ht="20.25" customHeight="1">
      <c r="A751" s="878" t="s">
        <v>694</v>
      </c>
      <c r="B751" s="879"/>
      <c r="C751" s="879"/>
      <c r="D751" s="879"/>
      <c r="E751" s="879"/>
      <c r="F751" s="879"/>
      <c r="G751" s="880"/>
      <c r="H751" s="897" t="s">
        <v>695</v>
      </c>
      <c r="I751" s="897"/>
      <c r="J751"/>
      <c r="K751"/>
      <c r="L751"/>
      <c r="M751"/>
    </row>
    <row r="752" spans="1:13" ht="20.25" customHeight="1">
      <c r="A752" s="167" t="s">
        <v>696</v>
      </c>
      <c r="B752" s="167" t="s">
        <v>302</v>
      </c>
      <c r="C752" s="167" t="s">
        <v>312</v>
      </c>
      <c r="D752" s="167" t="s">
        <v>303</v>
      </c>
      <c r="E752" s="168" t="s">
        <v>304</v>
      </c>
      <c r="F752" s="168" t="s">
        <v>697</v>
      </c>
      <c r="G752" s="168" t="s">
        <v>306</v>
      </c>
      <c r="H752" s="168" t="s">
        <v>307</v>
      </c>
      <c r="I752" s="168" t="s">
        <v>698</v>
      </c>
      <c r="J752"/>
      <c r="K752"/>
      <c r="L752"/>
      <c r="M752"/>
    </row>
    <row r="753" spans="1:13" ht="20.25" customHeight="1">
      <c r="A753" s="192" t="s">
        <v>756</v>
      </c>
      <c r="B753" s="155" t="s">
        <v>313</v>
      </c>
      <c r="C753" s="150">
        <v>150</v>
      </c>
      <c r="D753" s="150" t="s">
        <v>314</v>
      </c>
      <c r="E753" s="196">
        <v>8</v>
      </c>
      <c r="F753" s="202">
        <f t="shared" ref="F753:F768" si="65">+C753*E753</f>
        <v>1200</v>
      </c>
      <c r="G753" s="202">
        <f t="shared" ref="G753:G768" si="66">+F753*1.12</f>
        <v>1344.0000000000002</v>
      </c>
      <c r="H753" s="901">
        <v>750102</v>
      </c>
      <c r="I753" s="859" t="s">
        <v>701</v>
      </c>
      <c r="J753"/>
      <c r="K753"/>
      <c r="L753"/>
      <c r="M753"/>
    </row>
    <row r="754" spans="1:13" ht="20.25" customHeight="1">
      <c r="A754" s="192"/>
      <c r="B754" s="190" t="s">
        <v>759</v>
      </c>
      <c r="C754" s="150">
        <v>30</v>
      </c>
      <c r="D754" s="150" t="s">
        <v>758</v>
      </c>
      <c r="E754" s="196">
        <v>46</v>
      </c>
      <c r="F754" s="202">
        <f t="shared" si="65"/>
        <v>1380</v>
      </c>
      <c r="G754" s="202">
        <f t="shared" si="66"/>
        <v>1545.6000000000001</v>
      </c>
      <c r="H754" s="902"/>
      <c r="I754" s="860"/>
      <c r="J754"/>
      <c r="K754"/>
      <c r="L754"/>
      <c r="M754"/>
    </row>
    <row r="755" spans="1:13" ht="20.25" customHeight="1">
      <c r="A755" s="192"/>
      <c r="B755" s="190" t="s">
        <v>760</v>
      </c>
      <c r="C755" s="150">
        <v>30</v>
      </c>
      <c r="D755" s="150" t="s">
        <v>758</v>
      </c>
      <c r="E755" s="196">
        <v>34</v>
      </c>
      <c r="F755" s="202">
        <f t="shared" si="65"/>
        <v>1020</v>
      </c>
      <c r="G755" s="202">
        <f t="shared" si="66"/>
        <v>1142.4000000000001</v>
      </c>
      <c r="H755" s="902"/>
      <c r="I755" s="860"/>
      <c r="J755"/>
      <c r="K755"/>
      <c r="L755"/>
      <c r="M755"/>
    </row>
    <row r="756" spans="1:13" ht="20.25" customHeight="1">
      <c r="A756" s="192"/>
      <c r="B756" s="190" t="s">
        <v>761</v>
      </c>
      <c r="C756" s="150">
        <v>30</v>
      </c>
      <c r="D756" s="150" t="s">
        <v>758</v>
      </c>
      <c r="E756" s="196">
        <v>15</v>
      </c>
      <c r="F756" s="202">
        <f t="shared" si="65"/>
        <v>450</v>
      </c>
      <c r="G756" s="202">
        <f t="shared" si="66"/>
        <v>504.00000000000006</v>
      </c>
      <c r="H756" s="902"/>
      <c r="I756" s="860"/>
      <c r="J756"/>
      <c r="K756"/>
      <c r="L756"/>
      <c r="M756"/>
    </row>
    <row r="757" spans="1:13" ht="20.25" customHeight="1">
      <c r="A757" s="192"/>
      <c r="B757" s="190" t="s">
        <v>762</v>
      </c>
      <c r="C757" s="150">
        <v>10</v>
      </c>
      <c r="D757" s="150" t="s">
        <v>487</v>
      </c>
      <c r="E757" s="196">
        <v>22</v>
      </c>
      <c r="F757" s="202">
        <f t="shared" si="65"/>
        <v>220</v>
      </c>
      <c r="G757" s="202">
        <f t="shared" si="66"/>
        <v>246.40000000000003</v>
      </c>
      <c r="H757" s="902"/>
      <c r="I757" s="860"/>
      <c r="J757"/>
      <c r="K757"/>
      <c r="L757"/>
      <c r="M757"/>
    </row>
    <row r="758" spans="1:13" ht="20.25" customHeight="1">
      <c r="A758" s="192"/>
      <c r="B758" s="190" t="s">
        <v>763</v>
      </c>
      <c r="C758" s="150">
        <v>10</v>
      </c>
      <c r="D758" s="150" t="s">
        <v>487</v>
      </c>
      <c r="E758" s="196">
        <v>7.5</v>
      </c>
      <c r="F758" s="202">
        <f t="shared" si="65"/>
        <v>75</v>
      </c>
      <c r="G758" s="202">
        <f t="shared" si="66"/>
        <v>84.000000000000014</v>
      </c>
      <c r="H758" s="902"/>
      <c r="I758" s="860"/>
      <c r="J758"/>
      <c r="K758"/>
      <c r="L758"/>
      <c r="M758"/>
    </row>
    <row r="759" spans="1:13" ht="20.25" customHeight="1">
      <c r="A759" s="192"/>
      <c r="B759" s="190" t="s">
        <v>772</v>
      </c>
      <c r="C759" s="150">
        <v>10</v>
      </c>
      <c r="D759" s="150" t="s">
        <v>774</v>
      </c>
      <c r="E759" s="196">
        <v>198</v>
      </c>
      <c r="F759" s="202">
        <f t="shared" si="65"/>
        <v>1980</v>
      </c>
      <c r="G759" s="202">
        <f t="shared" si="66"/>
        <v>2217.6000000000004</v>
      </c>
      <c r="H759" s="902"/>
      <c r="I759" s="860"/>
      <c r="J759"/>
      <c r="K759"/>
      <c r="L759"/>
      <c r="M759"/>
    </row>
    <row r="760" spans="1:13" ht="20.25" customHeight="1">
      <c r="A760" s="192"/>
      <c r="B760" s="190" t="s">
        <v>775</v>
      </c>
      <c r="C760" s="150">
        <v>10</v>
      </c>
      <c r="D760" s="150" t="s">
        <v>774</v>
      </c>
      <c r="E760" s="196">
        <v>118</v>
      </c>
      <c r="F760" s="202">
        <f t="shared" si="65"/>
        <v>1180</v>
      </c>
      <c r="G760" s="202">
        <f t="shared" si="66"/>
        <v>1321.6000000000001</v>
      </c>
      <c r="H760" s="902"/>
      <c r="I760" s="860"/>
      <c r="J760"/>
      <c r="K760"/>
      <c r="L760"/>
      <c r="M760"/>
    </row>
    <row r="761" spans="1:13" ht="20.25" customHeight="1">
      <c r="A761" s="192"/>
      <c r="B761" s="190" t="s">
        <v>776</v>
      </c>
      <c r="C761" s="150">
        <v>10</v>
      </c>
      <c r="D761" s="150" t="s">
        <v>777</v>
      </c>
      <c r="E761" s="196">
        <v>22</v>
      </c>
      <c r="F761" s="202">
        <f t="shared" si="65"/>
        <v>220</v>
      </c>
      <c r="G761" s="202">
        <f t="shared" si="66"/>
        <v>246.40000000000003</v>
      </c>
      <c r="H761" s="902"/>
      <c r="I761" s="860"/>
      <c r="J761"/>
      <c r="K761"/>
      <c r="L761"/>
      <c r="M761"/>
    </row>
    <row r="762" spans="1:13" ht="20.25" customHeight="1">
      <c r="A762" s="192"/>
      <c r="B762" s="190" t="s">
        <v>778</v>
      </c>
      <c r="C762" s="150">
        <v>10</v>
      </c>
      <c r="D762" s="150" t="s">
        <v>777</v>
      </c>
      <c r="E762" s="196">
        <v>7.5</v>
      </c>
      <c r="F762" s="202">
        <f t="shared" si="65"/>
        <v>75</v>
      </c>
      <c r="G762" s="202">
        <f t="shared" si="66"/>
        <v>84.000000000000014</v>
      </c>
      <c r="H762" s="902"/>
      <c r="I762" s="860"/>
      <c r="J762"/>
      <c r="K762"/>
      <c r="L762"/>
      <c r="M762"/>
    </row>
    <row r="763" spans="1:13" ht="20.25" customHeight="1">
      <c r="A763" s="192"/>
      <c r="B763" s="190" t="s">
        <v>779</v>
      </c>
      <c r="C763" s="150">
        <v>20</v>
      </c>
      <c r="D763" s="150" t="s">
        <v>777</v>
      </c>
      <c r="E763" s="196">
        <v>6</v>
      </c>
      <c r="F763" s="202">
        <f t="shared" si="65"/>
        <v>120</v>
      </c>
      <c r="G763" s="202">
        <f t="shared" si="66"/>
        <v>134.4</v>
      </c>
      <c r="H763" s="902"/>
      <c r="I763" s="860"/>
      <c r="J763"/>
      <c r="K763"/>
      <c r="L763"/>
      <c r="M763"/>
    </row>
    <row r="764" spans="1:13" ht="20.25" customHeight="1">
      <c r="A764" s="192"/>
      <c r="B764" s="190" t="s">
        <v>780</v>
      </c>
      <c r="C764" s="150">
        <v>5</v>
      </c>
      <c r="D764" s="150" t="s">
        <v>777</v>
      </c>
      <c r="E764" s="196">
        <v>4.0999999999999996</v>
      </c>
      <c r="F764" s="202">
        <f t="shared" si="65"/>
        <v>20.5</v>
      </c>
      <c r="G764" s="202">
        <f t="shared" si="66"/>
        <v>22.96</v>
      </c>
      <c r="H764" s="902"/>
      <c r="I764" s="860"/>
      <c r="J764"/>
      <c r="K764"/>
      <c r="L764"/>
      <c r="M764"/>
    </row>
    <row r="765" spans="1:13" ht="20.25" customHeight="1">
      <c r="A765" s="192"/>
      <c r="B765" s="190" t="s">
        <v>781</v>
      </c>
      <c r="C765" s="150">
        <v>20</v>
      </c>
      <c r="D765" s="150" t="s">
        <v>777</v>
      </c>
      <c r="E765" s="196">
        <v>48.55</v>
      </c>
      <c r="F765" s="202">
        <f t="shared" si="65"/>
        <v>971</v>
      </c>
      <c r="G765" s="202">
        <f t="shared" si="66"/>
        <v>1087.5200000000002</v>
      </c>
      <c r="H765" s="902"/>
      <c r="I765" s="860"/>
      <c r="J765"/>
      <c r="K765"/>
      <c r="L765"/>
      <c r="M765"/>
    </row>
    <row r="766" spans="1:13" ht="20.25" customHeight="1">
      <c r="A766" s="192"/>
      <c r="B766" s="190" t="s">
        <v>782</v>
      </c>
      <c r="C766" s="150">
        <v>10</v>
      </c>
      <c r="D766" s="150" t="s">
        <v>777</v>
      </c>
      <c r="E766" s="196">
        <v>26.85</v>
      </c>
      <c r="F766" s="202">
        <f t="shared" si="65"/>
        <v>268.5</v>
      </c>
      <c r="G766" s="202">
        <f t="shared" si="66"/>
        <v>300.72000000000003</v>
      </c>
      <c r="H766" s="902"/>
      <c r="I766" s="860"/>
      <c r="J766"/>
      <c r="K766"/>
      <c r="L766"/>
      <c r="M766"/>
    </row>
    <row r="767" spans="1:13" ht="20.25" customHeight="1">
      <c r="A767" s="192"/>
      <c r="B767" s="190" t="s">
        <v>783</v>
      </c>
      <c r="C767" s="150">
        <v>10</v>
      </c>
      <c r="D767" s="150" t="s">
        <v>777</v>
      </c>
      <c r="E767" s="196">
        <v>22.45</v>
      </c>
      <c r="F767" s="202">
        <f t="shared" si="65"/>
        <v>224.5</v>
      </c>
      <c r="G767" s="202">
        <f t="shared" si="66"/>
        <v>251.44000000000003</v>
      </c>
      <c r="H767" s="902"/>
      <c r="I767" s="860"/>
      <c r="J767"/>
      <c r="K767"/>
      <c r="L767"/>
      <c r="M767"/>
    </row>
    <row r="768" spans="1:13" ht="20.25" customHeight="1">
      <c r="A768" s="192"/>
      <c r="B768" s="190" t="s">
        <v>784</v>
      </c>
      <c r="C768" s="150">
        <v>2</v>
      </c>
      <c r="D768" s="150" t="s">
        <v>777</v>
      </c>
      <c r="E768" s="206">
        <v>215</v>
      </c>
      <c r="F768" s="202">
        <f t="shared" si="65"/>
        <v>430</v>
      </c>
      <c r="G768" s="202">
        <f t="shared" si="66"/>
        <v>481.6</v>
      </c>
      <c r="H768" s="902"/>
      <c r="I768" s="860"/>
      <c r="J768"/>
      <c r="K768"/>
      <c r="L768"/>
      <c r="M768"/>
    </row>
    <row r="769" spans="1:13" ht="20.25" customHeight="1">
      <c r="A769" s="894" t="s">
        <v>101</v>
      </c>
      <c r="B769" s="895"/>
      <c r="C769" s="895"/>
      <c r="D769" s="895"/>
      <c r="E769" s="896"/>
      <c r="F769" s="201">
        <f>SUM(F753:F768)</f>
        <v>9834.5</v>
      </c>
      <c r="G769" s="201">
        <f>SUM(G753:G768)</f>
        <v>11014.64</v>
      </c>
      <c r="H769" s="903"/>
      <c r="I769" s="863"/>
      <c r="J769"/>
      <c r="K769"/>
      <c r="L769"/>
      <c r="M769"/>
    </row>
    <row r="770" spans="1:13" ht="20.25" customHeight="1">
      <c r="A770" s="894"/>
      <c r="B770" s="895"/>
      <c r="C770" s="895"/>
      <c r="D770" s="895"/>
      <c r="E770" s="895"/>
      <c r="F770" s="895"/>
      <c r="G770" s="895"/>
      <c r="H770" s="895"/>
      <c r="I770" s="896"/>
      <c r="J770"/>
      <c r="K770"/>
      <c r="L770"/>
      <c r="M770"/>
    </row>
    <row r="771" spans="1:13" ht="20.25" customHeight="1">
      <c r="A771" s="192" t="s">
        <v>341</v>
      </c>
      <c r="B771" s="155" t="s">
        <v>342</v>
      </c>
      <c r="C771" s="149">
        <v>1</v>
      </c>
      <c r="D771" s="149" t="s">
        <v>343</v>
      </c>
      <c r="E771" s="149">
        <v>750</v>
      </c>
      <c r="F771" s="189">
        <f>+C771*E771</f>
        <v>750</v>
      </c>
      <c r="G771" s="189">
        <f>+F771*1.12</f>
        <v>840.00000000000011</v>
      </c>
      <c r="H771" s="190"/>
      <c r="I771" s="190"/>
      <c r="J771"/>
      <c r="K771"/>
      <c r="L771"/>
      <c r="M771"/>
    </row>
    <row r="772" spans="1:13" ht="20.25" customHeight="1">
      <c r="A772" s="894" t="s">
        <v>101</v>
      </c>
      <c r="B772" s="895"/>
      <c r="C772" s="895"/>
      <c r="D772" s="895"/>
      <c r="E772" s="896"/>
      <c r="F772" s="191">
        <f>SUM(F771)</f>
        <v>750</v>
      </c>
      <c r="G772" s="191">
        <f>SUM(G771)</f>
        <v>840.00000000000011</v>
      </c>
      <c r="H772" s="193"/>
      <c r="I772" s="193"/>
      <c r="J772"/>
      <c r="K772"/>
      <c r="L772"/>
      <c r="M772"/>
    </row>
    <row r="773" spans="1:13" ht="20.25" customHeight="1">
      <c r="E773" s="192" t="s">
        <v>35</v>
      </c>
      <c r="F773" s="191">
        <f>+F772+F769</f>
        <v>10584.5</v>
      </c>
      <c r="G773" s="191">
        <f>+G772+G769</f>
        <v>11854.64</v>
      </c>
      <c r="J773"/>
      <c r="K773"/>
      <c r="L773"/>
      <c r="M773"/>
    </row>
    <row r="774" spans="1:13" ht="20.25" customHeight="1">
      <c r="A774" s="161"/>
      <c r="B774" s="161"/>
      <c r="C774" s="161"/>
      <c r="D774" s="161"/>
      <c r="E774" s="162"/>
      <c r="F774" s="162"/>
      <c r="G774" s="162"/>
      <c r="H774" s="161"/>
      <c r="I774" s="161"/>
      <c r="J774"/>
      <c r="K774"/>
      <c r="L774"/>
      <c r="M774"/>
    </row>
    <row r="775" spans="1:13" ht="20.25" customHeight="1">
      <c r="A775" s="161"/>
      <c r="B775" s="161"/>
      <c r="C775" s="161"/>
      <c r="D775" s="161"/>
      <c r="E775" s="162"/>
      <c r="F775" s="162"/>
      <c r="G775" s="162"/>
      <c r="H775" s="161"/>
      <c r="I775" s="161"/>
      <c r="J775"/>
      <c r="K775"/>
      <c r="L775"/>
      <c r="M775"/>
    </row>
    <row r="776" spans="1:13" ht="20.25" customHeight="1">
      <c r="A776" s="161"/>
      <c r="B776" s="161"/>
      <c r="C776" s="161"/>
      <c r="D776" s="161"/>
      <c r="E776" s="162"/>
      <c r="F776" s="162"/>
      <c r="G776" s="162"/>
      <c r="H776" s="161"/>
      <c r="I776" s="161"/>
      <c r="J776"/>
      <c r="K776"/>
      <c r="L776"/>
      <c r="M776"/>
    </row>
    <row r="777" spans="1:13" ht="36" customHeight="1">
      <c r="A777" s="163" t="s">
        <v>298</v>
      </c>
      <c r="B777" s="179" t="s">
        <v>786</v>
      </c>
      <c r="C777" s="180"/>
      <c r="D777" s="180"/>
      <c r="E777" s="180"/>
      <c r="F777" s="180"/>
      <c r="G777" s="180"/>
      <c r="H777" s="180"/>
      <c r="I777" s="181"/>
      <c r="J777"/>
      <c r="K777"/>
      <c r="L777"/>
      <c r="M777"/>
    </row>
    <row r="778" spans="1:13" ht="70.5" customHeight="1">
      <c r="A778" s="163" t="s">
        <v>692</v>
      </c>
      <c r="B778" s="164" t="s">
        <v>846</v>
      </c>
      <c r="C778" s="165"/>
      <c r="D778" s="165"/>
      <c r="E778" s="165"/>
      <c r="F778" s="165"/>
      <c r="G778" s="165"/>
      <c r="H778" s="165"/>
      <c r="I778" s="166"/>
      <c r="J778"/>
      <c r="K778"/>
      <c r="L778"/>
      <c r="M778"/>
    </row>
    <row r="779" spans="1:13" ht="20.25" customHeight="1">
      <c r="A779" s="878" t="s">
        <v>694</v>
      </c>
      <c r="B779" s="879"/>
      <c r="C779" s="879"/>
      <c r="D779" s="879"/>
      <c r="E779" s="879"/>
      <c r="F779" s="879"/>
      <c r="G779" s="880"/>
      <c r="H779" s="897" t="s">
        <v>695</v>
      </c>
      <c r="I779" s="897"/>
      <c r="J779"/>
      <c r="K779"/>
      <c r="L779"/>
      <c r="M779"/>
    </row>
    <row r="780" spans="1:13" ht="20.25" customHeight="1">
      <c r="A780" s="167" t="s">
        <v>696</v>
      </c>
      <c r="B780" s="167" t="s">
        <v>302</v>
      </c>
      <c r="C780" s="167" t="s">
        <v>312</v>
      </c>
      <c r="D780" s="167" t="s">
        <v>303</v>
      </c>
      <c r="E780" s="168" t="s">
        <v>304</v>
      </c>
      <c r="F780" s="168" t="s">
        <v>697</v>
      </c>
      <c r="G780" s="168" t="s">
        <v>306</v>
      </c>
      <c r="H780" s="168" t="s">
        <v>307</v>
      </c>
      <c r="I780" s="168" t="s">
        <v>698</v>
      </c>
      <c r="J780"/>
      <c r="K780"/>
      <c r="L780"/>
      <c r="M780"/>
    </row>
    <row r="781" spans="1:13" ht="20.25" customHeight="1">
      <c r="A781" s="207" t="s">
        <v>756</v>
      </c>
      <c r="B781" s="160" t="s">
        <v>787</v>
      </c>
      <c r="C781" s="208">
        <v>10</v>
      </c>
      <c r="D781" s="149" t="s">
        <v>469</v>
      </c>
      <c r="E781" s="149">
        <v>52</v>
      </c>
      <c r="F781" s="189">
        <f t="shared" ref="F781:F795" si="67">+C781*E781</f>
        <v>520</v>
      </c>
      <c r="G781" s="189">
        <f t="shared" ref="G781:G795" si="68">+F781*1.12</f>
        <v>582.40000000000009</v>
      </c>
      <c r="H781" s="901">
        <v>750102</v>
      </c>
      <c r="I781" s="859" t="s">
        <v>701</v>
      </c>
      <c r="J781"/>
      <c r="K781"/>
      <c r="L781"/>
      <c r="M781"/>
    </row>
    <row r="782" spans="1:13" ht="20.25" customHeight="1">
      <c r="A782" s="209"/>
      <c r="B782" s="160" t="s">
        <v>788</v>
      </c>
      <c r="C782" s="208">
        <v>20</v>
      </c>
      <c r="D782" s="149" t="s">
        <v>469</v>
      </c>
      <c r="E782" s="149">
        <v>41</v>
      </c>
      <c r="F782" s="189">
        <f t="shared" si="67"/>
        <v>820</v>
      </c>
      <c r="G782" s="189">
        <f t="shared" si="68"/>
        <v>918.40000000000009</v>
      </c>
      <c r="H782" s="902"/>
      <c r="I782" s="860"/>
      <c r="J782"/>
      <c r="K782"/>
      <c r="L782"/>
      <c r="M782"/>
    </row>
    <row r="783" spans="1:13" ht="20.25" customHeight="1">
      <c r="A783" s="209"/>
      <c r="B783" s="160" t="s">
        <v>789</v>
      </c>
      <c r="C783" s="208">
        <v>5</v>
      </c>
      <c r="D783" s="149" t="s">
        <v>469</v>
      </c>
      <c r="E783" s="149">
        <v>22</v>
      </c>
      <c r="F783" s="189">
        <f t="shared" si="67"/>
        <v>110</v>
      </c>
      <c r="G783" s="189">
        <f t="shared" si="68"/>
        <v>123.20000000000002</v>
      </c>
      <c r="H783" s="902"/>
      <c r="I783" s="860"/>
      <c r="J783"/>
      <c r="K783"/>
      <c r="L783"/>
      <c r="M783"/>
    </row>
    <row r="784" spans="1:13" ht="20.25" customHeight="1">
      <c r="A784" s="190"/>
      <c r="B784" s="160" t="s">
        <v>790</v>
      </c>
      <c r="C784" s="150">
        <v>5</v>
      </c>
      <c r="D784" s="150" t="s">
        <v>469</v>
      </c>
      <c r="E784" s="210">
        <v>19</v>
      </c>
      <c r="F784" s="189">
        <f t="shared" si="67"/>
        <v>95</v>
      </c>
      <c r="G784" s="189">
        <f t="shared" si="68"/>
        <v>106.4</v>
      </c>
      <c r="H784" s="902"/>
      <c r="I784" s="860"/>
      <c r="J784"/>
      <c r="K784"/>
      <c r="L784"/>
      <c r="M784"/>
    </row>
    <row r="785" spans="1:13" ht="20.25" customHeight="1">
      <c r="A785" s="190"/>
      <c r="B785" s="160" t="s">
        <v>791</v>
      </c>
      <c r="C785" s="150">
        <v>5</v>
      </c>
      <c r="D785" s="150" t="s">
        <v>469</v>
      </c>
      <c r="E785" s="210">
        <v>17</v>
      </c>
      <c r="F785" s="189">
        <f t="shared" si="67"/>
        <v>85</v>
      </c>
      <c r="G785" s="189">
        <f t="shared" si="68"/>
        <v>95.2</v>
      </c>
      <c r="H785" s="902"/>
      <c r="I785" s="860"/>
      <c r="J785"/>
      <c r="K785"/>
      <c r="L785"/>
      <c r="M785"/>
    </row>
    <row r="786" spans="1:13" ht="20.25" customHeight="1">
      <c r="A786" s="190"/>
      <c r="B786" s="160" t="s">
        <v>792</v>
      </c>
      <c r="C786" s="150">
        <v>5</v>
      </c>
      <c r="D786" s="150" t="s">
        <v>469</v>
      </c>
      <c r="E786" s="210">
        <v>17</v>
      </c>
      <c r="F786" s="189">
        <f t="shared" si="67"/>
        <v>85</v>
      </c>
      <c r="G786" s="189">
        <f t="shared" si="68"/>
        <v>95.2</v>
      </c>
      <c r="H786" s="902"/>
      <c r="I786" s="860"/>
      <c r="J786"/>
      <c r="K786"/>
      <c r="L786"/>
      <c r="M786"/>
    </row>
    <row r="787" spans="1:13" ht="20.25" customHeight="1">
      <c r="A787" s="211"/>
      <c r="B787" s="212" t="s">
        <v>313</v>
      </c>
      <c r="C787" s="213">
        <v>60</v>
      </c>
      <c r="D787" s="213" t="s">
        <v>314</v>
      </c>
      <c r="E787" s="213">
        <v>8</v>
      </c>
      <c r="F787" s="189">
        <f t="shared" si="67"/>
        <v>480</v>
      </c>
      <c r="G787" s="189">
        <f t="shared" si="68"/>
        <v>537.6</v>
      </c>
      <c r="H787" s="902"/>
      <c r="I787" s="860"/>
      <c r="J787"/>
      <c r="K787"/>
      <c r="L787"/>
      <c r="M787"/>
    </row>
    <row r="788" spans="1:13" ht="20.25" customHeight="1">
      <c r="A788" s="190"/>
      <c r="B788" s="190" t="s">
        <v>317</v>
      </c>
      <c r="C788" s="149">
        <v>10</v>
      </c>
      <c r="D788" s="149" t="s">
        <v>321</v>
      </c>
      <c r="E788" s="149">
        <v>20</v>
      </c>
      <c r="F788" s="189">
        <f t="shared" si="67"/>
        <v>200</v>
      </c>
      <c r="G788" s="189">
        <f t="shared" si="68"/>
        <v>224.00000000000003</v>
      </c>
      <c r="H788" s="902"/>
      <c r="I788" s="860"/>
      <c r="J788"/>
      <c r="K788"/>
      <c r="L788"/>
      <c r="M788"/>
    </row>
    <row r="789" spans="1:13" ht="20.25" customHeight="1">
      <c r="A789" s="190"/>
      <c r="B789" s="190" t="s">
        <v>318</v>
      </c>
      <c r="C789" s="149">
        <v>8</v>
      </c>
      <c r="D789" s="149" t="s">
        <v>321</v>
      </c>
      <c r="E789" s="149">
        <v>15</v>
      </c>
      <c r="F789" s="189">
        <f t="shared" si="67"/>
        <v>120</v>
      </c>
      <c r="G789" s="189">
        <f t="shared" si="68"/>
        <v>134.4</v>
      </c>
      <c r="H789" s="902"/>
      <c r="I789" s="860"/>
      <c r="J789"/>
      <c r="K789"/>
      <c r="L789"/>
      <c r="M789"/>
    </row>
    <row r="790" spans="1:13" ht="20.25" customHeight="1">
      <c r="A790" s="190"/>
      <c r="B790" s="190" t="s">
        <v>793</v>
      </c>
      <c r="C790" s="149">
        <v>3</v>
      </c>
      <c r="D790" s="149" t="s">
        <v>544</v>
      </c>
      <c r="E790" s="149">
        <v>30</v>
      </c>
      <c r="F790" s="189">
        <f t="shared" si="67"/>
        <v>90</v>
      </c>
      <c r="G790" s="189">
        <f t="shared" si="68"/>
        <v>100.80000000000001</v>
      </c>
      <c r="H790" s="902"/>
      <c r="I790" s="860"/>
      <c r="J790"/>
      <c r="K790"/>
      <c r="L790"/>
      <c r="M790"/>
    </row>
    <row r="791" spans="1:13" ht="20.25" customHeight="1">
      <c r="A791" s="190"/>
      <c r="B791" s="190" t="s">
        <v>326</v>
      </c>
      <c r="C791" s="149">
        <v>2</v>
      </c>
      <c r="D791" s="149" t="s">
        <v>322</v>
      </c>
      <c r="E791" s="149">
        <v>27</v>
      </c>
      <c r="F791" s="189">
        <f t="shared" si="67"/>
        <v>54</v>
      </c>
      <c r="G791" s="189">
        <f t="shared" si="68"/>
        <v>60.480000000000004</v>
      </c>
      <c r="H791" s="902"/>
      <c r="I791" s="860"/>
      <c r="J791"/>
      <c r="K791"/>
      <c r="L791"/>
      <c r="M791"/>
    </row>
    <row r="792" spans="1:13" ht="20.25" customHeight="1">
      <c r="A792" s="190"/>
      <c r="B792" s="160" t="s">
        <v>794</v>
      </c>
      <c r="C792" s="208">
        <v>3</v>
      </c>
      <c r="D792" s="149" t="s">
        <v>474</v>
      </c>
      <c r="E792" s="149">
        <v>15</v>
      </c>
      <c r="F792" s="189">
        <f>+C792*E792</f>
        <v>45</v>
      </c>
      <c r="G792" s="189">
        <f>+F792*1.12</f>
        <v>50.400000000000006</v>
      </c>
      <c r="H792" s="902"/>
      <c r="I792" s="860"/>
      <c r="J792"/>
      <c r="K792"/>
      <c r="L792"/>
      <c r="M792"/>
    </row>
    <row r="793" spans="1:13" ht="20.25" customHeight="1">
      <c r="A793" s="190"/>
      <c r="B793" s="190" t="s">
        <v>323</v>
      </c>
      <c r="C793" s="149">
        <v>1</v>
      </c>
      <c r="D793" s="149" t="s">
        <v>324</v>
      </c>
      <c r="E793" s="149">
        <v>40</v>
      </c>
      <c r="F793" s="189">
        <f t="shared" si="67"/>
        <v>40</v>
      </c>
      <c r="G793" s="189">
        <f t="shared" si="68"/>
        <v>44.800000000000004</v>
      </c>
      <c r="H793" s="902"/>
      <c r="I793" s="860"/>
      <c r="J793"/>
      <c r="K793"/>
      <c r="L793"/>
      <c r="M793"/>
    </row>
    <row r="794" spans="1:13" ht="20.25" customHeight="1">
      <c r="A794" s="190"/>
      <c r="B794" s="190" t="s">
        <v>328</v>
      </c>
      <c r="C794" s="149">
        <v>30</v>
      </c>
      <c r="D794" s="149" t="s">
        <v>329</v>
      </c>
      <c r="E794" s="149">
        <v>3</v>
      </c>
      <c r="F794" s="189">
        <f t="shared" si="67"/>
        <v>90</v>
      </c>
      <c r="G794" s="189">
        <f t="shared" si="68"/>
        <v>100.80000000000001</v>
      </c>
      <c r="H794" s="902"/>
      <c r="I794" s="860"/>
      <c r="J794"/>
      <c r="K794"/>
      <c r="L794"/>
      <c r="M794"/>
    </row>
    <row r="795" spans="1:13" ht="20.25" customHeight="1">
      <c r="A795" s="190"/>
      <c r="B795" s="190" t="s">
        <v>327</v>
      </c>
      <c r="C795" s="149">
        <v>30</v>
      </c>
      <c r="D795" s="149" t="s">
        <v>329</v>
      </c>
      <c r="E795" s="149">
        <v>3</v>
      </c>
      <c r="F795" s="189">
        <f t="shared" si="67"/>
        <v>90</v>
      </c>
      <c r="G795" s="189">
        <f t="shared" si="68"/>
        <v>100.80000000000001</v>
      </c>
      <c r="H795" s="903"/>
      <c r="I795" s="863"/>
      <c r="J795"/>
      <c r="K795"/>
      <c r="L795"/>
      <c r="M795"/>
    </row>
    <row r="796" spans="1:13" ht="20.25" customHeight="1">
      <c r="A796" s="894" t="s">
        <v>101</v>
      </c>
      <c r="B796" s="895"/>
      <c r="C796" s="895"/>
      <c r="D796" s="895"/>
      <c r="E796" s="896"/>
      <c r="F796" s="191">
        <f>SUM(F781:F795)</f>
        <v>2924</v>
      </c>
      <c r="G796" s="191">
        <f>SUM(G781:G795)</f>
        <v>3274.8800000000015</v>
      </c>
      <c r="H796" s="190"/>
      <c r="I796" s="190"/>
      <c r="J796"/>
      <c r="K796"/>
      <c r="L796"/>
      <c r="M796"/>
    </row>
    <row r="797" spans="1:13" ht="20.25" customHeight="1">
      <c r="A797" s="894"/>
      <c r="B797" s="895"/>
      <c r="C797" s="895"/>
      <c r="D797" s="895"/>
      <c r="E797" s="895"/>
      <c r="F797" s="895"/>
      <c r="G797" s="895"/>
      <c r="H797" s="895"/>
      <c r="I797" s="896"/>
      <c r="J797"/>
      <c r="K797"/>
      <c r="L797"/>
      <c r="M797"/>
    </row>
    <row r="798" spans="1:13" ht="20.25" customHeight="1">
      <c r="A798" s="192" t="s">
        <v>341</v>
      </c>
      <c r="B798" s="155" t="s">
        <v>342</v>
      </c>
      <c r="C798" s="149">
        <v>1</v>
      </c>
      <c r="D798" s="149" t="s">
        <v>343</v>
      </c>
      <c r="E798" s="149">
        <v>750</v>
      </c>
      <c r="F798" s="189">
        <f>+C798*E798</f>
        <v>750</v>
      </c>
      <c r="G798" s="189">
        <f>+F798*1.12</f>
        <v>840.00000000000011</v>
      </c>
      <c r="H798" s="190"/>
      <c r="I798" s="190"/>
      <c r="J798"/>
      <c r="K798"/>
      <c r="L798"/>
      <c r="M798"/>
    </row>
    <row r="799" spans="1:13" ht="20.25" customHeight="1">
      <c r="A799" s="894" t="s">
        <v>101</v>
      </c>
      <c r="B799" s="895"/>
      <c r="C799" s="895"/>
      <c r="D799" s="895"/>
      <c r="E799" s="896"/>
      <c r="F799" s="191">
        <f>+F798</f>
        <v>750</v>
      </c>
      <c r="G799" s="191">
        <f>+G798</f>
        <v>840.00000000000011</v>
      </c>
      <c r="H799" s="193"/>
      <c r="I799" s="193"/>
      <c r="J799"/>
      <c r="K799"/>
      <c r="L799"/>
      <c r="M799"/>
    </row>
    <row r="800" spans="1:13" ht="20.25" customHeight="1">
      <c r="E800" s="192" t="s">
        <v>35</v>
      </c>
      <c r="F800" s="191">
        <f>+F799+F796</f>
        <v>3674</v>
      </c>
      <c r="G800" s="191">
        <f>+G799+G796</f>
        <v>4114.8800000000019</v>
      </c>
      <c r="J800"/>
      <c r="K800"/>
      <c r="L800"/>
      <c r="M800"/>
    </row>
    <row r="801" spans="1:13" ht="20.25" customHeight="1">
      <c r="A801" s="161"/>
      <c r="B801" s="161"/>
      <c r="C801" s="161"/>
      <c r="D801" s="161"/>
      <c r="E801" s="162"/>
      <c r="F801" s="162"/>
      <c r="G801" s="162"/>
      <c r="H801" s="161"/>
      <c r="I801" s="161"/>
      <c r="J801"/>
      <c r="K801"/>
      <c r="L801"/>
      <c r="M801"/>
    </row>
    <row r="802" spans="1:13" ht="20.25" customHeight="1">
      <c r="A802" s="161"/>
      <c r="B802" s="161"/>
      <c r="C802" s="161"/>
      <c r="D802" s="161"/>
      <c r="E802" s="162"/>
      <c r="F802" s="162"/>
      <c r="G802" s="162"/>
      <c r="H802" s="161"/>
      <c r="I802" s="161"/>
      <c r="J802"/>
      <c r="K802"/>
      <c r="L802"/>
      <c r="M802"/>
    </row>
    <row r="803" spans="1:13" ht="20.25" customHeight="1">
      <c r="A803" s="161"/>
      <c r="B803" s="161"/>
      <c r="C803" s="161"/>
      <c r="D803" s="161"/>
      <c r="E803" s="162"/>
      <c r="F803" s="162"/>
      <c r="G803" s="162"/>
      <c r="H803" s="161"/>
      <c r="I803" s="161"/>
      <c r="J803"/>
      <c r="K803"/>
      <c r="L803"/>
      <c r="M803"/>
    </row>
    <row r="804" spans="1:13" ht="38.25" customHeight="1">
      <c r="A804" s="163" t="s">
        <v>298</v>
      </c>
      <c r="B804" s="179" t="s">
        <v>795</v>
      </c>
      <c r="C804" s="180"/>
      <c r="D804" s="180"/>
      <c r="E804" s="180"/>
      <c r="F804" s="180"/>
      <c r="G804" s="180"/>
      <c r="H804" s="180"/>
      <c r="I804" s="181"/>
      <c r="J804"/>
      <c r="K804"/>
      <c r="L804"/>
      <c r="M804"/>
    </row>
    <row r="805" spans="1:13" ht="71.25" customHeight="1">
      <c r="A805" s="163" t="s">
        <v>692</v>
      </c>
      <c r="B805" s="164" t="s">
        <v>847</v>
      </c>
      <c r="C805" s="165"/>
      <c r="D805" s="165"/>
      <c r="E805" s="165"/>
      <c r="F805" s="165"/>
      <c r="G805" s="165"/>
      <c r="H805" s="165"/>
      <c r="I805" s="166"/>
      <c r="J805"/>
      <c r="K805"/>
      <c r="L805"/>
      <c r="M805"/>
    </row>
    <row r="806" spans="1:13" ht="20.25" customHeight="1">
      <c r="A806" s="878" t="s">
        <v>694</v>
      </c>
      <c r="B806" s="879"/>
      <c r="C806" s="879"/>
      <c r="D806" s="879"/>
      <c r="E806" s="879"/>
      <c r="F806" s="879"/>
      <c r="G806" s="880"/>
      <c r="H806" s="897" t="s">
        <v>695</v>
      </c>
      <c r="I806" s="897"/>
      <c r="J806"/>
      <c r="K806"/>
      <c r="L806"/>
      <c r="M806"/>
    </row>
    <row r="807" spans="1:13" ht="20.25" customHeight="1">
      <c r="A807" s="167" t="s">
        <v>696</v>
      </c>
      <c r="B807" s="167" t="s">
        <v>302</v>
      </c>
      <c r="C807" s="167" t="s">
        <v>312</v>
      </c>
      <c r="D807" s="167" t="s">
        <v>303</v>
      </c>
      <c r="E807" s="168" t="s">
        <v>304</v>
      </c>
      <c r="F807" s="168" t="s">
        <v>697</v>
      </c>
      <c r="G807" s="168" t="s">
        <v>306</v>
      </c>
      <c r="H807" s="168" t="s">
        <v>307</v>
      </c>
      <c r="I807" s="168" t="s">
        <v>698</v>
      </c>
      <c r="J807"/>
      <c r="K807"/>
      <c r="L807"/>
      <c r="M807"/>
    </row>
    <row r="808" spans="1:13" ht="20.25" customHeight="1">
      <c r="A808" s="192" t="s">
        <v>756</v>
      </c>
      <c r="B808" s="155" t="s">
        <v>796</v>
      </c>
      <c r="C808" s="149">
        <v>150</v>
      </c>
      <c r="D808" s="149" t="s">
        <v>469</v>
      </c>
      <c r="E808" s="149">
        <v>8</v>
      </c>
      <c r="F808" s="189">
        <f t="shared" ref="F808:F835" si="69">+C808*E808</f>
        <v>1200</v>
      </c>
      <c r="G808" s="189">
        <f t="shared" ref="G808:G835" si="70">+F808*1.12</f>
        <v>1344.0000000000002</v>
      </c>
      <c r="H808" s="901">
        <v>750102</v>
      </c>
      <c r="I808" s="859" t="s">
        <v>701</v>
      </c>
      <c r="J808"/>
      <c r="K808"/>
      <c r="L808"/>
      <c r="M808"/>
    </row>
    <row r="809" spans="1:13" ht="20.25" customHeight="1">
      <c r="A809" s="190"/>
      <c r="B809" s="160" t="s">
        <v>797</v>
      </c>
      <c r="C809" s="149">
        <v>7</v>
      </c>
      <c r="D809" s="149" t="s">
        <v>469</v>
      </c>
      <c r="E809" s="149">
        <v>120</v>
      </c>
      <c r="F809" s="189">
        <f t="shared" si="69"/>
        <v>840</v>
      </c>
      <c r="G809" s="189">
        <f t="shared" si="70"/>
        <v>940.80000000000007</v>
      </c>
      <c r="H809" s="902"/>
      <c r="I809" s="860"/>
      <c r="J809"/>
      <c r="K809"/>
      <c r="L809"/>
      <c r="M809"/>
    </row>
    <row r="810" spans="1:13" ht="20.25" customHeight="1">
      <c r="A810" s="190"/>
      <c r="B810" s="160" t="s">
        <v>798</v>
      </c>
      <c r="C810" s="149">
        <v>10</v>
      </c>
      <c r="D810" s="149" t="s">
        <v>469</v>
      </c>
      <c r="E810" s="149">
        <v>95</v>
      </c>
      <c r="F810" s="189">
        <f t="shared" si="69"/>
        <v>950</v>
      </c>
      <c r="G810" s="189">
        <f t="shared" si="70"/>
        <v>1064</v>
      </c>
      <c r="H810" s="902"/>
      <c r="I810" s="860"/>
      <c r="J810"/>
      <c r="K810"/>
      <c r="L810"/>
      <c r="M810"/>
    </row>
    <row r="811" spans="1:13" ht="20.25" customHeight="1">
      <c r="A811" s="190"/>
      <c r="B811" s="160" t="s">
        <v>799</v>
      </c>
      <c r="C811" s="149">
        <v>2</v>
      </c>
      <c r="D811" s="149" t="s">
        <v>469</v>
      </c>
      <c r="E811" s="149">
        <v>25</v>
      </c>
      <c r="F811" s="189">
        <f t="shared" si="69"/>
        <v>50</v>
      </c>
      <c r="G811" s="189">
        <f t="shared" si="70"/>
        <v>56.000000000000007</v>
      </c>
      <c r="H811" s="902"/>
      <c r="I811" s="860"/>
      <c r="J811"/>
      <c r="K811"/>
      <c r="L811"/>
      <c r="M811"/>
    </row>
    <row r="812" spans="1:13" ht="20.25" customHeight="1">
      <c r="A812" s="190"/>
      <c r="B812" s="160" t="s">
        <v>800</v>
      </c>
      <c r="C812" s="149">
        <v>2</v>
      </c>
      <c r="D812" s="149" t="s">
        <v>469</v>
      </c>
      <c r="E812" s="149">
        <v>24</v>
      </c>
      <c r="F812" s="189">
        <f t="shared" si="69"/>
        <v>48</v>
      </c>
      <c r="G812" s="189">
        <f t="shared" si="70"/>
        <v>53.760000000000005</v>
      </c>
      <c r="H812" s="902"/>
      <c r="I812" s="860"/>
      <c r="J812"/>
      <c r="K812"/>
      <c r="L812"/>
      <c r="M812"/>
    </row>
    <row r="813" spans="1:13" ht="20.25" customHeight="1">
      <c r="A813" s="209"/>
      <c r="B813" s="160" t="s">
        <v>787</v>
      </c>
      <c r="C813" s="152">
        <v>20</v>
      </c>
      <c r="D813" s="152" t="s">
        <v>469</v>
      </c>
      <c r="E813" s="208">
        <v>52</v>
      </c>
      <c r="F813" s="189">
        <f t="shared" si="69"/>
        <v>1040</v>
      </c>
      <c r="G813" s="189">
        <f t="shared" si="70"/>
        <v>1164.8000000000002</v>
      </c>
      <c r="H813" s="902"/>
      <c r="I813" s="860"/>
      <c r="J813"/>
      <c r="K813"/>
      <c r="L813"/>
      <c r="M813"/>
    </row>
    <row r="814" spans="1:13" ht="20.25" customHeight="1">
      <c r="A814" s="209"/>
      <c r="B814" s="160" t="s">
        <v>789</v>
      </c>
      <c r="C814" s="152">
        <v>20</v>
      </c>
      <c r="D814" s="152" t="s">
        <v>469</v>
      </c>
      <c r="E814" s="208">
        <v>22</v>
      </c>
      <c r="F814" s="189">
        <f t="shared" si="69"/>
        <v>440</v>
      </c>
      <c r="G814" s="189">
        <f t="shared" si="70"/>
        <v>492.80000000000007</v>
      </c>
      <c r="H814" s="902"/>
      <c r="I814" s="860"/>
      <c r="J814"/>
      <c r="K814"/>
      <c r="L814"/>
      <c r="M814"/>
    </row>
    <row r="815" spans="1:13" ht="28.5" customHeight="1">
      <c r="A815" s="209"/>
      <c r="B815" s="160" t="s">
        <v>801</v>
      </c>
      <c r="C815" s="152">
        <v>25</v>
      </c>
      <c r="D815" s="152" t="s">
        <v>469</v>
      </c>
      <c r="E815" s="208">
        <v>56</v>
      </c>
      <c r="F815" s="189">
        <f t="shared" si="69"/>
        <v>1400</v>
      </c>
      <c r="G815" s="189">
        <f t="shared" si="70"/>
        <v>1568.0000000000002</v>
      </c>
      <c r="H815" s="902"/>
      <c r="I815" s="860"/>
      <c r="J815"/>
      <c r="K815"/>
      <c r="L815"/>
      <c r="M815"/>
    </row>
    <row r="816" spans="1:13" ht="20.25" customHeight="1">
      <c r="A816" s="209"/>
      <c r="B816" s="160" t="s">
        <v>802</v>
      </c>
      <c r="C816" s="152">
        <v>5</v>
      </c>
      <c r="D816" s="152" t="s">
        <v>469</v>
      </c>
      <c r="E816" s="208">
        <v>85</v>
      </c>
      <c r="F816" s="189">
        <f t="shared" si="69"/>
        <v>425</v>
      </c>
      <c r="G816" s="189">
        <f t="shared" si="70"/>
        <v>476.00000000000006</v>
      </c>
      <c r="H816" s="902"/>
      <c r="I816" s="860"/>
      <c r="J816"/>
      <c r="K816"/>
      <c r="L816"/>
      <c r="M816"/>
    </row>
    <row r="817" spans="1:13" ht="20.25" customHeight="1">
      <c r="A817" s="209"/>
      <c r="B817" s="160" t="s">
        <v>803</v>
      </c>
      <c r="C817" s="152">
        <v>10</v>
      </c>
      <c r="D817" s="152" t="s">
        <v>469</v>
      </c>
      <c r="E817" s="208">
        <v>12</v>
      </c>
      <c r="F817" s="189">
        <f t="shared" si="69"/>
        <v>120</v>
      </c>
      <c r="G817" s="189">
        <f t="shared" si="70"/>
        <v>134.4</v>
      </c>
      <c r="H817" s="902"/>
      <c r="I817" s="860"/>
      <c r="J817"/>
      <c r="K817"/>
      <c r="L817"/>
      <c r="M817"/>
    </row>
    <row r="818" spans="1:13" ht="20.25" customHeight="1">
      <c r="A818" s="209"/>
      <c r="B818" s="160" t="s">
        <v>804</v>
      </c>
      <c r="C818" s="152">
        <v>15</v>
      </c>
      <c r="D818" s="152" t="s">
        <v>469</v>
      </c>
      <c r="E818" s="208">
        <v>21</v>
      </c>
      <c r="F818" s="189">
        <f t="shared" si="69"/>
        <v>315</v>
      </c>
      <c r="G818" s="189">
        <f t="shared" si="70"/>
        <v>352.8</v>
      </c>
      <c r="H818" s="902"/>
      <c r="I818" s="860"/>
      <c r="J818"/>
      <c r="K818"/>
      <c r="L818"/>
      <c r="M818"/>
    </row>
    <row r="819" spans="1:13" ht="20.25" customHeight="1">
      <c r="A819" s="209"/>
      <c r="B819" s="160" t="s">
        <v>805</v>
      </c>
      <c r="C819" s="152">
        <v>5</v>
      </c>
      <c r="D819" s="152" t="s">
        <v>469</v>
      </c>
      <c r="E819" s="208">
        <v>25</v>
      </c>
      <c r="F819" s="189">
        <f t="shared" si="69"/>
        <v>125</v>
      </c>
      <c r="G819" s="189">
        <f t="shared" si="70"/>
        <v>140</v>
      </c>
      <c r="H819" s="902"/>
      <c r="I819" s="860"/>
      <c r="J819"/>
      <c r="K819"/>
      <c r="L819"/>
      <c r="M819"/>
    </row>
    <row r="820" spans="1:13" ht="20.25" customHeight="1">
      <c r="A820" s="209"/>
      <c r="B820" s="160" t="s">
        <v>806</v>
      </c>
      <c r="C820" s="152">
        <v>5</v>
      </c>
      <c r="D820" s="152" t="s">
        <v>469</v>
      </c>
      <c r="E820" s="208">
        <v>36</v>
      </c>
      <c r="F820" s="189">
        <f t="shared" si="69"/>
        <v>180</v>
      </c>
      <c r="G820" s="189">
        <f t="shared" si="70"/>
        <v>201.60000000000002</v>
      </c>
      <c r="H820" s="902"/>
      <c r="I820" s="860"/>
      <c r="J820"/>
      <c r="K820"/>
      <c r="L820"/>
      <c r="M820"/>
    </row>
    <row r="821" spans="1:13" ht="20.25" customHeight="1">
      <c r="A821" s="209"/>
      <c r="B821" s="160" t="s">
        <v>807</v>
      </c>
      <c r="C821" s="152">
        <v>5</v>
      </c>
      <c r="D821" s="152" t="s">
        <v>469</v>
      </c>
      <c r="E821" s="208">
        <v>48</v>
      </c>
      <c r="F821" s="189">
        <f t="shared" si="69"/>
        <v>240</v>
      </c>
      <c r="G821" s="189">
        <f t="shared" si="70"/>
        <v>268.8</v>
      </c>
      <c r="H821" s="902"/>
      <c r="I821" s="860"/>
      <c r="J821"/>
      <c r="K821"/>
      <c r="L821"/>
      <c r="M821"/>
    </row>
    <row r="822" spans="1:13" ht="20.25" customHeight="1">
      <c r="A822" s="209"/>
      <c r="B822" s="160" t="s">
        <v>808</v>
      </c>
      <c r="C822" s="152">
        <v>5</v>
      </c>
      <c r="D822" s="152" t="s">
        <v>469</v>
      </c>
      <c r="E822" s="208">
        <v>65</v>
      </c>
      <c r="F822" s="189">
        <f t="shared" si="69"/>
        <v>325</v>
      </c>
      <c r="G822" s="189">
        <f t="shared" si="70"/>
        <v>364.00000000000006</v>
      </c>
      <c r="H822" s="902"/>
      <c r="I822" s="860"/>
      <c r="J822"/>
      <c r="K822"/>
      <c r="L822"/>
      <c r="M822"/>
    </row>
    <row r="823" spans="1:13" ht="20.25" customHeight="1">
      <c r="A823" s="209"/>
      <c r="B823" s="160" t="s">
        <v>326</v>
      </c>
      <c r="C823" s="152">
        <v>5</v>
      </c>
      <c r="D823" s="152" t="s">
        <v>544</v>
      </c>
      <c r="E823" s="208">
        <v>27</v>
      </c>
      <c r="F823" s="189">
        <f t="shared" si="69"/>
        <v>135</v>
      </c>
      <c r="G823" s="189">
        <f t="shared" si="70"/>
        <v>151.20000000000002</v>
      </c>
      <c r="H823" s="902"/>
      <c r="I823" s="860"/>
      <c r="J823"/>
      <c r="K823"/>
      <c r="L823"/>
      <c r="M823"/>
    </row>
    <row r="824" spans="1:13" ht="20.25" customHeight="1">
      <c r="A824" s="209"/>
      <c r="B824" s="160" t="s">
        <v>794</v>
      </c>
      <c r="C824" s="152">
        <v>10</v>
      </c>
      <c r="D824" s="152" t="s">
        <v>474</v>
      </c>
      <c r="E824" s="208">
        <v>15</v>
      </c>
      <c r="F824" s="189">
        <f t="shared" si="69"/>
        <v>150</v>
      </c>
      <c r="G824" s="189">
        <f t="shared" si="70"/>
        <v>168.00000000000003</v>
      </c>
      <c r="H824" s="902"/>
      <c r="I824" s="860"/>
      <c r="J824"/>
      <c r="K824"/>
      <c r="L824"/>
      <c r="M824"/>
    </row>
    <row r="825" spans="1:13" ht="20.25" customHeight="1">
      <c r="A825" s="190"/>
      <c r="B825" s="211" t="s">
        <v>317</v>
      </c>
      <c r="C825" s="213">
        <v>30</v>
      </c>
      <c r="D825" s="213" t="s">
        <v>321</v>
      </c>
      <c r="E825" s="149">
        <v>20</v>
      </c>
      <c r="F825" s="189">
        <f t="shared" si="69"/>
        <v>600</v>
      </c>
      <c r="G825" s="189">
        <f t="shared" si="70"/>
        <v>672.00000000000011</v>
      </c>
      <c r="H825" s="902"/>
      <c r="I825" s="860"/>
      <c r="J825"/>
      <c r="K825"/>
      <c r="L825"/>
      <c r="M825"/>
    </row>
    <row r="826" spans="1:13" ht="20.25" customHeight="1">
      <c r="A826" s="190"/>
      <c r="B826" s="190" t="s">
        <v>318</v>
      </c>
      <c r="C826" s="149">
        <v>20</v>
      </c>
      <c r="D826" s="149" t="s">
        <v>321</v>
      </c>
      <c r="E826" s="149">
        <v>15</v>
      </c>
      <c r="F826" s="189">
        <f t="shared" si="69"/>
        <v>300</v>
      </c>
      <c r="G826" s="189">
        <f t="shared" si="70"/>
        <v>336.00000000000006</v>
      </c>
      <c r="H826" s="902"/>
      <c r="I826" s="860"/>
      <c r="J826"/>
      <c r="K826"/>
      <c r="L826"/>
      <c r="M826"/>
    </row>
    <row r="827" spans="1:13" ht="20.25" customHeight="1">
      <c r="A827" s="190"/>
      <c r="B827" s="190" t="s">
        <v>326</v>
      </c>
      <c r="C827" s="149">
        <v>10</v>
      </c>
      <c r="D827" s="149" t="s">
        <v>322</v>
      </c>
      <c r="E827" s="149">
        <v>5</v>
      </c>
      <c r="F827" s="189">
        <f t="shared" si="69"/>
        <v>50</v>
      </c>
      <c r="G827" s="189">
        <f t="shared" si="70"/>
        <v>56.000000000000007</v>
      </c>
      <c r="H827" s="902"/>
      <c r="I827" s="860"/>
      <c r="J827"/>
      <c r="K827"/>
      <c r="L827"/>
      <c r="M827"/>
    </row>
    <row r="828" spans="1:13" ht="20.25" customHeight="1">
      <c r="A828" s="190"/>
      <c r="B828" s="199" t="s">
        <v>809</v>
      </c>
      <c r="C828" s="214">
        <v>10</v>
      </c>
      <c r="D828" s="214" t="s">
        <v>469</v>
      </c>
      <c r="E828" s="215">
        <v>2</v>
      </c>
      <c r="F828" s="216">
        <f t="shared" si="69"/>
        <v>20</v>
      </c>
      <c r="G828" s="216">
        <f t="shared" si="70"/>
        <v>22.400000000000002</v>
      </c>
      <c r="H828" s="902"/>
      <c r="I828" s="860"/>
      <c r="J828"/>
      <c r="K828"/>
      <c r="L828"/>
      <c r="M828"/>
    </row>
    <row r="829" spans="1:13" ht="20.25" customHeight="1">
      <c r="A829" s="190"/>
      <c r="B829" s="199" t="s">
        <v>810</v>
      </c>
      <c r="C829" s="214">
        <v>30</v>
      </c>
      <c r="D829" s="214" t="s">
        <v>469</v>
      </c>
      <c r="E829" s="215">
        <v>8</v>
      </c>
      <c r="F829" s="216">
        <f t="shared" si="69"/>
        <v>240</v>
      </c>
      <c r="G829" s="216">
        <f t="shared" si="70"/>
        <v>268.8</v>
      </c>
      <c r="H829" s="902"/>
      <c r="I829" s="860"/>
      <c r="J829"/>
      <c r="K829"/>
      <c r="L829"/>
      <c r="M829"/>
    </row>
    <row r="830" spans="1:13" ht="20.25" customHeight="1">
      <c r="A830" s="190"/>
      <c r="B830" s="199" t="s">
        <v>811</v>
      </c>
      <c r="C830" s="214">
        <v>30</v>
      </c>
      <c r="D830" s="214" t="s">
        <v>469</v>
      </c>
      <c r="E830" s="215">
        <v>4</v>
      </c>
      <c r="F830" s="216">
        <f t="shared" si="69"/>
        <v>120</v>
      </c>
      <c r="G830" s="216">
        <f t="shared" si="70"/>
        <v>134.4</v>
      </c>
      <c r="H830" s="902"/>
      <c r="I830" s="860"/>
      <c r="J830"/>
      <c r="K830"/>
      <c r="L830"/>
      <c r="M830"/>
    </row>
    <row r="831" spans="1:13" ht="20.25" customHeight="1">
      <c r="A831" s="190"/>
      <c r="B831" s="199" t="s">
        <v>812</v>
      </c>
      <c r="C831" s="214">
        <v>5</v>
      </c>
      <c r="D831" s="214" t="s">
        <v>469</v>
      </c>
      <c r="E831" s="215">
        <v>17</v>
      </c>
      <c r="F831" s="216">
        <f t="shared" si="69"/>
        <v>85</v>
      </c>
      <c r="G831" s="216">
        <f t="shared" si="70"/>
        <v>95.2</v>
      </c>
      <c r="H831" s="902"/>
      <c r="I831" s="860"/>
      <c r="J831"/>
      <c r="K831"/>
      <c r="L831"/>
      <c r="M831"/>
    </row>
    <row r="832" spans="1:13" ht="20.25" customHeight="1">
      <c r="A832" s="190"/>
      <c r="B832" s="199" t="s">
        <v>813</v>
      </c>
      <c r="C832" s="214">
        <v>30</v>
      </c>
      <c r="D832" s="214" t="s">
        <v>469</v>
      </c>
      <c r="E832" s="215">
        <v>9</v>
      </c>
      <c r="F832" s="216">
        <f t="shared" si="69"/>
        <v>270</v>
      </c>
      <c r="G832" s="216">
        <f t="shared" si="70"/>
        <v>302.40000000000003</v>
      </c>
      <c r="H832" s="902"/>
      <c r="I832" s="860"/>
      <c r="J832"/>
      <c r="K832"/>
      <c r="L832"/>
      <c r="M832"/>
    </row>
    <row r="833" spans="1:13" ht="20.25" customHeight="1">
      <c r="A833" s="190"/>
      <c r="B833" s="199" t="s">
        <v>814</v>
      </c>
      <c r="C833" s="214">
        <v>30</v>
      </c>
      <c r="D833" s="214" t="s">
        <v>469</v>
      </c>
      <c r="E833" s="215">
        <v>5</v>
      </c>
      <c r="F833" s="216">
        <f t="shared" si="69"/>
        <v>150</v>
      </c>
      <c r="G833" s="216">
        <f t="shared" si="70"/>
        <v>168.00000000000003</v>
      </c>
      <c r="H833" s="902"/>
      <c r="I833" s="860"/>
      <c r="J833"/>
      <c r="K833"/>
      <c r="L833"/>
      <c r="M833"/>
    </row>
    <row r="834" spans="1:13" ht="20.25" customHeight="1">
      <c r="A834" s="190"/>
      <c r="B834" s="199" t="s">
        <v>815</v>
      </c>
      <c r="C834" s="214">
        <v>20</v>
      </c>
      <c r="D834" s="214" t="s">
        <v>469</v>
      </c>
      <c r="E834" s="215">
        <v>17</v>
      </c>
      <c r="F834" s="216">
        <f t="shared" si="69"/>
        <v>340</v>
      </c>
      <c r="G834" s="216">
        <f t="shared" si="70"/>
        <v>380.8</v>
      </c>
      <c r="H834" s="902"/>
      <c r="I834" s="860"/>
      <c r="J834"/>
      <c r="K834"/>
      <c r="L834"/>
      <c r="M834"/>
    </row>
    <row r="835" spans="1:13" ht="20.25" customHeight="1">
      <c r="A835" s="190"/>
      <c r="B835" s="199" t="s">
        <v>816</v>
      </c>
      <c r="C835" s="214">
        <v>20</v>
      </c>
      <c r="D835" s="214" t="s">
        <v>469</v>
      </c>
      <c r="E835" s="215">
        <v>5</v>
      </c>
      <c r="F835" s="216">
        <f t="shared" si="69"/>
        <v>100</v>
      </c>
      <c r="G835" s="216">
        <f t="shared" si="70"/>
        <v>112.00000000000001</v>
      </c>
      <c r="H835" s="902"/>
      <c r="I835" s="860"/>
      <c r="J835"/>
      <c r="K835"/>
      <c r="L835"/>
      <c r="M835"/>
    </row>
    <row r="836" spans="1:13" ht="20.25" customHeight="1">
      <c r="A836" s="190"/>
      <c r="B836" s="160" t="s">
        <v>790</v>
      </c>
      <c r="C836" s="150">
        <v>10</v>
      </c>
      <c r="D836" s="150" t="s">
        <v>469</v>
      </c>
      <c r="E836" s="210">
        <v>19</v>
      </c>
      <c r="F836" s="216">
        <f>+C836*E836</f>
        <v>190</v>
      </c>
      <c r="G836" s="216">
        <f>+F836*1.12</f>
        <v>212.8</v>
      </c>
      <c r="H836" s="902"/>
      <c r="I836" s="860"/>
      <c r="J836"/>
      <c r="K836"/>
      <c r="L836"/>
      <c r="M836"/>
    </row>
    <row r="837" spans="1:13" ht="20.25" customHeight="1">
      <c r="A837" s="190"/>
      <c r="B837" s="160" t="s">
        <v>791</v>
      </c>
      <c r="C837" s="150">
        <v>10</v>
      </c>
      <c r="D837" s="150" t="s">
        <v>469</v>
      </c>
      <c r="E837" s="210">
        <v>17</v>
      </c>
      <c r="F837" s="216">
        <f>+C837*E837</f>
        <v>170</v>
      </c>
      <c r="G837" s="216">
        <f>+F837*1.12</f>
        <v>190.4</v>
      </c>
      <c r="H837" s="902"/>
      <c r="I837" s="860"/>
      <c r="J837"/>
      <c r="K837"/>
      <c r="L837"/>
      <c r="M837"/>
    </row>
    <row r="838" spans="1:13" ht="20.25" customHeight="1">
      <c r="A838" s="190"/>
      <c r="B838" s="160" t="s">
        <v>792</v>
      </c>
      <c r="C838" s="150">
        <v>10</v>
      </c>
      <c r="D838" s="150" t="s">
        <v>469</v>
      </c>
      <c r="E838" s="210">
        <v>17</v>
      </c>
      <c r="F838" s="216">
        <f>+C838*E838</f>
        <v>170</v>
      </c>
      <c r="G838" s="216">
        <f>+F838*1.12</f>
        <v>190.4</v>
      </c>
      <c r="H838" s="902"/>
      <c r="I838" s="860"/>
      <c r="J838"/>
      <c r="K838"/>
      <c r="L838"/>
      <c r="M838"/>
    </row>
    <row r="839" spans="1:13" ht="20.25" customHeight="1">
      <c r="A839" s="894" t="s">
        <v>101</v>
      </c>
      <c r="B839" s="895"/>
      <c r="C839" s="895"/>
      <c r="D839" s="895"/>
      <c r="E839" s="896"/>
      <c r="F839" s="191">
        <f>SUM(F808:F838)</f>
        <v>10788</v>
      </c>
      <c r="G839" s="191">
        <f>SUM(G808:G838)</f>
        <v>12082.559999999998</v>
      </c>
      <c r="H839" s="903"/>
      <c r="I839" s="863"/>
      <c r="J839"/>
      <c r="K839"/>
      <c r="L839"/>
      <c r="M839"/>
    </row>
    <row r="840" spans="1:13" ht="20.25" customHeight="1">
      <c r="A840" s="894"/>
      <c r="B840" s="895"/>
      <c r="C840" s="895"/>
      <c r="D840" s="895"/>
      <c r="E840" s="895"/>
      <c r="F840" s="895"/>
      <c r="G840" s="895"/>
      <c r="H840" s="895"/>
      <c r="I840" s="896"/>
      <c r="J840"/>
      <c r="K840"/>
      <c r="L840"/>
      <c r="M840"/>
    </row>
    <row r="841" spans="1:13" ht="20.25" customHeight="1">
      <c r="A841" s="192" t="s">
        <v>341</v>
      </c>
      <c r="B841" s="155" t="s">
        <v>342</v>
      </c>
      <c r="C841" s="149">
        <v>2</v>
      </c>
      <c r="D841" s="149" t="s">
        <v>343</v>
      </c>
      <c r="E841" s="149">
        <v>750</v>
      </c>
      <c r="F841" s="189">
        <f>+C841*E841</f>
        <v>1500</v>
      </c>
      <c r="G841" s="189">
        <f>+F841*1.12</f>
        <v>1680.0000000000002</v>
      </c>
      <c r="H841" s="190"/>
      <c r="I841" s="190"/>
      <c r="J841"/>
      <c r="K841"/>
      <c r="L841"/>
      <c r="M841"/>
    </row>
    <row r="842" spans="1:13" ht="20.25" customHeight="1">
      <c r="A842" s="894" t="s">
        <v>101</v>
      </c>
      <c r="B842" s="895"/>
      <c r="C842" s="895"/>
      <c r="D842" s="895"/>
      <c r="E842" s="896"/>
      <c r="F842" s="191">
        <f>SUM(F841)</f>
        <v>1500</v>
      </c>
      <c r="G842" s="191">
        <f>SUM(G841)</f>
        <v>1680.0000000000002</v>
      </c>
      <c r="H842" s="193"/>
      <c r="I842" s="193"/>
      <c r="J842"/>
      <c r="K842"/>
      <c r="L842"/>
      <c r="M842"/>
    </row>
    <row r="843" spans="1:13" ht="20.25" customHeight="1">
      <c r="E843" s="192" t="s">
        <v>35</v>
      </c>
      <c r="F843" s="191">
        <f>+F842+F839</f>
        <v>12288</v>
      </c>
      <c r="G843" s="191">
        <f>+G842+G839</f>
        <v>13762.559999999998</v>
      </c>
      <c r="J843"/>
      <c r="K843"/>
      <c r="L843"/>
      <c r="M843"/>
    </row>
    <row r="844" spans="1:13" ht="20.25" customHeight="1">
      <c r="A844" s="161"/>
      <c r="B844" s="161"/>
      <c r="C844" s="161"/>
      <c r="D844" s="161"/>
      <c r="E844" s="162"/>
      <c r="F844" s="162"/>
      <c r="G844" s="162"/>
      <c r="H844" s="161"/>
      <c r="I844" s="161"/>
      <c r="J844"/>
      <c r="K844"/>
      <c r="L844"/>
      <c r="M844"/>
    </row>
    <row r="845" spans="1:13" ht="20.25" customHeight="1">
      <c r="A845" s="161"/>
      <c r="B845" s="161"/>
      <c r="C845" s="161"/>
      <c r="D845" s="161"/>
      <c r="E845" s="162"/>
      <c r="F845" s="162"/>
      <c r="G845" s="162"/>
      <c r="H845" s="161"/>
      <c r="I845" s="161"/>
      <c r="J845"/>
      <c r="K845"/>
      <c r="L845"/>
      <c r="M845"/>
    </row>
    <row r="846" spans="1:13" ht="37.5" customHeight="1">
      <c r="A846" s="163" t="s">
        <v>298</v>
      </c>
      <c r="B846" s="179" t="s">
        <v>817</v>
      </c>
      <c r="C846" s="180"/>
      <c r="D846" s="180"/>
      <c r="E846" s="180"/>
      <c r="F846" s="180"/>
      <c r="G846" s="180"/>
      <c r="H846" s="180"/>
      <c r="I846" s="181"/>
      <c r="J846"/>
      <c r="K846"/>
      <c r="L846"/>
      <c r="M846"/>
    </row>
    <row r="847" spans="1:13" ht="75" customHeight="1">
      <c r="A847" s="163" t="s">
        <v>692</v>
      </c>
      <c r="B847" s="164" t="s">
        <v>848</v>
      </c>
      <c r="C847" s="165"/>
      <c r="D847" s="165"/>
      <c r="E847" s="165"/>
      <c r="F847" s="165"/>
      <c r="G847" s="165"/>
      <c r="H847" s="165"/>
      <c r="I847" s="166"/>
      <c r="J847"/>
      <c r="K847"/>
      <c r="L847"/>
      <c r="M847"/>
    </row>
    <row r="848" spans="1:13" ht="20.25" customHeight="1">
      <c r="A848" s="878" t="s">
        <v>694</v>
      </c>
      <c r="B848" s="879"/>
      <c r="C848" s="879"/>
      <c r="D848" s="879"/>
      <c r="E848" s="879"/>
      <c r="F848" s="879"/>
      <c r="G848" s="880"/>
      <c r="H848" s="897" t="s">
        <v>695</v>
      </c>
      <c r="I848" s="897"/>
      <c r="J848"/>
      <c r="K848"/>
      <c r="L848"/>
      <c r="M848"/>
    </row>
    <row r="849" spans="1:13" ht="20.25" customHeight="1">
      <c r="A849" s="167" t="s">
        <v>696</v>
      </c>
      <c r="B849" s="167" t="s">
        <v>302</v>
      </c>
      <c r="C849" s="167" t="s">
        <v>312</v>
      </c>
      <c r="D849" s="167" t="s">
        <v>303</v>
      </c>
      <c r="E849" s="168" t="s">
        <v>304</v>
      </c>
      <c r="F849" s="168" t="s">
        <v>697</v>
      </c>
      <c r="G849" s="168" t="s">
        <v>306</v>
      </c>
      <c r="H849" s="168" t="s">
        <v>307</v>
      </c>
      <c r="I849" s="168" t="s">
        <v>698</v>
      </c>
      <c r="J849"/>
      <c r="K849"/>
      <c r="L849"/>
      <c r="M849"/>
    </row>
    <row r="850" spans="1:13" ht="20.25" customHeight="1">
      <c r="A850" s="219" t="s">
        <v>361</v>
      </c>
      <c r="B850" s="160" t="s">
        <v>788</v>
      </c>
      <c r="C850" s="152">
        <v>50</v>
      </c>
      <c r="D850" s="214" t="s">
        <v>469</v>
      </c>
      <c r="E850" s="217">
        <v>41</v>
      </c>
      <c r="F850" s="189">
        <f t="shared" ref="F850:F860" si="71">+C850*E850</f>
        <v>2050</v>
      </c>
      <c r="G850" s="189">
        <f t="shared" ref="G850:G860" si="72">+F850*1.12</f>
        <v>2296</v>
      </c>
      <c r="H850" s="901">
        <v>750102</v>
      </c>
      <c r="I850" s="904" t="s">
        <v>701</v>
      </c>
      <c r="J850"/>
      <c r="K850"/>
      <c r="L850"/>
      <c r="M850"/>
    </row>
    <row r="851" spans="1:13" ht="20.25" customHeight="1">
      <c r="A851" s="219" t="s">
        <v>361</v>
      </c>
      <c r="B851" s="160" t="s">
        <v>818</v>
      </c>
      <c r="C851" s="152">
        <v>10</v>
      </c>
      <c r="D851" s="214" t="s">
        <v>469</v>
      </c>
      <c r="E851" s="217">
        <v>17</v>
      </c>
      <c r="F851" s="189">
        <f t="shared" si="71"/>
        <v>170</v>
      </c>
      <c r="G851" s="189">
        <f t="shared" si="72"/>
        <v>190.4</v>
      </c>
      <c r="H851" s="902"/>
      <c r="I851" s="905"/>
      <c r="J851"/>
      <c r="K851"/>
      <c r="L851"/>
      <c r="M851"/>
    </row>
    <row r="852" spans="1:13" ht="20.25" customHeight="1">
      <c r="A852" s="219" t="s">
        <v>361</v>
      </c>
      <c r="B852" s="160" t="s">
        <v>819</v>
      </c>
      <c r="C852" s="152">
        <v>3</v>
      </c>
      <c r="D852" s="214" t="s">
        <v>469</v>
      </c>
      <c r="E852" s="217">
        <v>35</v>
      </c>
      <c r="F852" s="189">
        <f t="shared" si="71"/>
        <v>105</v>
      </c>
      <c r="G852" s="189">
        <f t="shared" si="72"/>
        <v>117.60000000000001</v>
      </c>
      <c r="H852" s="902"/>
      <c r="I852" s="905"/>
      <c r="J852"/>
      <c r="K852"/>
      <c r="L852"/>
      <c r="M852"/>
    </row>
    <row r="853" spans="1:13" ht="20.25" customHeight="1">
      <c r="A853" s="219" t="s">
        <v>361</v>
      </c>
      <c r="B853" s="160" t="s">
        <v>820</v>
      </c>
      <c r="C853" s="152">
        <v>5</v>
      </c>
      <c r="D853" s="214" t="s">
        <v>469</v>
      </c>
      <c r="E853" s="217">
        <v>15</v>
      </c>
      <c r="F853" s="189">
        <f t="shared" si="71"/>
        <v>75</v>
      </c>
      <c r="G853" s="189">
        <f t="shared" si="72"/>
        <v>84.000000000000014</v>
      </c>
      <c r="H853" s="902"/>
      <c r="I853" s="905"/>
      <c r="J853"/>
      <c r="K853"/>
      <c r="L853"/>
      <c r="M853"/>
    </row>
    <row r="854" spans="1:13" ht="20.25" customHeight="1">
      <c r="A854" s="219" t="s">
        <v>361</v>
      </c>
      <c r="B854" s="160" t="s">
        <v>821</v>
      </c>
      <c r="C854" s="152"/>
      <c r="D854" s="214" t="s">
        <v>469</v>
      </c>
      <c r="E854" s="217">
        <v>6</v>
      </c>
      <c r="F854" s="189">
        <f t="shared" si="71"/>
        <v>0</v>
      </c>
      <c r="G854" s="189">
        <f t="shared" si="72"/>
        <v>0</v>
      </c>
      <c r="H854" s="902"/>
      <c r="I854" s="905"/>
      <c r="J854"/>
      <c r="K854"/>
      <c r="L854"/>
      <c r="M854"/>
    </row>
    <row r="855" spans="1:13" ht="20.25" customHeight="1">
      <c r="A855" s="219" t="s">
        <v>361</v>
      </c>
      <c r="B855" s="160" t="s">
        <v>822</v>
      </c>
      <c r="C855" s="152">
        <v>4</v>
      </c>
      <c r="D855" s="214" t="s">
        <v>469</v>
      </c>
      <c r="E855" s="217">
        <v>160</v>
      </c>
      <c r="F855" s="189">
        <f t="shared" si="71"/>
        <v>640</v>
      </c>
      <c r="G855" s="189">
        <f t="shared" si="72"/>
        <v>716.80000000000007</v>
      </c>
      <c r="H855" s="902"/>
      <c r="I855" s="905"/>
      <c r="J855"/>
      <c r="K855"/>
      <c r="L855"/>
      <c r="M855"/>
    </row>
    <row r="856" spans="1:13" ht="20.25" customHeight="1">
      <c r="A856" s="219" t="s">
        <v>361</v>
      </c>
      <c r="B856" s="160" t="s">
        <v>326</v>
      </c>
      <c r="C856" s="152">
        <v>1</v>
      </c>
      <c r="D856" s="214" t="s">
        <v>469</v>
      </c>
      <c r="E856" s="217">
        <v>27</v>
      </c>
      <c r="F856" s="189">
        <f t="shared" si="71"/>
        <v>27</v>
      </c>
      <c r="G856" s="189">
        <f t="shared" si="72"/>
        <v>30.240000000000002</v>
      </c>
      <c r="H856" s="902"/>
      <c r="I856" s="905"/>
      <c r="J856"/>
      <c r="K856"/>
      <c r="L856"/>
      <c r="M856"/>
    </row>
    <row r="857" spans="1:13" ht="20.25" customHeight="1">
      <c r="A857" s="219" t="s">
        <v>361</v>
      </c>
      <c r="B857" s="160" t="s">
        <v>794</v>
      </c>
      <c r="C857" s="152">
        <v>2</v>
      </c>
      <c r="D857" s="214" t="s">
        <v>469</v>
      </c>
      <c r="E857" s="217">
        <v>15</v>
      </c>
      <c r="F857" s="189">
        <f t="shared" si="71"/>
        <v>30</v>
      </c>
      <c r="G857" s="189">
        <f t="shared" si="72"/>
        <v>33.6</v>
      </c>
      <c r="H857" s="902"/>
      <c r="I857" s="905"/>
      <c r="J857"/>
      <c r="K857"/>
      <c r="L857"/>
      <c r="M857"/>
    </row>
    <row r="858" spans="1:13" ht="20.25" customHeight="1">
      <c r="A858" s="219" t="s">
        <v>361</v>
      </c>
      <c r="B858" s="212" t="s">
        <v>313</v>
      </c>
      <c r="C858" s="213">
        <v>50</v>
      </c>
      <c r="D858" s="213" t="s">
        <v>314</v>
      </c>
      <c r="E858" s="213">
        <v>8</v>
      </c>
      <c r="F858" s="189">
        <f t="shared" si="71"/>
        <v>400</v>
      </c>
      <c r="G858" s="189">
        <f t="shared" si="72"/>
        <v>448.00000000000006</v>
      </c>
      <c r="H858" s="902"/>
      <c r="I858" s="905"/>
      <c r="J858"/>
      <c r="K858"/>
      <c r="L858"/>
      <c r="M858"/>
    </row>
    <row r="859" spans="1:13" ht="20.25" customHeight="1">
      <c r="A859" s="219" t="s">
        <v>361</v>
      </c>
      <c r="B859" s="190" t="s">
        <v>317</v>
      </c>
      <c r="C859" s="149">
        <v>10</v>
      </c>
      <c r="D859" s="149" t="s">
        <v>321</v>
      </c>
      <c r="E859" s="149">
        <v>20</v>
      </c>
      <c r="F859" s="189">
        <f t="shared" si="71"/>
        <v>200</v>
      </c>
      <c r="G859" s="189">
        <f t="shared" si="72"/>
        <v>224.00000000000003</v>
      </c>
      <c r="H859" s="902"/>
      <c r="I859" s="905"/>
      <c r="J859"/>
      <c r="K859"/>
      <c r="L859"/>
      <c r="M859"/>
    </row>
    <row r="860" spans="1:13" ht="20.25" customHeight="1">
      <c r="A860" s="219" t="s">
        <v>361</v>
      </c>
      <c r="B860" s="190" t="s">
        <v>318</v>
      </c>
      <c r="C860" s="149">
        <v>8</v>
      </c>
      <c r="D860" s="149" t="s">
        <v>321</v>
      </c>
      <c r="E860" s="149">
        <v>15</v>
      </c>
      <c r="F860" s="189">
        <f t="shared" si="71"/>
        <v>120</v>
      </c>
      <c r="G860" s="189">
        <f t="shared" si="72"/>
        <v>134.4</v>
      </c>
      <c r="H860" s="902"/>
      <c r="I860" s="905"/>
      <c r="J860"/>
      <c r="K860"/>
      <c r="L860"/>
      <c r="M860"/>
    </row>
    <row r="861" spans="1:13" ht="20.25" customHeight="1">
      <c r="A861" s="894" t="s">
        <v>101</v>
      </c>
      <c r="B861" s="895"/>
      <c r="C861" s="895"/>
      <c r="D861" s="895"/>
      <c r="E861" s="896"/>
      <c r="F861" s="191">
        <f>SUM(F850:F860)</f>
        <v>3817</v>
      </c>
      <c r="G861" s="191">
        <f>SUM(G850:G860)</f>
        <v>4275.04</v>
      </c>
      <c r="H861" s="903"/>
      <c r="I861" s="906"/>
      <c r="J861"/>
      <c r="K861"/>
      <c r="L861"/>
      <c r="M861"/>
    </row>
    <row r="862" spans="1:13" ht="20.25" customHeight="1">
      <c r="A862" s="894"/>
      <c r="B862" s="895"/>
      <c r="C862" s="895"/>
      <c r="D862" s="895"/>
      <c r="E862" s="895"/>
      <c r="F862" s="895"/>
      <c r="G862" s="895"/>
      <c r="H862" s="895"/>
      <c r="I862" s="896"/>
      <c r="J862"/>
      <c r="K862"/>
      <c r="L862"/>
      <c r="M862"/>
    </row>
    <row r="863" spans="1:13" ht="20.25" customHeight="1">
      <c r="A863" s="192" t="s">
        <v>341</v>
      </c>
      <c r="B863" s="155" t="s">
        <v>342</v>
      </c>
      <c r="C863" s="149">
        <v>1</v>
      </c>
      <c r="D863" s="149" t="s">
        <v>343</v>
      </c>
      <c r="E863" s="149">
        <v>750</v>
      </c>
      <c r="F863" s="189">
        <f>+C863*E863</f>
        <v>750</v>
      </c>
      <c r="G863" s="189">
        <f>+F863*1.12</f>
        <v>840.00000000000011</v>
      </c>
      <c r="H863" s="190"/>
      <c r="I863" s="190"/>
      <c r="J863"/>
      <c r="K863"/>
      <c r="L863"/>
      <c r="M863"/>
    </row>
    <row r="864" spans="1:13" ht="20.25" customHeight="1">
      <c r="A864" s="894" t="s">
        <v>101</v>
      </c>
      <c r="B864" s="895"/>
      <c r="C864" s="895"/>
      <c r="D864" s="895"/>
      <c r="E864" s="896"/>
      <c r="F864" s="191">
        <f>SUM(F863)</f>
        <v>750</v>
      </c>
      <c r="G864" s="191">
        <f>SUM(G863)</f>
        <v>840.00000000000011</v>
      </c>
      <c r="H864" s="193"/>
      <c r="I864" s="193"/>
      <c r="J864"/>
      <c r="K864"/>
      <c r="L864"/>
      <c r="M864"/>
    </row>
    <row r="865" spans="1:13" ht="20.25" customHeight="1">
      <c r="E865" s="192" t="s">
        <v>35</v>
      </c>
      <c r="F865" s="191">
        <f>+F864+F861</f>
        <v>4567</v>
      </c>
      <c r="G865" s="191">
        <f>+G864+G861</f>
        <v>5115.04</v>
      </c>
      <c r="J865"/>
      <c r="K865"/>
      <c r="L865"/>
      <c r="M865"/>
    </row>
    <row r="866" spans="1:13" ht="20.25" customHeight="1">
      <c r="A866" s="161"/>
      <c r="B866" s="161"/>
      <c r="C866" s="161"/>
      <c r="D866" s="161"/>
      <c r="E866" s="162"/>
      <c r="F866" s="162"/>
      <c r="G866" s="162"/>
      <c r="H866" s="161"/>
      <c r="I866" s="161"/>
      <c r="J866"/>
      <c r="K866"/>
      <c r="L866"/>
      <c r="M866"/>
    </row>
    <row r="867" spans="1:13" ht="20.25" customHeight="1">
      <c r="A867" s="161"/>
      <c r="B867" s="161"/>
      <c r="C867" s="161"/>
      <c r="D867" s="161"/>
      <c r="E867" s="162"/>
      <c r="F867" s="162"/>
      <c r="G867" s="162"/>
      <c r="H867" s="161"/>
      <c r="I867" s="161"/>
      <c r="J867"/>
      <c r="K867"/>
      <c r="L867"/>
      <c r="M867"/>
    </row>
    <row r="868" spans="1:13" ht="45" customHeight="1">
      <c r="A868" s="163" t="s">
        <v>298</v>
      </c>
      <c r="B868" s="179" t="s">
        <v>823</v>
      </c>
      <c r="C868" s="180"/>
      <c r="D868" s="180"/>
      <c r="E868" s="180"/>
      <c r="F868" s="180"/>
      <c r="G868" s="180"/>
      <c r="H868" s="180"/>
      <c r="I868" s="181"/>
      <c r="J868"/>
      <c r="K868"/>
      <c r="L868"/>
      <c r="M868"/>
    </row>
    <row r="869" spans="1:13" ht="81" customHeight="1">
      <c r="A869" s="163" t="s">
        <v>692</v>
      </c>
      <c r="B869" s="164" t="s">
        <v>849</v>
      </c>
      <c r="C869" s="165"/>
      <c r="D869" s="165"/>
      <c r="E869" s="165"/>
      <c r="F869" s="165"/>
      <c r="G869" s="165"/>
      <c r="H869" s="165"/>
      <c r="I869" s="166"/>
      <c r="J869"/>
      <c r="K869"/>
      <c r="L869"/>
      <c r="M869"/>
    </row>
    <row r="870" spans="1:13" ht="20.25" customHeight="1">
      <c r="A870" s="878" t="s">
        <v>694</v>
      </c>
      <c r="B870" s="879"/>
      <c r="C870" s="879"/>
      <c r="D870" s="879"/>
      <c r="E870" s="879"/>
      <c r="F870" s="879"/>
      <c r="G870" s="880"/>
      <c r="H870" s="897" t="s">
        <v>695</v>
      </c>
      <c r="I870" s="897"/>
      <c r="J870"/>
      <c r="K870"/>
      <c r="L870"/>
      <c r="M870"/>
    </row>
    <row r="871" spans="1:13" ht="20.25" customHeight="1">
      <c r="A871" s="167" t="s">
        <v>696</v>
      </c>
      <c r="B871" s="167" t="s">
        <v>302</v>
      </c>
      <c r="C871" s="167" t="s">
        <v>312</v>
      </c>
      <c r="D871" s="167" t="s">
        <v>303</v>
      </c>
      <c r="E871" s="168" t="s">
        <v>304</v>
      </c>
      <c r="F871" s="168" t="s">
        <v>697</v>
      </c>
      <c r="G871" s="168" t="s">
        <v>306</v>
      </c>
      <c r="H871" s="168" t="s">
        <v>307</v>
      </c>
      <c r="I871" s="168" t="s">
        <v>698</v>
      </c>
      <c r="J871"/>
      <c r="K871"/>
      <c r="L871"/>
      <c r="M871"/>
    </row>
    <row r="872" spans="1:13" ht="20.25" customHeight="1">
      <c r="A872" s="219" t="s">
        <v>361</v>
      </c>
      <c r="B872" s="155" t="s">
        <v>313</v>
      </c>
      <c r="C872" s="149">
        <v>100</v>
      </c>
      <c r="D872" s="149" t="s">
        <v>314</v>
      </c>
      <c r="E872" s="208">
        <v>8</v>
      </c>
      <c r="F872" s="149">
        <f>+C872*E872</f>
        <v>800</v>
      </c>
      <c r="G872" s="149">
        <f>+F872*1.12</f>
        <v>896.00000000000011</v>
      </c>
      <c r="H872" s="901">
        <v>750102</v>
      </c>
      <c r="I872" s="859" t="s">
        <v>701</v>
      </c>
      <c r="J872"/>
      <c r="K872"/>
      <c r="L872"/>
      <c r="M872"/>
    </row>
    <row r="873" spans="1:13" ht="20.25" customHeight="1">
      <c r="A873" s="219" t="s">
        <v>361</v>
      </c>
      <c r="B873" s="160" t="s">
        <v>824</v>
      </c>
      <c r="C873" s="152">
        <v>4</v>
      </c>
      <c r="D873" s="152" t="s">
        <v>469</v>
      </c>
      <c r="E873" s="149">
        <v>56</v>
      </c>
      <c r="F873" s="149">
        <f>+C873*E873</f>
        <v>224</v>
      </c>
      <c r="G873" s="149">
        <f>+F873*1.12</f>
        <v>250.88000000000002</v>
      </c>
      <c r="H873" s="902"/>
      <c r="I873" s="860"/>
      <c r="J873"/>
      <c r="K873"/>
      <c r="L873"/>
      <c r="M873"/>
    </row>
    <row r="874" spans="1:13" ht="20.25" customHeight="1">
      <c r="A874" s="219" t="s">
        <v>361</v>
      </c>
      <c r="B874" s="160" t="s">
        <v>824</v>
      </c>
      <c r="C874" s="152">
        <v>3</v>
      </c>
      <c r="D874" s="214" t="s">
        <v>469</v>
      </c>
      <c r="E874" s="149">
        <v>56</v>
      </c>
      <c r="F874" s="149">
        <f t="shared" ref="F874:F900" si="73">+C874*E874</f>
        <v>168</v>
      </c>
      <c r="G874" s="149">
        <f t="shared" ref="G874:G900" si="74">+F874*1.12</f>
        <v>188.16000000000003</v>
      </c>
      <c r="H874" s="902"/>
      <c r="I874" s="860"/>
      <c r="J874"/>
      <c r="K874"/>
      <c r="L874"/>
      <c r="M874"/>
    </row>
    <row r="875" spans="1:13" ht="20.25" customHeight="1">
      <c r="A875" s="219" t="s">
        <v>361</v>
      </c>
      <c r="B875" s="160" t="s">
        <v>825</v>
      </c>
      <c r="C875" s="152">
        <v>7</v>
      </c>
      <c r="D875" s="214" t="s">
        <v>469</v>
      </c>
      <c r="E875" s="149">
        <v>21</v>
      </c>
      <c r="F875" s="149">
        <f t="shared" si="73"/>
        <v>147</v>
      </c>
      <c r="G875" s="149">
        <f t="shared" si="74"/>
        <v>164.64000000000001</v>
      </c>
      <c r="H875" s="902"/>
      <c r="I875" s="860"/>
      <c r="J875"/>
      <c r="K875"/>
      <c r="L875"/>
      <c r="M875"/>
    </row>
    <row r="876" spans="1:13" ht="20.25" customHeight="1">
      <c r="A876" s="219" t="s">
        <v>361</v>
      </c>
      <c r="B876" s="160"/>
      <c r="C876" s="152"/>
      <c r="D876" s="214"/>
      <c r="E876" s="149"/>
      <c r="F876" s="149">
        <f t="shared" si="73"/>
        <v>0</v>
      </c>
      <c r="G876" s="149">
        <f t="shared" si="74"/>
        <v>0</v>
      </c>
      <c r="H876" s="902"/>
      <c r="I876" s="860"/>
      <c r="J876"/>
      <c r="K876"/>
      <c r="L876"/>
      <c r="M876"/>
    </row>
    <row r="877" spans="1:13" ht="20.25" customHeight="1">
      <c r="A877" s="219" t="s">
        <v>361</v>
      </c>
      <c r="B877" s="160" t="s">
        <v>826</v>
      </c>
      <c r="C877" s="152">
        <v>5</v>
      </c>
      <c r="D877" s="214" t="s">
        <v>469</v>
      </c>
      <c r="E877" s="149">
        <v>15</v>
      </c>
      <c r="F877" s="149">
        <f t="shared" si="73"/>
        <v>75</v>
      </c>
      <c r="G877" s="149">
        <f t="shared" si="74"/>
        <v>84.000000000000014</v>
      </c>
      <c r="H877" s="902"/>
      <c r="I877" s="860"/>
      <c r="J877"/>
      <c r="K877"/>
      <c r="L877"/>
      <c r="M877"/>
    </row>
    <row r="878" spans="1:13" ht="20.25" customHeight="1">
      <c r="A878" s="219" t="s">
        <v>361</v>
      </c>
      <c r="B878" s="160" t="s">
        <v>827</v>
      </c>
      <c r="C878" s="152">
        <v>5</v>
      </c>
      <c r="D878" s="214" t="s">
        <v>469</v>
      </c>
      <c r="E878" s="149">
        <v>63</v>
      </c>
      <c r="F878" s="149">
        <f t="shared" si="73"/>
        <v>315</v>
      </c>
      <c r="G878" s="149">
        <f t="shared" si="74"/>
        <v>352.8</v>
      </c>
      <c r="H878" s="902"/>
      <c r="I878" s="860"/>
      <c r="J878"/>
      <c r="K878"/>
      <c r="L878"/>
      <c r="M878"/>
    </row>
    <row r="879" spans="1:13" ht="20.25" customHeight="1">
      <c r="A879" s="219" t="s">
        <v>361</v>
      </c>
      <c r="B879" s="160" t="s">
        <v>828</v>
      </c>
      <c r="C879" s="152">
        <v>8</v>
      </c>
      <c r="D879" s="214" t="s">
        <v>469</v>
      </c>
      <c r="E879" s="149">
        <v>15</v>
      </c>
      <c r="F879" s="149">
        <f t="shared" si="73"/>
        <v>120</v>
      </c>
      <c r="G879" s="149">
        <f t="shared" si="74"/>
        <v>134.4</v>
      </c>
      <c r="H879" s="902"/>
      <c r="I879" s="860"/>
      <c r="J879"/>
      <c r="K879"/>
      <c r="L879"/>
      <c r="M879"/>
    </row>
    <row r="880" spans="1:13" ht="20.25" customHeight="1">
      <c r="A880" s="219" t="s">
        <v>361</v>
      </c>
      <c r="B880" s="160" t="s">
        <v>829</v>
      </c>
      <c r="C880" s="152">
        <v>3</v>
      </c>
      <c r="D880" s="214" t="s">
        <v>469</v>
      </c>
      <c r="E880" s="149">
        <v>12</v>
      </c>
      <c r="F880" s="149">
        <f t="shared" si="73"/>
        <v>36</v>
      </c>
      <c r="G880" s="149">
        <f t="shared" si="74"/>
        <v>40.320000000000007</v>
      </c>
      <c r="H880" s="902"/>
      <c r="I880" s="860"/>
      <c r="J880"/>
      <c r="K880"/>
      <c r="L880"/>
      <c r="M880"/>
    </row>
    <row r="881" spans="1:13" ht="20.25" customHeight="1">
      <c r="A881" s="219" t="s">
        <v>361</v>
      </c>
      <c r="B881" s="160" t="s">
        <v>830</v>
      </c>
      <c r="C881" s="152">
        <v>3</v>
      </c>
      <c r="D881" s="214" t="s">
        <v>469</v>
      </c>
      <c r="E881" s="149">
        <v>120</v>
      </c>
      <c r="F881" s="149">
        <f t="shared" si="73"/>
        <v>360</v>
      </c>
      <c r="G881" s="149">
        <f t="shared" si="74"/>
        <v>403.20000000000005</v>
      </c>
      <c r="H881" s="902"/>
      <c r="I881" s="860"/>
      <c r="J881"/>
      <c r="K881"/>
      <c r="L881"/>
      <c r="M881"/>
    </row>
    <row r="882" spans="1:13" ht="20.25" customHeight="1">
      <c r="A882" s="219" t="s">
        <v>361</v>
      </c>
      <c r="B882" s="160" t="s">
        <v>820</v>
      </c>
      <c r="C882" s="152">
        <v>2</v>
      </c>
      <c r="D882" s="214" t="s">
        <v>469</v>
      </c>
      <c r="E882" s="149">
        <v>15</v>
      </c>
      <c r="F882" s="149">
        <f t="shared" si="73"/>
        <v>30</v>
      </c>
      <c r="G882" s="149">
        <f t="shared" si="74"/>
        <v>33.6</v>
      </c>
      <c r="H882" s="902"/>
      <c r="I882" s="860"/>
      <c r="J882"/>
      <c r="K882"/>
      <c r="L882"/>
      <c r="M882"/>
    </row>
    <row r="883" spans="1:13" ht="20.25" customHeight="1">
      <c r="A883" s="219" t="s">
        <v>361</v>
      </c>
      <c r="B883" s="160" t="s">
        <v>831</v>
      </c>
      <c r="C883" s="152">
        <v>3</v>
      </c>
      <c r="D883" s="214" t="s">
        <v>469</v>
      </c>
      <c r="E883" s="149">
        <v>5</v>
      </c>
      <c r="F883" s="149">
        <f t="shared" si="73"/>
        <v>15</v>
      </c>
      <c r="G883" s="149">
        <f t="shared" si="74"/>
        <v>16.8</v>
      </c>
      <c r="H883" s="902"/>
      <c r="I883" s="860"/>
      <c r="J883"/>
      <c r="K883"/>
      <c r="L883"/>
      <c r="M883"/>
    </row>
    <row r="884" spans="1:13" ht="20.25" customHeight="1">
      <c r="A884" s="219" t="s">
        <v>361</v>
      </c>
      <c r="B884" s="160" t="s">
        <v>819</v>
      </c>
      <c r="C884" s="152">
        <v>6</v>
      </c>
      <c r="D884" s="214" t="s">
        <v>469</v>
      </c>
      <c r="E884" s="149">
        <v>35</v>
      </c>
      <c r="F884" s="149">
        <f t="shared" si="73"/>
        <v>210</v>
      </c>
      <c r="G884" s="149">
        <f t="shared" si="74"/>
        <v>235.20000000000002</v>
      </c>
      <c r="H884" s="902"/>
      <c r="I884" s="860"/>
      <c r="J884"/>
      <c r="K884"/>
      <c r="L884"/>
      <c r="M884"/>
    </row>
    <row r="885" spans="1:13" ht="20.25" customHeight="1">
      <c r="A885" s="219" t="s">
        <v>361</v>
      </c>
      <c r="B885" s="160" t="s">
        <v>797</v>
      </c>
      <c r="C885" s="152">
        <v>30</v>
      </c>
      <c r="D885" s="214" t="s">
        <v>469</v>
      </c>
      <c r="E885" s="149">
        <v>120</v>
      </c>
      <c r="F885" s="149">
        <f t="shared" si="73"/>
        <v>3600</v>
      </c>
      <c r="G885" s="149">
        <f t="shared" si="74"/>
        <v>4032.0000000000005</v>
      </c>
      <c r="H885" s="902"/>
      <c r="I885" s="860"/>
      <c r="J885"/>
      <c r="K885"/>
      <c r="L885"/>
      <c r="M885"/>
    </row>
    <row r="886" spans="1:13" ht="20.25" customHeight="1">
      <c r="A886" s="219" t="s">
        <v>361</v>
      </c>
      <c r="B886" s="160" t="s">
        <v>832</v>
      </c>
      <c r="C886" s="152">
        <v>5</v>
      </c>
      <c r="D886" s="214" t="s">
        <v>469</v>
      </c>
      <c r="E886" s="149">
        <v>290</v>
      </c>
      <c r="F886" s="149">
        <f t="shared" si="73"/>
        <v>1450</v>
      </c>
      <c r="G886" s="149">
        <f t="shared" si="74"/>
        <v>1624.0000000000002</v>
      </c>
      <c r="H886" s="902"/>
      <c r="I886" s="860"/>
      <c r="J886"/>
      <c r="K886"/>
      <c r="L886"/>
      <c r="M886"/>
    </row>
    <row r="887" spans="1:13" ht="20.25" customHeight="1">
      <c r="A887" s="219" t="s">
        <v>361</v>
      </c>
      <c r="B887" s="160" t="s">
        <v>833</v>
      </c>
      <c r="C887" s="152">
        <v>5</v>
      </c>
      <c r="D887" s="214" t="s">
        <v>469</v>
      </c>
      <c r="E887" s="149">
        <v>240</v>
      </c>
      <c r="F887" s="149">
        <f t="shared" si="73"/>
        <v>1200</v>
      </c>
      <c r="G887" s="149">
        <f t="shared" si="74"/>
        <v>1344.0000000000002</v>
      </c>
      <c r="H887" s="902"/>
      <c r="I887" s="860"/>
      <c r="J887"/>
      <c r="K887"/>
      <c r="L887"/>
      <c r="M887"/>
    </row>
    <row r="888" spans="1:13" ht="20.25" customHeight="1">
      <c r="A888" s="219" t="s">
        <v>361</v>
      </c>
      <c r="B888" s="160" t="s">
        <v>834</v>
      </c>
      <c r="C888" s="152">
        <v>2</v>
      </c>
      <c r="D888" s="214" t="s">
        <v>469</v>
      </c>
      <c r="E888" s="149">
        <v>52</v>
      </c>
      <c r="F888" s="149">
        <f t="shared" si="73"/>
        <v>104</v>
      </c>
      <c r="G888" s="149">
        <f t="shared" si="74"/>
        <v>116.48000000000002</v>
      </c>
      <c r="H888" s="902"/>
      <c r="I888" s="860"/>
      <c r="J888"/>
      <c r="K888"/>
      <c r="L888"/>
      <c r="M888"/>
    </row>
    <row r="889" spans="1:13" ht="20.25" customHeight="1">
      <c r="A889" s="219" t="s">
        <v>361</v>
      </c>
      <c r="B889" s="160" t="s">
        <v>802</v>
      </c>
      <c r="C889" s="152">
        <v>3</v>
      </c>
      <c r="D889" s="214" t="s">
        <v>469</v>
      </c>
      <c r="E889" s="149">
        <v>85</v>
      </c>
      <c r="F889" s="149">
        <f t="shared" si="73"/>
        <v>255</v>
      </c>
      <c r="G889" s="149">
        <f t="shared" si="74"/>
        <v>285.60000000000002</v>
      </c>
      <c r="H889" s="902"/>
      <c r="I889" s="860"/>
      <c r="J889"/>
      <c r="K889"/>
      <c r="L889"/>
      <c r="M889"/>
    </row>
    <row r="890" spans="1:13" ht="20.25" customHeight="1">
      <c r="A890" s="219" t="s">
        <v>361</v>
      </c>
      <c r="B890" s="160" t="s">
        <v>835</v>
      </c>
      <c r="C890" s="152">
        <v>2</v>
      </c>
      <c r="D890" s="214" t="s">
        <v>469</v>
      </c>
      <c r="E890" s="149">
        <v>10</v>
      </c>
      <c r="F890" s="149">
        <f t="shared" si="73"/>
        <v>20</v>
      </c>
      <c r="G890" s="149">
        <f t="shared" si="74"/>
        <v>22.400000000000002</v>
      </c>
      <c r="H890" s="902"/>
      <c r="I890" s="860"/>
      <c r="J890"/>
      <c r="K890"/>
      <c r="L890"/>
      <c r="M890"/>
    </row>
    <row r="891" spans="1:13" ht="20.25" customHeight="1">
      <c r="A891" s="219" t="s">
        <v>361</v>
      </c>
      <c r="B891" s="160" t="s">
        <v>805</v>
      </c>
      <c r="C891" s="152">
        <v>4</v>
      </c>
      <c r="D891" s="214" t="s">
        <v>469</v>
      </c>
      <c r="E891" s="149">
        <v>25</v>
      </c>
      <c r="F891" s="149">
        <f t="shared" si="73"/>
        <v>100</v>
      </c>
      <c r="G891" s="149">
        <f t="shared" si="74"/>
        <v>112.00000000000001</v>
      </c>
      <c r="H891" s="902"/>
      <c r="I891" s="860"/>
      <c r="J891"/>
      <c r="K891"/>
      <c r="L891"/>
      <c r="M891"/>
    </row>
    <row r="892" spans="1:13" ht="20.25" customHeight="1">
      <c r="A892" s="219" t="s">
        <v>361</v>
      </c>
      <c r="B892" s="160" t="s">
        <v>806</v>
      </c>
      <c r="C892" s="152">
        <v>4</v>
      </c>
      <c r="D892" s="214" t="s">
        <v>469</v>
      </c>
      <c r="E892" s="149">
        <v>36</v>
      </c>
      <c r="F892" s="149">
        <f t="shared" si="73"/>
        <v>144</v>
      </c>
      <c r="G892" s="149">
        <f t="shared" si="74"/>
        <v>161.28000000000003</v>
      </c>
      <c r="H892" s="902"/>
      <c r="I892" s="860"/>
      <c r="J892"/>
      <c r="K892"/>
      <c r="L892"/>
      <c r="M892"/>
    </row>
    <row r="893" spans="1:13" ht="20.25" customHeight="1">
      <c r="A893" s="219" t="s">
        <v>361</v>
      </c>
      <c r="B893" s="160" t="s">
        <v>808</v>
      </c>
      <c r="C893" s="152">
        <v>6</v>
      </c>
      <c r="D893" s="214" t="s">
        <v>469</v>
      </c>
      <c r="E893" s="149">
        <v>65</v>
      </c>
      <c r="F893" s="149">
        <f t="shared" si="73"/>
        <v>390</v>
      </c>
      <c r="G893" s="149">
        <f t="shared" si="74"/>
        <v>436.80000000000007</v>
      </c>
      <c r="H893" s="902"/>
      <c r="I893" s="860"/>
      <c r="J893"/>
      <c r="K893"/>
      <c r="L893"/>
      <c r="M893"/>
    </row>
    <row r="894" spans="1:13" ht="20.25" customHeight="1">
      <c r="A894" s="219" t="s">
        <v>361</v>
      </c>
      <c r="B894" s="160" t="s">
        <v>326</v>
      </c>
      <c r="C894" s="152">
        <v>2</v>
      </c>
      <c r="D894" s="214" t="s">
        <v>469</v>
      </c>
      <c r="E894" s="149">
        <v>27</v>
      </c>
      <c r="F894" s="149">
        <f t="shared" si="73"/>
        <v>54</v>
      </c>
      <c r="G894" s="149">
        <f t="shared" si="74"/>
        <v>60.480000000000004</v>
      </c>
      <c r="H894" s="902"/>
      <c r="I894" s="860"/>
      <c r="J894"/>
      <c r="K894"/>
      <c r="L894"/>
      <c r="M894"/>
    </row>
    <row r="895" spans="1:13" ht="20.25" customHeight="1">
      <c r="A895" s="219" t="s">
        <v>361</v>
      </c>
      <c r="B895" s="160" t="s">
        <v>794</v>
      </c>
      <c r="C895" s="152">
        <v>6</v>
      </c>
      <c r="D895" s="214" t="s">
        <v>469</v>
      </c>
      <c r="E895" s="149">
        <v>15</v>
      </c>
      <c r="F895" s="149">
        <f t="shared" si="73"/>
        <v>90</v>
      </c>
      <c r="G895" s="149">
        <f t="shared" si="74"/>
        <v>100.80000000000001</v>
      </c>
      <c r="H895" s="902"/>
      <c r="I895" s="860"/>
      <c r="J895"/>
      <c r="K895"/>
      <c r="L895"/>
      <c r="M895"/>
    </row>
    <row r="896" spans="1:13" ht="20.25" customHeight="1">
      <c r="A896" s="219" t="s">
        <v>361</v>
      </c>
      <c r="B896" s="160" t="s">
        <v>836</v>
      </c>
      <c r="C896" s="152">
        <v>5</v>
      </c>
      <c r="D896" s="214" t="s">
        <v>469</v>
      </c>
      <c r="E896" s="149">
        <v>35</v>
      </c>
      <c r="F896" s="149">
        <f t="shared" si="73"/>
        <v>175</v>
      </c>
      <c r="G896" s="149">
        <f t="shared" si="74"/>
        <v>196.00000000000003</v>
      </c>
      <c r="H896" s="902"/>
      <c r="I896" s="860"/>
      <c r="J896"/>
      <c r="K896"/>
      <c r="L896"/>
      <c r="M896"/>
    </row>
    <row r="897" spans="1:13" ht="20.25" customHeight="1">
      <c r="A897" s="219" t="s">
        <v>361</v>
      </c>
      <c r="B897" s="160" t="s">
        <v>837</v>
      </c>
      <c r="C897" s="152">
        <v>10</v>
      </c>
      <c r="D897" s="214" t="s">
        <v>469</v>
      </c>
      <c r="E897" s="149">
        <v>4</v>
      </c>
      <c r="F897" s="149">
        <f t="shared" si="73"/>
        <v>40</v>
      </c>
      <c r="G897" s="149">
        <f t="shared" si="74"/>
        <v>44.800000000000004</v>
      </c>
      <c r="H897" s="902"/>
      <c r="I897" s="860"/>
      <c r="J897"/>
      <c r="K897"/>
      <c r="L897"/>
      <c r="M897"/>
    </row>
    <row r="898" spans="1:13" ht="20.25" customHeight="1">
      <c r="A898" s="219" t="s">
        <v>361</v>
      </c>
      <c r="B898" s="190" t="s">
        <v>317</v>
      </c>
      <c r="C898" s="149">
        <v>15</v>
      </c>
      <c r="D898" s="149" t="s">
        <v>321</v>
      </c>
      <c r="E898" s="149">
        <v>20</v>
      </c>
      <c r="F898" s="149">
        <f t="shared" si="73"/>
        <v>300</v>
      </c>
      <c r="G898" s="149">
        <f t="shared" si="74"/>
        <v>336.00000000000006</v>
      </c>
      <c r="H898" s="902"/>
      <c r="I898" s="860"/>
      <c r="J898"/>
      <c r="K898"/>
      <c r="L898"/>
      <c r="M898"/>
    </row>
    <row r="899" spans="1:13" ht="20.25" customHeight="1">
      <c r="A899" s="219" t="s">
        <v>361</v>
      </c>
      <c r="B899" s="190" t="s">
        <v>318</v>
      </c>
      <c r="C899" s="149">
        <v>15</v>
      </c>
      <c r="D899" s="149" t="s">
        <v>321</v>
      </c>
      <c r="E899" s="149">
        <v>15</v>
      </c>
      <c r="F899" s="149">
        <f t="shared" si="73"/>
        <v>225</v>
      </c>
      <c r="G899" s="149">
        <f t="shared" si="74"/>
        <v>252.00000000000003</v>
      </c>
      <c r="H899" s="902"/>
      <c r="I899" s="860"/>
      <c r="J899"/>
      <c r="K899"/>
      <c r="L899"/>
      <c r="M899"/>
    </row>
    <row r="900" spans="1:13" ht="20.25" customHeight="1">
      <c r="A900" s="219" t="s">
        <v>361</v>
      </c>
      <c r="B900" s="190" t="s">
        <v>326</v>
      </c>
      <c r="C900" s="149">
        <v>5</v>
      </c>
      <c r="D900" s="149" t="s">
        <v>322</v>
      </c>
      <c r="E900" s="149">
        <v>5</v>
      </c>
      <c r="F900" s="149">
        <f t="shared" si="73"/>
        <v>25</v>
      </c>
      <c r="G900" s="149">
        <f t="shared" si="74"/>
        <v>28.000000000000004</v>
      </c>
      <c r="H900" s="902"/>
      <c r="I900" s="860"/>
      <c r="J900"/>
      <c r="K900"/>
      <c r="L900"/>
      <c r="M900"/>
    </row>
    <row r="901" spans="1:13" ht="20.25" customHeight="1">
      <c r="A901" s="894" t="s">
        <v>101</v>
      </c>
      <c r="B901" s="895"/>
      <c r="C901" s="895"/>
      <c r="D901" s="895"/>
      <c r="E901" s="896"/>
      <c r="F901" s="218">
        <f>SUM(F872:F900)</f>
        <v>10672</v>
      </c>
      <c r="G901" s="218">
        <f>SUM(G872:G900)</f>
        <v>11952.64</v>
      </c>
      <c r="H901" s="903"/>
      <c r="I901" s="863"/>
      <c r="J901"/>
      <c r="K901"/>
      <c r="L901"/>
      <c r="M901"/>
    </row>
    <row r="902" spans="1:13" ht="20.25" customHeight="1">
      <c r="A902" s="894"/>
      <c r="B902" s="895"/>
      <c r="C902" s="895"/>
      <c r="D902" s="895"/>
      <c r="E902" s="895"/>
      <c r="F902" s="895"/>
      <c r="G902" s="895"/>
      <c r="H902" s="895"/>
      <c r="I902" s="896"/>
      <c r="J902"/>
      <c r="K902"/>
      <c r="L902"/>
      <c r="M902"/>
    </row>
    <row r="903" spans="1:13" ht="20.25" customHeight="1">
      <c r="A903" s="192" t="s">
        <v>341</v>
      </c>
      <c r="B903" s="155" t="s">
        <v>342</v>
      </c>
      <c r="C903" s="149">
        <v>3</v>
      </c>
      <c r="D903" s="149" t="s">
        <v>343</v>
      </c>
      <c r="E903" s="149">
        <v>750</v>
      </c>
      <c r="F903" s="149">
        <f>+C903*E903</f>
        <v>2250</v>
      </c>
      <c r="G903" s="149">
        <f>+F903*1.12</f>
        <v>2520.0000000000005</v>
      </c>
      <c r="H903" s="190"/>
      <c r="I903" s="190"/>
      <c r="J903"/>
      <c r="K903"/>
      <c r="L903"/>
      <c r="M903"/>
    </row>
    <row r="904" spans="1:13" ht="20.25" customHeight="1">
      <c r="A904" s="894" t="s">
        <v>101</v>
      </c>
      <c r="B904" s="895"/>
      <c r="C904" s="895"/>
      <c r="D904" s="895"/>
      <c r="E904" s="896"/>
      <c r="F904" s="218">
        <f>SUM(F903)</f>
        <v>2250</v>
      </c>
      <c r="G904" s="218">
        <f>SUM(G903)</f>
        <v>2520.0000000000005</v>
      </c>
      <c r="H904" s="193"/>
      <c r="I904" s="193"/>
      <c r="J904"/>
      <c r="K904"/>
      <c r="L904"/>
      <c r="M904"/>
    </row>
    <row r="905" spans="1:13" ht="20.25" customHeight="1">
      <c r="A905" s="161"/>
      <c r="E905" s="192" t="s">
        <v>35</v>
      </c>
      <c r="F905" s="218">
        <f>+F904+F901</f>
        <v>12922</v>
      </c>
      <c r="G905" s="218">
        <f>+G904+G901</f>
        <v>14472.64</v>
      </c>
      <c r="J905"/>
      <c r="K905"/>
      <c r="L905"/>
      <c r="M905"/>
    </row>
    <row r="906" spans="1:13" ht="20.25" customHeight="1">
      <c r="J906"/>
      <c r="K906"/>
      <c r="L906"/>
      <c r="M906"/>
    </row>
    <row r="907" spans="1:13" ht="20.25" customHeight="1">
      <c r="J907"/>
      <c r="K907"/>
      <c r="L907"/>
      <c r="M907"/>
    </row>
    <row r="908" spans="1:13" ht="20.25" customHeight="1">
      <c r="A908" s="871" t="s">
        <v>954</v>
      </c>
      <c r="B908" s="872"/>
      <c r="C908" s="872"/>
      <c r="D908" s="872"/>
      <c r="E908" s="872"/>
      <c r="F908" s="872"/>
      <c r="G908" s="872"/>
      <c r="H908" s="872"/>
      <c r="I908" s="873"/>
      <c r="J908"/>
      <c r="K908"/>
      <c r="L908"/>
      <c r="M908"/>
    </row>
    <row r="909" spans="1:13" ht="20.25" customHeight="1">
      <c r="A909" s="137" t="s">
        <v>349</v>
      </c>
      <c r="B909" s="616" t="s">
        <v>69</v>
      </c>
      <c r="J909"/>
      <c r="K909"/>
      <c r="L909"/>
      <c r="M909"/>
    </row>
    <row r="910" spans="1:13" ht="20.25" customHeight="1">
      <c r="A910" s="139" t="s">
        <v>299</v>
      </c>
      <c r="B910" s="616" t="s">
        <v>32</v>
      </c>
      <c r="C910" s="140"/>
      <c r="D910" s="140"/>
      <c r="E910" s="140"/>
      <c r="F910" s="140"/>
      <c r="G910" s="140"/>
      <c r="H910" s="140"/>
      <c r="J910"/>
      <c r="K910"/>
      <c r="L910"/>
      <c r="M910"/>
    </row>
    <row r="911" spans="1:13" ht="20.25" customHeight="1">
      <c r="B911" s="141" t="s">
        <v>100</v>
      </c>
      <c r="C911" s="141"/>
      <c r="D911" s="141"/>
      <c r="E911" s="141"/>
      <c r="F911" s="141"/>
      <c r="G911" s="141"/>
      <c r="H911" s="141"/>
      <c r="J911"/>
      <c r="K911"/>
      <c r="L911"/>
      <c r="M911"/>
    </row>
    <row r="912" spans="1:13" ht="20.25" customHeight="1">
      <c r="A912" s="868"/>
      <c r="B912" s="868"/>
      <c r="C912" s="868"/>
      <c r="D912" s="868"/>
      <c r="E912" s="868"/>
      <c r="F912" s="868"/>
      <c r="G912" s="868"/>
      <c r="H912" s="868"/>
      <c r="J912"/>
      <c r="K912"/>
      <c r="L912"/>
      <c r="M912"/>
    </row>
    <row r="913" spans="1:13" ht="20.25" customHeight="1">
      <c r="A913" s="142" t="s">
        <v>350</v>
      </c>
      <c r="B913" s="143" t="s">
        <v>360</v>
      </c>
      <c r="C913" s="144"/>
      <c r="D913" s="144"/>
      <c r="E913" s="144"/>
      <c r="F913" s="910" t="s">
        <v>869</v>
      </c>
      <c r="G913" s="910"/>
      <c r="H913" s="910"/>
      <c r="I913" s="145" t="s">
        <v>310</v>
      </c>
      <c r="J913"/>
      <c r="K913"/>
      <c r="L913"/>
      <c r="M913"/>
    </row>
    <row r="914" spans="1:13" ht="20.25" customHeight="1">
      <c r="G914" s="138" t="s">
        <v>100</v>
      </c>
      <c r="J914"/>
      <c r="K914"/>
      <c r="L914"/>
      <c r="M914"/>
    </row>
    <row r="915" spans="1:13" ht="20.25" customHeight="1">
      <c r="A915" s="146" t="s">
        <v>351</v>
      </c>
      <c r="B915" s="147" t="s">
        <v>302</v>
      </c>
      <c r="C915" s="147" t="s">
        <v>312</v>
      </c>
      <c r="D915" s="147" t="s">
        <v>303</v>
      </c>
      <c r="E915" s="148" t="s">
        <v>304</v>
      </c>
      <c r="F915" s="147" t="s">
        <v>305</v>
      </c>
      <c r="G915" s="147" t="s">
        <v>306</v>
      </c>
      <c r="H915" s="148" t="s">
        <v>307</v>
      </c>
      <c r="I915" s="147" t="s">
        <v>308</v>
      </c>
      <c r="J915"/>
      <c r="K915"/>
      <c r="L915"/>
      <c r="M915"/>
    </row>
    <row r="916" spans="1:13" ht="20.25" customHeight="1">
      <c r="A916" s="149" t="s">
        <v>361</v>
      </c>
      <c r="B916" s="226" t="s">
        <v>362</v>
      </c>
      <c r="C916" s="228">
        <v>48</v>
      </c>
      <c r="D916" s="150" t="s">
        <v>363</v>
      </c>
      <c r="E916" s="150">
        <v>220</v>
      </c>
      <c r="F916" s="151">
        <f>E916*C916</f>
        <v>10560</v>
      </c>
      <c r="G916" s="151">
        <f>F916*1.12</f>
        <v>11827.2</v>
      </c>
      <c r="H916" s="150">
        <v>730813</v>
      </c>
      <c r="I916" s="152" t="s">
        <v>32</v>
      </c>
      <c r="J916"/>
      <c r="K916"/>
      <c r="L916"/>
      <c r="M916"/>
    </row>
    <row r="917" spans="1:13" ht="20.25" customHeight="1">
      <c r="A917" s="149" t="s">
        <v>361</v>
      </c>
      <c r="B917" s="226" t="s">
        <v>364</v>
      </c>
      <c r="C917" s="228">
        <v>8</v>
      </c>
      <c r="D917" s="150" t="s">
        <v>363</v>
      </c>
      <c r="E917" s="150">
        <v>165</v>
      </c>
      <c r="F917" s="151">
        <f t="shared" ref="F917:F923" si="75">E917*C917</f>
        <v>1320</v>
      </c>
      <c r="G917" s="151">
        <f t="shared" ref="G917:G925" si="76">F917*1.12</f>
        <v>1478.4</v>
      </c>
      <c r="H917" s="150"/>
      <c r="I917" s="152"/>
      <c r="J917"/>
      <c r="K917"/>
      <c r="L917"/>
      <c r="M917"/>
    </row>
    <row r="918" spans="1:13" ht="20.25" customHeight="1">
      <c r="A918" s="149" t="s">
        <v>361</v>
      </c>
      <c r="B918" s="226" t="s">
        <v>365</v>
      </c>
      <c r="C918" s="228">
        <v>2</v>
      </c>
      <c r="D918" s="150" t="s">
        <v>363</v>
      </c>
      <c r="E918" s="150">
        <v>300</v>
      </c>
      <c r="F918" s="151">
        <f t="shared" si="75"/>
        <v>600</v>
      </c>
      <c r="G918" s="151">
        <f t="shared" si="76"/>
        <v>672.00000000000011</v>
      </c>
      <c r="H918" s="150"/>
      <c r="I918" s="152"/>
      <c r="J918"/>
      <c r="K918"/>
      <c r="L918"/>
      <c r="M918"/>
    </row>
    <row r="919" spans="1:13" ht="20.25" customHeight="1">
      <c r="A919" s="149" t="s">
        <v>361</v>
      </c>
      <c r="B919" s="226" t="s">
        <v>366</v>
      </c>
      <c r="C919" s="228">
        <v>4</v>
      </c>
      <c r="D919" s="150" t="s">
        <v>363</v>
      </c>
      <c r="E919" s="150">
        <v>425</v>
      </c>
      <c r="F919" s="151">
        <f t="shared" si="75"/>
        <v>1700</v>
      </c>
      <c r="G919" s="151">
        <f t="shared" si="76"/>
        <v>1904.0000000000002</v>
      </c>
      <c r="H919" s="150"/>
      <c r="I919" s="152"/>
      <c r="J919"/>
      <c r="K919"/>
      <c r="L919"/>
      <c r="M919"/>
    </row>
    <row r="920" spans="1:13" ht="20.25" customHeight="1">
      <c r="A920" s="149" t="s">
        <v>361</v>
      </c>
      <c r="B920" s="226" t="s">
        <v>367</v>
      </c>
      <c r="C920" s="228">
        <v>2</v>
      </c>
      <c r="D920" s="150" t="s">
        <v>363</v>
      </c>
      <c r="E920" s="150">
        <v>565</v>
      </c>
      <c r="F920" s="151">
        <f t="shared" si="75"/>
        <v>1130</v>
      </c>
      <c r="G920" s="151">
        <f t="shared" si="76"/>
        <v>1265.6000000000001</v>
      </c>
      <c r="H920" s="150"/>
      <c r="I920" s="152"/>
      <c r="J920"/>
      <c r="K920"/>
      <c r="L920"/>
      <c r="M920"/>
    </row>
    <row r="921" spans="1:13" ht="20.25" customHeight="1">
      <c r="A921" s="149" t="s">
        <v>361</v>
      </c>
      <c r="B921" s="226" t="s">
        <v>368</v>
      </c>
      <c r="C921" s="228">
        <v>4</v>
      </c>
      <c r="D921" s="150" t="s">
        <v>363</v>
      </c>
      <c r="E921" s="150">
        <v>630</v>
      </c>
      <c r="F921" s="151">
        <f t="shared" si="75"/>
        <v>2520</v>
      </c>
      <c r="G921" s="151">
        <f t="shared" si="76"/>
        <v>2822.4</v>
      </c>
      <c r="H921" s="150"/>
      <c r="I921" s="152"/>
      <c r="J921"/>
      <c r="K921"/>
      <c r="L921"/>
      <c r="M921"/>
    </row>
    <row r="922" spans="1:13" ht="20.25" customHeight="1">
      <c r="A922" s="149" t="s">
        <v>361</v>
      </c>
      <c r="B922" s="227" t="s">
        <v>369</v>
      </c>
      <c r="C922" s="228">
        <v>2</v>
      </c>
      <c r="D922" s="150" t="s">
        <v>363</v>
      </c>
      <c r="E922" s="150">
        <v>1075</v>
      </c>
      <c r="F922" s="151">
        <f t="shared" si="75"/>
        <v>2150</v>
      </c>
      <c r="G922" s="151">
        <f t="shared" si="76"/>
        <v>2408.0000000000005</v>
      </c>
      <c r="H922" s="150"/>
      <c r="I922" s="152"/>
      <c r="J922"/>
      <c r="K922"/>
      <c r="L922"/>
      <c r="M922"/>
    </row>
    <row r="923" spans="1:13" ht="20.25" customHeight="1">
      <c r="A923" s="149" t="s">
        <v>361</v>
      </c>
      <c r="B923" s="227" t="s">
        <v>370</v>
      </c>
      <c r="C923" s="228">
        <v>2</v>
      </c>
      <c r="D923" s="150" t="s">
        <v>363</v>
      </c>
      <c r="E923" s="150">
        <v>730</v>
      </c>
      <c r="F923" s="151">
        <f t="shared" si="75"/>
        <v>1460</v>
      </c>
      <c r="G923" s="151">
        <f t="shared" si="76"/>
        <v>1635.2</v>
      </c>
      <c r="H923" s="150"/>
      <c r="I923" s="152"/>
      <c r="J923"/>
      <c r="K923"/>
      <c r="L923"/>
      <c r="M923"/>
    </row>
    <row r="924" spans="1:13" ht="20.25" customHeight="1">
      <c r="A924" s="149" t="s">
        <v>361</v>
      </c>
      <c r="B924" s="226" t="s">
        <v>371</v>
      </c>
      <c r="C924" s="243">
        <v>1</v>
      </c>
      <c r="D924" s="150" t="s">
        <v>363</v>
      </c>
      <c r="E924" s="150">
        <v>60</v>
      </c>
      <c r="F924" s="151">
        <v>65</v>
      </c>
      <c r="G924" s="151">
        <f t="shared" si="76"/>
        <v>72.800000000000011</v>
      </c>
      <c r="H924" s="150"/>
      <c r="I924" s="152"/>
      <c r="J924"/>
      <c r="K924"/>
      <c r="L924"/>
      <c r="M924"/>
    </row>
    <row r="925" spans="1:13" ht="20.25" customHeight="1">
      <c r="A925" s="149" t="s">
        <v>361</v>
      </c>
      <c r="B925" s="226" t="s">
        <v>372</v>
      </c>
      <c r="C925" s="243">
        <v>1</v>
      </c>
      <c r="D925" s="150" t="s">
        <v>363</v>
      </c>
      <c r="E925" s="150">
        <v>60</v>
      </c>
      <c r="F925" s="151">
        <v>65</v>
      </c>
      <c r="G925" s="151">
        <f t="shared" si="76"/>
        <v>72.800000000000011</v>
      </c>
      <c r="H925" s="150"/>
      <c r="I925" s="152"/>
      <c r="J925"/>
      <c r="K925"/>
      <c r="L925"/>
      <c r="M925"/>
    </row>
    <row r="926" spans="1:13" ht="20.25" customHeight="1">
      <c r="E926" s="153" t="s">
        <v>35</v>
      </c>
      <c r="F926" s="154">
        <f>SUM(F916:F925)</f>
        <v>21570</v>
      </c>
      <c r="G926" s="154">
        <f>SUM(G916:G925)</f>
        <v>24158.400000000001</v>
      </c>
      <c r="J926"/>
      <c r="K926"/>
      <c r="L926"/>
      <c r="M926"/>
    </row>
    <row r="927" spans="1:13" ht="20.25" customHeight="1">
      <c r="J927"/>
      <c r="K927"/>
      <c r="L927"/>
      <c r="M927"/>
    </row>
    <row r="928" spans="1:13" ht="20.25" customHeight="1">
      <c r="J928"/>
      <c r="K928"/>
      <c r="L928"/>
      <c r="M928"/>
    </row>
    <row r="929" spans="1:13" ht="20.25" customHeight="1">
      <c r="J929"/>
      <c r="K929"/>
      <c r="L929"/>
      <c r="M929"/>
    </row>
    <row r="930" spans="1:13" ht="20.25" customHeight="1">
      <c r="J930"/>
      <c r="K930"/>
      <c r="L930"/>
      <c r="M930"/>
    </row>
    <row r="931" spans="1:13" ht="20.25" customHeight="1">
      <c r="J931"/>
      <c r="K931"/>
      <c r="L931"/>
      <c r="M931"/>
    </row>
    <row r="932" spans="1:13" ht="20.25" customHeight="1">
      <c r="J932"/>
      <c r="K932"/>
      <c r="L932"/>
      <c r="M932"/>
    </row>
    <row r="933" spans="1:13" ht="20.25" customHeight="1">
      <c r="A933" s="867" t="s">
        <v>954</v>
      </c>
      <c r="B933" s="867"/>
      <c r="C933" s="867"/>
      <c r="D933" s="867"/>
      <c r="E933" s="867"/>
      <c r="F933" s="867"/>
      <c r="G933" s="867"/>
      <c r="H933" s="867"/>
      <c r="I933" s="867"/>
      <c r="J933"/>
      <c r="K933"/>
      <c r="L933"/>
      <c r="M933"/>
    </row>
    <row r="934" spans="1:13" ht="20.25" customHeight="1">
      <c r="A934" s="137" t="s">
        <v>349</v>
      </c>
      <c r="B934" s="616" t="s">
        <v>69</v>
      </c>
      <c r="J934"/>
      <c r="K934"/>
      <c r="L934"/>
      <c r="M934"/>
    </row>
    <row r="935" spans="1:13" ht="20.25" customHeight="1">
      <c r="A935" s="139" t="s">
        <v>299</v>
      </c>
      <c r="B935" s="616" t="s">
        <v>14</v>
      </c>
      <c r="C935" s="140"/>
      <c r="D935" s="140"/>
      <c r="E935" s="140"/>
      <c r="F935" s="140"/>
      <c r="G935" s="140"/>
      <c r="H935" s="140"/>
      <c r="J935"/>
      <c r="K935"/>
      <c r="L935"/>
      <c r="M935"/>
    </row>
    <row r="936" spans="1:13" ht="20.25" customHeight="1">
      <c r="B936" s="141" t="s">
        <v>100</v>
      </c>
      <c r="C936" s="141"/>
      <c r="D936" s="141"/>
      <c r="E936" s="141"/>
      <c r="F936" s="141"/>
      <c r="G936" s="141"/>
      <c r="H936" s="141"/>
      <c r="J936"/>
      <c r="K936"/>
      <c r="L936"/>
      <c r="M936"/>
    </row>
    <row r="937" spans="1:13" ht="20.25" customHeight="1">
      <c r="A937" s="868"/>
      <c r="B937" s="868"/>
      <c r="C937" s="868"/>
      <c r="D937" s="868"/>
      <c r="E937" s="868"/>
      <c r="F937" s="868"/>
      <c r="G937" s="868"/>
      <c r="H937" s="868"/>
      <c r="J937"/>
      <c r="K937"/>
      <c r="L937"/>
      <c r="M937"/>
    </row>
    <row r="938" spans="1:13" ht="20.25" customHeight="1">
      <c r="A938" s="142" t="s">
        <v>350</v>
      </c>
      <c r="B938" s="143" t="s">
        <v>360</v>
      </c>
      <c r="C938" s="144"/>
      <c r="D938" s="144"/>
      <c r="E938" s="144"/>
      <c r="F938" s="910" t="s">
        <v>869</v>
      </c>
      <c r="G938" s="910"/>
      <c r="H938" s="910"/>
      <c r="I938" s="145" t="s">
        <v>310</v>
      </c>
      <c r="J938"/>
      <c r="K938"/>
      <c r="L938"/>
      <c r="M938"/>
    </row>
    <row r="939" spans="1:13" ht="20.25" customHeight="1">
      <c r="G939" s="138" t="s">
        <v>100</v>
      </c>
      <c r="J939"/>
      <c r="K939"/>
      <c r="L939"/>
      <c r="M939"/>
    </row>
    <row r="940" spans="1:13" ht="20.25" customHeight="1">
      <c r="A940" s="146" t="s">
        <v>351</v>
      </c>
      <c r="B940" s="147" t="s">
        <v>302</v>
      </c>
      <c r="C940" s="147" t="s">
        <v>312</v>
      </c>
      <c r="D940" s="147" t="s">
        <v>303</v>
      </c>
      <c r="E940" s="148" t="s">
        <v>304</v>
      </c>
      <c r="F940" s="147" t="s">
        <v>305</v>
      </c>
      <c r="G940" s="147" t="s">
        <v>306</v>
      </c>
      <c r="H940" s="148" t="s">
        <v>307</v>
      </c>
      <c r="I940" s="147" t="s">
        <v>308</v>
      </c>
      <c r="J940"/>
      <c r="K940"/>
      <c r="L940"/>
      <c r="M940"/>
    </row>
    <row r="941" spans="1:13" ht="20.25" customHeight="1">
      <c r="A941" s="149" t="s">
        <v>373</v>
      </c>
      <c r="B941" s="226" t="s">
        <v>374</v>
      </c>
      <c r="C941" s="228">
        <v>8000</v>
      </c>
      <c r="D941" s="150" t="s">
        <v>375</v>
      </c>
      <c r="E941" s="150">
        <v>0.92600000000000005</v>
      </c>
      <c r="F941" s="151">
        <f>E941*C941</f>
        <v>7408</v>
      </c>
      <c r="G941" s="151">
        <f>F941*1.12</f>
        <v>8296.9600000000009</v>
      </c>
      <c r="H941" s="150">
        <v>730803</v>
      </c>
      <c r="I941" s="152" t="s">
        <v>14</v>
      </c>
      <c r="J941"/>
      <c r="K941"/>
      <c r="L941"/>
      <c r="M941"/>
    </row>
    <row r="942" spans="1:13" ht="20.25" customHeight="1">
      <c r="A942" s="149" t="s">
        <v>373</v>
      </c>
      <c r="B942" s="226" t="s">
        <v>376</v>
      </c>
      <c r="C942" s="228">
        <v>600</v>
      </c>
      <c r="D942" s="150" t="s">
        <v>375</v>
      </c>
      <c r="E942" s="150">
        <v>1.321</v>
      </c>
      <c r="F942" s="151">
        <f t="shared" ref="F942" si="77">E942*C942</f>
        <v>792.6</v>
      </c>
      <c r="G942" s="151">
        <f t="shared" ref="G942" si="78">F942*1.12</f>
        <v>887.7120000000001</v>
      </c>
      <c r="H942" s="150"/>
      <c r="I942" s="152"/>
      <c r="J942"/>
      <c r="K942"/>
      <c r="L942"/>
      <c r="M942"/>
    </row>
    <row r="943" spans="1:13" ht="20.25" customHeight="1">
      <c r="E943" s="153" t="s">
        <v>35</v>
      </c>
      <c r="F943" s="154">
        <f>SUM(F941:F942)</f>
        <v>8200.6</v>
      </c>
      <c r="G943" s="154">
        <f>SUM(G941:G942)</f>
        <v>9184.6720000000005</v>
      </c>
      <c r="J943"/>
      <c r="K943"/>
      <c r="L943"/>
      <c r="M943"/>
    </row>
    <row r="944" spans="1:13" ht="20.25" customHeight="1">
      <c r="J944"/>
      <c r="K944"/>
      <c r="L944"/>
      <c r="M944"/>
    </row>
    <row r="945" spans="1:13" ht="20.25" customHeight="1">
      <c r="J945"/>
      <c r="K945"/>
      <c r="L945"/>
      <c r="M945"/>
    </row>
    <row r="946" spans="1:13" ht="20.25" customHeight="1">
      <c r="J946"/>
      <c r="K946"/>
      <c r="L946"/>
      <c r="M946"/>
    </row>
    <row r="947" spans="1:13" ht="20.25" customHeight="1">
      <c r="J947"/>
      <c r="K947"/>
      <c r="L947"/>
      <c r="M947"/>
    </row>
    <row r="948" spans="1:13" ht="20.25" customHeight="1">
      <c r="A948" s="867" t="s">
        <v>954</v>
      </c>
      <c r="B948" s="867"/>
      <c r="C948" s="867"/>
      <c r="D948" s="867"/>
      <c r="E948" s="867"/>
      <c r="F948" s="867"/>
      <c r="G948" s="867"/>
      <c r="H948" s="867"/>
      <c r="I948" s="867"/>
      <c r="J948"/>
      <c r="K948"/>
      <c r="L948"/>
      <c r="M948"/>
    </row>
    <row r="949" spans="1:13" ht="20.25" customHeight="1">
      <c r="A949" s="137" t="s">
        <v>349</v>
      </c>
      <c r="B949" s="616" t="s">
        <v>70</v>
      </c>
      <c r="J949"/>
      <c r="K949"/>
      <c r="L949"/>
      <c r="M949"/>
    </row>
    <row r="950" spans="1:13" ht="20.25" customHeight="1">
      <c r="A950" s="139" t="s">
        <v>299</v>
      </c>
      <c r="B950" s="616" t="s">
        <v>56</v>
      </c>
      <c r="C950" s="140"/>
      <c r="D950" s="140"/>
      <c r="E950" s="140"/>
      <c r="F950" s="140"/>
      <c r="G950" s="140"/>
      <c r="H950" s="140"/>
      <c r="J950"/>
      <c r="K950"/>
      <c r="L950"/>
      <c r="M950"/>
    </row>
    <row r="951" spans="1:13" ht="20.25" customHeight="1">
      <c r="B951" s="141" t="s">
        <v>100</v>
      </c>
      <c r="C951" s="141"/>
      <c r="D951" s="141"/>
      <c r="E951" s="141"/>
      <c r="F951" s="141"/>
      <c r="G951" s="141"/>
      <c r="H951" s="141"/>
      <c r="J951"/>
      <c r="K951"/>
      <c r="L951"/>
      <c r="M951"/>
    </row>
    <row r="952" spans="1:13" ht="20.25" customHeight="1">
      <c r="A952" s="868"/>
      <c r="B952" s="868"/>
      <c r="C952" s="868"/>
      <c r="D952" s="868"/>
      <c r="E952" s="868"/>
      <c r="F952" s="868"/>
      <c r="G952" s="868"/>
      <c r="H952" s="868"/>
      <c r="J952"/>
      <c r="K952"/>
      <c r="L952"/>
      <c r="M952"/>
    </row>
    <row r="953" spans="1:13" ht="20.25" customHeight="1">
      <c r="A953" s="142" t="s">
        <v>350</v>
      </c>
      <c r="B953" s="143" t="s">
        <v>360</v>
      </c>
      <c r="C953" s="144"/>
      <c r="D953" s="144"/>
      <c r="E953" s="144"/>
      <c r="F953" s="910" t="s">
        <v>869</v>
      </c>
      <c r="G953" s="910"/>
      <c r="H953" s="910"/>
      <c r="I953" s="145" t="s">
        <v>310</v>
      </c>
      <c r="J953"/>
      <c r="K953"/>
      <c r="L953"/>
      <c r="M953"/>
    </row>
    <row r="954" spans="1:13" ht="20.25" customHeight="1">
      <c r="G954" s="138" t="s">
        <v>100</v>
      </c>
      <c r="J954"/>
      <c r="K954"/>
      <c r="L954"/>
      <c r="M954"/>
    </row>
    <row r="955" spans="1:13" ht="20.25" customHeight="1">
      <c r="A955" s="146" t="s">
        <v>351</v>
      </c>
      <c r="B955" s="147" t="s">
        <v>302</v>
      </c>
      <c r="C955" s="147" t="s">
        <v>312</v>
      </c>
      <c r="D955" s="147" t="s">
        <v>303</v>
      </c>
      <c r="E955" s="148" t="s">
        <v>304</v>
      </c>
      <c r="F955" s="147" t="s">
        <v>305</v>
      </c>
      <c r="G955" s="147" t="s">
        <v>306</v>
      </c>
      <c r="H955" s="148" t="s">
        <v>307</v>
      </c>
      <c r="I955" s="147" t="s">
        <v>308</v>
      </c>
      <c r="J955"/>
      <c r="K955"/>
      <c r="L955"/>
      <c r="M955"/>
    </row>
    <row r="956" spans="1:13" ht="20.25" customHeight="1">
      <c r="A956" s="146" t="s">
        <v>870</v>
      </c>
      <c r="B956" s="156" t="s">
        <v>377</v>
      </c>
      <c r="C956" s="228">
        <v>1</v>
      </c>
      <c r="D956" s="157" t="s">
        <v>363</v>
      </c>
      <c r="E956" s="150">
        <v>90.69</v>
      </c>
      <c r="F956" s="151">
        <f t="shared" ref="F956:F962" si="79">E956*C956</f>
        <v>90.69</v>
      </c>
      <c r="G956" s="151">
        <f t="shared" ref="G956:G974" si="80">F956*1.12</f>
        <v>101.5728</v>
      </c>
      <c r="H956" s="901">
        <v>770102</v>
      </c>
      <c r="I956" s="907" t="s">
        <v>56</v>
      </c>
      <c r="J956"/>
      <c r="K956"/>
      <c r="L956"/>
      <c r="M956"/>
    </row>
    <row r="957" spans="1:13" ht="20.25" customHeight="1">
      <c r="A957" s="146" t="s">
        <v>870</v>
      </c>
      <c r="B957" s="156" t="s">
        <v>377</v>
      </c>
      <c r="C957" s="228">
        <v>1</v>
      </c>
      <c r="D957" s="157" t="s">
        <v>363</v>
      </c>
      <c r="E957" s="150">
        <v>100.69</v>
      </c>
      <c r="F957" s="151">
        <f t="shared" si="79"/>
        <v>100.69</v>
      </c>
      <c r="G957" s="151">
        <f t="shared" si="80"/>
        <v>112.7728</v>
      </c>
      <c r="H957" s="902"/>
      <c r="I957" s="908"/>
      <c r="J957"/>
      <c r="K957"/>
      <c r="L957"/>
      <c r="M957"/>
    </row>
    <row r="958" spans="1:13" ht="20.25" customHeight="1">
      <c r="A958" s="146" t="s">
        <v>870</v>
      </c>
      <c r="B958" s="156" t="s">
        <v>377</v>
      </c>
      <c r="C958" s="228">
        <v>1</v>
      </c>
      <c r="D958" s="157" t="s">
        <v>363</v>
      </c>
      <c r="E958" s="150">
        <v>170.69</v>
      </c>
      <c r="F958" s="151">
        <f t="shared" si="79"/>
        <v>170.69</v>
      </c>
      <c r="G958" s="151">
        <f t="shared" si="80"/>
        <v>191.17280000000002</v>
      </c>
      <c r="H958" s="902"/>
      <c r="I958" s="908"/>
      <c r="J958"/>
      <c r="K958"/>
      <c r="L958"/>
      <c r="M958"/>
    </row>
    <row r="959" spans="1:13" ht="20.25" customHeight="1">
      <c r="A959" s="146" t="s">
        <v>870</v>
      </c>
      <c r="B959" s="156" t="s">
        <v>377</v>
      </c>
      <c r="C959" s="228">
        <v>1</v>
      </c>
      <c r="D959" s="157" t="s">
        <v>363</v>
      </c>
      <c r="E959" s="150">
        <v>69.59</v>
      </c>
      <c r="F959" s="151">
        <f t="shared" si="79"/>
        <v>69.59</v>
      </c>
      <c r="G959" s="151">
        <f t="shared" si="80"/>
        <v>77.94080000000001</v>
      </c>
      <c r="H959" s="902"/>
      <c r="I959" s="908"/>
      <c r="J959"/>
      <c r="K959"/>
      <c r="L959"/>
      <c r="M959"/>
    </row>
    <row r="960" spans="1:13" ht="20.25" customHeight="1">
      <c r="A960" s="146" t="s">
        <v>870</v>
      </c>
      <c r="B960" s="156" t="s">
        <v>377</v>
      </c>
      <c r="C960" s="228">
        <v>1</v>
      </c>
      <c r="D960" s="157" t="s">
        <v>363</v>
      </c>
      <c r="E960" s="615">
        <v>195.69</v>
      </c>
      <c r="F960" s="151">
        <f t="shared" si="79"/>
        <v>195.69</v>
      </c>
      <c r="G960" s="151">
        <f t="shared" si="80"/>
        <v>219.17280000000002</v>
      </c>
      <c r="H960" s="902"/>
      <c r="I960" s="908"/>
      <c r="J960"/>
      <c r="K960"/>
      <c r="L960"/>
      <c r="M960"/>
    </row>
    <row r="961" spans="1:13" ht="20.25" customHeight="1">
      <c r="A961" s="146" t="s">
        <v>870</v>
      </c>
      <c r="B961" s="156" t="s">
        <v>377</v>
      </c>
      <c r="C961" s="228">
        <v>1</v>
      </c>
      <c r="D961" s="157" t="s">
        <v>363</v>
      </c>
      <c r="E961" s="150">
        <v>90.69</v>
      </c>
      <c r="F961" s="151">
        <f t="shared" si="79"/>
        <v>90.69</v>
      </c>
      <c r="G961" s="151">
        <f t="shared" si="80"/>
        <v>101.5728</v>
      </c>
      <c r="H961" s="902"/>
      <c r="I961" s="908"/>
      <c r="J961"/>
      <c r="K961"/>
      <c r="L961"/>
      <c r="M961"/>
    </row>
    <row r="962" spans="1:13" ht="20.25" customHeight="1">
      <c r="A962" s="146" t="s">
        <v>870</v>
      </c>
      <c r="B962" s="156" t="s">
        <v>377</v>
      </c>
      <c r="C962" s="228">
        <v>1</v>
      </c>
      <c r="D962" s="157" t="s">
        <v>363</v>
      </c>
      <c r="E962" s="150">
        <v>94.15</v>
      </c>
      <c r="F962" s="151">
        <f t="shared" si="79"/>
        <v>94.15</v>
      </c>
      <c r="G962" s="151">
        <f t="shared" si="80"/>
        <v>105.44800000000002</v>
      </c>
      <c r="H962" s="902"/>
      <c r="I962" s="908"/>
      <c r="J962"/>
      <c r="K962"/>
      <c r="L962"/>
      <c r="M962"/>
    </row>
    <row r="963" spans="1:13" ht="20.25" customHeight="1">
      <c r="A963" s="146" t="s">
        <v>870</v>
      </c>
      <c r="B963" s="156" t="s">
        <v>377</v>
      </c>
      <c r="C963" s="228">
        <v>1</v>
      </c>
      <c r="D963" s="157" t="s">
        <v>363</v>
      </c>
      <c r="E963" s="615">
        <v>100.69</v>
      </c>
      <c r="F963" s="151">
        <f>E970*C963</f>
        <v>90.69</v>
      </c>
      <c r="G963" s="151">
        <f t="shared" si="80"/>
        <v>101.5728</v>
      </c>
      <c r="H963" s="902"/>
      <c r="I963" s="908"/>
      <c r="J963"/>
      <c r="K963"/>
      <c r="L963"/>
      <c r="M963"/>
    </row>
    <row r="964" spans="1:13" ht="20.25" customHeight="1">
      <c r="A964" s="146" t="s">
        <v>870</v>
      </c>
      <c r="B964" s="156" t="s">
        <v>377</v>
      </c>
      <c r="C964" s="228">
        <v>1</v>
      </c>
      <c r="D964" s="157" t="s">
        <v>363</v>
      </c>
      <c r="E964" s="150">
        <v>90.69</v>
      </c>
      <c r="F964" s="151">
        <f t="shared" ref="F964:F974" si="81">E964*C964</f>
        <v>90.69</v>
      </c>
      <c r="G964" s="151">
        <f t="shared" si="80"/>
        <v>101.5728</v>
      </c>
      <c r="H964" s="902"/>
      <c r="I964" s="908"/>
      <c r="J964"/>
      <c r="K964"/>
      <c r="L964"/>
      <c r="M964"/>
    </row>
    <row r="965" spans="1:13" ht="20.25" customHeight="1">
      <c r="A965" s="146" t="s">
        <v>870</v>
      </c>
      <c r="B965" s="156" t="s">
        <v>377</v>
      </c>
      <c r="C965" s="228">
        <v>1</v>
      </c>
      <c r="D965" s="157" t="s">
        <v>363</v>
      </c>
      <c r="E965" s="150">
        <v>90.69</v>
      </c>
      <c r="F965" s="151">
        <f t="shared" si="81"/>
        <v>90.69</v>
      </c>
      <c r="G965" s="151">
        <f t="shared" si="80"/>
        <v>101.5728</v>
      </c>
      <c r="H965" s="902"/>
      <c r="I965" s="908"/>
      <c r="J965"/>
      <c r="K965"/>
      <c r="L965"/>
      <c r="M965"/>
    </row>
    <row r="966" spans="1:13" ht="20.25" customHeight="1">
      <c r="A966" s="146" t="s">
        <v>870</v>
      </c>
      <c r="B966" s="156" t="s">
        <v>377</v>
      </c>
      <c r="C966" s="228">
        <v>1</v>
      </c>
      <c r="D966" s="157" t="s">
        <v>363</v>
      </c>
      <c r="E966" s="150">
        <v>152.12</v>
      </c>
      <c r="F966" s="151">
        <f t="shared" si="81"/>
        <v>152.12</v>
      </c>
      <c r="G966" s="151">
        <f t="shared" si="80"/>
        <v>170.37440000000001</v>
      </c>
      <c r="H966" s="902"/>
      <c r="I966" s="908"/>
      <c r="J966"/>
      <c r="K966"/>
      <c r="L966"/>
      <c r="M966"/>
    </row>
    <row r="967" spans="1:13" ht="20.25" customHeight="1">
      <c r="A967" s="146" t="s">
        <v>870</v>
      </c>
      <c r="B967" s="156" t="s">
        <v>378</v>
      </c>
      <c r="C967" s="228">
        <v>1</v>
      </c>
      <c r="D967" s="157" t="s">
        <v>363</v>
      </c>
      <c r="E967" s="150">
        <v>170.69</v>
      </c>
      <c r="F967" s="151">
        <f t="shared" si="81"/>
        <v>170.69</v>
      </c>
      <c r="G967" s="151">
        <f t="shared" si="80"/>
        <v>191.17280000000002</v>
      </c>
      <c r="H967" s="902"/>
      <c r="I967" s="908"/>
      <c r="J967"/>
      <c r="K967"/>
      <c r="L967"/>
      <c r="M967"/>
    </row>
    <row r="968" spans="1:13" ht="20.25" customHeight="1">
      <c r="A968" s="146" t="s">
        <v>870</v>
      </c>
      <c r="B968" s="156" t="s">
        <v>379</v>
      </c>
      <c r="C968" s="228">
        <v>1</v>
      </c>
      <c r="D968" s="157" t="s">
        <v>363</v>
      </c>
      <c r="E968" s="150">
        <v>69.59</v>
      </c>
      <c r="F968" s="151">
        <f t="shared" si="81"/>
        <v>69.59</v>
      </c>
      <c r="G968" s="151">
        <f t="shared" si="80"/>
        <v>77.94080000000001</v>
      </c>
      <c r="H968" s="902"/>
      <c r="I968" s="908"/>
      <c r="J968"/>
      <c r="K968"/>
      <c r="L968"/>
      <c r="M968"/>
    </row>
    <row r="969" spans="1:13" ht="20.25" customHeight="1">
      <c r="A969" s="146" t="s">
        <v>870</v>
      </c>
      <c r="B969" s="156" t="s">
        <v>379</v>
      </c>
      <c r="C969" s="228">
        <v>1</v>
      </c>
      <c r="D969" s="157" t="s">
        <v>363</v>
      </c>
      <c r="E969" s="150">
        <v>90.69</v>
      </c>
      <c r="F969" s="151">
        <f t="shared" si="81"/>
        <v>90.69</v>
      </c>
      <c r="G969" s="151">
        <f t="shared" si="80"/>
        <v>101.5728</v>
      </c>
      <c r="H969" s="902"/>
      <c r="I969" s="908"/>
      <c r="J969"/>
      <c r="K969"/>
      <c r="L969"/>
      <c r="M969"/>
    </row>
    <row r="970" spans="1:13" ht="20.25" customHeight="1">
      <c r="A970" s="146" t="s">
        <v>870</v>
      </c>
      <c r="B970" s="156" t="s">
        <v>380</v>
      </c>
      <c r="C970" s="228">
        <v>1</v>
      </c>
      <c r="D970" s="157" t="s">
        <v>363</v>
      </c>
      <c r="E970" s="150">
        <v>90.69</v>
      </c>
      <c r="F970" s="151">
        <f t="shared" si="81"/>
        <v>90.69</v>
      </c>
      <c r="G970" s="151">
        <f t="shared" si="80"/>
        <v>101.5728</v>
      </c>
      <c r="H970" s="902"/>
      <c r="I970" s="908"/>
      <c r="J970"/>
      <c r="K970"/>
      <c r="L970"/>
      <c r="M970"/>
    </row>
    <row r="971" spans="1:13" ht="20.25" customHeight="1">
      <c r="A971" s="146" t="s">
        <v>870</v>
      </c>
      <c r="B971" s="156" t="s">
        <v>381</v>
      </c>
      <c r="C971" s="228">
        <v>1</v>
      </c>
      <c r="D971" s="157" t="s">
        <v>363</v>
      </c>
      <c r="E971" s="150">
        <v>119.11</v>
      </c>
      <c r="F971" s="151">
        <f t="shared" si="81"/>
        <v>119.11</v>
      </c>
      <c r="G971" s="151">
        <f t="shared" si="80"/>
        <v>133.4032</v>
      </c>
      <c r="H971" s="902"/>
      <c r="I971" s="908"/>
      <c r="J971"/>
      <c r="K971"/>
      <c r="L971"/>
      <c r="M971"/>
    </row>
    <row r="972" spans="1:13" ht="20.25" customHeight="1">
      <c r="A972" s="146" t="s">
        <v>870</v>
      </c>
      <c r="B972" s="156" t="s">
        <v>382</v>
      </c>
      <c r="C972" s="228">
        <v>0</v>
      </c>
      <c r="D972" s="157" t="s">
        <v>363</v>
      </c>
      <c r="E972" s="150">
        <v>114.04</v>
      </c>
      <c r="F972" s="151">
        <f t="shared" si="81"/>
        <v>0</v>
      </c>
      <c r="G972" s="151">
        <f t="shared" si="80"/>
        <v>0</v>
      </c>
      <c r="H972" s="902"/>
      <c r="I972" s="908"/>
      <c r="J972"/>
      <c r="K972"/>
      <c r="L972"/>
      <c r="M972"/>
    </row>
    <row r="973" spans="1:13" ht="20.25" customHeight="1">
      <c r="A973" s="146" t="s">
        <v>870</v>
      </c>
      <c r="B973" s="156" t="s">
        <v>383</v>
      </c>
      <c r="C973" s="228">
        <v>1</v>
      </c>
      <c r="D973" s="157" t="s">
        <v>363</v>
      </c>
      <c r="E973" s="150">
        <v>69.33</v>
      </c>
      <c r="F973" s="151">
        <f t="shared" si="81"/>
        <v>69.33</v>
      </c>
      <c r="G973" s="151">
        <f t="shared" si="80"/>
        <v>77.649600000000007</v>
      </c>
      <c r="H973" s="902"/>
      <c r="I973" s="908"/>
      <c r="J973"/>
      <c r="K973"/>
      <c r="L973"/>
      <c r="M973"/>
    </row>
    <row r="974" spans="1:13" ht="20.25" customHeight="1">
      <c r="A974" s="146" t="s">
        <v>870</v>
      </c>
      <c r="B974" s="156" t="s">
        <v>384</v>
      </c>
      <c r="C974" s="228">
        <v>1</v>
      </c>
      <c r="D974" s="157" t="s">
        <v>363</v>
      </c>
      <c r="E974" s="150">
        <v>235.4</v>
      </c>
      <c r="F974" s="151">
        <f t="shared" si="81"/>
        <v>235.4</v>
      </c>
      <c r="G974" s="151">
        <f t="shared" si="80"/>
        <v>263.64800000000002</v>
      </c>
      <c r="H974" s="903"/>
      <c r="I974" s="909"/>
      <c r="J974"/>
      <c r="K974"/>
      <c r="L974"/>
      <c r="M974"/>
    </row>
    <row r="975" spans="1:13" ht="20.25" customHeight="1">
      <c r="E975" s="153" t="s">
        <v>35</v>
      </c>
      <c r="F975" s="158">
        <f>F956+F957+F958+F959+F960+F961+F962+F963+F964+F965+F966+F967+F968+F969+F970+F971+F973+F972+F974</f>
        <v>2081.88</v>
      </c>
      <c r="G975" s="154">
        <f>SUM(F975*1.12)</f>
        <v>2331.7056000000002</v>
      </c>
      <c r="J975"/>
      <c r="K975"/>
      <c r="L975"/>
      <c r="M975"/>
    </row>
    <row r="976" spans="1:13" ht="20.25" customHeight="1">
      <c r="J976"/>
      <c r="K976"/>
      <c r="L976"/>
      <c r="M976"/>
    </row>
    <row r="977" spans="1:13" ht="20.25" customHeight="1">
      <c r="J977"/>
      <c r="K977"/>
      <c r="L977"/>
      <c r="M977"/>
    </row>
    <row r="978" spans="1:13" ht="20.25" customHeight="1">
      <c r="A978" s="867" t="s">
        <v>954</v>
      </c>
      <c r="B978" s="867"/>
      <c r="C978" s="867"/>
      <c r="D978" s="867"/>
      <c r="E978" s="867"/>
      <c r="F978" s="867"/>
      <c r="G978" s="867"/>
      <c r="H978" s="867"/>
      <c r="I978" s="867"/>
      <c r="J978"/>
      <c r="K978"/>
      <c r="L978"/>
      <c r="M978"/>
    </row>
    <row r="979" spans="1:13" ht="20.25" customHeight="1">
      <c r="A979" s="137" t="s">
        <v>349</v>
      </c>
      <c r="B979" s="616" t="s">
        <v>67</v>
      </c>
      <c r="J979"/>
      <c r="K979"/>
      <c r="L979"/>
      <c r="M979"/>
    </row>
    <row r="980" spans="1:13" ht="20.25" customHeight="1">
      <c r="A980" s="139" t="s">
        <v>299</v>
      </c>
      <c r="B980" s="616" t="s">
        <v>28</v>
      </c>
      <c r="C980" s="140"/>
      <c r="D980" s="140"/>
      <c r="E980" s="140"/>
      <c r="F980" s="140"/>
      <c r="G980" s="140"/>
      <c r="H980" s="140"/>
      <c r="J980"/>
      <c r="K980"/>
      <c r="L980"/>
      <c r="M980"/>
    </row>
    <row r="981" spans="1:13" ht="20.25" customHeight="1">
      <c r="B981" s="141" t="s">
        <v>100</v>
      </c>
      <c r="C981" s="141"/>
      <c r="D981" s="141"/>
      <c r="E981" s="141"/>
      <c r="F981" s="141"/>
      <c r="G981" s="141"/>
      <c r="H981" s="141"/>
      <c r="J981"/>
      <c r="K981"/>
      <c r="L981"/>
      <c r="M981"/>
    </row>
    <row r="982" spans="1:13" ht="20.25" customHeight="1">
      <c r="A982" s="868"/>
      <c r="B982" s="868"/>
      <c r="C982" s="868"/>
      <c r="D982" s="868"/>
      <c r="E982" s="868"/>
      <c r="F982" s="868"/>
      <c r="G982" s="868"/>
      <c r="H982" s="868"/>
      <c r="J982"/>
      <c r="K982"/>
      <c r="L982"/>
      <c r="M982"/>
    </row>
    <row r="983" spans="1:13" ht="20.25" customHeight="1">
      <c r="A983" s="142" t="s">
        <v>350</v>
      </c>
      <c r="B983" s="143" t="s">
        <v>360</v>
      </c>
      <c r="C983" s="144"/>
      <c r="D983" s="144"/>
      <c r="E983" s="144"/>
      <c r="F983" s="910" t="s">
        <v>869</v>
      </c>
      <c r="G983" s="910"/>
      <c r="H983" s="910"/>
      <c r="I983" s="145" t="s">
        <v>310</v>
      </c>
      <c r="J983"/>
      <c r="K983"/>
      <c r="L983"/>
      <c r="M983"/>
    </row>
    <row r="984" spans="1:13" ht="20.25" customHeight="1">
      <c r="G984" s="138" t="s">
        <v>100</v>
      </c>
      <c r="J984"/>
      <c r="K984"/>
      <c r="L984"/>
      <c r="M984"/>
    </row>
    <row r="985" spans="1:13" ht="20.25" customHeight="1">
      <c r="A985" s="146" t="s">
        <v>351</v>
      </c>
      <c r="B985" s="147" t="s">
        <v>302</v>
      </c>
      <c r="C985" s="147" t="s">
        <v>312</v>
      </c>
      <c r="D985" s="147" t="s">
        <v>303</v>
      </c>
      <c r="E985" s="148" t="s">
        <v>304</v>
      </c>
      <c r="F985" s="147" t="s">
        <v>305</v>
      </c>
      <c r="G985" s="147" t="s">
        <v>306</v>
      </c>
      <c r="H985" s="148" t="s">
        <v>307</v>
      </c>
      <c r="I985" s="147" t="s">
        <v>308</v>
      </c>
      <c r="J985"/>
      <c r="K985"/>
      <c r="L985"/>
      <c r="M985"/>
    </row>
    <row r="986" spans="1:13" ht="20.25" customHeight="1">
      <c r="A986" s="149" t="s">
        <v>373</v>
      </c>
      <c r="B986" s="226" t="s">
        <v>385</v>
      </c>
      <c r="C986" s="228">
        <v>80</v>
      </c>
      <c r="D986" s="150" t="s">
        <v>386</v>
      </c>
      <c r="E986" s="150">
        <v>40</v>
      </c>
      <c r="F986" s="151">
        <f>E986*C986</f>
        <v>3200</v>
      </c>
      <c r="G986" s="151">
        <f>F986*1.12</f>
        <v>3584.0000000000005</v>
      </c>
      <c r="H986" s="150">
        <v>730504</v>
      </c>
      <c r="I986" s="152" t="s">
        <v>28</v>
      </c>
      <c r="J986"/>
      <c r="K986"/>
      <c r="L986"/>
      <c r="M986"/>
    </row>
    <row r="987" spans="1:13" ht="20.25" customHeight="1">
      <c r="E987" s="153" t="s">
        <v>35</v>
      </c>
      <c r="F987" s="154">
        <f>SUM(F986:F986)</f>
        <v>3200</v>
      </c>
      <c r="G987" s="154">
        <f>SUM(G986:G986)</f>
        <v>3584.0000000000005</v>
      </c>
      <c r="J987"/>
      <c r="K987"/>
      <c r="L987"/>
      <c r="M987"/>
    </row>
    <row r="988" spans="1:13" ht="20.25" customHeight="1">
      <c r="J988"/>
      <c r="K988"/>
      <c r="L988"/>
      <c r="M988"/>
    </row>
    <row r="989" spans="1:13" ht="20.25" customHeight="1">
      <c r="J989"/>
      <c r="K989"/>
      <c r="L989"/>
      <c r="M989"/>
    </row>
    <row r="990" spans="1:13" ht="20.25" customHeight="1">
      <c r="A990" s="867" t="s">
        <v>954</v>
      </c>
      <c r="B990" s="867"/>
      <c r="C990" s="867"/>
      <c r="D990" s="867"/>
      <c r="E990" s="867"/>
      <c r="F990" s="867"/>
      <c r="G990" s="867"/>
      <c r="H990" s="867"/>
      <c r="I990" s="867"/>
      <c r="J990"/>
      <c r="K990"/>
      <c r="L990"/>
      <c r="M990"/>
    </row>
    <row r="991" spans="1:13" ht="20.25" customHeight="1">
      <c r="A991" s="137" t="s">
        <v>349</v>
      </c>
      <c r="B991" s="616" t="s">
        <v>67</v>
      </c>
      <c r="J991"/>
      <c r="K991"/>
      <c r="L991"/>
      <c r="M991"/>
    </row>
    <row r="992" spans="1:13" ht="20.25" customHeight="1">
      <c r="A992" s="139" t="s">
        <v>299</v>
      </c>
      <c r="B992" s="616" t="s">
        <v>39</v>
      </c>
      <c r="C992" s="140"/>
      <c r="D992" s="140"/>
      <c r="E992" s="140"/>
      <c r="F992" s="140"/>
      <c r="G992" s="140"/>
      <c r="H992" s="140"/>
      <c r="J992"/>
      <c r="K992"/>
      <c r="L992"/>
      <c r="M992"/>
    </row>
    <row r="993" spans="1:13" ht="20.25" customHeight="1">
      <c r="B993" s="141" t="s">
        <v>100</v>
      </c>
      <c r="C993" s="141"/>
      <c r="D993" s="141"/>
      <c r="E993" s="141"/>
      <c r="F993" s="141"/>
      <c r="G993" s="141"/>
      <c r="H993" s="141"/>
      <c r="J993"/>
      <c r="K993"/>
      <c r="L993"/>
      <c r="M993"/>
    </row>
    <row r="994" spans="1:13" ht="20.25" customHeight="1">
      <c r="A994" s="868"/>
      <c r="B994" s="868"/>
      <c r="C994" s="868"/>
      <c r="D994" s="868"/>
      <c r="E994" s="868"/>
      <c r="F994" s="868"/>
      <c r="G994" s="868"/>
      <c r="H994" s="868"/>
      <c r="J994"/>
      <c r="K994"/>
      <c r="L994"/>
      <c r="M994"/>
    </row>
    <row r="995" spans="1:13" ht="20.25" customHeight="1">
      <c r="A995" s="142" t="s">
        <v>350</v>
      </c>
      <c r="B995" s="143" t="s">
        <v>360</v>
      </c>
      <c r="C995" s="144"/>
      <c r="D995" s="144"/>
      <c r="E995" s="144"/>
      <c r="F995" s="910" t="s">
        <v>869</v>
      </c>
      <c r="G995" s="910"/>
      <c r="H995" s="910"/>
      <c r="I995" s="145" t="s">
        <v>310</v>
      </c>
      <c r="J995"/>
      <c r="K995"/>
      <c r="L995"/>
      <c r="M995"/>
    </row>
    <row r="996" spans="1:13" ht="20.25" customHeight="1">
      <c r="G996" s="138" t="s">
        <v>100</v>
      </c>
      <c r="J996"/>
      <c r="K996"/>
      <c r="L996"/>
      <c r="M996"/>
    </row>
    <row r="997" spans="1:13" ht="20.25" customHeight="1">
      <c r="A997" s="146" t="s">
        <v>351</v>
      </c>
      <c r="B997" s="147" t="s">
        <v>302</v>
      </c>
      <c r="C997" s="147" t="s">
        <v>312</v>
      </c>
      <c r="D997" s="147" t="s">
        <v>303</v>
      </c>
      <c r="E997" s="148" t="s">
        <v>304</v>
      </c>
      <c r="F997" s="147" t="s">
        <v>305</v>
      </c>
      <c r="G997" s="147" t="s">
        <v>306</v>
      </c>
      <c r="H997" s="148" t="s">
        <v>307</v>
      </c>
      <c r="I997" s="147" t="s">
        <v>308</v>
      </c>
      <c r="J997"/>
      <c r="K997"/>
      <c r="L997"/>
      <c r="M997"/>
    </row>
    <row r="998" spans="1:13" ht="20.25" customHeight="1">
      <c r="A998" s="149" t="s">
        <v>373</v>
      </c>
      <c r="B998" s="226" t="s">
        <v>387</v>
      </c>
      <c r="C998" s="228">
        <v>100</v>
      </c>
      <c r="D998" s="150" t="s">
        <v>386</v>
      </c>
      <c r="E998" s="150">
        <v>20</v>
      </c>
      <c r="F998" s="151">
        <f>E998*C998</f>
        <v>2000</v>
      </c>
      <c r="G998" s="151">
        <f>F998*1.12</f>
        <v>2240</v>
      </c>
      <c r="H998" s="150">
        <v>730505</v>
      </c>
      <c r="I998" s="152" t="s">
        <v>39</v>
      </c>
      <c r="J998"/>
      <c r="K998"/>
      <c r="L998"/>
      <c r="M998"/>
    </row>
    <row r="999" spans="1:13" ht="20.25" customHeight="1">
      <c r="E999" s="153" t="s">
        <v>35</v>
      </c>
      <c r="F999" s="154">
        <f>SUM(F998:F998)</f>
        <v>2000</v>
      </c>
      <c r="G999" s="154">
        <f>SUM(G998:G998)</f>
        <v>2240</v>
      </c>
      <c r="J999"/>
      <c r="K999"/>
      <c r="L999"/>
      <c r="M999"/>
    </row>
    <row r="1000" spans="1:13" ht="20.25" customHeight="1">
      <c r="J1000"/>
      <c r="K1000"/>
      <c r="L1000"/>
      <c r="M1000"/>
    </row>
    <row r="1001" spans="1:13" ht="20.25" customHeight="1">
      <c r="J1001"/>
      <c r="K1001"/>
      <c r="L1001"/>
      <c r="M1001"/>
    </row>
    <row r="1002" spans="1:13" ht="20.25" customHeight="1">
      <c r="J1002"/>
      <c r="K1002"/>
      <c r="L1002"/>
      <c r="M1002"/>
    </row>
    <row r="1003" spans="1:13" ht="20.25" customHeight="1">
      <c r="A1003" s="867" t="s">
        <v>954</v>
      </c>
      <c r="B1003" s="867"/>
      <c r="C1003" s="867"/>
      <c r="D1003" s="867"/>
      <c r="E1003" s="867"/>
      <c r="F1003" s="867"/>
      <c r="G1003" s="867"/>
      <c r="H1003" s="867"/>
      <c r="I1003" s="867"/>
      <c r="J1003"/>
      <c r="K1003"/>
      <c r="L1003"/>
      <c r="M1003"/>
    </row>
    <row r="1004" spans="1:13" ht="20.25" customHeight="1">
      <c r="A1004" s="137" t="s">
        <v>349</v>
      </c>
      <c r="B1004" s="616" t="s">
        <v>69</v>
      </c>
      <c r="J1004"/>
      <c r="K1004"/>
      <c r="L1004"/>
      <c r="M1004"/>
    </row>
    <row r="1005" spans="1:13" ht="20.25" customHeight="1">
      <c r="A1005" s="139" t="s">
        <v>299</v>
      </c>
      <c r="B1005" s="616" t="s">
        <v>32</v>
      </c>
      <c r="C1005" s="140"/>
      <c r="D1005" s="140"/>
      <c r="E1005" s="140"/>
      <c r="F1005" s="140"/>
      <c r="G1005" s="140"/>
      <c r="H1005" s="140"/>
      <c r="J1005"/>
      <c r="K1005"/>
      <c r="L1005"/>
      <c r="M1005"/>
    </row>
    <row r="1006" spans="1:13" ht="20.25" customHeight="1">
      <c r="B1006" s="141" t="s">
        <v>100</v>
      </c>
      <c r="C1006" s="141"/>
      <c r="D1006" s="141"/>
      <c r="E1006" s="141"/>
      <c r="F1006" s="141"/>
      <c r="G1006" s="141"/>
      <c r="H1006" s="141"/>
      <c r="J1006"/>
      <c r="K1006"/>
      <c r="L1006"/>
      <c r="M1006"/>
    </row>
    <row r="1007" spans="1:13" ht="20.25" customHeight="1">
      <c r="A1007" s="868"/>
      <c r="B1007" s="868"/>
      <c r="C1007" s="868"/>
      <c r="D1007" s="868"/>
      <c r="E1007" s="868"/>
      <c r="F1007" s="868"/>
      <c r="G1007" s="868"/>
      <c r="H1007" s="868"/>
      <c r="J1007"/>
      <c r="K1007"/>
      <c r="L1007"/>
      <c r="M1007"/>
    </row>
    <row r="1008" spans="1:13" ht="20.25" customHeight="1">
      <c r="A1008" s="142" t="s">
        <v>350</v>
      </c>
      <c r="B1008" s="143" t="s">
        <v>360</v>
      </c>
      <c r="C1008" s="144"/>
      <c r="D1008" s="144"/>
      <c r="E1008" s="144"/>
      <c r="F1008" s="910" t="s">
        <v>869</v>
      </c>
      <c r="G1008" s="910"/>
      <c r="H1008" s="910"/>
      <c r="I1008" s="145" t="s">
        <v>310</v>
      </c>
      <c r="J1008"/>
      <c r="K1008"/>
      <c r="L1008"/>
      <c r="M1008"/>
    </row>
    <row r="1009" spans="1:13" ht="20.25" customHeight="1">
      <c r="G1009" s="138" t="s">
        <v>100</v>
      </c>
      <c r="J1009"/>
      <c r="K1009"/>
      <c r="L1009"/>
      <c r="M1009"/>
    </row>
    <row r="1010" spans="1:13" ht="20.25" customHeight="1">
      <c r="A1010" s="146" t="s">
        <v>351</v>
      </c>
      <c r="B1010" s="147" t="s">
        <v>302</v>
      </c>
      <c r="C1010" s="147" t="s">
        <v>312</v>
      </c>
      <c r="D1010" s="147" t="s">
        <v>303</v>
      </c>
      <c r="E1010" s="148" t="s">
        <v>304</v>
      </c>
      <c r="F1010" s="147" t="s">
        <v>305</v>
      </c>
      <c r="G1010" s="147" t="s">
        <v>306</v>
      </c>
      <c r="H1010" s="148" t="s">
        <v>307</v>
      </c>
      <c r="I1010" s="147" t="s">
        <v>308</v>
      </c>
      <c r="J1010"/>
      <c r="K1010"/>
      <c r="L1010"/>
      <c r="M1010"/>
    </row>
    <row r="1011" spans="1:13" ht="20.25" customHeight="1">
      <c r="A1011" s="149" t="s">
        <v>361</v>
      </c>
      <c r="B1011" s="159" t="s">
        <v>388</v>
      </c>
      <c r="C1011" s="228">
        <v>5</v>
      </c>
      <c r="D1011" s="150" t="s">
        <v>389</v>
      </c>
      <c r="E1011" s="150">
        <v>38</v>
      </c>
      <c r="F1011" s="151">
        <f>E1011*C1011</f>
        <v>190</v>
      </c>
      <c r="G1011" s="151">
        <f>F1011*1.12</f>
        <v>212.8</v>
      </c>
      <c r="H1011" s="150">
        <v>730813</v>
      </c>
      <c r="I1011" s="152" t="s">
        <v>32</v>
      </c>
      <c r="J1011"/>
      <c r="K1011"/>
      <c r="L1011"/>
      <c r="M1011"/>
    </row>
    <row r="1012" spans="1:13" ht="20.25" customHeight="1">
      <c r="A1012" s="149"/>
      <c r="B1012" s="159" t="s">
        <v>390</v>
      </c>
      <c r="C1012" s="228">
        <v>5</v>
      </c>
      <c r="D1012" s="150" t="s">
        <v>389</v>
      </c>
      <c r="E1012" s="150">
        <v>55</v>
      </c>
      <c r="F1012" s="151">
        <f t="shared" ref="F1012:F1075" si="82">E1012*C1012</f>
        <v>275</v>
      </c>
      <c r="G1012" s="151">
        <f t="shared" ref="G1012:G1075" si="83">F1012*1.12</f>
        <v>308.00000000000006</v>
      </c>
      <c r="H1012" s="150"/>
      <c r="I1012" s="152"/>
      <c r="J1012"/>
      <c r="K1012"/>
      <c r="L1012"/>
      <c r="M1012"/>
    </row>
    <row r="1013" spans="1:13" ht="20.25" customHeight="1">
      <c r="A1013" s="149"/>
      <c r="B1013" s="159" t="s">
        <v>391</v>
      </c>
      <c r="C1013" s="228">
        <v>5</v>
      </c>
      <c r="D1013" s="150" t="s">
        <v>389</v>
      </c>
      <c r="E1013" s="150">
        <v>59</v>
      </c>
      <c r="F1013" s="151">
        <f t="shared" si="82"/>
        <v>295</v>
      </c>
      <c r="G1013" s="151">
        <f t="shared" si="83"/>
        <v>330.40000000000003</v>
      </c>
      <c r="H1013" s="150"/>
      <c r="I1013" s="152"/>
      <c r="J1013"/>
      <c r="K1013"/>
      <c r="L1013"/>
      <c r="M1013"/>
    </row>
    <row r="1014" spans="1:13" ht="20.25" customHeight="1">
      <c r="A1014" s="149"/>
      <c r="B1014" s="159" t="s">
        <v>392</v>
      </c>
      <c r="C1014" s="228">
        <v>5</v>
      </c>
      <c r="D1014" s="150" t="s">
        <v>389</v>
      </c>
      <c r="E1014" s="150">
        <v>17</v>
      </c>
      <c r="F1014" s="151">
        <f t="shared" si="82"/>
        <v>85</v>
      </c>
      <c r="G1014" s="151">
        <f t="shared" si="83"/>
        <v>95.2</v>
      </c>
      <c r="H1014" s="150"/>
      <c r="I1014" s="152"/>
      <c r="J1014"/>
      <c r="K1014"/>
      <c r="L1014"/>
      <c r="M1014"/>
    </row>
    <row r="1015" spans="1:13" ht="20.25" customHeight="1">
      <c r="A1015" s="149"/>
      <c r="B1015" s="159" t="s">
        <v>393</v>
      </c>
      <c r="C1015" s="228">
        <v>5</v>
      </c>
      <c r="D1015" s="150" t="s">
        <v>389</v>
      </c>
      <c r="E1015" s="150">
        <v>17</v>
      </c>
      <c r="F1015" s="151">
        <f t="shared" si="82"/>
        <v>85</v>
      </c>
      <c r="G1015" s="151">
        <f t="shared" si="83"/>
        <v>95.2</v>
      </c>
      <c r="H1015" s="150"/>
      <c r="I1015" s="152"/>
      <c r="J1015"/>
      <c r="K1015"/>
      <c r="L1015"/>
      <c r="M1015"/>
    </row>
    <row r="1016" spans="1:13" ht="20.25" customHeight="1">
      <c r="A1016" s="149"/>
      <c r="B1016" s="159" t="s">
        <v>394</v>
      </c>
      <c r="C1016" s="228">
        <v>5</v>
      </c>
      <c r="D1016" s="150" t="s">
        <v>389</v>
      </c>
      <c r="E1016" s="150">
        <v>29</v>
      </c>
      <c r="F1016" s="151">
        <f t="shared" si="82"/>
        <v>145</v>
      </c>
      <c r="G1016" s="151">
        <f t="shared" si="83"/>
        <v>162.4</v>
      </c>
      <c r="H1016" s="150"/>
      <c r="I1016" s="152"/>
      <c r="J1016"/>
      <c r="K1016"/>
      <c r="L1016"/>
      <c r="M1016"/>
    </row>
    <row r="1017" spans="1:13" ht="20.25" customHeight="1">
      <c r="A1017" s="149"/>
      <c r="B1017" s="159" t="s">
        <v>395</v>
      </c>
      <c r="C1017" s="228">
        <v>5</v>
      </c>
      <c r="D1017" s="150" t="s">
        <v>389</v>
      </c>
      <c r="E1017" s="150">
        <v>17</v>
      </c>
      <c r="F1017" s="151">
        <f t="shared" si="82"/>
        <v>85</v>
      </c>
      <c r="G1017" s="151">
        <f t="shared" si="83"/>
        <v>95.2</v>
      </c>
      <c r="H1017" s="150"/>
      <c r="I1017" s="152"/>
      <c r="J1017"/>
      <c r="K1017"/>
      <c r="L1017"/>
      <c r="M1017"/>
    </row>
    <row r="1018" spans="1:13" ht="20.25" customHeight="1">
      <c r="A1018" s="149"/>
      <c r="B1018" s="159" t="s">
        <v>396</v>
      </c>
      <c r="C1018" s="228">
        <v>5</v>
      </c>
      <c r="D1018" s="150" t="s">
        <v>389</v>
      </c>
      <c r="E1018" s="150">
        <v>118</v>
      </c>
      <c r="F1018" s="151">
        <f t="shared" si="82"/>
        <v>590</v>
      </c>
      <c r="G1018" s="151">
        <f t="shared" si="83"/>
        <v>660.80000000000007</v>
      </c>
      <c r="H1018" s="150"/>
      <c r="I1018" s="152"/>
      <c r="J1018"/>
      <c r="K1018"/>
      <c r="L1018"/>
      <c r="M1018"/>
    </row>
    <row r="1019" spans="1:13" ht="20.25" customHeight="1">
      <c r="A1019" s="149"/>
      <c r="B1019" s="159" t="s">
        <v>397</v>
      </c>
      <c r="C1019" s="228">
        <v>5</v>
      </c>
      <c r="D1019" s="150" t="s">
        <v>389</v>
      </c>
      <c r="E1019" s="150">
        <v>89</v>
      </c>
      <c r="F1019" s="151">
        <f t="shared" si="82"/>
        <v>445</v>
      </c>
      <c r="G1019" s="151">
        <f t="shared" si="83"/>
        <v>498.40000000000003</v>
      </c>
      <c r="H1019" s="150"/>
      <c r="I1019" s="152"/>
      <c r="J1019"/>
      <c r="K1019"/>
      <c r="L1019"/>
      <c r="M1019"/>
    </row>
    <row r="1020" spans="1:13" ht="20.25" customHeight="1">
      <c r="A1020" s="149"/>
      <c r="B1020" s="159" t="s">
        <v>398</v>
      </c>
      <c r="C1020" s="228">
        <v>7</v>
      </c>
      <c r="D1020" s="150" t="s">
        <v>389</v>
      </c>
      <c r="E1020" s="150">
        <v>67</v>
      </c>
      <c r="F1020" s="151">
        <f t="shared" si="82"/>
        <v>469</v>
      </c>
      <c r="G1020" s="151">
        <f t="shared" si="83"/>
        <v>525.28000000000009</v>
      </c>
      <c r="H1020" s="150"/>
      <c r="I1020" s="152"/>
      <c r="J1020"/>
      <c r="K1020"/>
      <c r="L1020"/>
      <c r="M1020"/>
    </row>
    <row r="1021" spans="1:13" ht="20.25" customHeight="1">
      <c r="A1021" s="149"/>
      <c r="B1021" s="159" t="s">
        <v>399</v>
      </c>
      <c r="C1021" s="228">
        <v>5</v>
      </c>
      <c r="D1021" s="150" t="s">
        <v>389</v>
      </c>
      <c r="E1021" s="150">
        <v>77</v>
      </c>
      <c r="F1021" s="151">
        <f t="shared" si="82"/>
        <v>385</v>
      </c>
      <c r="G1021" s="151">
        <f t="shared" si="83"/>
        <v>431.20000000000005</v>
      </c>
      <c r="H1021" s="150"/>
      <c r="I1021" s="152"/>
      <c r="J1021"/>
      <c r="K1021"/>
      <c r="L1021"/>
      <c r="M1021"/>
    </row>
    <row r="1022" spans="1:13" ht="20.25" customHeight="1">
      <c r="A1022" s="149"/>
      <c r="B1022" s="159" t="s">
        <v>400</v>
      </c>
      <c r="C1022" s="228">
        <v>5</v>
      </c>
      <c r="D1022" s="150" t="s">
        <v>389</v>
      </c>
      <c r="E1022" s="150">
        <v>75</v>
      </c>
      <c r="F1022" s="151">
        <f t="shared" si="82"/>
        <v>375</v>
      </c>
      <c r="G1022" s="151">
        <f t="shared" si="83"/>
        <v>420.00000000000006</v>
      </c>
      <c r="H1022" s="150"/>
      <c r="I1022" s="152"/>
      <c r="J1022"/>
      <c r="K1022"/>
      <c r="L1022"/>
      <c r="M1022"/>
    </row>
    <row r="1023" spans="1:13" ht="20.25" customHeight="1">
      <c r="A1023" s="149"/>
      <c r="B1023" s="159" t="s">
        <v>401</v>
      </c>
      <c r="C1023" s="228">
        <v>5</v>
      </c>
      <c r="D1023" s="150" t="s">
        <v>389</v>
      </c>
      <c r="E1023" s="150">
        <v>40</v>
      </c>
      <c r="F1023" s="151">
        <f t="shared" si="82"/>
        <v>200</v>
      </c>
      <c r="G1023" s="151">
        <f t="shared" si="83"/>
        <v>224.00000000000003</v>
      </c>
      <c r="H1023" s="150"/>
      <c r="I1023" s="152"/>
      <c r="J1023"/>
      <c r="K1023"/>
      <c r="L1023"/>
      <c r="M1023"/>
    </row>
    <row r="1024" spans="1:13" ht="20.25" customHeight="1">
      <c r="A1024" s="149"/>
      <c r="B1024" s="159" t="s">
        <v>402</v>
      </c>
      <c r="C1024" s="228">
        <v>5</v>
      </c>
      <c r="D1024" s="150" t="s">
        <v>389</v>
      </c>
      <c r="E1024" s="150">
        <v>135</v>
      </c>
      <c r="F1024" s="151">
        <f t="shared" si="82"/>
        <v>675</v>
      </c>
      <c r="G1024" s="151">
        <f t="shared" si="83"/>
        <v>756.00000000000011</v>
      </c>
      <c r="H1024" s="150"/>
      <c r="I1024" s="152"/>
      <c r="J1024"/>
      <c r="K1024"/>
      <c r="L1024"/>
      <c r="M1024"/>
    </row>
    <row r="1025" spans="1:13" ht="20.25" customHeight="1">
      <c r="A1025" s="149"/>
      <c r="B1025" s="159" t="s">
        <v>403</v>
      </c>
      <c r="C1025" s="228">
        <v>5</v>
      </c>
      <c r="D1025" s="150" t="s">
        <v>389</v>
      </c>
      <c r="E1025" s="150">
        <v>112</v>
      </c>
      <c r="F1025" s="151">
        <f t="shared" si="82"/>
        <v>560</v>
      </c>
      <c r="G1025" s="151">
        <f t="shared" si="83"/>
        <v>627.20000000000005</v>
      </c>
      <c r="H1025" s="150"/>
      <c r="I1025" s="152"/>
      <c r="J1025"/>
      <c r="K1025"/>
      <c r="L1025"/>
      <c r="M1025"/>
    </row>
    <row r="1026" spans="1:13" ht="20.25" customHeight="1">
      <c r="A1026" s="149"/>
      <c r="B1026" s="159" t="s">
        <v>404</v>
      </c>
      <c r="C1026" s="228">
        <v>5</v>
      </c>
      <c r="D1026" s="150" t="s">
        <v>389</v>
      </c>
      <c r="E1026" s="150">
        <v>121</v>
      </c>
      <c r="F1026" s="151">
        <f t="shared" si="82"/>
        <v>605</v>
      </c>
      <c r="G1026" s="151">
        <f t="shared" si="83"/>
        <v>677.6</v>
      </c>
      <c r="H1026" s="150"/>
      <c r="I1026" s="152"/>
      <c r="J1026"/>
      <c r="K1026"/>
      <c r="L1026"/>
      <c r="M1026"/>
    </row>
    <row r="1027" spans="1:13" ht="20.25" customHeight="1">
      <c r="A1027" s="149"/>
      <c r="B1027" s="159" t="s">
        <v>405</v>
      </c>
      <c r="C1027" s="228">
        <v>5</v>
      </c>
      <c r="D1027" s="150" t="s">
        <v>389</v>
      </c>
      <c r="E1027" s="150">
        <v>76</v>
      </c>
      <c r="F1027" s="151">
        <f t="shared" si="82"/>
        <v>380</v>
      </c>
      <c r="G1027" s="151">
        <f t="shared" si="83"/>
        <v>425.6</v>
      </c>
      <c r="H1027" s="150"/>
      <c r="I1027" s="152"/>
      <c r="J1027"/>
      <c r="K1027"/>
      <c r="L1027"/>
      <c r="M1027"/>
    </row>
    <row r="1028" spans="1:13" ht="20.25" customHeight="1">
      <c r="A1028" s="149"/>
      <c r="B1028" s="159" t="s">
        <v>406</v>
      </c>
      <c r="C1028" s="228">
        <v>5</v>
      </c>
      <c r="D1028" s="150" t="s">
        <v>389</v>
      </c>
      <c r="E1028" s="150">
        <v>76</v>
      </c>
      <c r="F1028" s="151">
        <f t="shared" si="82"/>
        <v>380</v>
      </c>
      <c r="G1028" s="151">
        <f t="shared" si="83"/>
        <v>425.6</v>
      </c>
      <c r="H1028" s="150"/>
      <c r="I1028" s="152"/>
      <c r="J1028"/>
      <c r="K1028"/>
      <c r="L1028"/>
      <c r="M1028"/>
    </row>
    <row r="1029" spans="1:13" ht="20.25" customHeight="1">
      <c r="A1029" s="149"/>
      <c r="B1029" s="159" t="s">
        <v>407</v>
      </c>
      <c r="C1029" s="228">
        <v>7</v>
      </c>
      <c r="D1029" s="150" t="s">
        <v>389</v>
      </c>
      <c r="E1029" s="150">
        <v>22</v>
      </c>
      <c r="F1029" s="151">
        <f t="shared" si="82"/>
        <v>154</v>
      </c>
      <c r="G1029" s="151">
        <f t="shared" si="83"/>
        <v>172.48000000000002</v>
      </c>
      <c r="H1029" s="150"/>
      <c r="I1029" s="152"/>
      <c r="J1029"/>
      <c r="K1029"/>
      <c r="L1029"/>
      <c r="M1029"/>
    </row>
    <row r="1030" spans="1:13" ht="20.25" customHeight="1">
      <c r="A1030" s="149"/>
      <c r="B1030" s="159" t="s">
        <v>408</v>
      </c>
      <c r="C1030" s="228">
        <v>5</v>
      </c>
      <c r="D1030" s="150" t="s">
        <v>389</v>
      </c>
      <c r="E1030" s="150">
        <v>29</v>
      </c>
      <c r="F1030" s="151">
        <f t="shared" si="82"/>
        <v>145</v>
      </c>
      <c r="G1030" s="151">
        <f t="shared" si="83"/>
        <v>162.4</v>
      </c>
      <c r="H1030" s="150"/>
      <c r="I1030" s="152"/>
      <c r="J1030"/>
      <c r="K1030"/>
      <c r="L1030"/>
      <c r="M1030"/>
    </row>
    <row r="1031" spans="1:13" ht="20.25" customHeight="1">
      <c r="A1031" s="149"/>
      <c r="B1031" s="159" t="s">
        <v>409</v>
      </c>
      <c r="C1031" s="228">
        <v>5</v>
      </c>
      <c r="D1031" s="150" t="s">
        <v>389</v>
      </c>
      <c r="E1031" s="150">
        <v>29</v>
      </c>
      <c r="F1031" s="151">
        <f t="shared" si="82"/>
        <v>145</v>
      </c>
      <c r="G1031" s="151">
        <f t="shared" si="83"/>
        <v>162.4</v>
      </c>
      <c r="H1031" s="150"/>
      <c r="I1031" s="152"/>
      <c r="J1031"/>
      <c r="K1031"/>
      <c r="L1031"/>
      <c r="M1031"/>
    </row>
    <row r="1032" spans="1:13" ht="20.25" customHeight="1">
      <c r="A1032" s="149"/>
      <c r="B1032" s="159" t="s">
        <v>410</v>
      </c>
      <c r="C1032" s="228">
        <v>5</v>
      </c>
      <c r="D1032" s="150" t="s">
        <v>389</v>
      </c>
      <c r="E1032" s="150">
        <v>29</v>
      </c>
      <c r="F1032" s="151">
        <f t="shared" si="82"/>
        <v>145</v>
      </c>
      <c r="G1032" s="151">
        <f t="shared" si="83"/>
        <v>162.4</v>
      </c>
      <c r="H1032" s="150"/>
      <c r="I1032" s="152"/>
      <c r="J1032"/>
      <c r="K1032"/>
      <c r="L1032"/>
      <c r="M1032"/>
    </row>
    <row r="1033" spans="1:13" ht="20.25" customHeight="1">
      <c r="A1033" s="149"/>
      <c r="B1033" s="159" t="s">
        <v>411</v>
      </c>
      <c r="C1033" s="228">
        <v>5</v>
      </c>
      <c r="D1033" s="150" t="s">
        <v>389</v>
      </c>
      <c r="E1033" s="150">
        <v>79</v>
      </c>
      <c r="F1033" s="151">
        <f t="shared" si="82"/>
        <v>395</v>
      </c>
      <c r="G1033" s="151">
        <f t="shared" si="83"/>
        <v>442.40000000000003</v>
      </c>
      <c r="H1033" s="150"/>
      <c r="I1033" s="152"/>
      <c r="J1033"/>
      <c r="K1033"/>
      <c r="L1033"/>
      <c r="M1033"/>
    </row>
    <row r="1034" spans="1:13" ht="20.25" customHeight="1">
      <c r="A1034" s="149"/>
      <c r="B1034" s="159" t="s">
        <v>412</v>
      </c>
      <c r="C1034" s="228">
        <v>5</v>
      </c>
      <c r="D1034" s="150" t="s">
        <v>389</v>
      </c>
      <c r="E1034" s="150">
        <v>69</v>
      </c>
      <c r="F1034" s="151">
        <f t="shared" si="82"/>
        <v>345</v>
      </c>
      <c r="G1034" s="151">
        <f t="shared" si="83"/>
        <v>386.40000000000003</v>
      </c>
      <c r="H1034" s="150"/>
      <c r="I1034" s="152"/>
      <c r="J1034"/>
      <c r="K1034"/>
      <c r="L1034"/>
      <c r="M1034"/>
    </row>
    <row r="1035" spans="1:13" ht="20.25" customHeight="1">
      <c r="A1035" s="149"/>
      <c r="B1035" s="159" t="s">
        <v>413</v>
      </c>
      <c r="C1035" s="228">
        <v>5</v>
      </c>
      <c r="D1035" s="150" t="s">
        <v>389</v>
      </c>
      <c r="E1035" s="150">
        <v>89</v>
      </c>
      <c r="F1035" s="151">
        <f t="shared" si="82"/>
        <v>445</v>
      </c>
      <c r="G1035" s="151">
        <f t="shared" si="83"/>
        <v>498.40000000000003</v>
      </c>
      <c r="H1035" s="150"/>
      <c r="I1035" s="152"/>
      <c r="J1035"/>
      <c r="K1035"/>
      <c r="L1035"/>
      <c r="M1035"/>
    </row>
    <row r="1036" spans="1:13" ht="20.25" customHeight="1">
      <c r="A1036" s="149"/>
      <c r="B1036" s="159" t="s">
        <v>414</v>
      </c>
      <c r="C1036" s="228">
        <v>5</v>
      </c>
      <c r="D1036" s="150" t="s">
        <v>389</v>
      </c>
      <c r="E1036" s="150">
        <v>61</v>
      </c>
      <c r="F1036" s="151">
        <f t="shared" si="82"/>
        <v>305</v>
      </c>
      <c r="G1036" s="151">
        <f t="shared" si="83"/>
        <v>341.6</v>
      </c>
      <c r="H1036" s="150"/>
      <c r="I1036" s="152"/>
      <c r="J1036"/>
      <c r="K1036"/>
      <c r="L1036"/>
      <c r="M1036"/>
    </row>
    <row r="1037" spans="1:13" ht="20.25" customHeight="1">
      <c r="A1037" s="149"/>
      <c r="B1037" s="159" t="s">
        <v>415</v>
      </c>
      <c r="C1037" s="228">
        <v>5</v>
      </c>
      <c r="D1037" s="150" t="s">
        <v>389</v>
      </c>
      <c r="E1037" s="150">
        <v>110</v>
      </c>
      <c r="F1037" s="151">
        <f t="shared" si="82"/>
        <v>550</v>
      </c>
      <c r="G1037" s="151">
        <f t="shared" si="83"/>
        <v>616.00000000000011</v>
      </c>
      <c r="H1037" s="150"/>
      <c r="I1037" s="152"/>
      <c r="J1037"/>
      <c r="K1037"/>
      <c r="L1037"/>
      <c r="M1037"/>
    </row>
    <row r="1038" spans="1:13" ht="20.25" customHeight="1">
      <c r="A1038" s="149"/>
      <c r="B1038" s="159" t="s">
        <v>416</v>
      </c>
      <c r="C1038" s="228">
        <v>5</v>
      </c>
      <c r="D1038" s="150" t="s">
        <v>389</v>
      </c>
      <c r="E1038" s="150">
        <v>44</v>
      </c>
      <c r="F1038" s="151">
        <f t="shared" si="82"/>
        <v>220</v>
      </c>
      <c r="G1038" s="151">
        <f t="shared" si="83"/>
        <v>246.40000000000003</v>
      </c>
      <c r="H1038" s="150"/>
      <c r="I1038" s="152"/>
      <c r="J1038"/>
      <c r="K1038"/>
      <c r="L1038"/>
      <c r="M1038"/>
    </row>
    <row r="1039" spans="1:13" ht="20.25" customHeight="1">
      <c r="A1039" s="149"/>
      <c r="B1039" s="159" t="s">
        <v>417</v>
      </c>
      <c r="C1039" s="228">
        <v>5</v>
      </c>
      <c r="D1039" s="150" t="s">
        <v>389</v>
      </c>
      <c r="E1039" s="150">
        <v>53</v>
      </c>
      <c r="F1039" s="151">
        <f t="shared" si="82"/>
        <v>265</v>
      </c>
      <c r="G1039" s="151">
        <f t="shared" si="83"/>
        <v>296.8</v>
      </c>
      <c r="H1039" s="150"/>
      <c r="I1039" s="152"/>
      <c r="J1039"/>
      <c r="K1039"/>
      <c r="L1039"/>
      <c r="M1039"/>
    </row>
    <row r="1040" spans="1:13" ht="20.25" customHeight="1">
      <c r="A1040" s="149"/>
      <c r="B1040" s="159" t="s">
        <v>418</v>
      </c>
      <c r="C1040" s="228">
        <v>5</v>
      </c>
      <c r="D1040" s="150" t="s">
        <v>389</v>
      </c>
      <c r="E1040" s="150">
        <v>121</v>
      </c>
      <c r="F1040" s="151">
        <f t="shared" si="82"/>
        <v>605</v>
      </c>
      <c r="G1040" s="151">
        <f t="shared" si="83"/>
        <v>677.6</v>
      </c>
      <c r="H1040" s="150"/>
      <c r="I1040" s="152"/>
      <c r="J1040"/>
      <c r="K1040"/>
      <c r="L1040"/>
      <c r="M1040"/>
    </row>
    <row r="1041" spans="1:13" ht="20.25" customHeight="1">
      <c r="A1041" s="149"/>
      <c r="B1041" s="159" t="s">
        <v>419</v>
      </c>
      <c r="C1041" s="228">
        <v>5</v>
      </c>
      <c r="D1041" s="150" t="s">
        <v>389</v>
      </c>
      <c r="E1041" s="150">
        <v>125</v>
      </c>
      <c r="F1041" s="151">
        <f t="shared" si="82"/>
        <v>625</v>
      </c>
      <c r="G1041" s="151">
        <f t="shared" si="83"/>
        <v>700.00000000000011</v>
      </c>
      <c r="H1041" s="150"/>
      <c r="I1041" s="152"/>
      <c r="J1041"/>
      <c r="K1041"/>
      <c r="L1041"/>
      <c r="M1041"/>
    </row>
    <row r="1042" spans="1:13" ht="20.25" customHeight="1">
      <c r="A1042" s="149"/>
      <c r="B1042" s="159" t="s">
        <v>420</v>
      </c>
      <c r="C1042" s="228">
        <v>5</v>
      </c>
      <c r="D1042" s="150" t="s">
        <v>389</v>
      </c>
      <c r="E1042" s="150">
        <v>117</v>
      </c>
      <c r="F1042" s="151">
        <f t="shared" si="82"/>
        <v>585</v>
      </c>
      <c r="G1042" s="151">
        <f t="shared" si="83"/>
        <v>655.20000000000005</v>
      </c>
      <c r="H1042" s="150"/>
      <c r="I1042" s="152"/>
      <c r="J1042"/>
      <c r="K1042"/>
      <c r="L1042"/>
      <c r="M1042"/>
    </row>
    <row r="1043" spans="1:13" ht="20.25" customHeight="1">
      <c r="A1043" s="149"/>
      <c r="B1043" s="159" t="s">
        <v>421</v>
      </c>
      <c r="C1043" s="228">
        <v>5</v>
      </c>
      <c r="D1043" s="150" t="s">
        <v>389</v>
      </c>
      <c r="E1043" s="150">
        <v>20</v>
      </c>
      <c r="F1043" s="151">
        <f t="shared" si="82"/>
        <v>100</v>
      </c>
      <c r="G1043" s="151">
        <f t="shared" si="83"/>
        <v>112.00000000000001</v>
      </c>
      <c r="H1043" s="150"/>
      <c r="I1043" s="152"/>
      <c r="J1043"/>
      <c r="K1043"/>
      <c r="L1043"/>
      <c r="M1043"/>
    </row>
    <row r="1044" spans="1:13" ht="20.25" customHeight="1">
      <c r="A1044" s="149"/>
      <c r="B1044" s="159" t="s">
        <v>422</v>
      </c>
      <c r="C1044" s="228">
        <v>5</v>
      </c>
      <c r="D1044" s="150" t="s">
        <v>389</v>
      </c>
      <c r="E1044" s="150">
        <v>290</v>
      </c>
      <c r="F1044" s="151">
        <f t="shared" si="82"/>
        <v>1450</v>
      </c>
      <c r="G1044" s="151">
        <f t="shared" si="83"/>
        <v>1624.0000000000002</v>
      </c>
      <c r="H1044" s="150"/>
      <c r="I1044" s="152"/>
      <c r="J1044"/>
      <c r="K1044"/>
      <c r="L1044"/>
      <c r="M1044"/>
    </row>
    <row r="1045" spans="1:13" ht="20.25" customHeight="1">
      <c r="A1045" s="149"/>
      <c r="B1045" s="159" t="s">
        <v>423</v>
      </c>
      <c r="C1045" s="228">
        <v>5</v>
      </c>
      <c r="D1045" s="150" t="s">
        <v>389</v>
      </c>
      <c r="E1045" s="150">
        <v>65</v>
      </c>
      <c r="F1045" s="151">
        <f t="shared" si="82"/>
        <v>325</v>
      </c>
      <c r="G1045" s="151">
        <f t="shared" si="83"/>
        <v>364.00000000000006</v>
      </c>
      <c r="H1045" s="150"/>
      <c r="I1045" s="152"/>
      <c r="J1045"/>
      <c r="K1045"/>
      <c r="L1045"/>
      <c r="M1045"/>
    </row>
    <row r="1046" spans="1:13" ht="20.25" customHeight="1">
      <c r="A1046" s="149"/>
      <c r="B1046" s="159" t="s">
        <v>424</v>
      </c>
      <c r="C1046" s="228">
        <v>5</v>
      </c>
      <c r="D1046" s="150" t="s">
        <v>389</v>
      </c>
      <c r="E1046" s="150">
        <v>147</v>
      </c>
      <c r="F1046" s="151">
        <f t="shared" si="82"/>
        <v>735</v>
      </c>
      <c r="G1046" s="151">
        <f t="shared" si="83"/>
        <v>823.2</v>
      </c>
      <c r="H1046" s="150"/>
      <c r="I1046" s="152"/>
      <c r="J1046"/>
      <c r="K1046"/>
      <c r="L1046"/>
      <c r="M1046"/>
    </row>
    <row r="1047" spans="1:13" ht="20.25" customHeight="1">
      <c r="A1047" s="149"/>
      <c r="B1047" s="159" t="s">
        <v>425</v>
      </c>
      <c r="C1047" s="228">
        <v>5</v>
      </c>
      <c r="D1047" s="150" t="s">
        <v>389</v>
      </c>
      <c r="E1047" s="150">
        <v>6</v>
      </c>
      <c r="F1047" s="151">
        <f t="shared" si="82"/>
        <v>30</v>
      </c>
      <c r="G1047" s="151">
        <f t="shared" si="83"/>
        <v>33.6</v>
      </c>
      <c r="H1047" s="150"/>
      <c r="I1047" s="152"/>
      <c r="J1047"/>
      <c r="K1047"/>
      <c r="L1047"/>
      <c r="M1047"/>
    </row>
    <row r="1048" spans="1:13" ht="20.25" customHeight="1">
      <c r="A1048" s="149"/>
      <c r="B1048" s="159" t="s">
        <v>426</v>
      </c>
      <c r="C1048" s="228">
        <v>5</v>
      </c>
      <c r="D1048" s="150" t="s">
        <v>389</v>
      </c>
      <c r="E1048" s="150">
        <v>6</v>
      </c>
      <c r="F1048" s="151">
        <f t="shared" si="82"/>
        <v>30</v>
      </c>
      <c r="G1048" s="151">
        <f t="shared" si="83"/>
        <v>33.6</v>
      </c>
      <c r="H1048" s="150"/>
      <c r="I1048" s="152"/>
      <c r="J1048"/>
      <c r="K1048"/>
      <c r="L1048"/>
      <c r="M1048"/>
    </row>
    <row r="1049" spans="1:13" ht="20.25" customHeight="1">
      <c r="A1049" s="149"/>
      <c r="B1049" s="159" t="s">
        <v>427</v>
      </c>
      <c r="C1049" s="228">
        <v>7</v>
      </c>
      <c r="D1049" s="150" t="s">
        <v>389</v>
      </c>
      <c r="E1049" s="150">
        <v>39</v>
      </c>
      <c r="F1049" s="151">
        <f t="shared" si="82"/>
        <v>273</v>
      </c>
      <c r="G1049" s="151">
        <f t="shared" si="83"/>
        <v>305.76000000000005</v>
      </c>
      <c r="H1049" s="150"/>
      <c r="I1049" s="152"/>
      <c r="J1049"/>
      <c r="K1049"/>
      <c r="L1049"/>
      <c r="M1049"/>
    </row>
    <row r="1050" spans="1:13" ht="20.25" customHeight="1">
      <c r="A1050" s="149"/>
      <c r="B1050" s="159" t="s">
        <v>428</v>
      </c>
      <c r="C1050" s="228">
        <v>5</v>
      </c>
      <c r="D1050" s="150" t="s">
        <v>389</v>
      </c>
      <c r="E1050" s="150">
        <v>59</v>
      </c>
      <c r="F1050" s="151">
        <f t="shared" si="82"/>
        <v>295</v>
      </c>
      <c r="G1050" s="151">
        <f t="shared" si="83"/>
        <v>330.40000000000003</v>
      </c>
      <c r="H1050" s="150"/>
      <c r="I1050" s="152"/>
      <c r="J1050"/>
      <c r="K1050"/>
      <c r="L1050"/>
      <c r="M1050"/>
    </row>
    <row r="1051" spans="1:13" ht="20.25" customHeight="1">
      <c r="A1051" s="149"/>
      <c r="B1051" s="159" t="s">
        <v>429</v>
      </c>
      <c r="C1051" s="228">
        <v>5</v>
      </c>
      <c r="D1051" s="150" t="s">
        <v>389</v>
      </c>
      <c r="E1051" s="150">
        <v>99</v>
      </c>
      <c r="F1051" s="151">
        <f t="shared" si="82"/>
        <v>495</v>
      </c>
      <c r="G1051" s="151">
        <f t="shared" si="83"/>
        <v>554.40000000000009</v>
      </c>
      <c r="H1051" s="150"/>
      <c r="I1051" s="152"/>
      <c r="J1051"/>
      <c r="K1051"/>
      <c r="L1051"/>
      <c r="M1051"/>
    </row>
    <row r="1052" spans="1:13" ht="20.25" customHeight="1">
      <c r="A1052" s="149"/>
      <c r="B1052" s="159" t="s">
        <v>430</v>
      </c>
      <c r="C1052" s="228">
        <v>5</v>
      </c>
      <c r="D1052" s="150" t="s">
        <v>389</v>
      </c>
      <c r="E1052" s="150">
        <v>350</v>
      </c>
      <c r="F1052" s="151">
        <f t="shared" si="82"/>
        <v>1750</v>
      </c>
      <c r="G1052" s="151">
        <f t="shared" si="83"/>
        <v>1960.0000000000002</v>
      </c>
      <c r="H1052" s="150"/>
      <c r="I1052" s="152"/>
      <c r="J1052"/>
      <c r="K1052"/>
      <c r="L1052"/>
      <c r="M1052"/>
    </row>
    <row r="1053" spans="1:13" ht="20.25" customHeight="1">
      <c r="A1053" s="149"/>
      <c r="B1053" s="159" t="s">
        <v>431</v>
      </c>
      <c r="C1053" s="228">
        <v>5</v>
      </c>
      <c r="D1053" s="150" t="s">
        <v>389</v>
      </c>
      <c r="E1053" s="150">
        <v>110</v>
      </c>
      <c r="F1053" s="151">
        <f t="shared" si="82"/>
        <v>550</v>
      </c>
      <c r="G1053" s="151">
        <f t="shared" si="83"/>
        <v>616.00000000000011</v>
      </c>
      <c r="H1053" s="150"/>
      <c r="I1053" s="152"/>
      <c r="J1053"/>
      <c r="K1053"/>
      <c r="L1053"/>
      <c r="M1053"/>
    </row>
    <row r="1054" spans="1:13" ht="20.25" customHeight="1">
      <c r="A1054" s="149"/>
      <c r="B1054" s="159" t="s">
        <v>432</v>
      </c>
      <c r="C1054" s="228">
        <v>5</v>
      </c>
      <c r="D1054" s="150" t="s">
        <v>389</v>
      </c>
      <c r="E1054" s="150">
        <v>25</v>
      </c>
      <c r="F1054" s="151">
        <f t="shared" si="82"/>
        <v>125</v>
      </c>
      <c r="G1054" s="151">
        <f t="shared" si="83"/>
        <v>140</v>
      </c>
      <c r="H1054" s="150"/>
      <c r="I1054" s="152"/>
      <c r="J1054"/>
      <c r="K1054"/>
      <c r="L1054"/>
      <c r="M1054"/>
    </row>
    <row r="1055" spans="1:13" ht="20.25" customHeight="1">
      <c r="A1055" s="149"/>
      <c r="B1055" s="159" t="s">
        <v>433</v>
      </c>
      <c r="C1055" s="228">
        <v>5</v>
      </c>
      <c r="D1055" s="150" t="s">
        <v>389</v>
      </c>
      <c r="E1055" s="150">
        <v>165</v>
      </c>
      <c r="F1055" s="151">
        <f t="shared" si="82"/>
        <v>825</v>
      </c>
      <c r="G1055" s="151">
        <f t="shared" si="83"/>
        <v>924.00000000000011</v>
      </c>
      <c r="H1055" s="150"/>
      <c r="I1055" s="152"/>
      <c r="J1055"/>
      <c r="K1055"/>
      <c r="L1055"/>
      <c r="M1055"/>
    </row>
    <row r="1056" spans="1:13" ht="20.25" customHeight="1">
      <c r="A1056" s="149"/>
      <c r="B1056" s="159" t="s">
        <v>434</v>
      </c>
      <c r="C1056" s="228">
        <v>5</v>
      </c>
      <c r="D1056" s="150" t="s">
        <v>389</v>
      </c>
      <c r="E1056" s="150">
        <v>15</v>
      </c>
      <c r="F1056" s="151">
        <f t="shared" si="82"/>
        <v>75</v>
      </c>
      <c r="G1056" s="151">
        <f t="shared" si="83"/>
        <v>84.000000000000014</v>
      </c>
      <c r="H1056" s="150"/>
      <c r="I1056" s="152"/>
      <c r="J1056"/>
      <c r="K1056"/>
      <c r="L1056"/>
      <c r="M1056"/>
    </row>
    <row r="1057" spans="1:13" ht="20.25" customHeight="1">
      <c r="A1057" s="149"/>
      <c r="B1057" s="159" t="s">
        <v>435</v>
      </c>
      <c r="C1057" s="228">
        <v>5</v>
      </c>
      <c r="D1057" s="150" t="s">
        <v>389</v>
      </c>
      <c r="E1057" s="150">
        <v>49</v>
      </c>
      <c r="F1057" s="151">
        <f t="shared" si="82"/>
        <v>245</v>
      </c>
      <c r="G1057" s="151">
        <f t="shared" si="83"/>
        <v>274.40000000000003</v>
      </c>
      <c r="H1057" s="150"/>
      <c r="I1057" s="152"/>
      <c r="J1057"/>
      <c r="K1057"/>
      <c r="L1057"/>
      <c r="M1057"/>
    </row>
    <row r="1058" spans="1:13" ht="20.25" customHeight="1">
      <c r="A1058" s="149"/>
      <c r="B1058" s="159" t="s">
        <v>436</v>
      </c>
      <c r="C1058" s="228">
        <v>5</v>
      </c>
      <c r="D1058" s="150" t="s">
        <v>389</v>
      </c>
      <c r="E1058" s="150">
        <v>85</v>
      </c>
      <c r="F1058" s="151">
        <f t="shared" si="82"/>
        <v>425</v>
      </c>
      <c r="G1058" s="151">
        <f t="shared" si="83"/>
        <v>476.00000000000006</v>
      </c>
      <c r="H1058" s="150"/>
      <c r="I1058" s="152"/>
      <c r="J1058"/>
      <c r="K1058"/>
      <c r="L1058"/>
      <c r="M1058"/>
    </row>
    <row r="1059" spans="1:13" ht="20.25" customHeight="1">
      <c r="A1059" s="149"/>
      <c r="B1059" s="159" t="s">
        <v>437</v>
      </c>
      <c r="C1059" s="228">
        <v>5</v>
      </c>
      <c r="D1059" s="150" t="s">
        <v>389</v>
      </c>
      <c r="E1059" s="150">
        <v>89</v>
      </c>
      <c r="F1059" s="151">
        <f t="shared" si="82"/>
        <v>445</v>
      </c>
      <c r="G1059" s="151">
        <f t="shared" si="83"/>
        <v>498.40000000000003</v>
      </c>
      <c r="H1059" s="150"/>
      <c r="I1059" s="152"/>
      <c r="J1059"/>
      <c r="K1059"/>
      <c r="L1059"/>
      <c r="M1059"/>
    </row>
    <row r="1060" spans="1:13" ht="20.25" customHeight="1">
      <c r="A1060" s="149"/>
      <c r="B1060" s="159" t="s">
        <v>438</v>
      </c>
      <c r="C1060" s="228">
        <v>5</v>
      </c>
      <c r="D1060" s="150" t="s">
        <v>389</v>
      </c>
      <c r="E1060" s="150">
        <v>25</v>
      </c>
      <c r="F1060" s="151">
        <f t="shared" si="82"/>
        <v>125</v>
      </c>
      <c r="G1060" s="151">
        <f t="shared" si="83"/>
        <v>140</v>
      </c>
      <c r="H1060" s="150"/>
      <c r="I1060" s="152"/>
      <c r="J1060"/>
      <c r="K1060"/>
      <c r="L1060"/>
      <c r="M1060"/>
    </row>
    <row r="1061" spans="1:13" ht="20.25" customHeight="1">
      <c r="A1061" s="149"/>
      <c r="B1061" s="159" t="s">
        <v>439</v>
      </c>
      <c r="C1061" s="228">
        <v>5</v>
      </c>
      <c r="D1061" s="150" t="s">
        <v>389</v>
      </c>
      <c r="E1061" s="150">
        <v>25</v>
      </c>
      <c r="F1061" s="151">
        <f t="shared" si="82"/>
        <v>125</v>
      </c>
      <c r="G1061" s="151">
        <f t="shared" si="83"/>
        <v>140</v>
      </c>
      <c r="H1061" s="150"/>
      <c r="I1061" s="152"/>
      <c r="J1061"/>
      <c r="K1061"/>
      <c r="L1061"/>
      <c r="M1061"/>
    </row>
    <row r="1062" spans="1:13" ht="20.25" customHeight="1">
      <c r="A1062" s="149"/>
      <c r="B1062" s="159" t="s">
        <v>440</v>
      </c>
      <c r="C1062" s="228">
        <v>5</v>
      </c>
      <c r="D1062" s="150" t="s">
        <v>389</v>
      </c>
      <c r="E1062" s="150">
        <v>59</v>
      </c>
      <c r="F1062" s="151">
        <f t="shared" si="82"/>
        <v>295</v>
      </c>
      <c r="G1062" s="151">
        <f t="shared" si="83"/>
        <v>330.40000000000003</v>
      </c>
      <c r="H1062" s="150"/>
      <c r="I1062" s="152"/>
      <c r="J1062"/>
      <c r="K1062"/>
      <c r="L1062"/>
      <c r="M1062"/>
    </row>
    <row r="1063" spans="1:13" ht="20.25" customHeight="1">
      <c r="A1063" s="149"/>
      <c r="B1063" s="159" t="s">
        <v>441</v>
      </c>
      <c r="C1063" s="228">
        <v>5</v>
      </c>
      <c r="D1063" s="150" t="s">
        <v>389</v>
      </c>
      <c r="E1063" s="150">
        <v>15</v>
      </c>
      <c r="F1063" s="151">
        <f t="shared" si="82"/>
        <v>75</v>
      </c>
      <c r="G1063" s="151">
        <f t="shared" si="83"/>
        <v>84.000000000000014</v>
      </c>
      <c r="H1063" s="150"/>
      <c r="I1063" s="152"/>
      <c r="J1063"/>
      <c r="K1063"/>
      <c r="L1063"/>
      <c r="M1063"/>
    </row>
    <row r="1064" spans="1:13" ht="20.25" customHeight="1">
      <c r="A1064" s="149"/>
      <c r="B1064" s="159" t="s">
        <v>442</v>
      </c>
      <c r="C1064" s="228">
        <v>7</v>
      </c>
      <c r="D1064" s="150" t="s">
        <v>389</v>
      </c>
      <c r="E1064" s="150">
        <v>16</v>
      </c>
      <c r="F1064" s="151">
        <f t="shared" si="82"/>
        <v>112</v>
      </c>
      <c r="G1064" s="151">
        <f t="shared" si="83"/>
        <v>125.44000000000001</v>
      </c>
      <c r="H1064" s="150"/>
      <c r="I1064" s="152"/>
      <c r="J1064"/>
      <c r="K1064"/>
      <c r="L1064"/>
      <c r="M1064"/>
    </row>
    <row r="1065" spans="1:13" ht="20.25" customHeight="1">
      <c r="A1065" s="149"/>
      <c r="B1065" s="159" t="s">
        <v>443</v>
      </c>
      <c r="C1065" s="228">
        <v>5</v>
      </c>
      <c r="D1065" s="150" t="s">
        <v>389</v>
      </c>
      <c r="E1065" s="150">
        <v>18</v>
      </c>
      <c r="F1065" s="151">
        <f t="shared" si="82"/>
        <v>90</v>
      </c>
      <c r="G1065" s="151">
        <f t="shared" si="83"/>
        <v>100.80000000000001</v>
      </c>
      <c r="H1065" s="150"/>
      <c r="I1065" s="152"/>
      <c r="J1065"/>
      <c r="K1065"/>
      <c r="L1065"/>
      <c r="M1065"/>
    </row>
    <row r="1066" spans="1:13" ht="20.25" customHeight="1">
      <c r="A1066" s="149"/>
      <c r="B1066" s="159" t="s">
        <v>444</v>
      </c>
      <c r="C1066" s="228">
        <v>5</v>
      </c>
      <c r="D1066" s="150" t="s">
        <v>389</v>
      </c>
      <c r="E1066" s="150">
        <v>18</v>
      </c>
      <c r="F1066" s="151">
        <f t="shared" si="82"/>
        <v>90</v>
      </c>
      <c r="G1066" s="151">
        <f t="shared" si="83"/>
        <v>100.80000000000001</v>
      </c>
      <c r="H1066" s="150"/>
      <c r="I1066" s="152"/>
      <c r="J1066"/>
      <c r="K1066"/>
      <c r="L1066"/>
      <c r="M1066"/>
    </row>
    <row r="1067" spans="1:13" ht="20.25" customHeight="1">
      <c r="A1067" s="149"/>
      <c r="B1067" s="159" t="s">
        <v>445</v>
      </c>
      <c r="C1067" s="228">
        <v>5</v>
      </c>
      <c r="D1067" s="150" t="s">
        <v>389</v>
      </c>
      <c r="E1067" s="150">
        <v>87</v>
      </c>
      <c r="F1067" s="151">
        <f t="shared" si="82"/>
        <v>435</v>
      </c>
      <c r="G1067" s="151">
        <f t="shared" si="83"/>
        <v>487.20000000000005</v>
      </c>
      <c r="H1067" s="150"/>
      <c r="I1067" s="152"/>
      <c r="J1067"/>
      <c r="K1067"/>
      <c r="L1067"/>
      <c r="M1067"/>
    </row>
    <row r="1068" spans="1:13" ht="20.25" customHeight="1">
      <c r="A1068" s="149"/>
      <c r="B1068" s="159" t="s">
        <v>446</v>
      </c>
      <c r="C1068" s="228">
        <v>5</v>
      </c>
      <c r="D1068" s="150" t="s">
        <v>389</v>
      </c>
      <c r="E1068" s="150">
        <v>72</v>
      </c>
      <c r="F1068" s="151">
        <f t="shared" si="82"/>
        <v>360</v>
      </c>
      <c r="G1068" s="151">
        <f t="shared" si="83"/>
        <v>403.20000000000005</v>
      </c>
      <c r="H1068" s="150"/>
      <c r="I1068" s="152"/>
      <c r="J1068"/>
      <c r="K1068"/>
      <c r="L1068"/>
      <c r="M1068"/>
    </row>
    <row r="1069" spans="1:13" ht="20.25" customHeight="1">
      <c r="A1069" s="149"/>
      <c r="B1069" s="159" t="s">
        <v>447</v>
      </c>
      <c r="C1069" s="228">
        <v>5</v>
      </c>
      <c r="D1069" s="150" t="s">
        <v>389</v>
      </c>
      <c r="E1069" s="150">
        <v>75</v>
      </c>
      <c r="F1069" s="151">
        <f t="shared" si="82"/>
        <v>375</v>
      </c>
      <c r="G1069" s="151">
        <f t="shared" si="83"/>
        <v>420.00000000000006</v>
      </c>
      <c r="H1069" s="150"/>
      <c r="I1069" s="152"/>
      <c r="J1069"/>
      <c r="K1069"/>
      <c r="L1069"/>
      <c r="M1069"/>
    </row>
    <row r="1070" spans="1:13" ht="20.25" customHeight="1">
      <c r="A1070" s="149"/>
      <c r="B1070" s="159" t="s">
        <v>448</v>
      </c>
      <c r="C1070" s="228">
        <v>5</v>
      </c>
      <c r="D1070" s="150" t="s">
        <v>389</v>
      </c>
      <c r="E1070" s="150">
        <v>59</v>
      </c>
      <c r="F1070" s="151">
        <f t="shared" si="82"/>
        <v>295</v>
      </c>
      <c r="G1070" s="151">
        <f t="shared" si="83"/>
        <v>330.40000000000003</v>
      </c>
      <c r="H1070" s="150"/>
      <c r="I1070" s="152"/>
      <c r="J1070"/>
      <c r="K1070"/>
      <c r="L1070"/>
      <c r="M1070"/>
    </row>
    <row r="1071" spans="1:13" ht="20.25" customHeight="1">
      <c r="A1071" s="149"/>
      <c r="B1071" s="159" t="s">
        <v>449</v>
      </c>
      <c r="C1071" s="228">
        <v>5</v>
      </c>
      <c r="D1071" s="150" t="s">
        <v>389</v>
      </c>
      <c r="E1071" s="150">
        <v>57</v>
      </c>
      <c r="F1071" s="151">
        <f t="shared" si="82"/>
        <v>285</v>
      </c>
      <c r="G1071" s="151">
        <f t="shared" si="83"/>
        <v>319.20000000000005</v>
      </c>
      <c r="H1071" s="150"/>
      <c r="I1071" s="152"/>
      <c r="J1071"/>
      <c r="K1071"/>
      <c r="L1071"/>
      <c r="M1071"/>
    </row>
    <row r="1072" spans="1:13" ht="20.25" customHeight="1">
      <c r="A1072" s="149"/>
      <c r="B1072" s="159" t="s">
        <v>450</v>
      </c>
      <c r="C1072" s="228">
        <v>5</v>
      </c>
      <c r="D1072" s="150" t="s">
        <v>389</v>
      </c>
      <c r="E1072" s="150">
        <v>88</v>
      </c>
      <c r="F1072" s="151">
        <f t="shared" si="82"/>
        <v>440</v>
      </c>
      <c r="G1072" s="151">
        <f t="shared" si="83"/>
        <v>492.80000000000007</v>
      </c>
      <c r="H1072" s="150"/>
      <c r="I1072" s="152"/>
      <c r="J1072"/>
      <c r="K1072"/>
      <c r="L1072"/>
      <c r="M1072"/>
    </row>
    <row r="1073" spans="1:13" ht="20.25" customHeight="1">
      <c r="A1073" s="149"/>
      <c r="B1073" s="159" t="s">
        <v>451</v>
      </c>
      <c r="C1073" s="228">
        <v>5</v>
      </c>
      <c r="D1073" s="150" t="s">
        <v>389</v>
      </c>
      <c r="E1073" s="150">
        <v>55</v>
      </c>
      <c r="F1073" s="151">
        <f t="shared" si="82"/>
        <v>275</v>
      </c>
      <c r="G1073" s="151">
        <f t="shared" si="83"/>
        <v>308.00000000000006</v>
      </c>
      <c r="H1073" s="150"/>
      <c r="I1073" s="152"/>
      <c r="J1073"/>
      <c r="K1073"/>
      <c r="L1073"/>
      <c r="M1073"/>
    </row>
    <row r="1074" spans="1:13" ht="20.25" customHeight="1">
      <c r="A1074" s="149"/>
      <c r="B1074" s="159" t="s">
        <v>452</v>
      </c>
      <c r="C1074" s="228">
        <v>5</v>
      </c>
      <c r="D1074" s="150" t="s">
        <v>389</v>
      </c>
      <c r="E1074" s="150">
        <v>53</v>
      </c>
      <c r="F1074" s="151">
        <f t="shared" si="82"/>
        <v>265</v>
      </c>
      <c r="G1074" s="151">
        <f t="shared" si="83"/>
        <v>296.8</v>
      </c>
      <c r="H1074" s="150"/>
      <c r="I1074" s="152"/>
      <c r="J1074"/>
      <c r="K1074"/>
      <c r="L1074"/>
      <c r="M1074"/>
    </row>
    <row r="1075" spans="1:13" ht="20.25" customHeight="1">
      <c r="A1075" s="149"/>
      <c r="B1075" s="159" t="s">
        <v>453</v>
      </c>
      <c r="C1075" s="228">
        <v>5</v>
      </c>
      <c r="D1075" s="150" t="s">
        <v>389</v>
      </c>
      <c r="E1075" s="150">
        <v>4</v>
      </c>
      <c r="F1075" s="151">
        <f t="shared" si="82"/>
        <v>20</v>
      </c>
      <c r="G1075" s="151">
        <f t="shared" si="83"/>
        <v>22.400000000000002</v>
      </c>
      <c r="H1075" s="150"/>
      <c r="I1075" s="152"/>
      <c r="J1075"/>
      <c r="K1075"/>
      <c r="L1075"/>
      <c r="M1075"/>
    </row>
    <row r="1076" spans="1:13" ht="20.25" customHeight="1">
      <c r="A1076" s="149"/>
      <c r="B1076" s="159" t="s">
        <v>454</v>
      </c>
      <c r="C1076" s="228">
        <v>5</v>
      </c>
      <c r="D1076" s="150" t="s">
        <v>389</v>
      </c>
      <c r="E1076" s="150">
        <v>9</v>
      </c>
      <c r="F1076" s="151">
        <f t="shared" ref="F1076:F1085" si="84">E1076*C1076</f>
        <v>45</v>
      </c>
      <c r="G1076" s="151">
        <f t="shared" ref="G1076:G1085" si="85">F1076*1.12</f>
        <v>50.400000000000006</v>
      </c>
      <c r="H1076" s="150"/>
      <c r="I1076" s="152"/>
      <c r="J1076"/>
      <c r="K1076"/>
      <c r="L1076"/>
      <c r="M1076"/>
    </row>
    <row r="1077" spans="1:13" ht="20.25" customHeight="1">
      <c r="A1077" s="149"/>
      <c r="B1077" s="159" t="s">
        <v>455</v>
      </c>
      <c r="C1077" s="228">
        <v>5</v>
      </c>
      <c r="D1077" s="150" t="s">
        <v>389</v>
      </c>
      <c r="E1077" s="150">
        <v>9</v>
      </c>
      <c r="F1077" s="151">
        <f t="shared" si="84"/>
        <v>45</v>
      </c>
      <c r="G1077" s="151">
        <f t="shared" si="85"/>
        <v>50.400000000000006</v>
      </c>
      <c r="H1077" s="150"/>
      <c r="I1077" s="152"/>
      <c r="J1077"/>
      <c r="K1077"/>
      <c r="L1077"/>
      <c r="M1077"/>
    </row>
    <row r="1078" spans="1:13" ht="20.25" customHeight="1">
      <c r="A1078" s="149"/>
      <c r="B1078" s="159" t="s">
        <v>456</v>
      </c>
      <c r="C1078" s="228">
        <v>5</v>
      </c>
      <c r="D1078" s="150" t="s">
        <v>389</v>
      </c>
      <c r="E1078" s="150">
        <v>9</v>
      </c>
      <c r="F1078" s="151">
        <f t="shared" si="84"/>
        <v>45</v>
      </c>
      <c r="G1078" s="151">
        <f t="shared" si="85"/>
        <v>50.400000000000006</v>
      </c>
      <c r="H1078" s="150"/>
      <c r="I1078" s="152"/>
      <c r="J1078"/>
      <c r="K1078"/>
      <c r="L1078"/>
      <c r="M1078"/>
    </row>
    <row r="1079" spans="1:13" ht="20.25" customHeight="1">
      <c r="A1079" s="149"/>
      <c r="B1079" s="159" t="s">
        <v>457</v>
      </c>
      <c r="C1079" s="228">
        <v>5</v>
      </c>
      <c r="D1079" s="150" t="s">
        <v>389</v>
      </c>
      <c r="E1079" s="150">
        <v>6</v>
      </c>
      <c r="F1079" s="151">
        <f t="shared" si="84"/>
        <v>30</v>
      </c>
      <c r="G1079" s="151">
        <f t="shared" si="85"/>
        <v>33.6</v>
      </c>
      <c r="H1079" s="150"/>
      <c r="I1079" s="152"/>
      <c r="J1079"/>
      <c r="K1079"/>
      <c r="L1079"/>
      <c r="M1079"/>
    </row>
    <row r="1080" spans="1:13" ht="20.25" customHeight="1">
      <c r="A1080" s="149"/>
      <c r="B1080" s="159" t="s">
        <v>458</v>
      </c>
      <c r="C1080" s="228">
        <v>5</v>
      </c>
      <c r="D1080" s="150" t="s">
        <v>389</v>
      </c>
      <c r="E1080" s="150">
        <v>6</v>
      </c>
      <c r="F1080" s="151">
        <f t="shared" si="84"/>
        <v>30</v>
      </c>
      <c r="G1080" s="151">
        <f t="shared" si="85"/>
        <v>33.6</v>
      </c>
      <c r="H1080" s="150"/>
      <c r="I1080" s="152"/>
      <c r="J1080"/>
      <c r="K1080"/>
      <c r="L1080"/>
      <c r="M1080"/>
    </row>
    <row r="1081" spans="1:13" ht="20.25" customHeight="1">
      <c r="A1081" s="149"/>
      <c r="B1081" s="159" t="s">
        <v>459</v>
      </c>
      <c r="C1081" s="228">
        <v>5</v>
      </c>
      <c r="D1081" s="150" t="s">
        <v>389</v>
      </c>
      <c r="E1081" s="150">
        <v>6</v>
      </c>
      <c r="F1081" s="151">
        <f t="shared" si="84"/>
        <v>30</v>
      </c>
      <c r="G1081" s="151">
        <f t="shared" si="85"/>
        <v>33.6</v>
      </c>
      <c r="H1081" s="150"/>
      <c r="I1081" s="152"/>
      <c r="J1081"/>
      <c r="K1081"/>
      <c r="L1081"/>
      <c r="M1081"/>
    </row>
    <row r="1082" spans="1:13" ht="20.25" customHeight="1">
      <c r="A1082" s="149"/>
      <c r="B1082" s="159" t="s">
        <v>460</v>
      </c>
      <c r="C1082" s="228">
        <v>5</v>
      </c>
      <c r="D1082" s="150" t="s">
        <v>389</v>
      </c>
      <c r="E1082" s="150">
        <v>6</v>
      </c>
      <c r="F1082" s="151">
        <f t="shared" si="84"/>
        <v>30</v>
      </c>
      <c r="G1082" s="151">
        <f t="shared" si="85"/>
        <v>33.6</v>
      </c>
      <c r="H1082" s="150"/>
      <c r="I1082" s="152"/>
      <c r="J1082"/>
      <c r="K1082"/>
      <c r="L1082"/>
      <c r="M1082"/>
    </row>
    <row r="1083" spans="1:13" ht="20.25" customHeight="1">
      <c r="A1083" s="149"/>
      <c r="B1083" s="159" t="s">
        <v>461</v>
      </c>
      <c r="C1083" s="228">
        <v>5</v>
      </c>
      <c r="D1083" s="150" t="s">
        <v>389</v>
      </c>
      <c r="E1083" s="150">
        <v>8.4600000000000009</v>
      </c>
      <c r="F1083" s="151">
        <f t="shared" si="84"/>
        <v>42.300000000000004</v>
      </c>
      <c r="G1083" s="151">
        <f t="shared" si="85"/>
        <v>47.376000000000012</v>
      </c>
      <c r="H1083" s="150"/>
      <c r="I1083" s="152"/>
      <c r="J1083"/>
      <c r="K1083"/>
      <c r="L1083"/>
      <c r="M1083"/>
    </row>
    <row r="1084" spans="1:13" ht="20.25" customHeight="1">
      <c r="A1084" s="149"/>
      <c r="B1084" s="159" t="s">
        <v>462</v>
      </c>
      <c r="C1084" s="228">
        <v>5</v>
      </c>
      <c r="D1084" s="150" t="s">
        <v>389</v>
      </c>
      <c r="E1084" s="150">
        <v>8.4600000000000009</v>
      </c>
      <c r="F1084" s="151">
        <f t="shared" si="84"/>
        <v>42.300000000000004</v>
      </c>
      <c r="G1084" s="151">
        <f t="shared" si="85"/>
        <v>47.376000000000012</v>
      </c>
      <c r="H1084" s="150"/>
      <c r="I1084" s="152"/>
      <c r="J1084"/>
      <c r="K1084"/>
      <c r="L1084"/>
      <c r="M1084"/>
    </row>
    <row r="1085" spans="1:13" ht="20.25" customHeight="1">
      <c r="A1085" s="149" t="s">
        <v>361</v>
      </c>
      <c r="B1085" s="226" t="s">
        <v>463</v>
      </c>
      <c r="C1085" s="228">
        <v>5</v>
      </c>
      <c r="D1085" s="150" t="s">
        <v>389</v>
      </c>
      <c r="E1085" s="150">
        <v>149</v>
      </c>
      <c r="F1085" s="151">
        <f t="shared" si="84"/>
        <v>745</v>
      </c>
      <c r="G1085" s="151">
        <f t="shared" si="85"/>
        <v>834.40000000000009</v>
      </c>
      <c r="H1085" s="150"/>
      <c r="I1085" s="152"/>
      <c r="J1085"/>
      <c r="K1085"/>
      <c r="L1085"/>
      <c r="M1085"/>
    </row>
    <row r="1086" spans="1:13" ht="20.25" customHeight="1">
      <c r="E1086" s="153" t="s">
        <v>35</v>
      </c>
      <c r="F1086" s="154">
        <f>SUM(F1011:F1085)</f>
        <v>24072.6</v>
      </c>
      <c r="G1086" s="154">
        <f>SUM(G1011:G1085)</f>
        <v>26961.312000000009</v>
      </c>
      <c r="J1086"/>
      <c r="K1086"/>
      <c r="L1086"/>
      <c r="M1086"/>
    </row>
    <row r="1087" spans="1:13" ht="20.25" customHeight="1">
      <c r="J1087"/>
      <c r="K1087"/>
      <c r="L1087"/>
      <c r="M1087"/>
    </row>
    <row r="1088" spans="1:13" ht="20.25" customHeight="1">
      <c r="J1088"/>
      <c r="K1088"/>
      <c r="L1088"/>
      <c r="M1088"/>
    </row>
    <row r="1089" spans="1:13" ht="20.25" customHeight="1">
      <c r="A1089" s="867" t="s">
        <v>954</v>
      </c>
      <c r="B1089" s="867"/>
      <c r="C1089" s="867"/>
      <c r="D1089" s="867"/>
      <c r="E1089" s="867"/>
      <c r="F1089" s="867"/>
      <c r="G1089" s="867"/>
      <c r="H1089" s="867"/>
      <c r="I1089" s="867"/>
      <c r="J1089"/>
      <c r="K1089"/>
      <c r="L1089"/>
      <c r="M1089"/>
    </row>
    <row r="1090" spans="1:13" ht="20.25" customHeight="1">
      <c r="A1090" s="137" t="s">
        <v>349</v>
      </c>
      <c r="B1090" s="616" t="s">
        <v>69</v>
      </c>
      <c r="J1090"/>
      <c r="K1090"/>
      <c r="L1090"/>
      <c r="M1090"/>
    </row>
    <row r="1091" spans="1:13" ht="20.25" customHeight="1">
      <c r="A1091" s="139" t="s">
        <v>299</v>
      </c>
      <c r="B1091" s="616" t="s">
        <v>32</v>
      </c>
      <c r="C1091" s="140"/>
      <c r="D1091" s="140"/>
      <c r="E1091" s="140"/>
      <c r="F1091" s="140"/>
      <c r="G1091" s="140"/>
      <c r="H1091" s="140"/>
      <c r="J1091"/>
      <c r="K1091"/>
      <c r="L1091"/>
      <c r="M1091"/>
    </row>
    <row r="1092" spans="1:13" ht="20.25" customHeight="1">
      <c r="B1092" s="141" t="s">
        <v>100</v>
      </c>
      <c r="C1092" s="141"/>
      <c r="D1092" s="141"/>
      <c r="E1092" s="141"/>
      <c r="F1092" s="141"/>
      <c r="G1092" s="141"/>
      <c r="H1092" s="141"/>
      <c r="J1092"/>
      <c r="K1092"/>
      <c r="L1092"/>
      <c r="M1092"/>
    </row>
    <row r="1093" spans="1:13" ht="20.25" customHeight="1">
      <c r="A1093" s="868"/>
      <c r="B1093" s="868"/>
      <c r="C1093" s="868"/>
      <c r="D1093" s="868"/>
      <c r="E1093" s="868"/>
      <c r="F1093" s="868"/>
      <c r="G1093" s="868"/>
      <c r="H1093" s="868"/>
      <c r="J1093"/>
      <c r="K1093"/>
      <c r="L1093"/>
      <c r="M1093"/>
    </row>
    <row r="1094" spans="1:13" ht="20.25" customHeight="1">
      <c r="A1094" s="142" t="s">
        <v>350</v>
      </c>
      <c r="B1094" s="143" t="s">
        <v>360</v>
      </c>
      <c r="C1094" s="144"/>
      <c r="D1094" s="144"/>
      <c r="E1094" s="144"/>
      <c r="F1094" s="910" t="s">
        <v>869</v>
      </c>
      <c r="G1094" s="910"/>
      <c r="H1094" s="910"/>
      <c r="I1094" s="145" t="s">
        <v>310</v>
      </c>
      <c r="J1094"/>
      <c r="K1094"/>
      <c r="L1094"/>
      <c r="M1094"/>
    </row>
    <row r="1095" spans="1:13" ht="20.25" customHeight="1">
      <c r="G1095" s="138" t="s">
        <v>100</v>
      </c>
      <c r="J1095"/>
      <c r="K1095"/>
      <c r="L1095"/>
      <c r="M1095"/>
    </row>
    <row r="1096" spans="1:13" ht="20.25" customHeight="1">
      <c r="A1096" s="146" t="s">
        <v>351</v>
      </c>
      <c r="B1096" s="147" t="s">
        <v>302</v>
      </c>
      <c r="C1096" s="147" t="s">
        <v>312</v>
      </c>
      <c r="D1096" s="147" t="s">
        <v>303</v>
      </c>
      <c r="E1096" s="148" t="s">
        <v>304</v>
      </c>
      <c r="F1096" s="147" t="s">
        <v>305</v>
      </c>
      <c r="G1096" s="147" t="s">
        <v>306</v>
      </c>
      <c r="H1096" s="148" t="s">
        <v>307</v>
      </c>
      <c r="I1096" s="147" t="s">
        <v>308</v>
      </c>
      <c r="J1096"/>
      <c r="K1096"/>
      <c r="L1096"/>
      <c r="M1096"/>
    </row>
    <row r="1097" spans="1:13" ht="20.25" customHeight="1">
      <c r="A1097" s="229" t="s">
        <v>361</v>
      </c>
      <c r="B1097" s="159" t="s">
        <v>871</v>
      </c>
      <c r="C1097" s="228">
        <v>3</v>
      </c>
      <c r="D1097" s="150" t="s">
        <v>464</v>
      </c>
      <c r="E1097" s="150">
        <v>38</v>
      </c>
      <c r="F1097" s="151">
        <f>E1097*C1097</f>
        <v>114</v>
      </c>
      <c r="G1097" s="151">
        <f>F1097*1.12</f>
        <v>127.68</v>
      </c>
      <c r="H1097" s="150">
        <f>+H1011</f>
        <v>730813</v>
      </c>
      <c r="I1097" s="152" t="str">
        <f>+I1011</f>
        <v>Repuestos y Accesorios (neumáticos y accesorios vehículos)</v>
      </c>
      <c r="J1097"/>
      <c r="K1097"/>
      <c r="L1097"/>
      <c r="M1097"/>
    </row>
    <row r="1098" spans="1:13" ht="20.25" customHeight="1">
      <c r="A1098" s="149"/>
      <c r="B1098" s="159" t="s">
        <v>872</v>
      </c>
      <c r="C1098" s="228">
        <v>3</v>
      </c>
      <c r="D1098" s="150" t="s">
        <v>464</v>
      </c>
      <c r="E1098" s="150">
        <v>55</v>
      </c>
      <c r="F1098" s="151">
        <f t="shared" ref="F1098:F1140" si="86">E1098*C1098</f>
        <v>165</v>
      </c>
      <c r="G1098" s="151">
        <f t="shared" ref="G1098:G1140" si="87">F1098*1.12</f>
        <v>184.8</v>
      </c>
      <c r="H1098" s="150"/>
      <c r="I1098" s="152"/>
      <c r="J1098"/>
      <c r="K1098"/>
      <c r="L1098"/>
      <c r="M1098"/>
    </row>
    <row r="1099" spans="1:13" ht="20.25" customHeight="1">
      <c r="A1099" s="149"/>
      <c r="B1099" s="159" t="s">
        <v>392</v>
      </c>
      <c r="C1099" s="228">
        <v>3</v>
      </c>
      <c r="D1099" s="150" t="s">
        <v>464</v>
      </c>
      <c r="E1099" s="150">
        <v>59</v>
      </c>
      <c r="F1099" s="151">
        <f t="shared" si="86"/>
        <v>177</v>
      </c>
      <c r="G1099" s="151">
        <f t="shared" si="87"/>
        <v>198.24</v>
      </c>
      <c r="H1099" s="150"/>
      <c r="I1099" s="152"/>
      <c r="J1099"/>
      <c r="K1099"/>
      <c r="L1099"/>
      <c r="M1099"/>
    </row>
    <row r="1100" spans="1:13" ht="20.25" customHeight="1">
      <c r="A1100" s="149"/>
      <c r="B1100" s="159" t="s">
        <v>393</v>
      </c>
      <c r="C1100" s="228">
        <v>3</v>
      </c>
      <c r="D1100" s="150" t="s">
        <v>464</v>
      </c>
      <c r="E1100" s="150">
        <v>17</v>
      </c>
      <c r="F1100" s="151">
        <f t="shared" si="86"/>
        <v>51</v>
      </c>
      <c r="G1100" s="151">
        <f t="shared" si="87"/>
        <v>57.120000000000005</v>
      </c>
      <c r="H1100" s="150"/>
      <c r="I1100" s="152"/>
      <c r="J1100"/>
      <c r="K1100"/>
      <c r="L1100"/>
      <c r="M1100"/>
    </row>
    <row r="1101" spans="1:13" ht="20.25" customHeight="1">
      <c r="A1101" s="149"/>
      <c r="B1101" s="159" t="s">
        <v>394</v>
      </c>
      <c r="C1101" s="228">
        <v>3</v>
      </c>
      <c r="D1101" s="150" t="s">
        <v>464</v>
      </c>
      <c r="E1101" s="150">
        <v>17</v>
      </c>
      <c r="F1101" s="151">
        <f t="shared" si="86"/>
        <v>51</v>
      </c>
      <c r="G1101" s="151">
        <f t="shared" si="87"/>
        <v>57.120000000000005</v>
      </c>
      <c r="H1101" s="150"/>
      <c r="I1101" s="152"/>
      <c r="J1101"/>
      <c r="K1101"/>
      <c r="L1101"/>
      <c r="M1101"/>
    </row>
    <row r="1102" spans="1:13" ht="20.25" customHeight="1">
      <c r="A1102" s="149"/>
      <c r="B1102" s="159" t="s">
        <v>395</v>
      </c>
      <c r="C1102" s="228">
        <v>3</v>
      </c>
      <c r="D1102" s="150" t="s">
        <v>464</v>
      </c>
      <c r="E1102" s="150">
        <v>29</v>
      </c>
      <c r="F1102" s="151">
        <f t="shared" si="86"/>
        <v>87</v>
      </c>
      <c r="G1102" s="151">
        <f t="shared" si="87"/>
        <v>97.440000000000012</v>
      </c>
      <c r="H1102" s="150"/>
      <c r="I1102" s="152"/>
      <c r="J1102"/>
      <c r="K1102"/>
      <c r="L1102"/>
      <c r="M1102"/>
    </row>
    <row r="1103" spans="1:13" ht="20.25" customHeight="1">
      <c r="A1103" s="149"/>
      <c r="B1103" s="159" t="s">
        <v>396</v>
      </c>
      <c r="C1103" s="228">
        <v>3</v>
      </c>
      <c r="D1103" s="150" t="s">
        <v>464</v>
      </c>
      <c r="E1103" s="150">
        <v>17</v>
      </c>
      <c r="F1103" s="151">
        <f t="shared" si="86"/>
        <v>51</v>
      </c>
      <c r="G1103" s="151">
        <f t="shared" si="87"/>
        <v>57.120000000000005</v>
      </c>
      <c r="H1103" s="150"/>
      <c r="I1103" s="152"/>
      <c r="J1103"/>
      <c r="K1103"/>
      <c r="L1103"/>
      <c r="M1103"/>
    </row>
    <row r="1104" spans="1:13" ht="20.25" customHeight="1">
      <c r="A1104" s="149"/>
      <c r="B1104" s="159" t="s">
        <v>398</v>
      </c>
      <c r="C1104" s="228">
        <v>3</v>
      </c>
      <c r="D1104" s="150" t="s">
        <v>464</v>
      </c>
      <c r="E1104" s="150">
        <v>118</v>
      </c>
      <c r="F1104" s="151">
        <f t="shared" si="86"/>
        <v>354</v>
      </c>
      <c r="G1104" s="151">
        <f t="shared" si="87"/>
        <v>396.48</v>
      </c>
      <c r="H1104" s="150"/>
      <c r="I1104" s="152"/>
      <c r="J1104"/>
      <c r="K1104"/>
      <c r="L1104"/>
      <c r="M1104"/>
    </row>
    <row r="1105" spans="1:13" ht="20.25" customHeight="1">
      <c r="A1105" s="149"/>
      <c r="B1105" s="159" t="s">
        <v>873</v>
      </c>
      <c r="C1105" s="228">
        <v>3</v>
      </c>
      <c r="D1105" s="150" t="s">
        <v>464</v>
      </c>
      <c r="E1105" s="150">
        <v>89</v>
      </c>
      <c r="F1105" s="151">
        <f t="shared" si="86"/>
        <v>267</v>
      </c>
      <c r="G1105" s="151">
        <f t="shared" si="87"/>
        <v>299.04000000000002</v>
      </c>
      <c r="H1105" s="150"/>
      <c r="I1105" s="152"/>
      <c r="J1105"/>
      <c r="K1105"/>
      <c r="L1105"/>
      <c r="M1105"/>
    </row>
    <row r="1106" spans="1:13" ht="20.25" customHeight="1">
      <c r="A1106" s="149"/>
      <c r="B1106" s="159" t="s">
        <v>874</v>
      </c>
      <c r="C1106" s="228">
        <v>3</v>
      </c>
      <c r="D1106" s="150" t="s">
        <v>464</v>
      </c>
      <c r="E1106" s="150">
        <v>67</v>
      </c>
      <c r="F1106" s="151">
        <f t="shared" si="86"/>
        <v>201</v>
      </c>
      <c r="G1106" s="151">
        <f t="shared" si="87"/>
        <v>225.12000000000003</v>
      </c>
      <c r="H1106" s="150"/>
      <c r="I1106" s="152"/>
      <c r="J1106"/>
      <c r="K1106"/>
      <c r="L1106"/>
      <c r="M1106"/>
    </row>
    <row r="1107" spans="1:13" ht="20.25" customHeight="1">
      <c r="A1107" s="149"/>
      <c r="B1107" s="159" t="s">
        <v>875</v>
      </c>
      <c r="C1107" s="228">
        <v>3</v>
      </c>
      <c r="D1107" s="150" t="s">
        <v>464</v>
      </c>
      <c r="E1107" s="150">
        <v>77</v>
      </c>
      <c r="F1107" s="151">
        <f t="shared" si="86"/>
        <v>231</v>
      </c>
      <c r="G1107" s="151">
        <f t="shared" si="87"/>
        <v>258.72000000000003</v>
      </c>
      <c r="H1107" s="150"/>
      <c r="I1107" s="152"/>
      <c r="J1107"/>
      <c r="K1107"/>
      <c r="L1107"/>
      <c r="M1107"/>
    </row>
    <row r="1108" spans="1:13" ht="20.25" customHeight="1">
      <c r="A1108" s="149"/>
      <c r="B1108" s="159" t="s">
        <v>412</v>
      </c>
      <c r="C1108" s="228">
        <v>3</v>
      </c>
      <c r="D1108" s="150" t="s">
        <v>464</v>
      </c>
      <c r="E1108" s="150">
        <v>75</v>
      </c>
      <c r="F1108" s="151">
        <f t="shared" si="86"/>
        <v>225</v>
      </c>
      <c r="G1108" s="151">
        <f t="shared" si="87"/>
        <v>252.00000000000003</v>
      </c>
      <c r="H1108" s="150"/>
      <c r="I1108" s="152"/>
      <c r="J1108"/>
      <c r="K1108"/>
      <c r="L1108"/>
      <c r="M1108"/>
    </row>
    <row r="1109" spans="1:13" ht="20.25" customHeight="1">
      <c r="A1109" s="149"/>
      <c r="B1109" s="159" t="s">
        <v>876</v>
      </c>
      <c r="C1109" s="228">
        <v>3</v>
      </c>
      <c r="D1109" s="150" t="s">
        <v>464</v>
      </c>
      <c r="E1109" s="150">
        <v>40</v>
      </c>
      <c r="F1109" s="151">
        <f t="shared" si="86"/>
        <v>120</v>
      </c>
      <c r="G1109" s="151">
        <f t="shared" si="87"/>
        <v>134.4</v>
      </c>
      <c r="H1109" s="150"/>
      <c r="I1109" s="152"/>
      <c r="J1109"/>
      <c r="K1109"/>
      <c r="L1109"/>
      <c r="M1109"/>
    </row>
    <row r="1110" spans="1:13" ht="20.25" customHeight="1">
      <c r="A1110" s="149"/>
      <c r="B1110" s="159" t="s">
        <v>877</v>
      </c>
      <c r="C1110" s="228">
        <v>3</v>
      </c>
      <c r="D1110" s="150" t="s">
        <v>464</v>
      </c>
      <c r="E1110" s="150">
        <v>135</v>
      </c>
      <c r="F1110" s="151">
        <f t="shared" si="86"/>
        <v>405</v>
      </c>
      <c r="G1110" s="151">
        <f t="shared" si="87"/>
        <v>453.6</v>
      </c>
      <c r="H1110" s="150"/>
      <c r="I1110" s="152"/>
      <c r="J1110"/>
      <c r="K1110"/>
      <c r="L1110"/>
      <c r="M1110"/>
    </row>
    <row r="1111" spans="1:13" ht="20.25" customHeight="1">
      <c r="A1111" s="149"/>
      <c r="B1111" s="159" t="s">
        <v>417</v>
      </c>
      <c r="C1111" s="228">
        <v>3</v>
      </c>
      <c r="D1111" s="150" t="s">
        <v>464</v>
      </c>
      <c r="E1111" s="150">
        <v>112</v>
      </c>
      <c r="F1111" s="151">
        <f t="shared" si="86"/>
        <v>336</v>
      </c>
      <c r="G1111" s="151">
        <f t="shared" si="87"/>
        <v>376.32000000000005</v>
      </c>
      <c r="H1111" s="150"/>
      <c r="I1111" s="152"/>
      <c r="J1111"/>
      <c r="K1111"/>
      <c r="L1111"/>
      <c r="M1111"/>
    </row>
    <row r="1112" spans="1:13" ht="20.25" customHeight="1">
      <c r="A1112" s="149"/>
      <c r="B1112" s="159" t="s">
        <v>418</v>
      </c>
      <c r="C1112" s="228">
        <v>3</v>
      </c>
      <c r="D1112" s="150" t="s">
        <v>464</v>
      </c>
      <c r="E1112" s="150">
        <v>121</v>
      </c>
      <c r="F1112" s="151">
        <f t="shared" si="86"/>
        <v>363</v>
      </c>
      <c r="G1112" s="151">
        <f t="shared" si="87"/>
        <v>406.56000000000006</v>
      </c>
      <c r="H1112" s="150"/>
      <c r="I1112" s="152"/>
      <c r="J1112"/>
      <c r="K1112"/>
      <c r="L1112"/>
      <c r="M1112"/>
    </row>
    <row r="1113" spans="1:13" ht="20.25" customHeight="1">
      <c r="A1113" s="149"/>
      <c r="B1113" s="159" t="s">
        <v>419</v>
      </c>
      <c r="C1113" s="228">
        <v>3</v>
      </c>
      <c r="D1113" s="150" t="s">
        <v>464</v>
      </c>
      <c r="E1113" s="150">
        <v>76</v>
      </c>
      <c r="F1113" s="151">
        <f t="shared" si="86"/>
        <v>228</v>
      </c>
      <c r="G1113" s="151">
        <f t="shared" si="87"/>
        <v>255.36</v>
      </c>
      <c r="H1113" s="150"/>
      <c r="I1113" s="152"/>
      <c r="J1113"/>
      <c r="K1113"/>
      <c r="L1113"/>
      <c r="M1113"/>
    </row>
    <row r="1114" spans="1:13" ht="20.25" customHeight="1">
      <c r="A1114" s="149"/>
      <c r="B1114" s="159" t="s">
        <v>878</v>
      </c>
      <c r="C1114" s="228">
        <v>3</v>
      </c>
      <c r="D1114" s="150" t="s">
        <v>464</v>
      </c>
      <c r="E1114" s="150">
        <v>76</v>
      </c>
      <c r="F1114" s="151">
        <f t="shared" si="86"/>
        <v>228</v>
      </c>
      <c r="G1114" s="151">
        <f t="shared" si="87"/>
        <v>255.36</v>
      </c>
      <c r="H1114" s="150"/>
      <c r="I1114" s="152"/>
      <c r="J1114"/>
      <c r="K1114"/>
      <c r="L1114"/>
      <c r="M1114"/>
    </row>
    <row r="1115" spans="1:13" ht="20.25" customHeight="1">
      <c r="A1115" s="149"/>
      <c r="B1115" s="159" t="s">
        <v>422</v>
      </c>
      <c r="C1115" s="228">
        <v>3</v>
      </c>
      <c r="D1115" s="150" t="s">
        <v>464</v>
      </c>
      <c r="E1115" s="150">
        <v>22</v>
      </c>
      <c r="F1115" s="151">
        <f t="shared" si="86"/>
        <v>66</v>
      </c>
      <c r="G1115" s="151">
        <f t="shared" si="87"/>
        <v>73.92</v>
      </c>
      <c r="H1115" s="150"/>
      <c r="I1115" s="152"/>
      <c r="J1115"/>
      <c r="K1115"/>
      <c r="L1115"/>
      <c r="M1115"/>
    </row>
    <row r="1116" spans="1:13" ht="20.25" customHeight="1">
      <c r="A1116" s="149"/>
      <c r="B1116" s="159" t="s">
        <v>433</v>
      </c>
      <c r="C1116" s="228">
        <v>3</v>
      </c>
      <c r="D1116" s="150" t="s">
        <v>464</v>
      </c>
      <c r="E1116" s="150">
        <v>29</v>
      </c>
      <c r="F1116" s="151">
        <f t="shared" si="86"/>
        <v>87</v>
      </c>
      <c r="G1116" s="151">
        <f t="shared" si="87"/>
        <v>97.440000000000012</v>
      </c>
      <c r="H1116" s="150"/>
      <c r="I1116" s="152"/>
      <c r="J1116"/>
      <c r="K1116"/>
      <c r="L1116"/>
      <c r="M1116"/>
    </row>
    <row r="1117" spans="1:13" ht="20.25" customHeight="1">
      <c r="A1117" s="149"/>
      <c r="B1117" s="159" t="s">
        <v>879</v>
      </c>
      <c r="C1117" s="228">
        <v>3</v>
      </c>
      <c r="D1117" s="150" t="s">
        <v>464</v>
      </c>
      <c r="E1117" s="150">
        <v>29</v>
      </c>
      <c r="F1117" s="151">
        <f t="shared" si="86"/>
        <v>87</v>
      </c>
      <c r="G1117" s="151">
        <f t="shared" si="87"/>
        <v>97.440000000000012</v>
      </c>
      <c r="H1117" s="150"/>
      <c r="I1117" s="152"/>
      <c r="J1117"/>
      <c r="K1117"/>
      <c r="L1117"/>
      <c r="M1117"/>
    </row>
    <row r="1118" spans="1:13" ht="20.25" customHeight="1">
      <c r="A1118" s="149"/>
      <c r="B1118" s="159" t="s">
        <v>880</v>
      </c>
      <c r="C1118" s="228">
        <v>3</v>
      </c>
      <c r="D1118" s="150" t="s">
        <v>464</v>
      </c>
      <c r="E1118" s="150">
        <v>29</v>
      </c>
      <c r="F1118" s="151">
        <f t="shared" si="86"/>
        <v>87</v>
      </c>
      <c r="G1118" s="151">
        <f t="shared" si="87"/>
        <v>97.440000000000012</v>
      </c>
      <c r="H1118" s="150"/>
      <c r="I1118" s="152"/>
      <c r="J1118"/>
      <c r="K1118"/>
      <c r="L1118"/>
      <c r="M1118"/>
    </row>
    <row r="1119" spans="1:13" ht="20.25" customHeight="1">
      <c r="A1119" s="149"/>
      <c r="B1119" s="159" t="s">
        <v>440</v>
      </c>
      <c r="C1119" s="228">
        <v>3</v>
      </c>
      <c r="D1119" s="150" t="s">
        <v>464</v>
      </c>
      <c r="E1119" s="150">
        <v>79</v>
      </c>
      <c r="F1119" s="151">
        <f t="shared" si="86"/>
        <v>237</v>
      </c>
      <c r="G1119" s="151">
        <f t="shared" si="87"/>
        <v>265.44</v>
      </c>
      <c r="H1119" s="150"/>
      <c r="I1119" s="152"/>
      <c r="J1119"/>
      <c r="K1119"/>
      <c r="L1119"/>
      <c r="M1119"/>
    </row>
    <row r="1120" spans="1:13" ht="20.25" customHeight="1">
      <c r="A1120" s="149"/>
      <c r="B1120" s="159" t="s">
        <v>442</v>
      </c>
      <c r="C1120" s="228">
        <v>3</v>
      </c>
      <c r="D1120" s="150" t="s">
        <v>464</v>
      </c>
      <c r="E1120" s="150">
        <v>69</v>
      </c>
      <c r="F1120" s="151">
        <f t="shared" si="86"/>
        <v>207</v>
      </c>
      <c r="G1120" s="151">
        <f t="shared" si="87"/>
        <v>231.84000000000003</v>
      </c>
      <c r="H1120" s="150"/>
      <c r="I1120" s="152"/>
      <c r="J1120"/>
      <c r="K1120"/>
      <c r="L1120"/>
      <c r="M1120"/>
    </row>
    <row r="1121" spans="1:13" ht="20.25" customHeight="1">
      <c r="A1121" s="149"/>
      <c r="B1121" s="159" t="s">
        <v>881</v>
      </c>
      <c r="C1121" s="228">
        <v>3</v>
      </c>
      <c r="D1121" s="150" t="s">
        <v>464</v>
      </c>
      <c r="E1121" s="150">
        <v>89</v>
      </c>
      <c r="F1121" s="151">
        <f t="shared" si="86"/>
        <v>267</v>
      </c>
      <c r="G1121" s="151">
        <f t="shared" si="87"/>
        <v>299.04000000000002</v>
      </c>
      <c r="H1121" s="150"/>
      <c r="I1121" s="152"/>
      <c r="J1121"/>
      <c r="K1121"/>
      <c r="L1121"/>
      <c r="M1121"/>
    </row>
    <row r="1122" spans="1:13" ht="20.25" customHeight="1">
      <c r="A1122" s="149"/>
      <c r="B1122" s="159" t="s">
        <v>882</v>
      </c>
      <c r="C1122" s="228">
        <v>3</v>
      </c>
      <c r="D1122" s="150" t="s">
        <v>464</v>
      </c>
      <c r="E1122" s="150">
        <v>61</v>
      </c>
      <c r="F1122" s="151">
        <f t="shared" si="86"/>
        <v>183</v>
      </c>
      <c r="G1122" s="151">
        <f t="shared" si="87"/>
        <v>204.96</v>
      </c>
      <c r="H1122" s="150"/>
      <c r="I1122" s="152"/>
      <c r="J1122"/>
      <c r="K1122"/>
      <c r="L1122"/>
      <c r="M1122"/>
    </row>
    <row r="1123" spans="1:13" ht="20.25" customHeight="1">
      <c r="A1123" s="149"/>
      <c r="B1123" s="159" t="s">
        <v>444</v>
      </c>
      <c r="C1123" s="228">
        <v>3</v>
      </c>
      <c r="D1123" s="150" t="s">
        <v>464</v>
      </c>
      <c r="E1123" s="150">
        <v>110</v>
      </c>
      <c r="F1123" s="151">
        <f t="shared" si="86"/>
        <v>330</v>
      </c>
      <c r="G1123" s="151">
        <f t="shared" si="87"/>
        <v>369.6</v>
      </c>
      <c r="H1123" s="150"/>
      <c r="I1123" s="152"/>
      <c r="J1123"/>
      <c r="K1123"/>
      <c r="L1123"/>
      <c r="M1123"/>
    </row>
    <row r="1124" spans="1:13" ht="20.25" customHeight="1">
      <c r="A1124" s="149"/>
      <c r="B1124" s="159" t="s">
        <v>445</v>
      </c>
      <c r="C1124" s="228">
        <v>3</v>
      </c>
      <c r="D1124" s="150" t="s">
        <v>464</v>
      </c>
      <c r="E1124" s="150">
        <v>44</v>
      </c>
      <c r="F1124" s="151">
        <f t="shared" si="86"/>
        <v>132</v>
      </c>
      <c r="G1124" s="151">
        <f t="shared" si="87"/>
        <v>147.84</v>
      </c>
      <c r="H1124" s="150"/>
      <c r="I1124" s="152"/>
      <c r="J1124"/>
      <c r="K1124"/>
      <c r="L1124"/>
      <c r="M1124"/>
    </row>
    <row r="1125" spans="1:13" ht="20.25" customHeight="1">
      <c r="A1125" s="149"/>
      <c r="B1125" s="159" t="s">
        <v>446</v>
      </c>
      <c r="C1125" s="228">
        <v>3</v>
      </c>
      <c r="D1125" s="150" t="s">
        <v>464</v>
      </c>
      <c r="E1125" s="150">
        <v>53</v>
      </c>
      <c r="F1125" s="151">
        <f t="shared" si="86"/>
        <v>159</v>
      </c>
      <c r="G1125" s="151">
        <f t="shared" si="87"/>
        <v>178.08</v>
      </c>
      <c r="H1125" s="150"/>
      <c r="I1125" s="152"/>
      <c r="J1125"/>
      <c r="K1125"/>
      <c r="L1125"/>
      <c r="M1125"/>
    </row>
    <row r="1126" spans="1:13" ht="20.25" customHeight="1">
      <c r="A1126" s="149"/>
      <c r="B1126" s="159" t="s">
        <v>883</v>
      </c>
      <c r="C1126" s="228">
        <v>3</v>
      </c>
      <c r="D1126" s="150" t="s">
        <v>464</v>
      </c>
      <c r="E1126" s="150">
        <v>121</v>
      </c>
      <c r="F1126" s="151">
        <f t="shared" si="86"/>
        <v>363</v>
      </c>
      <c r="G1126" s="151">
        <f t="shared" si="87"/>
        <v>406.56000000000006</v>
      </c>
      <c r="H1126" s="150"/>
      <c r="I1126" s="152"/>
      <c r="J1126"/>
      <c r="K1126"/>
      <c r="L1126"/>
      <c r="M1126"/>
    </row>
    <row r="1127" spans="1:13" ht="20.25" customHeight="1">
      <c r="A1127" s="149"/>
      <c r="B1127" s="159" t="s">
        <v>884</v>
      </c>
      <c r="C1127" s="228">
        <v>3</v>
      </c>
      <c r="D1127" s="150" t="s">
        <v>464</v>
      </c>
      <c r="E1127" s="150">
        <v>125</v>
      </c>
      <c r="F1127" s="151">
        <f t="shared" si="86"/>
        <v>375</v>
      </c>
      <c r="G1127" s="151">
        <f t="shared" si="87"/>
        <v>420.00000000000006</v>
      </c>
      <c r="H1127" s="150"/>
      <c r="I1127" s="152"/>
      <c r="J1127"/>
      <c r="K1127"/>
      <c r="L1127"/>
      <c r="M1127"/>
    </row>
    <row r="1128" spans="1:13" ht="20.25" customHeight="1">
      <c r="A1128" s="149"/>
      <c r="B1128" s="159" t="s">
        <v>885</v>
      </c>
      <c r="C1128" s="228">
        <v>3</v>
      </c>
      <c r="D1128" s="150" t="s">
        <v>464</v>
      </c>
      <c r="E1128" s="150">
        <v>117</v>
      </c>
      <c r="F1128" s="151">
        <f t="shared" si="86"/>
        <v>351</v>
      </c>
      <c r="G1128" s="151">
        <f t="shared" si="87"/>
        <v>393.12000000000006</v>
      </c>
      <c r="H1128" s="150"/>
      <c r="I1128" s="152"/>
      <c r="J1128"/>
      <c r="K1128"/>
      <c r="L1128"/>
      <c r="M1128"/>
    </row>
    <row r="1129" spans="1:13" ht="20.25" customHeight="1">
      <c r="A1129" s="149"/>
      <c r="B1129" s="159" t="s">
        <v>886</v>
      </c>
      <c r="C1129" s="228">
        <v>3</v>
      </c>
      <c r="D1129" s="150" t="s">
        <v>464</v>
      </c>
      <c r="E1129" s="150">
        <v>20</v>
      </c>
      <c r="F1129" s="151">
        <f t="shared" si="86"/>
        <v>60</v>
      </c>
      <c r="G1129" s="151">
        <f t="shared" si="87"/>
        <v>67.2</v>
      </c>
      <c r="H1129" s="150"/>
      <c r="I1129" s="152"/>
      <c r="J1129"/>
      <c r="K1129"/>
      <c r="L1129"/>
      <c r="M1129"/>
    </row>
    <row r="1130" spans="1:13" ht="20.25" customHeight="1">
      <c r="A1130" s="149"/>
      <c r="B1130" s="159" t="s">
        <v>887</v>
      </c>
      <c r="C1130" s="228">
        <v>3</v>
      </c>
      <c r="D1130" s="150" t="s">
        <v>464</v>
      </c>
      <c r="E1130" s="150">
        <v>290</v>
      </c>
      <c r="F1130" s="151">
        <f t="shared" si="86"/>
        <v>870</v>
      </c>
      <c r="G1130" s="151">
        <f t="shared" si="87"/>
        <v>974.40000000000009</v>
      </c>
      <c r="H1130" s="150"/>
      <c r="I1130" s="152"/>
      <c r="J1130"/>
      <c r="K1130"/>
      <c r="L1130"/>
      <c r="M1130"/>
    </row>
    <row r="1131" spans="1:13" ht="20.25" customHeight="1">
      <c r="A1131" s="149"/>
      <c r="B1131" s="159" t="s">
        <v>888</v>
      </c>
      <c r="C1131" s="228">
        <v>3</v>
      </c>
      <c r="D1131" s="150" t="s">
        <v>464</v>
      </c>
      <c r="E1131" s="150">
        <v>65</v>
      </c>
      <c r="F1131" s="151">
        <f t="shared" si="86"/>
        <v>195</v>
      </c>
      <c r="G1131" s="151">
        <f t="shared" si="87"/>
        <v>218.40000000000003</v>
      </c>
      <c r="H1131" s="150"/>
      <c r="I1131" s="152"/>
      <c r="J1131"/>
      <c r="K1131"/>
      <c r="L1131"/>
      <c r="M1131"/>
    </row>
    <row r="1132" spans="1:13" ht="20.25" customHeight="1">
      <c r="A1132" s="149"/>
      <c r="B1132" s="159" t="s">
        <v>889</v>
      </c>
      <c r="C1132" s="228">
        <v>3</v>
      </c>
      <c r="D1132" s="150" t="s">
        <v>464</v>
      </c>
      <c r="E1132" s="150">
        <v>147</v>
      </c>
      <c r="F1132" s="151">
        <f t="shared" si="86"/>
        <v>441</v>
      </c>
      <c r="G1132" s="151">
        <f t="shared" si="87"/>
        <v>493.92000000000007</v>
      </c>
      <c r="H1132" s="150"/>
      <c r="I1132" s="152"/>
      <c r="J1132"/>
      <c r="K1132"/>
      <c r="L1132"/>
      <c r="M1132"/>
    </row>
    <row r="1133" spans="1:13" ht="20.25" customHeight="1">
      <c r="A1133" s="149"/>
      <c r="B1133" s="159" t="s">
        <v>890</v>
      </c>
      <c r="C1133" s="228">
        <v>3</v>
      </c>
      <c r="D1133" s="150" t="s">
        <v>464</v>
      </c>
      <c r="E1133" s="150">
        <v>6</v>
      </c>
      <c r="F1133" s="151">
        <f t="shared" si="86"/>
        <v>18</v>
      </c>
      <c r="G1133" s="151">
        <f t="shared" si="87"/>
        <v>20.160000000000004</v>
      </c>
      <c r="H1133" s="150"/>
      <c r="I1133" s="152"/>
      <c r="J1133"/>
      <c r="K1133"/>
      <c r="L1133"/>
      <c r="M1133"/>
    </row>
    <row r="1134" spans="1:13" ht="20.25" customHeight="1">
      <c r="A1134" s="149"/>
      <c r="B1134" s="159" t="s">
        <v>891</v>
      </c>
      <c r="C1134" s="228">
        <v>3</v>
      </c>
      <c r="D1134" s="150" t="s">
        <v>464</v>
      </c>
      <c r="E1134" s="150">
        <v>6</v>
      </c>
      <c r="F1134" s="151">
        <f t="shared" si="86"/>
        <v>18</v>
      </c>
      <c r="G1134" s="151">
        <f t="shared" si="87"/>
        <v>20.160000000000004</v>
      </c>
      <c r="H1134" s="150"/>
      <c r="I1134" s="152"/>
      <c r="J1134"/>
      <c r="K1134"/>
      <c r="L1134"/>
      <c r="M1134"/>
    </row>
    <row r="1135" spans="1:13" ht="20.25" customHeight="1">
      <c r="A1135" s="149"/>
      <c r="B1135" s="159" t="s">
        <v>892</v>
      </c>
      <c r="C1135" s="228">
        <v>3</v>
      </c>
      <c r="D1135" s="150" t="s">
        <v>464</v>
      </c>
      <c r="E1135" s="150">
        <v>39</v>
      </c>
      <c r="F1135" s="151">
        <f t="shared" si="86"/>
        <v>117</v>
      </c>
      <c r="G1135" s="151">
        <f t="shared" si="87"/>
        <v>131.04000000000002</v>
      </c>
      <c r="H1135" s="150"/>
      <c r="I1135" s="152"/>
      <c r="J1135"/>
      <c r="K1135"/>
      <c r="L1135"/>
      <c r="M1135"/>
    </row>
    <row r="1136" spans="1:13" ht="20.25" customHeight="1">
      <c r="A1136" s="149"/>
      <c r="B1136" s="159" t="s">
        <v>893</v>
      </c>
      <c r="C1136" s="228">
        <v>3</v>
      </c>
      <c r="D1136" s="150" t="s">
        <v>464</v>
      </c>
      <c r="E1136" s="150">
        <v>59</v>
      </c>
      <c r="F1136" s="151">
        <f t="shared" si="86"/>
        <v>177</v>
      </c>
      <c r="G1136" s="151">
        <f t="shared" si="87"/>
        <v>198.24</v>
      </c>
      <c r="H1136" s="150"/>
      <c r="I1136" s="152"/>
      <c r="J1136"/>
      <c r="K1136"/>
      <c r="L1136"/>
      <c r="M1136"/>
    </row>
    <row r="1137" spans="1:13" ht="20.25" customHeight="1">
      <c r="A1137" s="149"/>
      <c r="B1137" s="159" t="s">
        <v>465</v>
      </c>
      <c r="C1137" s="228">
        <v>3</v>
      </c>
      <c r="D1137" s="150" t="s">
        <v>464</v>
      </c>
      <c r="E1137" s="150">
        <v>99</v>
      </c>
      <c r="F1137" s="151">
        <f t="shared" si="86"/>
        <v>297</v>
      </c>
      <c r="G1137" s="151">
        <f t="shared" si="87"/>
        <v>332.64000000000004</v>
      </c>
      <c r="H1137" s="150"/>
      <c r="I1137" s="152"/>
      <c r="J1137"/>
      <c r="K1137"/>
      <c r="L1137"/>
      <c r="M1137"/>
    </row>
    <row r="1138" spans="1:13" ht="20.25" customHeight="1">
      <c r="A1138" s="149"/>
      <c r="B1138" s="159" t="s">
        <v>466</v>
      </c>
      <c r="C1138" s="228">
        <v>3</v>
      </c>
      <c r="D1138" s="150" t="s">
        <v>464</v>
      </c>
      <c r="E1138" s="150">
        <v>350</v>
      </c>
      <c r="F1138" s="151">
        <f t="shared" si="86"/>
        <v>1050</v>
      </c>
      <c r="G1138" s="151">
        <f t="shared" si="87"/>
        <v>1176</v>
      </c>
      <c r="H1138" s="150"/>
      <c r="I1138" s="152"/>
      <c r="J1138"/>
      <c r="K1138"/>
      <c r="L1138"/>
      <c r="M1138"/>
    </row>
    <row r="1139" spans="1:13" ht="20.25" customHeight="1">
      <c r="A1139" s="149"/>
      <c r="B1139" s="159" t="s">
        <v>467</v>
      </c>
      <c r="C1139" s="228">
        <v>3</v>
      </c>
      <c r="D1139" s="150" t="s">
        <v>464</v>
      </c>
      <c r="E1139" s="150">
        <v>110</v>
      </c>
      <c r="F1139" s="151">
        <f t="shared" si="86"/>
        <v>330</v>
      </c>
      <c r="G1139" s="151">
        <f t="shared" si="87"/>
        <v>369.6</v>
      </c>
      <c r="H1139" s="150"/>
      <c r="I1139" s="152"/>
      <c r="J1139"/>
      <c r="K1139"/>
      <c r="L1139"/>
      <c r="M1139"/>
    </row>
    <row r="1140" spans="1:13" ht="20.25" customHeight="1">
      <c r="A1140" s="149"/>
      <c r="B1140" s="159" t="s">
        <v>432</v>
      </c>
      <c r="C1140" s="228">
        <v>3</v>
      </c>
      <c r="D1140" s="150" t="s">
        <v>464</v>
      </c>
      <c r="E1140" s="150">
        <v>25</v>
      </c>
      <c r="F1140" s="151">
        <f t="shared" si="86"/>
        <v>75</v>
      </c>
      <c r="G1140" s="151">
        <f t="shared" si="87"/>
        <v>84.000000000000014</v>
      </c>
      <c r="H1140" s="150"/>
      <c r="I1140" s="152"/>
      <c r="J1140"/>
      <c r="K1140"/>
      <c r="L1140"/>
      <c r="M1140"/>
    </row>
    <row r="1141" spans="1:13" ht="20.25" customHeight="1">
      <c r="E1141" s="153" t="s">
        <v>35</v>
      </c>
      <c r="F1141" s="154">
        <f>SUM(F1097:F1140)</f>
        <v>10233</v>
      </c>
      <c r="G1141" s="154">
        <f>SUM(G1097:G1140)</f>
        <v>11460.96</v>
      </c>
      <c r="J1141"/>
      <c r="K1141"/>
      <c r="L1141"/>
      <c r="M1141"/>
    </row>
    <row r="1142" spans="1:13" ht="20.25" customHeight="1">
      <c r="J1142"/>
      <c r="K1142"/>
      <c r="L1142"/>
      <c r="M1142"/>
    </row>
    <row r="1143" spans="1:13" ht="20.25" customHeight="1">
      <c r="J1143"/>
      <c r="K1143"/>
      <c r="L1143"/>
      <c r="M1143"/>
    </row>
    <row r="1144" spans="1:13" ht="20.25" customHeight="1">
      <c r="J1144"/>
      <c r="K1144"/>
      <c r="L1144"/>
      <c r="M1144"/>
    </row>
    <row r="1145" spans="1:13" ht="20.25" customHeight="1">
      <c r="A1145" s="867" t="s">
        <v>954</v>
      </c>
      <c r="B1145" s="867"/>
      <c r="C1145" s="867"/>
      <c r="D1145" s="867"/>
      <c r="E1145" s="867"/>
      <c r="F1145" s="867"/>
      <c r="G1145" s="867"/>
      <c r="H1145" s="867"/>
      <c r="I1145" s="867"/>
      <c r="J1145"/>
      <c r="K1145"/>
      <c r="L1145"/>
      <c r="M1145"/>
    </row>
    <row r="1146" spans="1:13" ht="20.25" customHeight="1">
      <c r="A1146" s="137" t="s">
        <v>349</v>
      </c>
      <c r="B1146" s="616" t="s">
        <v>66</v>
      </c>
      <c r="J1146"/>
      <c r="K1146"/>
      <c r="L1146"/>
      <c r="M1146"/>
    </row>
    <row r="1147" spans="1:13" ht="20.25" customHeight="1">
      <c r="A1147" s="139" t="s">
        <v>299</v>
      </c>
      <c r="B1147" s="616" t="s">
        <v>13</v>
      </c>
      <c r="C1147" s="140"/>
      <c r="D1147" s="140"/>
      <c r="E1147" s="140"/>
      <c r="F1147" s="140"/>
      <c r="G1147" s="140"/>
      <c r="H1147" s="140"/>
      <c r="J1147"/>
      <c r="K1147"/>
      <c r="L1147"/>
      <c r="M1147"/>
    </row>
    <row r="1148" spans="1:13" ht="20.25" customHeight="1">
      <c r="B1148" s="141" t="s">
        <v>100</v>
      </c>
      <c r="C1148" s="141"/>
      <c r="D1148" s="141"/>
      <c r="E1148" s="141"/>
      <c r="F1148" s="141"/>
      <c r="G1148" s="141"/>
      <c r="H1148" s="141"/>
      <c r="J1148"/>
      <c r="K1148"/>
      <c r="L1148"/>
      <c r="M1148"/>
    </row>
    <row r="1149" spans="1:13" ht="20.25" customHeight="1">
      <c r="A1149" s="868"/>
      <c r="B1149" s="868"/>
      <c r="C1149" s="868"/>
      <c r="D1149" s="868"/>
      <c r="E1149" s="868"/>
      <c r="F1149" s="868"/>
      <c r="G1149" s="868"/>
      <c r="H1149" s="868"/>
      <c r="J1149"/>
      <c r="K1149"/>
      <c r="L1149"/>
      <c r="M1149"/>
    </row>
    <row r="1150" spans="1:13" ht="20.25" customHeight="1">
      <c r="A1150" s="142" t="s">
        <v>350</v>
      </c>
      <c r="B1150" s="143" t="s">
        <v>360</v>
      </c>
      <c r="C1150" s="144"/>
      <c r="D1150" s="144"/>
      <c r="E1150" s="144"/>
      <c r="F1150" s="910" t="s">
        <v>869</v>
      </c>
      <c r="G1150" s="910"/>
      <c r="H1150" s="910"/>
      <c r="I1150" s="145" t="s">
        <v>310</v>
      </c>
      <c r="J1150"/>
      <c r="K1150"/>
      <c r="L1150"/>
      <c r="M1150"/>
    </row>
    <row r="1151" spans="1:13" ht="20.25" customHeight="1">
      <c r="G1151" s="138" t="s">
        <v>100</v>
      </c>
      <c r="J1151"/>
      <c r="K1151"/>
      <c r="L1151"/>
      <c r="M1151"/>
    </row>
    <row r="1152" spans="1:13" ht="20.25" customHeight="1">
      <c r="A1152" s="146" t="s">
        <v>351</v>
      </c>
      <c r="B1152" s="147" t="s">
        <v>302</v>
      </c>
      <c r="C1152" s="147" t="s">
        <v>312</v>
      </c>
      <c r="D1152" s="147" t="s">
        <v>303</v>
      </c>
      <c r="E1152" s="148" t="s">
        <v>304</v>
      </c>
      <c r="F1152" s="147" t="s">
        <v>305</v>
      </c>
      <c r="G1152" s="147" t="s">
        <v>306</v>
      </c>
      <c r="H1152" s="148" t="s">
        <v>307</v>
      </c>
      <c r="I1152" s="147" t="s">
        <v>308</v>
      </c>
      <c r="J1152"/>
      <c r="K1152"/>
      <c r="L1152"/>
      <c r="M1152"/>
    </row>
    <row r="1153" spans="1:13" ht="20.25" customHeight="1">
      <c r="A1153" s="229" t="s">
        <v>731</v>
      </c>
      <c r="B1153" s="225" t="s">
        <v>468</v>
      </c>
      <c r="C1153" s="228">
        <v>84</v>
      </c>
      <c r="D1153" s="150" t="s">
        <v>469</v>
      </c>
      <c r="E1153" s="150">
        <v>11</v>
      </c>
      <c r="F1153" s="151">
        <f>E1153*C1153</f>
        <v>924</v>
      </c>
      <c r="G1153" s="151">
        <f>F1153*1.12</f>
        <v>1034.8800000000001</v>
      </c>
      <c r="H1153" s="625">
        <v>730405</v>
      </c>
      <c r="I1153" s="626" t="s">
        <v>13</v>
      </c>
      <c r="J1153"/>
      <c r="K1153"/>
      <c r="L1153"/>
      <c r="M1153"/>
    </row>
    <row r="1154" spans="1:13" ht="20.25" customHeight="1">
      <c r="A1154" s="149"/>
      <c r="B1154" s="225" t="s">
        <v>894</v>
      </c>
      <c r="C1154" s="228">
        <v>6</v>
      </c>
      <c r="D1154" s="150" t="s">
        <v>322</v>
      </c>
      <c r="E1154" s="150">
        <v>22</v>
      </c>
      <c r="F1154" s="151">
        <f t="shared" ref="F1154:F1174" si="88">E1154*C1154</f>
        <v>132</v>
      </c>
      <c r="G1154" s="151">
        <f t="shared" ref="G1154:G1174" si="89">F1154*1.12</f>
        <v>147.84</v>
      </c>
      <c r="H1154" s="150"/>
      <c r="I1154" s="152"/>
      <c r="J1154"/>
      <c r="K1154"/>
      <c r="L1154"/>
      <c r="M1154"/>
    </row>
    <row r="1155" spans="1:13" ht="20.25" customHeight="1">
      <c r="A1155" s="149"/>
      <c r="B1155" s="225" t="s">
        <v>895</v>
      </c>
      <c r="C1155" s="228">
        <v>14</v>
      </c>
      <c r="D1155" s="150" t="s">
        <v>469</v>
      </c>
      <c r="E1155" s="150">
        <v>4</v>
      </c>
      <c r="F1155" s="151">
        <f t="shared" si="88"/>
        <v>56</v>
      </c>
      <c r="G1155" s="151">
        <f t="shared" si="89"/>
        <v>62.720000000000006</v>
      </c>
      <c r="H1155" s="150"/>
      <c r="I1155" s="152"/>
      <c r="J1155"/>
      <c r="K1155"/>
      <c r="L1155"/>
      <c r="M1155"/>
    </row>
    <row r="1156" spans="1:13" ht="20.25" customHeight="1">
      <c r="A1156" s="149"/>
      <c r="B1156" s="225" t="s">
        <v>896</v>
      </c>
      <c r="C1156" s="228">
        <v>6</v>
      </c>
      <c r="D1156" s="150" t="s">
        <v>469</v>
      </c>
      <c r="E1156" s="150">
        <v>15</v>
      </c>
      <c r="F1156" s="151">
        <f t="shared" si="88"/>
        <v>90</v>
      </c>
      <c r="G1156" s="151">
        <f t="shared" si="89"/>
        <v>100.80000000000001</v>
      </c>
      <c r="H1156" s="150"/>
      <c r="I1156" s="152"/>
      <c r="J1156"/>
      <c r="K1156"/>
      <c r="L1156"/>
      <c r="M1156"/>
    </row>
    <row r="1157" spans="1:13" ht="20.25" customHeight="1">
      <c r="A1157" s="149"/>
      <c r="B1157" s="225" t="s">
        <v>897</v>
      </c>
      <c r="C1157" s="228">
        <v>65</v>
      </c>
      <c r="D1157" s="150" t="s">
        <v>469</v>
      </c>
      <c r="E1157" s="150">
        <v>4</v>
      </c>
      <c r="F1157" s="151">
        <f t="shared" si="88"/>
        <v>260</v>
      </c>
      <c r="G1157" s="151">
        <f t="shared" si="89"/>
        <v>291.20000000000005</v>
      </c>
      <c r="H1157" s="150"/>
      <c r="I1157" s="152"/>
      <c r="J1157"/>
      <c r="K1157"/>
      <c r="L1157"/>
      <c r="M1157"/>
    </row>
    <row r="1158" spans="1:13" ht="20.25" customHeight="1">
      <c r="A1158" s="149"/>
      <c r="B1158" s="225" t="s">
        <v>898</v>
      </c>
      <c r="C1158" s="228">
        <v>8</v>
      </c>
      <c r="D1158" s="150" t="s">
        <v>469</v>
      </c>
      <c r="E1158" s="150">
        <v>15</v>
      </c>
      <c r="F1158" s="151">
        <f t="shared" si="88"/>
        <v>120</v>
      </c>
      <c r="G1158" s="151">
        <f t="shared" si="89"/>
        <v>134.4</v>
      </c>
      <c r="H1158" s="150"/>
      <c r="I1158" s="152"/>
      <c r="J1158"/>
      <c r="K1158"/>
      <c r="L1158"/>
      <c r="M1158"/>
    </row>
    <row r="1159" spans="1:13" ht="20.25" customHeight="1">
      <c r="A1159" s="149"/>
      <c r="B1159" s="225" t="s">
        <v>899</v>
      </c>
      <c r="C1159" s="228">
        <v>8</v>
      </c>
      <c r="D1159" s="150" t="s">
        <v>469</v>
      </c>
      <c r="E1159" s="150">
        <v>15</v>
      </c>
      <c r="F1159" s="151">
        <f t="shared" si="88"/>
        <v>120</v>
      </c>
      <c r="G1159" s="151">
        <f t="shared" si="89"/>
        <v>134.4</v>
      </c>
      <c r="H1159" s="150"/>
      <c r="I1159" s="152"/>
      <c r="J1159"/>
      <c r="K1159"/>
      <c r="L1159"/>
      <c r="M1159"/>
    </row>
    <row r="1160" spans="1:13" ht="20.25" customHeight="1">
      <c r="A1160" s="149"/>
      <c r="B1160" s="225" t="s">
        <v>900</v>
      </c>
      <c r="C1160" s="228">
        <v>28</v>
      </c>
      <c r="D1160" s="150" t="s">
        <v>469</v>
      </c>
      <c r="E1160" s="150">
        <v>8</v>
      </c>
      <c r="F1160" s="151">
        <f t="shared" si="88"/>
        <v>224</v>
      </c>
      <c r="G1160" s="151">
        <f t="shared" si="89"/>
        <v>250.88000000000002</v>
      </c>
      <c r="H1160" s="150"/>
      <c r="I1160" s="152"/>
      <c r="J1160"/>
      <c r="K1160"/>
      <c r="L1160"/>
      <c r="M1160"/>
    </row>
    <row r="1161" spans="1:13" ht="20.25" customHeight="1">
      <c r="A1161" s="149"/>
      <c r="B1161" s="225" t="s">
        <v>470</v>
      </c>
      <c r="C1161" s="228">
        <v>30</v>
      </c>
      <c r="D1161" s="150" t="s">
        <v>469</v>
      </c>
      <c r="E1161" s="150">
        <v>4</v>
      </c>
      <c r="F1161" s="151">
        <f t="shared" si="88"/>
        <v>120</v>
      </c>
      <c r="G1161" s="151">
        <f t="shared" si="89"/>
        <v>134.4</v>
      </c>
      <c r="H1161" s="150"/>
      <c r="I1161" s="152"/>
      <c r="J1161"/>
      <c r="K1161"/>
      <c r="L1161"/>
      <c r="M1161"/>
    </row>
    <row r="1162" spans="1:13" ht="20.25" customHeight="1">
      <c r="A1162" s="149"/>
      <c r="B1162" s="225" t="s">
        <v>471</v>
      </c>
      <c r="C1162" s="228">
        <v>24</v>
      </c>
      <c r="D1162" s="150" t="s">
        <v>469</v>
      </c>
      <c r="E1162" s="150">
        <v>15</v>
      </c>
      <c r="F1162" s="151">
        <f t="shared" si="88"/>
        <v>360</v>
      </c>
      <c r="G1162" s="151">
        <f t="shared" si="89"/>
        <v>403.20000000000005</v>
      </c>
      <c r="H1162" s="150"/>
      <c r="I1162" s="152"/>
      <c r="J1162"/>
      <c r="K1162"/>
      <c r="L1162"/>
      <c r="M1162"/>
    </row>
    <row r="1163" spans="1:13" ht="20.25" customHeight="1">
      <c r="A1163" s="149"/>
      <c r="B1163" s="225" t="s">
        <v>901</v>
      </c>
      <c r="C1163" s="228">
        <v>30</v>
      </c>
      <c r="D1163" s="150" t="s">
        <v>472</v>
      </c>
      <c r="E1163" s="150">
        <v>30</v>
      </c>
      <c r="F1163" s="151">
        <f t="shared" si="88"/>
        <v>900</v>
      </c>
      <c r="G1163" s="151">
        <f t="shared" si="89"/>
        <v>1008.0000000000001</v>
      </c>
      <c r="H1163" s="150"/>
      <c r="I1163" s="152"/>
      <c r="J1163"/>
      <c r="K1163"/>
      <c r="L1163"/>
      <c r="M1163"/>
    </row>
    <row r="1164" spans="1:13" ht="20.25" customHeight="1">
      <c r="A1164" s="149"/>
      <c r="B1164" s="225" t="s">
        <v>902</v>
      </c>
      <c r="C1164" s="228">
        <v>25</v>
      </c>
      <c r="D1164" s="150" t="s">
        <v>472</v>
      </c>
      <c r="E1164" s="150">
        <v>28</v>
      </c>
      <c r="F1164" s="151">
        <f t="shared" si="88"/>
        <v>700</v>
      </c>
      <c r="G1164" s="151">
        <f t="shared" si="89"/>
        <v>784.00000000000011</v>
      </c>
      <c r="H1164" s="150"/>
      <c r="I1164" s="152"/>
      <c r="J1164"/>
      <c r="K1164"/>
      <c r="L1164"/>
      <c r="M1164"/>
    </row>
    <row r="1165" spans="1:13" ht="20.25" customHeight="1">
      <c r="A1165" s="149"/>
      <c r="B1165" s="225" t="s">
        <v>903</v>
      </c>
      <c r="C1165" s="228">
        <v>25</v>
      </c>
      <c r="D1165" s="150" t="s">
        <v>469</v>
      </c>
      <c r="E1165" s="150">
        <v>5</v>
      </c>
      <c r="F1165" s="151">
        <f t="shared" si="88"/>
        <v>125</v>
      </c>
      <c r="G1165" s="151">
        <f t="shared" si="89"/>
        <v>140</v>
      </c>
      <c r="H1165" s="150"/>
      <c r="I1165" s="152"/>
      <c r="J1165"/>
      <c r="K1165"/>
      <c r="L1165"/>
      <c r="M1165"/>
    </row>
    <row r="1166" spans="1:13" ht="20.25" customHeight="1">
      <c r="A1166" s="149"/>
      <c r="B1166" s="225" t="s">
        <v>904</v>
      </c>
      <c r="C1166" s="228">
        <v>10</v>
      </c>
      <c r="D1166" s="150" t="s">
        <v>473</v>
      </c>
      <c r="E1166" s="150">
        <v>35</v>
      </c>
      <c r="F1166" s="151">
        <f t="shared" si="88"/>
        <v>350</v>
      </c>
      <c r="G1166" s="151">
        <f t="shared" si="89"/>
        <v>392.00000000000006</v>
      </c>
      <c r="H1166" s="150"/>
      <c r="I1166" s="152"/>
      <c r="J1166"/>
      <c r="K1166"/>
      <c r="L1166"/>
      <c r="M1166"/>
    </row>
    <row r="1167" spans="1:13" ht="20.25" customHeight="1">
      <c r="A1167" s="149"/>
      <c r="B1167" s="225" t="s">
        <v>905</v>
      </c>
      <c r="C1167" s="228">
        <v>25</v>
      </c>
      <c r="D1167" s="150" t="s">
        <v>474</v>
      </c>
      <c r="E1167" s="150">
        <v>8</v>
      </c>
      <c r="F1167" s="151">
        <f t="shared" si="88"/>
        <v>200</v>
      </c>
      <c r="G1167" s="151">
        <f t="shared" si="89"/>
        <v>224.00000000000003</v>
      </c>
      <c r="H1167" s="150"/>
      <c r="I1167" s="152"/>
      <c r="J1167"/>
      <c r="K1167"/>
      <c r="L1167"/>
      <c r="M1167"/>
    </row>
    <row r="1168" spans="1:13" ht="20.25" customHeight="1">
      <c r="A1168" s="149"/>
      <c r="B1168" s="225" t="s">
        <v>475</v>
      </c>
      <c r="C1168" s="228">
        <v>25</v>
      </c>
      <c r="D1168" s="150" t="s">
        <v>322</v>
      </c>
      <c r="E1168" s="150">
        <v>4</v>
      </c>
      <c r="F1168" s="151">
        <f t="shared" si="88"/>
        <v>100</v>
      </c>
      <c r="G1168" s="151">
        <f t="shared" si="89"/>
        <v>112.00000000000001</v>
      </c>
      <c r="H1168" s="150"/>
      <c r="I1168" s="152"/>
      <c r="J1168"/>
      <c r="K1168"/>
      <c r="L1168"/>
      <c r="M1168"/>
    </row>
    <row r="1169" spans="1:13" ht="20.25" customHeight="1">
      <c r="A1169" s="149"/>
      <c r="B1169" s="225" t="s">
        <v>906</v>
      </c>
      <c r="C1169" s="228">
        <v>6</v>
      </c>
      <c r="D1169" s="150" t="s">
        <v>473</v>
      </c>
      <c r="E1169" s="150">
        <v>95</v>
      </c>
      <c r="F1169" s="151">
        <f t="shared" si="88"/>
        <v>570</v>
      </c>
      <c r="G1169" s="151">
        <f t="shared" si="89"/>
        <v>638.40000000000009</v>
      </c>
      <c r="H1169" s="150"/>
      <c r="I1169" s="152"/>
      <c r="J1169"/>
      <c r="K1169"/>
      <c r="L1169"/>
      <c r="M1169"/>
    </row>
    <row r="1170" spans="1:13" ht="20.25" customHeight="1">
      <c r="A1170" s="149"/>
      <c r="B1170" s="225" t="s">
        <v>907</v>
      </c>
      <c r="C1170" s="228">
        <v>5</v>
      </c>
      <c r="D1170" s="150" t="s">
        <v>473</v>
      </c>
      <c r="E1170" s="150">
        <v>50</v>
      </c>
      <c r="F1170" s="151">
        <f t="shared" si="88"/>
        <v>250</v>
      </c>
      <c r="G1170" s="151">
        <f t="shared" si="89"/>
        <v>280</v>
      </c>
      <c r="H1170" s="150"/>
      <c r="I1170" s="152"/>
      <c r="J1170"/>
      <c r="K1170"/>
      <c r="L1170"/>
      <c r="M1170"/>
    </row>
    <row r="1171" spans="1:13" ht="20.25" customHeight="1">
      <c r="A1171" s="149"/>
      <c r="B1171" s="225" t="s">
        <v>908</v>
      </c>
      <c r="C1171" s="228">
        <v>117</v>
      </c>
      <c r="D1171" s="150" t="s">
        <v>322</v>
      </c>
      <c r="E1171" s="150">
        <v>21</v>
      </c>
      <c r="F1171" s="151">
        <f t="shared" si="88"/>
        <v>2457</v>
      </c>
      <c r="G1171" s="151">
        <f t="shared" si="89"/>
        <v>2751.84</v>
      </c>
      <c r="H1171" s="150"/>
      <c r="I1171" s="152"/>
      <c r="J1171"/>
      <c r="K1171"/>
      <c r="L1171"/>
      <c r="M1171"/>
    </row>
    <row r="1172" spans="1:13" ht="20.25" customHeight="1">
      <c r="A1172" s="149"/>
      <c r="B1172" s="225" t="s">
        <v>909</v>
      </c>
      <c r="C1172" s="228">
        <v>2</v>
      </c>
      <c r="D1172" s="150" t="s">
        <v>464</v>
      </c>
      <c r="E1172" s="150">
        <v>90</v>
      </c>
      <c r="F1172" s="151">
        <f t="shared" si="88"/>
        <v>180</v>
      </c>
      <c r="G1172" s="151">
        <f t="shared" si="89"/>
        <v>201.60000000000002</v>
      </c>
      <c r="H1172" s="150"/>
      <c r="I1172" s="152"/>
      <c r="J1172"/>
      <c r="K1172"/>
      <c r="L1172"/>
      <c r="M1172"/>
    </row>
    <row r="1173" spans="1:13" ht="20.25" customHeight="1">
      <c r="A1173" s="149"/>
      <c r="B1173" s="225" t="s">
        <v>476</v>
      </c>
      <c r="C1173" s="228">
        <v>8</v>
      </c>
      <c r="D1173" s="150" t="s">
        <v>473</v>
      </c>
      <c r="E1173" s="150">
        <v>155</v>
      </c>
      <c r="F1173" s="151">
        <f t="shared" si="88"/>
        <v>1240</v>
      </c>
      <c r="G1173" s="151">
        <f t="shared" si="89"/>
        <v>1388.8000000000002</v>
      </c>
      <c r="H1173" s="150"/>
      <c r="I1173" s="152"/>
      <c r="J1173"/>
      <c r="K1173"/>
      <c r="L1173"/>
      <c r="M1173"/>
    </row>
    <row r="1174" spans="1:13" ht="20.25" customHeight="1">
      <c r="A1174" s="149"/>
      <c r="B1174" s="225" t="s">
        <v>477</v>
      </c>
      <c r="C1174" s="228">
        <v>4</v>
      </c>
      <c r="D1174" s="150" t="s">
        <v>464</v>
      </c>
      <c r="E1174" s="150">
        <v>155</v>
      </c>
      <c r="F1174" s="151">
        <f t="shared" si="88"/>
        <v>620</v>
      </c>
      <c r="G1174" s="151">
        <f t="shared" si="89"/>
        <v>694.40000000000009</v>
      </c>
      <c r="H1174" s="150"/>
      <c r="I1174" s="152"/>
      <c r="J1174"/>
      <c r="K1174"/>
      <c r="L1174"/>
      <c r="M1174"/>
    </row>
    <row r="1175" spans="1:13" ht="20.25" customHeight="1">
      <c r="E1175" s="153" t="s">
        <v>35</v>
      </c>
      <c r="F1175" s="154">
        <f>SUM(F1153:F1174)</f>
        <v>10098</v>
      </c>
      <c r="G1175" s="154">
        <f>SUM(G1153:G1174)</f>
        <v>11309.76</v>
      </c>
      <c r="J1175"/>
      <c r="K1175"/>
      <c r="L1175"/>
      <c r="M1175"/>
    </row>
    <row r="1176" spans="1:13" ht="20.25" customHeight="1">
      <c r="J1176"/>
      <c r="K1176"/>
      <c r="L1176"/>
      <c r="M1176"/>
    </row>
    <row r="1177" spans="1:13" ht="20.25" customHeight="1">
      <c r="J1177"/>
      <c r="K1177"/>
      <c r="L1177"/>
      <c r="M1177"/>
    </row>
    <row r="1178" spans="1:13" ht="20.25" customHeight="1">
      <c r="J1178"/>
      <c r="K1178"/>
      <c r="L1178"/>
      <c r="M1178"/>
    </row>
    <row r="1179" spans="1:13" ht="20.25" customHeight="1">
      <c r="A1179" s="867" t="s">
        <v>954</v>
      </c>
      <c r="B1179" s="867"/>
      <c r="C1179" s="867"/>
      <c r="D1179" s="867"/>
      <c r="E1179" s="867"/>
      <c r="F1179" s="867"/>
      <c r="G1179" s="867"/>
      <c r="H1179" s="867"/>
      <c r="I1179" s="867"/>
      <c r="J1179"/>
      <c r="K1179"/>
      <c r="L1179"/>
      <c r="M1179"/>
    </row>
    <row r="1180" spans="1:13" ht="20.25" customHeight="1">
      <c r="A1180" s="137" t="s">
        <v>349</v>
      </c>
      <c r="B1180" s="616" t="s">
        <v>66</v>
      </c>
      <c r="J1180"/>
      <c r="K1180"/>
      <c r="L1180"/>
      <c r="M1180"/>
    </row>
    <row r="1181" spans="1:13" ht="20.25" customHeight="1">
      <c r="A1181" s="139" t="s">
        <v>299</v>
      </c>
      <c r="B1181" s="616" t="s">
        <v>6</v>
      </c>
      <c r="C1181" s="140"/>
      <c r="D1181" s="140"/>
      <c r="E1181" s="140"/>
      <c r="F1181" s="140"/>
      <c r="G1181" s="140"/>
      <c r="H1181" s="140"/>
      <c r="J1181"/>
      <c r="K1181"/>
      <c r="L1181"/>
      <c r="M1181"/>
    </row>
    <row r="1182" spans="1:13" ht="20.25" customHeight="1">
      <c r="B1182" s="141" t="s">
        <v>100</v>
      </c>
      <c r="C1182" s="141"/>
      <c r="D1182" s="141"/>
      <c r="E1182" s="141"/>
      <c r="F1182" s="141"/>
      <c r="G1182" s="141"/>
      <c r="H1182" s="141"/>
      <c r="J1182"/>
      <c r="K1182"/>
      <c r="L1182"/>
      <c r="M1182"/>
    </row>
    <row r="1183" spans="1:13" ht="20.25" customHeight="1">
      <c r="A1183" s="868"/>
      <c r="B1183" s="868"/>
      <c r="C1183" s="868"/>
      <c r="D1183" s="868"/>
      <c r="E1183" s="868"/>
      <c r="F1183" s="868"/>
      <c r="G1183" s="868"/>
      <c r="H1183" s="868"/>
      <c r="J1183"/>
      <c r="K1183"/>
      <c r="L1183"/>
      <c r="M1183"/>
    </row>
    <row r="1184" spans="1:13" ht="20.25" customHeight="1">
      <c r="A1184" s="142" t="s">
        <v>350</v>
      </c>
      <c r="B1184" s="143" t="s">
        <v>360</v>
      </c>
      <c r="C1184" s="144"/>
      <c r="D1184" s="144"/>
      <c r="E1184" s="144"/>
      <c r="F1184" s="910" t="s">
        <v>869</v>
      </c>
      <c r="G1184" s="910"/>
      <c r="H1184" s="910"/>
      <c r="I1184" s="145" t="s">
        <v>310</v>
      </c>
      <c r="J1184"/>
      <c r="K1184"/>
      <c r="L1184"/>
      <c r="M1184"/>
    </row>
    <row r="1185" spans="1:13" ht="20.25" customHeight="1">
      <c r="G1185" s="138" t="s">
        <v>100</v>
      </c>
      <c r="J1185"/>
      <c r="K1185"/>
      <c r="L1185"/>
      <c r="M1185"/>
    </row>
    <row r="1186" spans="1:13" ht="20.25" customHeight="1">
      <c r="A1186" s="146" t="s">
        <v>351</v>
      </c>
      <c r="B1186" s="147" t="s">
        <v>302</v>
      </c>
      <c r="C1186" s="147" t="s">
        <v>312</v>
      </c>
      <c r="D1186" s="147" t="s">
        <v>303</v>
      </c>
      <c r="E1186" s="148" t="s">
        <v>304</v>
      </c>
      <c r="F1186" s="147" t="s">
        <v>305</v>
      </c>
      <c r="G1186" s="147" t="s">
        <v>306</v>
      </c>
      <c r="H1186" s="148" t="s">
        <v>307</v>
      </c>
      <c r="I1186" s="147" t="s">
        <v>308</v>
      </c>
      <c r="J1186"/>
      <c r="K1186"/>
      <c r="L1186"/>
      <c r="M1186"/>
    </row>
    <row r="1187" spans="1:13" ht="20.25" customHeight="1">
      <c r="A1187" s="149" t="s">
        <v>731</v>
      </c>
      <c r="B1187" s="225" t="s">
        <v>478</v>
      </c>
      <c r="C1187" s="228">
        <v>4</v>
      </c>
      <c r="D1187" s="150" t="s">
        <v>469</v>
      </c>
      <c r="E1187" s="150">
        <v>25</v>
      </c>
      <c r="F1187" s="151">
        <f t="shared" ref="F1187:F1207" si="90">E1187*C1187</f>
        <v>100</v>
      </c>
      <c r="G1187" s="151">
        <f t="shared" ref="G1187:G1207" si="91">F1187*1.12</f>
        <v>112.00000000000001</v>
      </c>
      <c r="H1187" s="150">
        <v>730404</v>
      </c>
      <c r="I1187" s="152" t="s">
        <v>6</v>
      </c>
      <c r="J1187"/>
      <c r="K1187"/>
      <c r="L1187"/>
      <c r="M1187"/>
    </row>
    <row r="1188" spans="1:13" ht="20.25" customHeight="1">
      <c r="A1188" s="149"/>
      <c r="B1188" s="225" t="s">
        <v>479</v>
      </c>
      <c r="C1188" s="228">
        <v>4</v>
      </c>
      <c r="D1188" s="150" t="s">
        <v>469</v>
      </c>
      <c r="E1188" s="150">
        <v>30</v>
      </c>
      <c r="F1188" s="151">
        <f t="shared" si="90"/>
        <v>120</v>
      </c>
      <c r="G1188" s="151">
        <f t="shared" si="91"/>
        <v>134.4</v>
      </c>
      <c r="H1188" s="150"/>
      <c r="I1188" s="152"/>
      <c r="J1188"/>
      <c r="K1188"/>
      <c r="L1188"/>
      <c r="M1188"/>
    </row>
    <row r="1189" spans="1:13" ht="20.25" customHeight="1">
      <c r="A1189" s="149"/>
      <c r="B1189" s="225" t="s">
        <v>852</v>
      </c>
      <c r="C1189" s="228">
        <v>42</v>
      </c>
      <c r="D1189" s="150" t="s">
        <v>322</v>
      </c>
      <c r="E1189" s="150">
        <v>20</v>
      </c>
      <c r="F1189" s="151">
        <f t="shared" si="90"/>
        <v>840</v>
      </c>
      <c r="G1189" s="151">
        <f t="shared" si="91"/>
        <v>940.80000000000007</v>
      </c>
      <c r="H1189" s="150"/>
      <c r="I1189" s="152"/>
      <c r="J1189"/>
      <c r="K1189"/>
      <c r="L1189"/>
      <c r="M1189"/>
    </row>
    <row r="1190" spans="1:13" ht="20.25" customHeight="1">
      <c r="A1190" s="149"/>
      <c r="B1190" s="225" t="s">
        <v>853</v>
      </c>
      <c r="C1190" s="228">
        <v>52</v>
      </c>
      <c r="D1190" s="150" t="s">
        <v>322</v>
      </c>
      <c r="E1190" s="150">
        <v>20</v>
      </c>
      <c r="F1190" s="151">
        <f t="shared" si="90"/>
        <v>1040</v>
      </c>
      <c r="G1190" s="151">
        <f t="shared" si="91"/>
        <v>1164.8000000000002</v>
      </c>
      <c r="H1190" s="150"/>
      <c r="I1190" s="152"/>
      <c r="J1190"/>
      <c r="K1190"/>
      <c r="L1190"/>
      <c r="M1190"/>
    </row>
    <row r="1191" spans="1:13" ht="20.25" customHeight="1">
      <c r="A1191" s="149"/>
      <c r="B1191" s="225" t="s">
        <v>854</v>
      </c>
      <c r="C1191" s="228">
        <v>5</v>
      </c>
      <c r="D1191" s="150" t="s">
        <v>469</v>
      </c>
      <c r="E1191" s="150">
        <v>20</v>
      </c>
      <c r="F1191" s="151">
        <f t="shared" si="90"/>
        <v>100</v>
      </c>
      <c r="G1191" s="151">
        <f t="shared" si="91"/>
        <v>112.00000000000001</v>
      </c>
      <c r="H1191" s="150"/>
      <c r="I1191" s="152"/>
      <c r="J1191"/>
      <c r="K1191"/>
      <c r="L1191"/>
      <c r="M1191"/>
    </row>
    <row r="1192" spans="1:13" ht="20.25" customHeight="1">
      <c r="A1192" s="149"/>
      <c r="B1192" s="225" t="s">
        <v>855</v>
      </c>
      <c r="C1192" s="228">
        <v>5</v>
      </c>
      <c r="D1192" s="150" t="s">
        <v>469</v>
      </c>
      <c r="E1192" s="150">
        <v>9</v>
      </c>
      <c r="F1192" s="151">
        <f t="shared" si="90"/>
        <v>45</v>
      </c>
      <c r="G1192" s="151">
        <f t="shared" si="91"/>
        <v>50.400000000000006</v>
      </c>
      <c r="H1192" s="150"/>
      <c r="I1192" s="152"/>
      <c r="J1192"/>
      <c r="K1192"/>
      <c r="L1192"/>
      <c r="M1192"/>
    </row>
    <row r="1193" spans="1:13" ht="20.25" customHeight="1">
      <c r="A1193" s="149"/>
      <c r="B1193" s="225" t="s">
        <v>856</v>
      </c>
      <c r="C1193" s="228">
        <v>8</v>
      </c>
      <c r="D1193" s="150" t="s">
        <v>469</v>
      </c>
      <c r="E1193" s="150">
        <v>45</v>
      </c>
      <c r="F1193" s="151">
        <f t="shared" si="90"/>
        <v>360</v>
      </c>
      <c r="G1193" s="151">
        <f t="shared" si="91"/>
        <v>403.20000000000005</v>
      </c>
      <c r="H1193" s="150"/>
      <c r="I1193" s="152"/>
      <c r="J1193"/>
      <c r="K1193"/>
      <c r="L1193"/>
      <c r="M1193"/>
    </row>
    <row r="1194" spans="1:13" ht="20.25" customHeight="1">
      <c r="A1194" s="149"/>
      <c r="B1194" s="225" t="s">
        <v>857</v>
      </c>
      <c r="C1194" s="228">
        <v>3</v>
      </c>
      <c r="D1194" s="150" t="s">
        <v>469</v>
      </c>
      <c r="E1194" s="150">
        <v>45</v>
      </c>
      <c r="F1194" s="151">
        <f t="shared" si="90"/>
        <v>135</v>
      </c>
      <c r="G1194" s="151">
        <f t="shared" si="91"/>
        <v>151.20000000000002</v>
      </c>
      <c r="H1194" s="150"/>
      <c r="I1194" s="152"/>
      <c r="J1194"/>
      <c r="K1194"/>
      <c r="L1194"/>
      <c r="M1194"/>
    </row>
    <row r="1195" spans="1:13" ht="20.25" customHeight="1">
      <c r="A1195" s="149"/>
      <c r="B1195" s="225" t="s">
        <v>858</v>
      </c>
      <c r="C1195" s="228">
        <v>3</v>
      </c>
      <c r="D1195" s="150" t="s">
        <v>469</v>
      </c>
      <c r="E1195" s="150">
        <v>38</v>
      </c>
      <c r="F1195" s="151">
        <f t="shared" si="90"/>
        <v>114</v>
      </c>
      <c r="G1195" s="151">
        <f t="shared" si="91"/>
        <v>127.68</v>
      </c>
      <c r="H1195" s="150"/>
      <c r="I1195" s="152"/>
      <c r="J1195"/>
      <c r="K1195"/>
      <c r="L1195"/>
      <c r="M1195"/>
    </row>
    <row r="1196" spans="1:13" ht="20.25" customHeight="1">
      <c r="A1196" s="149"/>
      <c r="B1196" s="225" t="s">
        <v>859</v>
      </c>
      <c r="C1196" s="228">
        <v>3</v>
      </c>
      <c r="D1196" s="150" t="s">
        <v>469</v>
      </c>
      <c r="E1196" s="150">
        <v>102</v>
      </c>
      <c r="F1196" s="151">
        <f t="shared" si="90"/>
        <v>306</v>
      </c>
      <c r="G1196" s="151">
        <f t="shared" si="91"/>
        <v>342.72</v>
      </c>
      <c r="H1196" s="150"/>
      <c r="I1196" s="152"/>
      <c r="J1196"/>
      <c r="K1196"/>
      <c r="L1196"/>
      <c r="M1196"/>
    </row>
    <row r="1197" spans="1:13" ht="20.25" customHeight="1">
      <c r="A1197" s="149"/>
      <c r="B1197" s="225" t="s">
        <v>480</v>
      </c>
      <c r="C1197" s="228">
        <v>8</v>
      </c>
      <c r="D1197" s="150" t="s">
        <v>469</v>
      </c>
      <c r="E1197" s="150">
        <v>25</v>
      </c>
      <c r="F1197" s="151">
        <f t="shared" si="90"/>
        <v>200</v>
      </c>
      <c r="G1197" s="151">
        <f t="shared" si="91"/>
        <v>224.00000000000003</v>
      </c>
      <c r="H1197" s="150"/>
      <c r="I1197" s="152"/>
      <c r="J1197"/>
      <c r="K1197"/>
      <c r="L1197"/>
      <c r="M1197"/>
    </row>
    <row r="1198" spans="1:13" ht="20.25" customHeight="1">
      <c r="A1198" s="149"/>
      <c r="B1198" s="225" t="s">
        <v>860</v>
      </c>
      <c r="C1198" s="228">
        <v>3</v>
      </c>
      <c r="D1198" s="150" t="s">
        <v>472</v>
      </c>
      <c r="E1198" s="150">
        <v>320</v>
      </c>
      <c r="F1198" s="151">
        <f t="shared" si="90"/>
        <v>960</v>
      </c>
      <c r="G1198" s="151">
        <f t="shared" si="91"/>
        <v>1075.2</v>
      </c>
      <c r="H1198" s="150"/>
      <c r="I1198" s="152"/>
      <c r="J1198"/>
      <c r="K1198"/>
      <c r="L1198"/>
      <c r="M1198"/>
    </row>
    <row r="1199" spans="1:13" ht="20.25" customHeight="1">
      <c r="A1199" s="149"/>
      <c r="B1199" s="225" t="s">
        <v>861</v>
      </c>
      <c r="C1199" s="228">
        <v>3</v>
      </c>
      <c r="D1199" s="150" t="s">
        <v>469</v>
      </c>
      <c r="E1199" s="150">
        <v>56</v>
      </c>
      <c r="F1199" s="151">
        <f t="shared" si="90"/>
        <v>168</v>
      </c>
      <c r="G1199" s="151">
        <f t="shared" si="91"/>
        <v>188.16000000000003</v>
      </c>
      <c r="H1199" s="150"/>
      <c r="I1199" s="152"/>
      <c r="J1199"/>
      <c r="K1199"/>
      <c r="L1199"/>
      <c r="M1199"/>
    </row>
    <row r="1200" spans="1:13" ht="20.25" customHeight="1">
      <c r="A1200" s="149"/>
      <c r="B1200" s="225" t="s">
        <v>862</v>
      </c>
      <c r="C1200" s="228">
        <v>3</v>
      </c>
      <c r="D1200" s="150" t="s">
        <v>469</v>
      </c>
      <c r="E1200" s="150">
        <v>48</v>
      </c>
      <c r="F1200" s="151">
        <f t="shared" si="90"/>
        <v>144</v>
      </c>
      <c r="G1200" s="151">
        <f t="shared" si="91"/>
        <v>161.28000000000003</v>
      </c>
      <c r="H1200" s="150"/>
      <c r="I1200" s="152"/>
      <c r="J1200"/>
      <c r="K1200"/>
      <c r="L1200"/>
      <c r="M1200"/>
    </row>
    <row r="1201" spans="1:13" ht="20.25" customHeight="1">
      <c r="A1201" s="149"/>
      <c r="B1201" s="225" t="s">
        <v>863</v>
      </c>
      <c r="C1201" s="228">
        <v>3</v>
      </c>
      <c r="D1201" s="150" t="s">
        <v>469</v>
      </c>
      <c r="E1201" s="150">
        <v>125</v>
      </c>
      <c r="F1201" s="151">
        <f t="shared" si="90"/>
        <v>375</v>
      </c>
      <c r="G1201" s="151">
        <f t="shared" si="91"/>
        <v>420.00000000000006</v>
      </c>
      <c r="H1201" s="150"/>
      <c r="I1201" s="152"/>
      <c r="J1201"/>
      <c r="K1201"/>
      <c r="L1201"/>
      <c r="M1201"/>
    </row>
    <row r="1202" spans="1:13" ht="20.25" customHeight="1">
      <c r="A1202" s="149"/>
      <c r="B1202" s="225" t="s">
        <v>864</v>
      </c>
      <c r="C1202" s="228">
        <v>3</v>
      </c>
      <c r="D1202" s="150" t="s">
        <v>469</v>
      </c>
      <c r="E1202" s="150">
        <v>72</v>
      </c>
      <c r="F1202" s="151">
        <f t="shared" si="90"/>
        <v>216</v>
      </c>
      <c r="G1202" s="151">
        <f t="shared" si="91"/>
        <v>241.92000000000002</v>
      </c>
      <c r="H1202" s="150"/>
      <c r="I1202" s="152"/>
      <c r="J1202"/>
      <c r="K1202"/>
      <c r="L1202"/>
      <c r="M1202"/>
    </row>
    <row r="1203" spans="1:13" ht="20.25" customHeight="1">
      <c r="A1203" s="149"/>
      <c r="B1203" s="225" t="s">
        <v>865</v>
      </c>
      <c r="C1203" s="228">
        <v>3</v>
      </c>
      <c r="D1203" s="150" t="s">
        <v>469</v>
      </c>
      <c r="E1203" s="150">
        <v>68</v>
      </c>
      <c r="F1203" s="151">
        <f t="shared" si="90"/>
        <v>204</v>
      </c>
      <c r="G1203" s="151">
        <f t="shared" si="91"/>
        <v>228.48000000000002</v>
      </c>
      <c r="H1203" s="150"/>
      <c r="I1203" s="152"/>
      <c r="J1203"/>
      <c r="K1203"/>
      <c r="L1203"/>
      <c r="M1203"/>
    </row>
    <row r="1204" spans="1:13" ht="20.25" customHeight="1">
      <c r="A1204" s="149"/>
      <c r="B1204" s="225" t="s">
        <v>866</v>
      </c>
      <c r="C1204" s="228">
        <v>3</v>
      </c>
      <c r="D1204" s="150" t="s">
        <v>469</v>
      </c>
      <c r="E1204" s="150">
        <v>93</v>
      </c>
      <c r="F1204" s="151">
        <f t="shared" si="90"/>
        <v>279</v>
      </c>
      <c r="G1204" s="151">
        <f t="shared" si="91"/>
        <v>312.48</v>
      </c>
      <c r="H1204" s="150"/>
      <c r="I1204" s="152"/>
      <c r="J1204"/>
      <c r="K1204"/>
      <c r="L1204"/>
      <c r="M1204"/>
    </row>
    <row r="1205" spans="1:13" ht="20.25" customHeight="1">
      <c r="A1205" s="149"/>
      <c r="B1205" s="225" t="s">
        <v>867</v>
      </c>
      <c r="C1205" s="228">
        <v>1</v>
      </c>
      <c r="D1205" s="150" t="s">
        <v>473</v>
      </c>
      <c r="E1205" s="150">
        <v>95</v>
      </c>
      <c r="F1205" s="151">
        <f t="shared" si="90"/>
        <v>95</v>
      </c>
      <c r="G1205" s="151">
        <f t="shared" si="91"/>
        <v>106.4</v>
      </c>
      <c r="H1205" s="150"/>
      <c r="I1205" s="152"/>
      <c r="J1205"/>
      <c r="K1205"/>
      <c r="L1205"/>
      <c r="M1205"/>
    </row>
    <row r="1206" spans="1:13" ht="20.25" customHeight="1">
      <c r="A1206" s="149"/>
      <c r="B1206" s="225" t="s">
        <v>868</v>
      </c>
      <c r="C1206" s="228">
        <v>1</v>
      </c>
      <c r="D1206" s="150" t="s">
        <v>464</v>
      </c>
      <c r="E1206" s="150">
        <v>94</v>
      </c>
      <c r="F1206" s="151">
        <f t="shared" si="90"/>
        <v>94</v>
      </c>
      <c r="G1206" s="151">
        <f t="shared" si="91"/>
        <v>105.28000000000002</v>
      </c>
      <c r="H1206" s="150"/>
      <c r="I1206" s="152"/>
      <c r="J1206"/>
      <c r="K1206"/>
      <c r="L1206"/>
      <c r="M1206"/>
    </row>
    <row r="1207" spans="1:13" ht="20.25" customHeight="1">
      <c r="A1207" s="149"/>
      <c r="B1207" s="225" t="s">
        <v>481</v>
      </c>
      <c r="C1207" s="228">
        <v>2</v>
      </c>
      <c r="D1207" s="150" t="s">
        <v>464</v>
      </c>
      <c r="E1207" s="150">
        <v>210</v>
      </c>
      <c r="F1207" s="151">
        <f t="shared" si="90"/>
        <v>420</v>
      </c>
      <c r="G1207" s="151">
        <f t="shared" si="91"/>
        <v>470.40000000000003</v>
      </c>
      <c r="H1207" s="150"/>
      <c r="I1207" s="152"/>
      <c r="J1207"/>
      <c r="K1207"/>
      <c r="L1207"/>
      <c r="M1207"/>
    </row>
    <row r="1208" spans="1:13" ht="20.25" customHeight="1">
      <c r="E1208" s="153" t="s">
        <v>35</v>
      </c>
      <c r="F1208" s="154">
        <f>SUM(F1187:F1207)</f>
        <v>6315</v>
      </c>
      <c r="G1208" s="154">
        <f>SUM(G1187:G1207)</f>
        <v>7072.7999999999984</v>
      </c>
      <c r="J1208"/>
      <c r="K1208"/>
      <c r="L1208"/>
      <c r="M1208"/>
    </row>
    <row r="1209" spans="1:13" ht="20.25" customHeight="1">
      <c r="A1209" s="59"/>
      <c r="B1209" s="59"/>
      <c r="C1209" s="59"/>
      <c r="D1209" s="59"/>
      <c r="E1209" s="59"/>
      <c r="F1209" s="59"/>
      <c r="G1209" s="59"/>
      <c r="H1209" s="59"/>
      <c r="I1209" s="59"/>
      <c r="J1209"/>
      <c r="K1209"/>
      <c r="L1209"/>
      <c r="M1209"/>
    </row>
    <row r="1210" spans="1:13" ht="20.25" customHeight="1">
      <c r="A1210" s="59"/>
      <c r="B1210" s="59"/>
      <c r="C1210" s="59"/>
      <c r="D1210" s="59"/>
      <c r="E1210" s="59"/>
      <c r="F1210" s="59"/>
      <c r="G1210" s="59"/>
      <c r="H1210" s="59"/>
      <c r="I1210" s="59"/>
      <c r="J1210"/>
      <c r="K1210"/>
      <c r="L1210"/>
      <c r="M1210"/>
    </row>
    <row r="1211" spans="1:13" ht="20.25" customHeight="1">
      <c r="A1211" s="59"/>
      <c r="B1211" s="59"/>
      <c r="C1211" s="59"/>
      <c r="D1211" s="59"/>
      <c r="E1211" s="59"/>
      <c r="F1211" s="59"/>
      <c r="G1211" s="59"/>
      <c r="H1211" s="59"/>
      <c r="I1211" s="59"/>
      <c r="J1211"/>
      <c r="K1211"/>
      <c r="L1211"/>
      <c r="M1211"/>
    </row>
    <row r="1212" spans="1:13" ht="20.25" customHeight="1">
      <c r="A1212" s="867" t="s">
        <v>954</v>
      </c>
      <c r="B1212" s="867"/>
      <c r="C1212" s="867"/>
      <c r="D1212" s="867"/>
      <c r="E1212" s="867"/>
      <c r="F1212" s="867"/>
      <c r="G1212" s="867"/>
      <c r="H1212" s="867"/>
      <c r="I1212" s="867"/>
      <c r="J1212"/>
      <c r="K1212"/>
      <c r="L1212"/>
      <c r="M1212"/>
    </row>
    <row r="1213" spans="1:13" ht="20.25" customHeight="1">
      <c r="A1213" s="137" t="s">
        <v>298</v>
      </c>
      <c r="B1213" s="868" t="s">
        <v>482</v>
      </c>
      <c r="C1213" s="868"/>
      <c r="D1213" s="868"/>
      <c r="E1213" s="868"/>
      <c r="F1213" s="868"/>
      <c r="G1213" s="868"/>
      <c r="H1213" s="868"/>
      <c r="I1213" s="868"/>
      <c r="J1213"/>
      <c r="K1213"/>
      <c r="L1213"/>
      <c r="M1213"/>
    </row>
    <row r="1214" spans="1:13" ht="20.25" customHeight="1">
      <c r="A1214" s="139" t="s">
        <v>299</v>
      </c>
      <c r="B1214" s="868" t="s">
        <v>483</v>
      </c>
      <c r="C1214" s="868"/>
      <c r="D1214" s="868"/>
      <c r="E1214" s="868"/>
      <c r="F1214" s="868"/>
      <c r="G1214" s="868"/>
      <c r="H1214" s="868"/>
      <c r="I1214" s="868"/>
      <c r="J1214"/>
      <c r="K1214"/>
      <c r="L1214"/>
      <c r="M1214"/>
    </row>
    <row r="1215" spans="1:13" ht="20.25" customHeight="1">
      <c r="A1215" s="137" t="s">
        <v>300</v>
      </c>
      <c r="B1215" s="874" t="s">
        <v>485</v>
      </c>
      <c r="C1215" s="874"/>
      <c r="D1215" s="874"/>
      <c r="E1215" s="874"/>
      <c r="F1215" s="874"/>
      <c r="G1215" s="874" t="s">
        <v>910</v>
      </c>
      <c r="H1215" s="874"/>
      <c r="I1215" s="874"/>
      <c r="J1215"/>
      <c r="K1215"/>
      <c r="L1215"/>
      <c r="M1215"/>
    </row>
    <row r="1216" spans="1:13" ht="20.25" customHeight="1">
      <c r="B1216" s="138" t="s">
        <v>486</v>
      </c>
      <c r="G1216" s="138" t="s">
        <v>311</v>
      </c>
      <c r="J1216"/>
      <c r="K1216"/>
      <c r="L1216"/>
      <c r="M1216"/>
    </row>
    <row r="1217" spans="1:13" ht="20.25" customHeight="1">
      <c r="A1217" s="147" t="s">
        <v>301</v>
      </c>
      <c r="B1217" s="147" t="s">
        <v>302</v>
      </c>
      <c r="C1217" s="147" t="s">
        <v>312</v>
      </c>
      <c r="D1217" s="147" t="s">
        <v>487</v>
      </c>
      <c r="E1217" s="148" t="s">
        <v>304</v>
      </c>
      <c r="F1217" s="147" t="s">
        <v>305</v>
      </c>
      <c r="G1217" s="147" t="s">
        <v>306</v>
      </c>
      <c r="H1217" s="148" t="s">
        <v>307</v>
      </c>
      <c r="I1217" s="147" t="s">
        <v>308</v>
      </c>
      <c r="J1217"/>
      <c r="K1217"/>
      <c r="L1217"/>
      <c r="M1217"/>
    </row>
    <row r="1218" spans="1:13" ht="20.25" customHeight="1">
      <c r="A1218" s="149" t="s">
        <v>488</v>
      </c>
      <c r="B1218" s="652" t="s">
        <v>489</v>
      </c>
      <c r="C1218" s="190">
        <v>45</v>
      </c>
      <c r="D1218" s="149" t="s">
        <v>490</v>
      </c>
      <c r="E1218" s="653">
        <v>1.6</v>
      </c>
      <c r="F1218" s="654">
        <f>(C1218*E1218)</f>
        <v>72</v>
      </c>
      <c r="G1218" s="654">
        <f>(F1218+F1218*12%)</f>
        <v>80.64</v>
      </c>
      <c r="H1218" s="149" t="s">
        <v>491</v>
      </c>
      <c r="I1218" s="149" t="s">
        <v>9</v>
      </c>
      <c r="J1218"/>
      <c r="K1218"/>
      <c r="L1218"/>
      <c r="M1218"/>
    </row>
    <row r="1219" spans="1:13" ht="20.25" customHeight="1">
      <c r="A1219" s="149" t="s">
        <v>488</v>
      </c>
      <c r="B1219" s="652" t="s">
        <v>492</v>
      </c>
      <c r="C1219" s="190">
        <v>40</v>
      </c>
      <c r="D1219" s="149" t="s">
        <v>490</v>
      </c>
      <c r="E1219" s="653">
        <v>0.15</v>
      </c>
      <c r="F1219" s="654">
        <f t="shared" ref="F1219:F1242" si="92">(C1219*E1219)</f>
        <v>6</v>
      </c>
      <c r="G1219" s="654">
        <f t="shared" ref="G1219:G1242" si="93">(F1219+F1219*12%)</f>
        <v>6.72</v>
      </c>
      <c r="H1219" s="149" t="s">
        <v>491</v>
      </c>
      <c r="I1219" s="149" t="s">
        <v>9</v>
      </c>
      <c r="J1219"/>
      <c r="K1219"/>
      <c r="L1219"/>
      <c r="M1219"/>
    </row>
    <row r="1220" spans="1:13" ht="20.25" customHeight="1">
      <c r="A1220" s="149" t="s">
        <v>488</v>
      </c>
      <c r="B1220" s="652" t="s">
        <v>493</v>
      </c>
      <c r="C1220" s="190">
        <v>400</v>
      </c>
      <c r="D1220" s="149" t="s">
        <v>494</v>
      </c>
      <c r="E1220" s="653">
        <v>4</v>
      </c>
      <c r="F1220" s="654">
        <f t="shared" si="92"/>
        <v>1600</v>
      </c>
      <c r="G1220" s="654">
        <f t="shared" si="93"/>
        <v>1792</v>
      </c>
      <c r="H1220" s="149" t="s">
        <v>491</v>
      </c>
      <c r="I1220" s="149" t="s">
        <v>9</v>
      </c>
      <c r="J1220"/>
      <c r="K1220"/>
      <c r="L1220"/>
      <c r="M1220"/>
    </row>
    <row r="1221" spans="1:13" ht="20.25" customHeight="1">
      <c r="A1221" s="149" t="s">
        <v>488</v>
      </c>
      <c r="B1221" s="652" t="s">
        <v>495</v>
      </c>
      <c r="C1221" s="190">
        <v>4</v>
      </c>
      <c r="D1221" s="149" t="s">
        <v>494</v>
      </c>
      <c r="E1221" s="653">
        <v>8</v>
      </c>
      <c r="F1221" s="654">
        <f t="shared" si="92"/>
        <v>32</v>
      </c>
      <c r="G1221" s="654">
        <f t="shared" si="93"/>
        <v>35.840000000000003</v>
      </c>
      <c r="H1221" s="149" t="s">
        <v>491</v>
      </c>
      <c r="I1221" s="149" t="s">
        <v>9</v>
      </c>
      <c r="J1221"/>
      <c r="K1221"/>
      <c r="L1221"/>
      <c r="M1221"/>
    </row>
    <row r="1222" spans="1:13" ht="20.25" customHeight="1">
      <c r="A1222" s="149" t="s">
        <v>488</v>
      </c>
      <c r="B1222" s="652" t="s">
        <v>496</v>
      </c>
      <c r="C1222" s="190">
        <v>2</v>
      </c>
      <c r="D1222" s="149" t="s">
        <v>324</v>
      </c>
      <c r="E1222" s="653">
        <v>50</v>
      </c>
      <c r="F1222" s="654">
        <f t="shared" si="92"/>
        <v>100</v>
      </c>
      <c r="G1222" s="654">
        <f t="shared" si="93"/>
        <v>112</v>
      </c>
      <c r="H1222" s="149" t="s">
        <v>491</v>
      </c>
      <c r="I1222" s="149" t="s">
        <v>9</v>
      </c>
      <c r="J1222"/>
      <c r="K1222"/>
      <c r="L1222"/>
      <c r="M1222"/>
    </row>
    <row r="1223" spans="1:13" ht="20.25" customHeight="1">
      <c r="A1223" s="149" t="s">
        <v>488</v>
      </c>
      <c r="B1223" s="652" t="s">
        <v>497</v>
      </c>
      <c r="C1223" s="190">
        <v>2</v>
      </c>
      <c r="D1223" s="149" t="s">
        <v>324</v>
      </c>
      <c r="E1223" s="653">
        <v>50</v>
      </c>
      <c r="F1223" s="654">
        <f t="shared" si="92"/>
        <v>100</v>
      </c>
      <c r="G1223" s="654">
        <f t="shared" si="93"/>
        <v>112</v>
      </c>
      <c r="H1223" s="149" t="s">
        <v>491</v>
      </c>
      <c r="I1223" s="149" t="s">
        <v>9</v>
      </c>
      <c r="J1223"/>
      <c r="K1223"/>
      <c r="L1223"/>
      <c r="M1223"/>
    </row>
    <row r="1224" spans="1:13" ht="20.25" customHeight="1">
      <c r="A1224" s="149" t="s">
        <v>488</v>
      </c>
      <c r="B1224" s="652" t="s">
        <v>498</v>
      </c>
      <c r="C1224" s="190">
        <v>10</v>
      </c>
      <c r="D1224" s="149" t="s">
        <v>331</v>
      </c>
      <c r="E1224" s="653">
        <v>0.85</v>
      </c>
      <c r="F1224" s="654">
        <f t="shared" si="92"/>
        <v>8.5</v>
      </c>
      <c r="G1224" s="654">
        <f t="shared" si="93"/>
        <v>9.52</v>
      </c>
      <c r="H1224" s="149" t="s">
        <v>491</v>
      </c>
      <c r="I1224" s="149" t="s">
        <v>9</v>
      </c>
      <c r="J1224"/>
      <c r="K1224"/>
      <c r="L1224"/>
      <c r="M1224"/>
    </row>
    <row r="1225" spans="1:13" ht="20.25" customHeight="1">
      <c r="A1225" s="149" t="s">
        <v>488</v>
      </c>
      <c r="B1225" s="652" t="s">
        <v>499</v>
      </c>
      <c r="C1225" s="190">
        <v>10</v>
      </c>
      <c r="D1225" s="149" t="s">
        <v>331</v>
      </c>
      <c r="E1225" s="653">
        <v>1</v>
      </c>
      <c r="F1225" s="654">
        <f t="shared" si="92"/>
        <v>10</v>
      </c>
      <c r="G1225" s="654">
        <f t="shared" si="93"/>
        <v>11.2</v>
      </c>
      <c r="H1225" s="149" t="s">
        <v>491</v>
      </c>
      <c r="I1225" s="149" t="s">
        <v>9</v>
      </c>
      <c r="J1225"/>
      <c r="K1225"/>
      <c r="L1225"/>
      <c r="M1225"/>
    </row>
    <row r="1226" spans="1:13" ht="20.25" customHeight="1">
      <c r="A1226" s="149" t="s">
        <v>488</v>
      </c>
      <c r="B1226" s="652" t="s">
        <v>500</v>
      </c>
      <c r="C1226" s="190">
        <v>15</v>
      </c>
      <c r="D1226" s="149" t="s">
        <v>501</v>
      </c>
      <c r="E1226" s="653">
        <v>0.4</v>
      </c>
      <c r="F1226" s="654">
        <f t="shared" si="92"/>
        <v>6</v>
      </c>
      <c r="G1226" s="654">
        <f t="shared" si="93"/>
        <v>6.72</v>
      </c>
      <c r="H1226" s="149" t="s">
        <v>491</v>
      </c>
      <c r="I1226" s="149" t="s">
        <v>9</v>
      </c>
      <c r="J1226"/>
      <c r="K1226"/>
      <c r="L1226"/>
      <c r="M1226"/>
    </row>
    <row r="1227" spans="1:13" ht="20.25" customHeight="1">
      <c r="A1227" s="149" t="s">
        <v>488</v>
      </c>
      <c r="B1227" s="652" t="s">
        <v>502</v>
      </c>
      <c r="C1227" s="190">
        <v>15</v>
      </c>
      <c r="D1227" s="149" t="s">
        <v>501</v>
      </c>
      <c r="E1227" s="653">
        <v>0.5</v>
      </c>
      <c r="F1227" s="654">
        <f t="shared" si="92"/>
        <v>7.5</v>
      </c>
      <c r="G1227" s="654">
        <f t="shared" si="93"/>
        <v>8.4</v>
      </c>
      <c r="H1227" s="149" t="s">
        <v>491</v>
      </c>
      <c r="I1227" s="149" t="s">
        <v>9</v>
      </c>
      <c r="J1227"/>
      <c r="K1227"/>
      <c r="L1227"/>
      <c r="M1227"/>
    </row>
    <row r="1228" spans="1:13" ht="20.25" customHeight="1">
      <c r="A1228" s="149" t="s">
        <v>488</v>
      </c>
      <c r="B1228" s="652" t="s">
        <v>503</v>
      </c>
      <c r="C1228" s="190">
        <v>12</v>
      </c>
      <c r="D1228" s="149" t="s">
        <v>504</v>
      </c>
      <c r="E1228" s="653">
        <v>1.8</v>
      </c>
      <c r="F1228" s="654">
        <f t="shared" si="92"/>
        <v>21.6</v>
      </c>
      <c r="G1228" s="654">
        <f t="shared" si="93"/>
        <v>24.192</v>
      </c>
      <c r="H1228" s="149" t="s">
        <v>491</v>
      </c>
      <c r="I1228" s="149" t="s">
        <v>9</v>
      </c>
      <c r="J1228"/>
      <c r="K1228"/>
      <c r="L1228"/>
      <c r="M1228"/>
    </row>
    <row r="1229" spans="1:13" ht="20.25" customHeight="1">
      <c r="A1229" s="149" t="s">
        <v>488</v>
      </c>
      <c r="B1229" s="652" t="s">
        <v>505</v>
      </c>
      <c r="C1229" s="190">
        <v>12</v>
      </c>
      <c r="D1229" s="149" t="s">
        <v>504</v>
      </c>
      <c r="E1229" s="653">
        <v>1.8</v>
      </c>
      <c r="F1229" s="654">
        <f t="shared" si="92"/>
        <v>21.6</v>
      </c>
      <c r="G1229" s="654">
        <f t="shared" si="93"/>
        <v>24.192</v>
      </c>
      <c r="H1229" s="149" t="s">
        <v>491</v>
      </c>
      <c r="I1229" s="149" t="s">
        <v>9</v>
      </c>
      <c r="J1229"/>
      <c r="K1229"/>
      <c r="L1229"/>
      <c r="M1229"/>
    </row>
    <row r="1230" spans="1:13" ht="20.25" customHeight="1">
      <c r="A1230" s="149" t="s">
        <v>488</v>
      </c>
      <c r="B1230" s="652" t="s">
        <v>506</v>
      </c>
      <c r="C1230" s="190">
        <v>5</v>
      </c>
      <c r="D1230" s="149" t="s">
        <v>507</v>
      </c>
      <c r="E1230" s="653">
        <v>0.7</v>
      </c>
      <c r="F1230" s="654">
        <f t="shared" si="92"/>
        <v>3.5</v>
      </c>
      <c r="G1230" s="654">
        <f t="shared" si="93"/>
        <v>3.92</v>
      </c>
      <c r="H1230" s="149" t="s">
        <v>491</v>
      </c>
      <c r="I1230" s="149" t="s">
        <v>9</v>
      </c>
      <c r="J1230"/>
      <c r="K1230"/>
      <c r="L1230"/>
      <c r="M1230"/>
    </row>
    <row r="1231" spans="1:13" ht="20.25" customHeight="1">
      <c r="A1231" s="149" t="s">
        <v>488</v>
      </c>
      <c r="B1231" s="652" t="s">
        <v>508</v>
      </c>
      <c r="C1231" s="190">
        <v>5</v>
      </c>
      <c r="D1231" s="149" t="s">
        <v>331</v>
      </c>
      <c r="E1231" s="653">
        <v>1</v>
      </c>
      <c r="F1231" s="654">
        <f t="shared" si="92"/>
        <v>5</v>
      </c>
      <c r="G1231" s="654">
        <f t="shared" si="93"/>
        <v>5.6</v>
      </c>
      <c r="H1231" s="149" t="s">
        <v>491</v>
      </c>
      <c r="I1231" s="149" t="s">
        <v>9</v>
      </c>
      <c r="J1231"/>
      <c r="K1231"/>
      <c r="L1231"/>
      <c r="M1231"/>
    </row>
    <row r="1232" spans="1:13" ht="20.25" customHeight="1">
      <c r="A1232" s="149" t="s">
        <v>488</v>
      </c>
      <c r="B1232" s="652" t="s">
        <v>509</v>
      </c>
      <c r="C1232" s="190">
        <v>10</v>
      </c>
      <c r="D1232" s="149" t="s">
        <v>331</v>
      </c>
      <c r="E1232" s="653">
        <v>2</v>
      </c>
      <c r="F1232" s="654">
        <f t="shared" si="92"/>
        <v>20</v>
      </c>
      <c r="G1232" s="654">
        <f t="shared" si="93"/>
        <v>22.4</v>
      </c>
      <c r="H1232" s="149" t="s">
        <v>491</v>
      </c>
      <c r="I1232" s="149" t="s">
        <v>9</v>
      </c>
      <c r="J1232"/>
      <c r="K1232"/>
      <c r="L1232"/>
      <c r="M1232"/>
    </row>
    <row r="1233" spans="1:13" ht="20.25" customHeight="1">
      <c r="A1233" s="149" t="s">
        <v>488</v>
      </c>
      <c r="B1233" s="652" t="s">
        <v>510</v>
      </c>
      <c r="C1233" s="190">
        <v>10</v>
      </c>
      <c r="D1233" s="149" t="s">
        <v>331</v>
      </c>
      <c r="E1233" s="653">
        <v>1</v>
      </c>
      <c r="F1233" s="654">
        <f t="shared" si="92"/>
        <v>10</v>
      </c>
      <c r="G1233" s="654">
        <f t="shared" si="93"/>
        <v>11.2</v>
      </c>
      <c r="H1233" s="149" t="s">
        <v>491</v>
      </c>
      <c r="I1233" s="149" t="s">
        <v>9</v>
      </c>
      <c r="J1233"/>
      <c r="K1233"/>
      <c r="L1233"/>
      <c r="M1233"/>
    </row>
    <row r="1234" spans="1:13" ht="20.25" customHeight="1">
      <c r="A1234" s="149" t="s">
        <v>488</v>
      </c>
      <c r="B1234" s="652" t="s">
        <v>511</v>
      </c>
      <c r="C1234" s="190">
        <v>15</v>
      </c>
      <c r="D1234" s="149" t="s">
        <v>512</v>
      </c>
      <c r="E1234" s="653">
        <v>0.6</v>
      </c>
      <c r="F1234" s="654">
        <f t="shared" si="92"/>
        <v>9</v>
      </c>
      <c r="G1234" s="654">
        <f t="shared" si="93"/>
        <v>10.08</v>
      </c>
      <c r="H1234" s="149" t="s">
        <v>491</v>
      </c>
      <c r="I1234" s="149" t="s">
        <v>9</v>
      </c>
      <c r="J1234"/>
      <c r="K1234"/>
      <c r="L1234"/>
      <c r="M1234"/>
    </row>
    <row r="1235" spans="1:13" ht="20.25" customHeight="1">
      <c r="A1235" s="149" t="s">
        <v>488</v>
      </c>
      <c r="B1235" s="652" t="s">
        <v>513</v>
      </c>
      <c r="C1235" s="190">
        <v>10</v>
      </c>
      <c r="D1235" s="149" t="s">
        <v>490</v>
      </c>
      <c r="E1235" s="653">
        <v>0.25</v>
      </c>
      <c r="F1235" s="654">
        <f t="shared" si="92"/>
        <v>2.5</v>
      </c>
      <c r="G1235" s="654">
        <f t="shared" si="93"/>
        <v>2.8</v>
      </c>
      <c r="H1235" s="149" t="s">
        <v>491</v>
      </c>
      <c r="I1235" s="149" t="s">
        <v>9</v>
      </c>
      <c r="J1235"/>
      <c r="K1235"/>
      <c r="L1235"/>
      <c r="M1235"/>
    </row>
    <row r="1236" spans="1:13" ht="20.25" customHeight="1">
      <c r="A1236" s="149" t="s">
        <v>488</v>
      </c>
      <c r="B1236" s="652" t="s">
        <v>514</v>
      </c>
      <c r="C1236" s="190">
        <v>5</v>
      </c>
      <c r="D1236" s="149" t="s">
        <v>490</v>
      </c>
      <c r="E1236" s="653">
        <v>3.25</v>
      </c>
      <c r="F1236" s="654">
        <f t="shared" si="92"/>
        <v>16.25</v>
      </c>
      <c r="G1236" s="654">
        <f t="shared" si="93"/>
        <v>18.2</v>
      </c>
      <c r="H1236" s="149" t="s">
        <v>491</v>
      </c>
      <c r="I1236" s="149" t="s">
        <v>9</v>
      </c>
      <c r="J1236"/>
      <c r="K1236"/>
      <c r="L1236"/>
      <c r="M1236"/>
    </row>
    <row r="1237" spans="1:13" ht="20.25" customHeight="1">
      <c r="A1237" s="149" t="s">
        <v>488</v>
      </c>
      <c r="B1237" s="652" t="s">
        <v>515</v>
      </c>
      <c r="C1237" s="190">
        <v>10</v>
      </c>
      <c r="D1237" s="149" t="s">
        <v>490</v>
      </c>
      <c r="E1237" s="653">
        <v>1.5</v>
      </c>
      <c r="F1237" s="654">
        <f t="shared" si="92"/>
        <v>15</v>
      </c>
      <c r="G1237" s="654">
        <f t="shared" si="93"/>
        <v>16.8</v>
      </c>
      <c r="H1237" s="149" t="s">
        <v>491</v>
      </c>
      <c r="I1237" s="149" t="s">
        <v>9</v>
      </c>
      <c r="J1237"/>
      <c r="K1237"/>
      <c r="L1237"/>
      <c r="M1237"/>
    </row>
    <row r="1238" spans="1:13" ht="20.25" customHeight="1">
      <c r="A1238" s="149" t="s">
        <v>488</v>
      </c>
      <c r="B1238" s="652" t="s">
        <v>516</v>
      </c>
      <c r="C1238" s="190">
        <v>50</v>
      </c>
      <c r="D1238" s="149" t="s">
        <v>331</v>
      </c>
      <c r="E1238" s="653">
        <v>0.3</v>
      </c>
      <c r="F1238" s="654">
        <f t="shared" si="92"/>
        <v>15</v>
      </c>
      <c r="G1238" s="654">
        <f t="shared" si="93"/>
        <v>16.8</v>
      </c>
      <c r="H1238" s="149" t="s">
        <v>491</v>
      </c>
      <c r="I1238" s="149" t="s">
        <v>9</v>
      </c>
      <c r="J1238"/>
      <c r="K1238"/>
      <c r="L1238"/>
      <c r="M1238"/>
    </row>
    <row r="1239" spans="1:13" ht="20.25" customHeight="1">
      <c r="A1239" s="149" t="s">
        <v>488</v>
      </c>
      <c r="B1239" s="652" t="s">
        <v>517</v>
      </c>
      <c r="C1239" s="190">
        <v>10</v>
      </c>
      <c r="D1239" s="149" t="s">
        <v>490</v>
      </c>
      <c r="E1239" s="653">
        <v>1</v>
      </c>
      <c r="F1239" s="654">
        <f t="shared" si="92"/>
        <v>10</v>
      </c>
      <c r="G1239" s="654">
        <f t="shared" si="93"/>
        <v>11.2</v>
      </c>
      <c r="H1239" s="149" t="s">
        <v>491</v>
      </c>
      <c r="I1239" s="149" t="s">
        <v>9</v>
      </c>
      <c r="J1239"/>
      <c r="K1239"/>
      <c r="L1239"/>
      <c r="M1239"/>
    </row>
    <row r="1240" spans="1:13" ht="20.25" customHeight="1">
      <c r="A1240" s="149" t="s">
        <v>488</v>
      </c>
      <c r="B1240" s="190" t="s">
        <v>518</v>
      </c>
      <c r="C1240" s="190">
        <v>3</v>
      </c>
      <c r="D1240" s="149" t="s">
        <v>490</v>
      </c>
      <c r="E1240" s="653">
        <v>15</v>
      </c>
      <c r="F1240" s="654">
        <f t="shared" si="92"/>
        <v>45</v>
      </c>
      <c r="G1240" s="654">
        <f t="shared" si="93"/>
        <v>50.4</v>
      </c>
      <c r="H1240" s="149" t="s">
        <v>491</v>
      </c>
      <c r="I1240" s="149" t="s">
        <v>9</v>
      </c>
      <c r="J1240"/>
      <c r="K1240"/>
      <c r="L1240"/>
      <c r="M1240"/>
    </row>
    <row r="1241" spans="1:13" ht="20.25" customHeight="1">
      <c r="A1241" s="149" t="s">
        <v>488</v>
      </c>
      <c r="B1241" s="190" t="s">
        <v>519</v>
      </c>
      <c r="C1241" s="190">
        <v>3</v>
      </c>
      <c r="D1241" s="149" t="s">
        <v>490</v>
      </c>
      <c r="E1241" s="653">
        <v>15</v>
      </c>
      <c r="F1241" s="654">
        <f t="shared" si="92"/>
        <v>45</v>
      </c>
      <c r="G1241" s="654">
        <f t="shared" si="93"/>
        <v>50.4</v>
      </c>
      <c r="H1241" s="149" t="s">
        <v>491</v>
      </c>
      <c r="I1241" s="149" t="s">
        <v>9</v>
      </c>
      <c r="J1241"/>
      <c r="K1241"/>
      <c r="L1241"/>
      <c r="M1241"/>
    </row>
    <row r="1242" spans="1:13" ht="20.25" customHeight="1">
      <c r="A1242" s="149" t="s">
        <v>488</v>
      </c>
      <c r="B1242" s="190" t="s">
        <v>520</v>
      </c>
      <c r="C1242" s="190">
        <v>30</v>
      </c>
      <c r="D1242" s="149" t="s">
        <v>490</v>
      </c>
      <c r="E1242" s="653">
        <v>0.15</v>
      </c>
      <c r="F1242" s="654">
        <f t="shared" si="92"/>
        <v>4.5</v>
      </c>
      <c r="G1242" s="654">
        <f t="shared" si="93"/>
        <v>5.04</v>
      </c>
      <c r="H1242" s="149" t="s">
        <v>491</v>
      </c>
      <c r="I1242" s="149" t="s">
        <v>9</v>
      </c>
      <c r="J1242"/>
      <c r="K1242"/>
      <c r="L1242"/>
      <c r="M1242"/>
    </row>
    <row r="1243" spans="1:13" ht="20.25" customHeight="1">
      <c r="E1243" s="153" t="s">
        <v>35</v>
      </c>
      <c r="F1243" s="624">
        <f>SUM(F1218:F1242)</f>
        <v>2185.9499999999998</v>
      </c>
      <c r="G1243" s="624">
        <f>SUM(G1218:G1242)</f>
        <v>2448.2639999999997</v>
      </c>
      <c r="J1243"/>
      <c r="K1243"/>
      <c r="L1243"/>
      <c r="M1243"/>
    </row>
    <row r="1244" spans="1:13" ht="20.25" customHeight="1">
      <c r="J1244"/>
      <c r="K1244"/>
      <c r="L1244"/>
      <c r="M1244"/>
    </row>
    <row r="1245" spans="1:13" ht="20.25" customHeight="1">
      <c r="A1245" s="655" t="s">
        <v>521</v>
      </c>
      <c r="B1245" s="138" t="s">
        <v>522</v>
      </c>
      <c r="J1245"/>
      <c r="K1245"/>
      <c r="L1245"/>
      <c r="M1245"/>
    </row>
    <row r="1246" spans="1:13" ht="20.25" customHeight="1">
      <c r="A1246" s="655"/>
      <c r="J1246"/>
      <c r="K1246"/>
      <c r="L1246"/>
      <c r="M1246"/>
    </row>
    <row r="1247" spans="1:13" ht="20.25" customHeight="1">
      <c r="A1247" s="867" t="s">
        <v>954</v>
      </c>
      <c r="B1247" s="867"/>
      <c r="C1247" s="867"/>
      <c r="D1247" s="867"/>
      <c r="E1247" s="867"/>
      <c r="F1247" s="867"/>
      <c r="G1247" s="867"/>
      <c r="H1247" s="867"/>
      <c r="I1247" s="867"/>
      <c r="J1247"/>
      <c r="K1247"/>
      <c r="L1247"/>
      <c r="M1247"/>
    </row>
    <row r="1248" spans="1:13" ht="20.25" customHeight="1">
      <c r="A1248" s="883" t="s">
        <v>911</v>
      </c>
      <c r="B1248" s="883"/>
      <c r="C1248" s="883"/>
      <c r="D1248" s="883"/>
      <c r="E1248" s="883"/>
      <c r="F1248" s="883"/>
      <c r="G1248" s="883"/>
      <c r="H1248" s="883"/>
      <c r="I1248" s="883"/>
      <c r="J1248"/>
      <c r="K1248"/>
      <c r="L1248"/>
      <c r="M1248"/>
    </row>
    <row r="1249" spans="1:13" ht="20.25" customHeight="1">
      <c r="A1249" s="140"/>
      <c r="B1249" s="140"/>
      <c r="C1249" s="140"/>
      <c r="D1249" s="140"/>
      <c r="E1249" s="140"/>
      <c r="F1249" s="140"/>
      <c r="G1249" s="140"/>
      <c r="H1249" s="140"/>
      <c r="I1249" s="140"/>
      <c r="J1249"/>
      <c r="K1249"/>
      <c r="L1249"/>
      <c r="M1249"/>
    </row>
    <row r="1250" spans="1:13" ht="20.25" customHeight="1">
      <c r="A1250" s="137" t="s">
        <v>298</v>
      </c>
      <c r="B1250" s="868" t="s">
        <v>523</v>
      </c>
      <c r="C1250" s="868"/>
      <c r="D1250" s="868"/>
      <c r="E1250" s="868"/>
      <c r="F1250" s="868"/>
      <c r="G1250" s="868"/>
      <c r="H1250" s="868"/>
      <c r="I1250" s="868"/>
      <c r="J1250"/>
      <c r="K1250"/>
      <c r="L1250"/>
      <c r="M1250"/>
    </row>
    <row r="1251" spans="1:13" ht="20.25" customHeight="1">
      <c r="A1251" s="139" t="s">
        <v>299</v>
      </c>
      <c r="B1251" s="868" t="s">
        <v>524</v>
      </c>
      <c r="C1251" s="868"/>
      <c r="D1251" s="868"/>
      <c r="E1251" s="868"/>
      <c r="F1251" s="868"/>
      <c r="G1251" s="868"/>
      <c r="H1251" s="868"/>
      <c r="I1251" s="868"/>
      <c r="J1251"/>
      <c r="K1251"/>
      <c r="L1251"/>
      <c r="M1251"/>
    </row>
    <row r="1252" spans="1:13" ht="20.25" customHeight="1">
      <c r="A1252" s="137" t="s">
        <v>300</v>
      </c>
      <c r="B1252" s="874" t="s">
        <v>485</v>
      </c>
      <c r="C1252" s="874"/>
      <c r="D1252" s="874"/>
      <c r="E1252" s="874"/>
      <c r="F1252" s="874"/>
      <c r="G1252" s="874" t="s">
        <v>912</v>
      </c>
      <c r="H1252" s="874"/>
      <c r="I1252" s="874"/>
      <c r="J1252"/>
      <c r="K1252"/>
      <c r="L1252"/>
      <c r="M1252"/>
    </row>
    <row r="1253" spans="1:13" ht="20.25" customHeight="1">
      <c r="B1253" s="138" t="s">
        <v>486</v>
      </c>
      <c r="G1253" s="138" t="s">
        <v>311</v>
      </c>
      <c r="J1253"/>
      <c r="K1253"/>
      <c r="L1253"/>
      <c r="M1253"/>
    </row>
    <row r="1254" spans="1:13" ht="20.25" customHeight="1">
      <c r="A1254" s="147" t="s">
        <v>301</v>
      </c>
      <c r="B1254" s="147" t="s">
        <v>302</v>
      </c>
      <c r="C1254" s="147" t="s">
        <v>312</v>
      </c>
      <c r="D1254" s="147" t="s">
        <v>487</v>
      </c>
      <c r="E1254" s="148" t="s">
        <v>304</v>
      </c>
      <c r="F1254" s="147" t="s">
        <v>305</v>
      </c>
      <c r="G1254" s="147" t="s">
        <v>306</v>
      </c>
      <c r="H1254" s="148" t="s">
        <v>307</v>
      </c>
      <c r="I1254" s="147" t="s">
        <v>308</v>
      </c>
      <c r="J1254"/>
      <c r="K1254"/>
      <c r="L1254"/>
      <c r="M1254"/>
    </row>
    <row r="1255" spans="1:13" ht="20.25" customHeight="1">
      <c r="A1255" s="150" t="s">
        <v>488</v>
      </c>
      <c r="B1255" s="652" t="s">
        <v>525</v>
      </c>
      <c r="C1255" s="150">
        <v>1</v>
      </c>
      <c r="D1255" s="150" t="s">
        <v>490</v>
      </c>
      <c r="E1255" s="656">
        <v>215.25</v>
      </c>
      <c r="F1255" s="657">
        <f>(C1255*E1255)</f>
        <v>215.25</v>
      </c>
      <c r="G1255" s="658">
        <f>(F1255+F1255*12%)</f>
        <v>241.07999999999998</v>
      </c>
      <c r="H1255" s="152" t="s">
        <v>491</v>
      </c>
      <c r="I1255" s="150" t="s">
        <v>526</v>
      </c>
      <c r="J1255"/>
      <c r="K1255"/>
      <c r="L1255"/>
      <c r="M1255"/>
    </row>
    <row r="1256" spans="1:13" ht="20.25" customHeight="1">
      <c r="A1256" s="150" t="s">
        <v>488</v>
      </c>
      <c r="B1256" s="659" t="s">
        <v>527</v>
      </c>
      <c r="C1256" s="150">
        <v>2</v>
      </c>
      <c r="D1256" s="150" t="s">
        <v>490</v>
      </c>
      <c r="E1256" s="656">
        <v>687.75</v>
      </c>
      <c r="F1256" s="657">
        <f t="shared" ref="F1256:F1267" si="94">(C1256*E1256)</f>
        <v>1375.5</v>
      </c>
      <c r="G1256" s="658">
        <f t="shared" ref="G1256:G1267" si="95">(F1256+F1256*12%)</f>
        <v>1540.56</v>
      </c>
      <c r="H1256" s="152" t="s">
        <v>491</v>
      </c>
      <c r="I1256" s="150" t="s">
        <v>526</v>
      </c>
      <c r="J1256"/>
      <c r="K1256"/>
      <c r="L1256"/>
      <c r="M1256"/>
    </row>
    <row r="1257" spans="1:13" ht="20.25" customHeight="1">
      <c r="A1257" s="150" t="s">
        <v>488</v>
      </c>
      <c r="B1257" s="659" t="s">
        <v>528</v>
      </c>
      <c r="C1257" s="150">
        <v>2</v>
      </c>
      <c r="D1257" s="150" t="s">
        <v>490</v>
      </c>
      <c r="E1257" s="656">
        <v>235.2</v>
      </c>
      <c r="F1257" s="657">
        <f t="shared" si="94"/>
        <v>470.4</v>
      </c>
      <c r="G1257" s="658">
        <f t="shared" si="95"/>
        <v>526.84799999999996</v>
      </c>
      <c r="H1257" s="152" t="s">
        <v>491</v>
      </c>
      <c r="I1257" s="150" t="s">
        <v>526</v>
      </c>
      <c r="J1257"/>
      <c r="K1257"/>
      <c r="L1257"/>
      <c r="M1257"/>
    </row>
    <row r="1258" spans="1:13" ht="20.25" customHeight="1">
      <c r="A1258" s="150" t="s">
        <v>488</v>
      </c>
      <c r="B1258" s="659" t="s">
        <v>529</v>
      </c>
      <c r="C1258" s="150">
        <v>1</v>
      </c>
      <c r="D1258" s="150" t="s">
        <v>490</v>
      </c>
      <c r="E1258" s="656">
        <v>249.9</v>
      </c>
      <c r="F1258" s="657">
        <f t="shared" si="94"/>
        <v>249.9</v>
      </c>
      <c r="G1258" s="658">
        <f t="shared" si="95"/>
        <v>279.88800000000003</v>
      </c>
      <c r="H1258" s="152" t="s">
        <v>491</v>
      </c>
      <c r="I1258" s="150" t="s">
        <v>526</v>
      </c>
      <c r="J1258"/>
      <c r="K1258"/>
      <c r="L1258"/>
      <c r="M1258"/>
    </row>
    <row r="1259" spans="1:13" ht="20.25" customHeight="1">
      <c r="A1259" s="150" t="s">
        <v>488</v>
      </c>
      <c r="B1259" s="659" t="s">
        <v>530</v>
      </c>
      <c r="C1259" s="150">
        <v>1</v>
      </c>
      <c r="D1259" s="150" t="s">
        <v>490</v>
      </c>
      <c r="E1259" s="656">
        <v>249.9</v>
      </c>
      <c r="F1259" s="657">
        <f t="shared" si="94"/>
        <v>249.9</v>
      </c>
      <c r="G1259" s="658">
        <f t="shared" si="95"/>
        <v>279.88800000000003</v>
      </c>
      <c r="H1259" s="152" t="s">
        <v>491</v>
      </c>
      <c r="I1259" s="150" t="s">
        <v>526</v>
      </c>
      <c r="J1259"/>
      <c r="K1259"/>
      <c r="L1259"/>
      <c r="M1259"/>
    </row>
    <row r="1260" spans="1:13" ht="20.25" customHeight="1">
      <c r="A1260" s="150" t="s">
        <v>488</v>
      </c>
      <c r="B1260" s="660" t="s">
        <v>531</v>
      </c>
      <c r="C1260" s="150">
        <v>2</v>
      </c>
      <c r="D1260" s="150" t="s">
        <v>490</v>
      </c>
      <c r="E1260" s="656">
        <v>249.9</v>
      </c>
      <c r="F1260" s="657">
        <f t="shared" si="94"/>
        <v>499.8</v>
      </c>
      <c r="G1260" s="658">
        <f t="shared" si="95"/>
        <v>559.77600000000007</v>
      </c>
      <c r="H1260" s="152" t="s">
        <v>491</v>
      </c>
      <c r="I1260" s="150" t="s">
        <v>526</v>
      </c>
      <c r="J1260"/>
      <c r="K1260"/>
      <c r="L1260"/>
      <c r="M1260"/>
    </row>
    <row r="1261" spans="1:13" ht="20.25" customHeight="1">
      <c r="A1261" s="150" t="s">
        <v>488</v>
      </c>
      <c r="B1261" s="659" t="s">
        <v>532</v>
      </c>
      <c r="C1261" s="150">
        <v>1</v>
      </c>
      <c r="D1261" s="150" t="s">
        <v>490</v>
      </c>
      <c r="E1261" s="656">
        <v>68.25</v>
      </c>
      <c r="F1261" s="657">
        <f t="shared" si="94"/>
        <v>68.25</v>
      </c>
      <c r="G1261" s="658">
        <f t="shared" si="95"/>
        <v>76.44</v>
      </c>
      <c r="H1261" s="152" t="s">
        <v>491</v>
      </c>
      <c r="I1261" s="150" t="s">
        <v>526</v>
      </c>
      <c r="J1261"/>
      <c r="K1261"/>
      <c r="L1261"/>
      <c r="M1261"/>
    </row>
    <row r="1262" spans="1:13" ht="20.25" customHeight="1">
      <c r="A1262" s="150" t="s">
        <v>488</v>
      </c>
      <c r="B1262" s="659" t="s">
        <v>533</v>
      </c>
      <c r="C1262" s="150">
        <v>2</v>
      </c>
      <c r="D1262" s="150" t="s">
        <v>490</v>
      </c>
      <c r="E1262" s="653">
        <v>242.55</v>
      </c>
      <c r="F1262" s="657">
        <f t="shared" si="94"/>
        <v>485.1</v>
      </c>
      <c r="G1262" s="658">
        <f t="shared" si="95"/>
        <v>543.31200000000001</v>
      </c>
      <c r="H1262" s="152" t="s">
        <v>491</v>
      </c>
      <c r="I1262" s="150" t="s">
        <v>526</v>
      </c>
      <c r="J1262"/>
      <c r="K1262"/>
      <c r="L1262"/>
      <c r="M1262"/>
    </row>
    <row r="1263" spans="1:13" ht="20.25" customHeight="1">
      <c r="A1263" s="150" t="s">
        <v>488</v>
      </c>
      <c r="B1263" s="659" t="s">
        <v>534</v>
      </c>
      <c r="C1263" s="150">
        <v>2</v>
      </c>
      <c r="D1263" s="150" t="s">
        <v>490</v>
      </c>
      <c r="E1263" s="653">
        <v>309.75</v>
      </c>
      <c r="F1263" s="657">
        <f t="shared" si="94"/>
        <v>619.5</v>
      </c>
      <c r="G1263" s="658">
        <f t="shared" si="95"/>
        <v>693.84</v>
      </c>
      <c r="H1263" s="152" t="s">
        <v>491</v>
      </c>
      <c r="I1263" s="150" t="s">
        <v>526</v>
      </c>
      <c r="J1263"/>
      <c r="K1263"/>
      <c r="L1263"/>
      <c r="M1263"/>
    </row>
    <row r="1264" spans="1:13" ht="20.25" customHeight="1">
      <c r="A1264" s="150" t="s">
        <v>488</v>
      </c>
      <c r="B1264" s="659" t="s">
        <v>535</v>
      </c>
      <c r="C1264" s="150">
        <v>2</v>
      </c>
      <c r="D1264" s="150" t="s">
        <v>490</v>
      </c>
      <c r="E1264" s="653">
        <v>358.05</v>
      </c>
      <c r="F1264" s="657">
        <f t="shared" si="94"/>
        <v>716.1</v>
      </c>
      <c r="G1264" s="658">
        <f t="shared" si="95"/>
        <v>802.03200000000004</v>
      </c>
      <c r="H1264" s="152" t="s">
        <v>491</v>
      </c>
      <c r="I1264" s="150" t="s">
        <v>526</v>
      </c>
      <c r="J1264"/>
      <c r="K1264"/>
      <c r="L1264"/>
      <c r="M1264"/>
    </row>
    <row r="1265" spans="1:13" ht="20.25" customHeight="1">
      <c r="A1265" s="150" t="s">
        <v>488</v>
      </c>
      <c r="B1265" s="659" t="s">
        <v>536</v>
      </c>
      <c r="C1265" s="150">
        <v>2</v>
      </c>
      <c r="D1265" s="150" t="s">
        <v>490</v>
      </c>
      <c r="E1265" s="653">
        <v>358.05</v>
      </c>
      <c r="F1265" s="657">
        <f t="shared" si="94"/>
        <v>716.1</v>
      </c>
      <c r="G1265" s="658">
        <f t="shared" si="95"/>
        <v>802.03200000000004</v>
      </c>
      <c r="H1265" s="152" t="s">
        <v>491</v>
      </c>
      <c r="I1265" s="150" t="s">
        <v>526</v>
      </c>
      <c r="J1265"/>
      <c r="K1265"/>
      <c r="L1265"/>
      <c r="M1265"/>
    </row>
    <row r="1266" spans="1:13" ht="20.25" customHeight="1">
      <c r="A1266" s="150" t="s">
        <v>488</v>
      </c>
      <c r="B1266" s="659" t="s">
        <v>537</v>
      </c>
      <c r="C1266" s="150">
        <v>2</v>
      </c>
      <c r="D1266" s="150" t="s">
        <v>490</v>
      </c>
      <c r="E1266" s="653">
        <v>358.05</v>
      </c>
      <c r="F1266" s="657">
        <f t="shared" si="94"/>
        <v>716.1</v>
      </c>
      <c r="G1266" s="658">
        <f t="shared" si="95"/>
        <v>802.03200000000004</v>
      </c>
      <c r="H1266" s="152" t="s">
        <v>491</v>
      </c>
      <c r="I1266" s="150" t="s">
        <v>526</v>
      </c>
      <c r="J1266"/>
      <c r="K1266"/>
      <c r="L1266"/>
      <c r="M1266"/>
    </row>
    <row r="1267" spans="1:13" ht="20.25" customHeight="1">
      <c r="A1267" s="150" t="s">
        <v>488</v>
      </c>
      <c r="B1267" s="190" t="s">
        <v>538</v>
      </c>
      <c r="C1267" s="149">
        <v>2</v>
      </c>
      <c r="D1267" s="149" t="s">
        <v>490</v>
      </c>
      <c r="E1267" s="653">
        <v>180</v>
      </c>
      <c r="F1267" s="657">
        <f t="shared" si="94"/>
        <v>360</v>
      </c>
      <c r="G1267" s="658">
        <f t="shared" si="95"/>
        <v>403.2</v>
      </c>
      <c r="H1267" s="152" t="s">
        <v>491</v>
      </c>
      <c r="I1267" s="150" t="s">
        <v>526</v>
      </c>
      <c r="J1267"/>
      <c r="K1267"/>
      <c r="L1267"/>
      <c r="M1267"/>
    </row>
    <row r="1268" spans="1:13" ht="20.25" customHeight="1">
      <c r="E1268" s="622" t="s">
        <v>35</v>
      </c>
      <c r="F1268" s="623">
        <f>SUM(F1255:F1267)</f>
        <v>6741.9000000000015</v>
      </c>
      <c r="G1268" s="622">
        <f>SUM(G1255:G1267)</f>
        <v>7550.9279999999999</v>
      </c>
      <c r="J1268"/>
      <c r="K1268"/>
      <c r="L1268"/>
      <c r="M1268"/>
    </row>
    <row r="1269" spans="1:13" ht="20.25" customHeight="1">
      <c r="J1269"/>
      <c r="K1269"/>
      <c r="L1269"/>
      <c r="M1269"/>
    </row>
    <row r="1270" spans="1:13" ht="20.25" customHeight="1">
      <c r="J1270"/>
      <c r="K1270"/>
      <c r="L1270"/>
      <c r="M1270"/>
    </row>
    <row r="1271" spans="1:13" ht="20.25" customHeight="1">
      <c r="J1271"/>
      <c r="K1271"/>
      <c r="L1271"/>
      <c r="M1271"/>
    </row>
    <row r="1272" spans="1:13" ht="20.25" customHeight="1">
      <c r="J1272"/>
      <c r="K1272"/>
      <c r="L1272"/>
      <c r="M1272"/>
    </row>
    <row r="1273" spans="1:13" ht="20.25" customHeight="1">
      <c r="A1273" s="867" t="s">
        <v>954</v>
      </c>
      <c r="B1273" s="867"/>
      <c r="C1273" s="867"/>
      <c r="D1273" s="867"/>
      <c r="E1273" s="867"/>
      <c r="F1273" s="867"/>
      <c r="G1273" s="867"/>
      <c r="H1273" s="867"/>
      <c r="I1273" s="867"/>
      <c r="J1273"/>
      <c r="K1273"/>
      <c r="L1273"/>
      <c r="M1273"/>
    </row>
    <row r="1274" spans="1:13" ht="20.25" customHeight="1">
      <c r="A1274" s="140"/>
      <c r="B1274" s="140"/>
      <c r="C1274" s="140"/>
      <c r="D1274" s="140"/>
      <c r="E1274" s="140"/>
      <c r="F1274" s="140"/>
      <c r="G1274" s="140"/>
      <c r="H1274" s="140"/>
      <c r="I1274" s="140"/>
      <c r="J1274"/>
      <c r="K1274"/>
      <c r="L1274"/>
      <c r="M1274"/>
    </row>
    <row r="1275" spans="1:13" ht="20.25" customHeight="1">
      <c r="A1275" s="137" t="s">
        <v>298</v>
      </c>
      <c r="B1275" s="868" t="s">
        <v>539</v>
      </c>
      <c r="C1275" s="868"/>
      <c r="D1275" s="868"/>
      <c r="E1275" s="868"/>
      <c r="F1275" s="868"/>
      <c r="G1275" s="868"/>
      <c r="H1275" s="868"/>
      <c r="I1275" s="868"/>
      <c r="J1275"/>
      <c r="K1275"/>
      <c r="L1275"/>
      <c r="M1275"/>
    </row>
    <row r="1276" spans="1:13" ht="20.25" customHeight="1">
      <c r="A1276" s="139" t="s">
        <v>299</v>
      </c>
      <c r="B1276" s="868" t="s">
        <v>524</v>
      </c>
      <c r="C1276" s="868"/>
      <c r="D1276" s="868"/>
      <c r="E1276" s="868"/>
      <c r="F1276" s="868"/>
      <c r="G1276" s="868"/>
      <c r="H1276" s="868"/>
      <c r="I1276" s="868"/>
      <c r="J1276"/>
      <c r="K1276"/>
      <c r="L1276"/>
      <c r="M1276"/>
    </row>
    <row r="1277" spans="1:13" ht="20.25" customHeight="1">
      <c r="A1277" s="137" t="s">
        <v>300</v>
      </c>
      <c r="B1277" s="874" t="s">
        <v>485</v>
      </c>
      <c r="C1277" s="874"/>
      <c r="D1277" s="874"/>
      <c r="E1277" s="874"/>
      <c r="F1277" s="874"/>
      <c r="G1277" s="874" t="s">
        <v>913</v>
      </c>
      <c r="H1277" s="874"/>
      <c r="I1277" s="874"/>
      <c r="J1277"/>
      <c r="K1277"/>
      <c r="L1277"/>
      <c r="M1277"/>
    </row>
    <row r="1278" spans="1:13" ht="20.25" customHeight="1">
      <c r="B1278" s="138" t="s">
        <v>486</v>
      </c>
      <c r="G1278" s="138" t="s">
        <v>311</v>
      </c>
      <c r="J1278"/>
      <c r="K1278"/>
      <c r="L1278"/>
      <c r="M1278"/>
    </row>
    <row r="1279" spans="1:13" ht="20.25" customHeight="1">
      <c r="A1279" s="661" t="s">
        <v>301</v>
      </c>
      <c r="B1279" s="147" t="s">
        <v>302</v>
      </c>
      <c r="C1279" s="147" t="s">
        <v>312</v>
      </c>
      <c r="D1279" s="147" t="s">
        <v>303</v>
      </c>
      <c r="E1279" s="148" t="s">
        <v>304</v>
      </c>
      <c r="F1279" s="147" t="s">
        <v>305</v>
      </c>
      <c r="G1279" s="147" t="s">
        <v>306</v>
      </c>
      <c r="H1279" s="148" t="s">
        <v>307</v>
      </c>
      <c r="I1279" s="147" t="s">
        <v>308</v>
      </c>
      <c r="J1279"/>
      <c r="K1279"/>
      <c r="L1279"/>
      <c r="M1279"/>
    </row>
    <row r="1280" spans="1:13" ht="20.25" customHeight="1">
      <c r="A1280" s="150" t="s">
        <v>540</v>
      </c>
      <c r="B1280" s="652" t="s">
        <v>541</v>
      </c>
      <c r="C1280" s="150">
        <v>25</v>
      </c>
      <c r="D1280" s="150" t="s">
        <v>324</v>
      </c>
      <c r="E1280" s="662">
        <v>6</v>
      </c>
      <c r="F1280" s="663">
        <f>(C1280*E1280)</f>
        <v>150</v>
      </c>
      <c r="G1280" s="664">
        <f>(F1280+F1280*12%)</f>
        <v>168</v>
      </c>
      <c r="H1280" s="152" t="s">
        <v>542</v>
      </c>
      <c r="I1280" s="150" t="s">
        <v>10</v>
      </c>
      <c r="J1280"/>
      <c r="K1280"/>
      <c r="L1280"/>
      <c r="M1280"/>
    </row>
    <row r="1281" spans="1:13" ht="20.25" customHeight="1">
      <c r="A1281" s="150" t="s">
        <v>540</v>
      </c>
      <c r="B1281" s="652" t="s">
        <v>543</v>
      </c>
      <c r="C1281" s="150">
        <v>20</v>
      </c>
      <c r="D1281" s="150" t="s">
        <v>544</v>
      </c>
      <c r="E1281" s="662">
        <v>9</v>
      </c>
      <c r="F1281" s="663">
        <f t="shared" ref="F1281:F1293" si="96">(C1281*E1281)</f>
        <v>180</v>
      </c>
      <c r="G1281" s="664">
        <f t="shared" ref="G1281:G1293" si="97">(F1281+F1281*12%)</f>
        <v>201.6</v>
      </c>
      <c r="H1281" s="152" t="s">
        <v>542</v>
      </c>
      <c r="I1281" s="150" t="s">
        <v>10</v>
      </c>
      <c r="J1281"/>
      <c r="K1281"/>
      <c r="L1281"/>
      <c r="M1281"/>
    </row>
    <row r="1282" spans="1:13" ht="20.25" customHeight="1">
      <c r="A1282" s="150" t="s">
        <v>540</v>
      </c>
      <c r="B1282" s="652" t="s">
        <v>545</v>
      </c>
      <c r="C1282" s="150">
        <v>4</v>
      </c>
      <c r="D1282" s="150" t="s">
        <v>490</v>
      </c>
      <c r="E1282" s="662">
        <v>2</v>
      </c>
      <c r="F1282" s="663">
        <f t="shared" si="96"/>
        <v>8</v>
      </c>
      <c r="G1282" s="664">
        <f t="shared" si="97"/>
        <v>8.9600000000000009</v>
      </c>
      <c r="H1282" s="152" t="s">
        <v>542</v>
      </c>
      <c r="I1282" s="150" t="s">
        <v>10</v>
      </c>
      <c r="J1282"/>
      <c r="K1282"/>
      <c r="L1282"/>
      <c r="M1282"/>
    </row>
    <row r="1283" spans="1:13" ht="20.25" customHeight="1">
      <c r="A1283" s="150" t="s">
        <v>540</v>
      </c>
      <c r="B1283" s="652" t="s">
        <v>546</v>
      </c>
      <c r="C1283" s="150">
        <v>20</v>
      </c>
      <c r="D1283" s="150" t="s">
        <v>544</v>
      </c>
      <c r="E1283" s="662">
        <v>6</v>
      </c>
      <c r="F1283" s="663">
        <f t="shared" si="96"/>
        <v>120</v>
      </c>
      <c r="G1283" s="664">
        <f t="shared" si="97"/>
        <v>134.4</v>
      </c>
      <c r="H1283" s="152" t="s">
        <v>542</v>
      </c>
      <c r="I1283" s="150" t="s">
        <v>10</v>
      </c>
      <c r="J1283"/>
      <c r="K1283"/>
      <c r="L1283"/>
      <c r="M1283"/>
    </row>
    <row r="1284" spans="1:13" ht="20.25" customHeight="1">
      <c r="A1284" s="150" t="s">
        <v>540</v>
      </c>
      <c r="B1284" s="652" t="s">
        <v>547</v>
      </c>
      <c r="C1284" s="150">
        <v>20</v>
      </c>
      <c r="D1284" s="150" t="s">
        <v>544</v>
      </c>
      <c r="E1284" s="662">
        <v>7</v>
      </c>
      <c r="F1284" s="663">
        <f t="shared" si="96"/>
        <v>140</v>
      </c>
      <c r="G1284" s="664">
        <f t="shared" si="97"/>
        <v>156.80000000000001</v>
      </c>
      <c r="H1284" s="152" t="s">
        <v>542</v>
      </c>
      <c r="I1284" s="150" t="s">
        <v>10</v>
      </c>
      <c r="J1284"/>
      <c r="K1284"/>
      <c r="L1284"/>
      <c r="M1284"/>
    </row>
    <row r="1285" spans="1:13" ht="20.25" customHeight="1">
      <c r="A1285" s="150" t="s">
        <v>540</v>
      </c>
      <c r="B1285" s="652" t="s">
        <v>548</v>
      </c>
      <c r="C1285" s="150">
        <v>20</v>
      </c>
      <c r="D1285" s="150" t="s">
        <v>544</v>
      </c>
      <c r="E1285" s="662">
        <v>6</v>
      </c>
      <c r="F1285" s="663">
        <f t="shared" si="96"/>
        <v>120</v>
      </c>
      <c r="G1285" s="664">
        <f t="shared" si="97"/>
        <v>134.4</v>
      </c>
      <c r="H1285" s="152" t="s">
        <v>542</v>
      </c>
      <c r="I1285" s="150" t="s">
        <v>10</v>
      </c>
      <c r="J1285"/>
      <c r="K1285"/>
      <c r="L1285"/>
      <c r="M1285"/>
    </row>
    <row r="1286" spans="1:13" ht="20.25" customHeight="1">
      <c r="A1286" s="150" t="s">
        <v>540</v>
      </c>
      <c r="B1286" s="652" t="s">
        <v>549</v>
      </c>
      <c r="C1286" s="150">
        <v>5</v>
      </c>
      <c r="D1286" s="150" t="s">
        <v>507</v>
      </c>
      <c r="E1286" s="662">
        <v>3</v>
      </c>
      <c r="F1286" s="663">
        <f t="shared" si="96"/>
        <v>15</v>
      </c>
      <c r="G1286" s="664">
        <f t="shared" si="97"/>
        <v>16.8</v>
      </c>
      <c r="H1286" s="152" t="s">
        <v>542</v>
      </c>
      <c r="I1286" s="150" t="s">
        <v>10</v>
      </c>
      <c r="J1286"/>
      <c r="K1286"/>
      <c r="L1286"/>
      <c r="M1286"/>
    </row>
    <row r="1287" spans="1:13" ht="20.25" customHeight="1">
      <c r="A1287" s="150" t="s">
        <v>540</v>
      </c>
      <c r="B1287" s="652" t="s">
        <v>550</v>
      </c>
      <c r="C1287" s="150">
        <v>20</v>
      </c>
      <c r="D1287" s="150" t="s">
        <v>504</v>
      </c>
      <c r="E1287" s="662">
        <v>3.5</v>
      </c>
      <c r="F1287" s="663">
        <f t="shared" si="96"/>
        <v>70</v>
      </c>
      <c r="G1287" s="664">
        <f t="shared" si="97"/>
        <v>78.400000000000006</v>
      </c>
      <c r="H1287" s="152" t="s">
        <v>542</v>
      </c>
      <c r="I1287" s="150" t="s">
        <v>10</v>
      </c>
      <c r="J1287"/>
      <c r="K1287"/>
      <c r="L1287"/>
      <c r="M1287"/>
    </row>
    <row r="1288" spans="1:13" ht="20.25" customHeight="1">
      <c r="A1288" s="150" t="s">
        <v>540</v>
      </c>
      <c r="B1288" s="652" t="s">
        <v>551</v>
      </c>
      <c r="C1288" s="150">
        <v>4</v>
      </c>
      <c r="D1288" s="150" t="s">
        <v>490</v>
      </c>
      <c r="E1288" s="662">
        <v>2</v>
      </c>
      <c r="F1288" s="663">
        <f t="shared" si="96"/>
        <v>8</v>
      </c>
      <c r="G1288" s="664">
        <f t="shared" si="97"/>
        <v>8.9600000000000009</v>
      </c>
      <c r="H1288" s="152" t="s">
        <v>542</v>
      </c>
      <c r="I1288" s="150" t="s">
        <v>10</v>
      </c>
      <c r="J1288"/>
      <c r="K1288"/>
      <c r="L1288"/>
      <c r="M1288"/>
    </row>
    <row r="1289" spans="1:13" ht="20.25" customHeight="1">
      <c r="A1289" s="150" t="s">
        <v>540</v>
      </c>
      <c r="B1289" s="652" t="s">
        <v>552</v>
      </c>
      <c r="C1289" s="150">
        <v>5</v>
      </c>
      <c r="D1289" s="150" t="s">
        <v>553</v>
      </c>
      <c r="E1289" s="662">
        <v>6</v>
      </c>
      <c r="F1289" s="663">
        <f t="shared" si="96"/>
        <v>30</v>
      </c>
      <c r="G1289" s="664">
        <f t="shared" si="97"/>
        <v>33.6</v>
      </c>
      <c r="H1289" s="152" t="s">
        <v>542</v>
      </c>
      <c r="I1289" s="150" t="s">
        <v>10</v>
      </c>
      <c r="J1289"/>
      <c r="K1289"/>
      <c r="L1289"/>
      <c r="M1289"/>
    </row>
    <row r="1290" spans="1:13" ht="20.25" customHeight="1">
      <c r="A1290" s="150" t="s">
        <v>540</v>
      </c>
      <c r="B1290" s="652" t="s">
        <v>554</v>
      </c>
      <c r="C1290" s="150">
        <v>20</v>
      </c>
      <c r="D1290" s="150" t="s">
        <v>501</v>
      </c>
      <c r="E1290" s="662">
        <v>1</v>
      </c>
      <c r="F1290" s="663">
        <f t="shared" si="96"/>
        <v>20</v>
      </c>
      <c r="G1290" s="664">
        <f t="shared" si="97"/>
        <v>22.4</v>
      </c>
      <c r="H1290" s="152" t="s">
        <v>542</v>
      </c>
      <c r="I1290" s="150" t="s">
        <v>10</v>
      </c>
      <c r="J1290"/>
      <c r="K1290"/>
      <c r="L1290"/>
      <c r="M1290"/>
    </row>
    <row r="1291" spans="1:13" ht="20.25" customHeight="1">
      <c r="A1291" s="150" t="s">
        <v>540</v>
      </c>
      <c r="B1291" s="652" t="s">
        <v>555</v>
      </c>
      <c r="C1291" s="150">
        <v>20</v>
      </c>
      <c r="D1291" s="150" t="s">
        <v>501</v>
      </c>
      <c r="E1291" s="662">
        <v>1.2</v>
      </c>
      <c r="F1291" s="663">
        <f t="shared" si="96"/>
        <v>24</v>
      </c>
      <c r="G1291" s="664">
        <f t="shared" si="97"/>
        <v>26.88</v>
      </c>
      <c r="H1291" s="152" t="s">
        <v>542</v>
      </c>
      <c r="I1291" s="150" t="s">
        <v>10</v>
      </c>
      <c r="J1291"/>
      <c r="K1291"/>
      <c r="L1291"/>
      <c r="M1291"/>
    </row>
    <row r="1292" spans="1:13" ht="20.25" customHeight="1">
      <c r="A1292" s="149" t="s">
        <v>540</v>
      </c>
      <c r="B1292" s="652" t="s">
        <v>556</v>
      </c>
      <c r="C1292" s="149">
        <v>20</v>
      </c>
      <c r="D1292" s="149" t="s">
        <v>501</v>
      </c>
      <c r="E1292" s="665">
        <v>15</v>
      </c>
      <c r="F1292" s="663">
        <f t="shared" si="96"/>
        <v>300</v>
      </c>
      <c r="G1292" s="664">
        <f t="shared" si="97"/>
        <v>336</v>
      </c>
      <c r="H1292" s="152" t="s">
        <v>542</v>
      </c>
      <c r="I1292" s="150" t="s">
        <v>10</v>
      </c>
      <c r="J1292"/>
      <c r="K1292"/>
      <c r="L1292"/>
      <c r="M1292"/>
    </row>
    <row r="1293" spans="1:13" ht="20.25" customHeight="1">
      <c r="A1293" s="149" t="s">
        <v>540</v>
      </c>
      <c r="B1293" s="190" t="s">
        <v>557</v>
      </c>
      <c r="C1293" s="149">
        <v>20</v>
      </c>
      <c r="D1293" s="149" t="s">
        <v>331</v>
      </c>
      <c r="E1293" s="665">
        <v>1.5</v>
      </c>
      <c r="F1293" s="663">
        <f t="shared" si="96"/>
        <v>30</v>
      </c>
      <c r="G1293" s="664">
        <f t="shared" si="97"/>
        <v>33.6</v>
      </c>
      <c r="H1293" s="152" t="s">
        <v>542</v>
      </c>
      <c r="I1293" s="150" t="s">
        <v>10</v>
      </c>
      <c r="J1293"/>
      <c r="K1293"/>
      <c r="L1293"/>
      <c r="M1293"/>
    </row>
    <row r="1294" spans="1:13" ht="20.25" customHeight="1">
      <c r="E1294" s="192" t="s">
        <v>35</v>
      </c>
      <c r="F1294" s="666">
        <f>SUM(F1292:F1293)</f>
        <v>330</v>
      </c>
      <c r="G1294" s="622">
        <f>SUM(G1280:G1293)</f>
        <v>1360.7999999999997</v>
      </c>
      <c r="J1294"/>
      <c r="K1294"/>
      <c r="L1294"/>
      <c r="M1294"/>
    </row>
    <row r="1295" spans="1:13" ht="20.25" customHeight="1">
      <c r="J1295"/>
      <c r="K1295"/>
      <c r="L1295"/>
      <c r="M1295"/>
    </row>
    <row r="1296" spans="1:13" ht="20.25" customHeight="1">
      <c r="J1296"/>
      <c r="K1296"/>
      <c r="L1296"/>
      <c r="M1296"/>
    </row>
    <row r="1297" spans="1:13" ht="20.25" customHeight="1">
      <c r="J1297"/>
      <c r="K1297"/>
      <c r="L1297"/>
      <c r="M1297"/>
    </row>
    <row r="1298" spans="1:13" ht="20.25" customHeight="1">
      <c r="A1298" s="867" t="s">
        <v>954</v>
      </c>
      <c r="B1298" s="867"/>
      <c r="C1298" s="867"/>
      <c r="D1298" s="867"/>
      <c r="E1298" s="867"/>
      <c r="F1298" s="867"/>
      <c r="G1298" s="867"/>
      <c r="H1298" s="867"/>
      <c r="I1298" s="867"/>
      <c r="J1298"/>
      <c r="K1298"/>
      <c r="L1298"/>
      <c r="M1298"/>
    </row>
    <row r="1299" spans="1:13" ht="20.25" customHeight="1">
      <c r="A1299" s="140"/>
      <c r="B1299" s="140"/>
      <c r="C1299" s="140"/>
      <c r="D1299" s="140"/>
      <c r="E1299" s="140"/>
      <c r="F1299" s="140"/>
      <c r="G1299" s="140"/>
      <c r="H1299" s="140"/>
      <c r="I1299" s="140"/>
      <c r="J1299"/>
      <c r="K1299"/>
      <c r="L1299"/>
      <c r="M1299"/>
    </row>
    <row r="1300" spans="1:13" ht="20.25" customHeight="1">
      <c r="A1300" s="137" t="s">
        <v>298</v>
      </c>
      <c r="B1300" s="868" t="s">
        <v>558</v>
      </c>
      <c r="C1300" s="868"/>
      <c r="D1300" s="868"/>
      <c r="E1300" s="868"/>
      <c r="F1300" s="868"/>
      <c r="G1300" s="868"/>
      <c r="H1300" s="868"/>
      <c r="I1300" s="868"/>
      <c r="J1300"/>
      <c r="K1300"/>
      <c r="L1300"/>
      <c r="M1300"/>
    </row>
    <row r="1301" spans="1:13" ht="20.25" customHeight="1">
      <c r="A1301" s="139" t="s">
        <v>299</v>
      </c>
      <c r="B1301" s="868" t="s">
        <v>524</v>
      </c>
      <c r="C1301" s="868"/>
      <c r="D1301" s="868"/>
      <c r="E1301" s="868"/>
      <c r="F1301" s="868"/>
      <c r="G1301" s="868"/>
      <c r="H1301" s="868"/>
      <c r="I1301" s="868"/>
      <c r="J1301"/>
      <c r="K1301"/>
      <c r="L1301"/>
      <c r="M1301"/>
    </row>
    <row r="1302" spans="1:13" ht="20.25" customHeight="1">
      <c r="A1302" s="137" t="s">
        <v>300</v>
      </c>
      <c r="B1302" s="874" t="s">
        <v>485</v>
      </c>
      <c r="C1302" s="874"/>
      <c r="D1302" s="874"/>
      <c r="E1302" s="874"/>
      <c r="F1302" s="874"/>
      <c r="G1302" s="874" t="s">
        <v>914</v>
      </c>
      <c r="H1302" s="874"/>
      <c r="I1302" s="874"/>
      <c r="J1302"/>
      <c r="K1302"/>
      <c r="L1302"/>
      <c r="M1302"/>
    </row>
    <row r="1303" spans="1:13" ht="20.25" customHeight="1">
      <c r="B1303" s="138" t="s">
        <v>486</v>
      </c>
      <c r="G1303" s="138" t="s">
        <v>311</v>
      </c>
      <c r="J1303"/>
      <c r="K1303"/>
      <c r="L1303"/>
      <c r="M1303"/>
    </row>
    <row r="1304" spans="1:13" ht="20.25" customHeight="1">
      <c r="A1304" s="661" t="s">
        <v>301</v>
      </c>
      <c r="B1304" s="147" t="s">
        <v>302</v>
      </c>
      <c r="C1304" s="147" t="s">
        <v>312</v>
      </c>
      <c r="D1304" s="147" t="s">
        <v>303</v>
      </c>
      <c r="E1304" s="148" t="s">
        <v>304</v>
      </c>
      <c r="F1304" s="147" t="s">
        <v>305</v>
      </c>
      <c r="G1304" s="147" t="s">
        <v>306</v>
      </c>
      <c r="H1304" s="148" t="s">
        <v>307</v>
      </c>
      <c r="I1304" s="147" t="s">
        <v>308</v>
      </c>
      <c r="J1304"/>
      <c r="K1304"/>
      <c r="L1304"/>
      <c r="M1304"/>
    </row>
    <row r="1305" spans="1:13" ht="20.25" customHeight="1">
      <c r="A1305" s="149" t="s">
        <v>373</v>
      </c>
      <c r="B1305" s="276" t="s">
        <v>560</v>
      </c>
      <c r="C1305" s="149">
        <v>1</v>
      </c>
      <c r="D1305" s="149" t="s">
        <v>490</v>
      </c>
      <c r="E1305" s="667">
        <v>904</v>
      </c>
      <c r="F1305" s="654">
        <f>(C1305*E1305)</f>
        <v>904</v>
      </c>
      <c r="G1305" s="654">
        <f>(F1305+F1305*12%)</f>
        <v>1012.48</v>
      </c>
      <c r="H1305" s="149" t="s">
        <v>561</v>
      </c>
      <c r="I1305" s="190" t="s">
        <v>559</v>
      </c>
      <c r="J1305"/>
      <c r="K1305"/>
      <c r="L1305"/>
      <c r="M1305"/>
    </row>
    <row r="1306" spans="1:13" ht="20.25" customHeight="1">
      <c r="A1306" s="149" t="s">
        <v>373</v>
      </c>
      <c r="B1306" s="276" t="s">
        <v>562</v>
      </c>
      <c r="C1306" s="149">
        <v>1</v>
      </c>
      <c r="D1306" s="149" t="s">
        <v>490</v>
      </c>
      <c r="E1306" s="667">
        <v>1000</v>
      </c>
      <c r="F1306" s="654">
        <f t="shared" ref="F1306:F1312" si="98">(C1306*E1306)</f>
        <v>1000</v>
      </c>
      <c r="G1306" s="654">
        <f t="shared" ref="G1306:G1312" si="99">(F1306+F1306*12%)</f>
        <v>1120</v>
      </c>
      <c r="H1306" s="149" t="s">
        <v>561</v>
      </c>
      <c r="I1306" s="190" t="s">
        <v>559</v>
      </c>
      <c r="J1306"/>
      <c r="K1306"/>
      <c r="L1306"/>
      <c r="M1306"/>
    </row>
    <row r="1307" spans="1:13" ht="20.25" customHeight="1">
      <c r="A1307" s="149" t="s">
        <v>373</v>
      </c>
      <c r="B1307" s="276" t="s">
        <v>563</v>
      </c>
      <c r="C1307" s="149">
        <v>1</v>
      </c>
      <c r="D1307" s="149" t="s">
        <v>490</v>
      </c>
      <c r="E1307" s="667">
        <v>17099</v>
      </c>
      <c r="F1307" s="654">
        <f t="shared" si="98"/>
        <v>17099</v>
      </c>
      <c r="G1307" s="654">
        <f t="shared" si="99"/>
        <v>19150.88</v>
      </c>
      <c r="H1307" s="149" t="s">
        <v>561</v>
      </c>
      <c r="I1307" s="190" t="s">
        <v>559</v>
      </c>
      <c r="J1307"/>
      <c r="K1307"/>
      <c r="L1307"/>
      <c r="M1307"/>
    </row>
    <row r="1308" spans="1:13" ht="20.25" customHeight="1">
      <c r="A1308" s="149" t="s">
        <v>373</v>
      </c>
      <c r="B1308" s="276" t="s">
        <v>564</v>
      </c>
      <c r="C1308" s="149">
        <v>1</v>
      </c>
      <c r="D1308" s="149" t="s">
        <v>490</v>
      </c>
      <c r="E1308" s="667">
        <v>1800</v>
      </c>
      <c r="F1308" s="654">
        <f t="shared" si="98"/>
        <v>1800</v>
      </c>
      <c r="G1308" s="654">
        <f t="shared" si="99"/>
        <v>2016</v>
      </c>
      <c r="H1308" s="149" t="s">
        <v>561</v>
      </c>
      <c r="I1308" s="190" t="s">
        <v>559</v>
      </c>
      <c r="J1308"/>
      <c r="K1308"/>
      <c r="L1308"/>
      <c r="M1308"/>
    </row>
    <row r="1309" spans="1:13" ht="20.25" customHeight="1">
      <c r="A1309" s="149" t="s">
        <v>373</v>
      </c>
      <c r="B1309" s="276" t="s">
        <v>565</v>
      </c>
      <c r="C1309" s="149">
        <v>1</v>
      </c>
      <c r="D1309" s="149" t="s">
        <v>490</v>
      </c>
      <c r="E1309" s="667">
        <v>1000</v>
      </c>
      <c r="F1309" s="654">
        <f t="shared" si="98"/>
        <v>1000</v>
      </c>
      <c r="G1309" s="654">
        <f t="shared" si="99"/>
        <v>1120</v>
      </c>
      <c r="H1309" s="149" t="s">
        <v>561</v>
      </c>
      <c r="I1309" s="190" t="s">
        <v>559</v>
      </c>
      <c r="J1309"/>
      <c r="K1309"/>
      <c r="L1309"/>
      <c r="M1309"/>
    </row>
    <row r="1310" spans="1:13" ht="20.25" customHeight="1">
      <c r="A1310" s="149" t="s">
        <v>373</v>
      </c>
      <c r="B1310" s="276" t="s">
        <v>566</v>
      </c>
      <c r="C1310" s="149">
        <v>1</v>
      </c>
      <c r="D1310" s="149" t="s">
        <v>490</v>
      </c>
      <c r="E1310" s="667">
        <v>2800</v>
      </c>
      <c r="F1310" s="654">
        <f t="shared" si="98"/>
        <v>2800</v>
      </c>
      <c r="G1310" s="654">
        <f t="shared" si="99"/>
        <v>3136</v>
      </c>
      <c r="H1310" s="149" t="s">
        <v>561</v>
      </c>
      <c r="I1310" s="190" t="s">
        <v>559</v>
      </c>
      <c r="J1310"/>
      <c r="K1310"/>
      <c r="L1310"/>
      <c r="M1310"/>
    </row>
    <row r="1311" spans="1:13" ht="20.25" customHeight="1">
      <c r="A1311" s="149" t="s">
        <v>373</v>
      </c>
      <c r="B1311" s="276" t="s">
        <v>567</v>
      </c>
      <c r="C1311" s="149">
        <v>1</v>
      </c>
      <c r="D1311" s="149" t="s">
        <v>490</v>
      </c>
      <c r="E1311" s="667">
        <v>320</v>
      </c>
      <c r="F1311" s="654">
        <f t="shared" si="98"/>
        <v>320</v>
      </c>
      <c r="G1311" s="654">
        <f t="shared" si="99"/>
        <v>358.4</v>
      </c>
      <c r="H1311" s="149" t="s">
        <v>561</v>
      </c>
      <c r="I1311" s="190" t="s">
        <v>559</v>
      </c>
      <c r="J1311"/>
      <c r="K1311"/>
      <c r="L1311"/>
      <c r="M1311"/>
    </row>
    <row r="1312" spans="1:13" ht="20.25" customHeight="1">
      <c r="A1312" s="149" t="s">
        <v>373</v>
      </c>
      <c r="B1312" s="276" t="s">
        <v>568</v>
      </c>
      <c r="C1312" s="149">
        <v>1</v>
      </c>
      <c r="D1312" s="149" t="s">
        <v>490</v>
      </c>
      <c r="E1312" s="667">
        <v>970</v>
      </c>
      <c r="F1312" s="654">
        <f t="shared" si="98"/>
        <v>970</v>
      </c>
      <c r="G1312" s="654">
        <f t="shared" si="99"/>
        <v>1086.4000000000001</v>
      </c>
      <c r="H1312" s="149" t="s">
        <v>561</v>
      </c>
      <c r="I1312" s="190" t="s">
        <v>559</v>
      </c>
      <c r="J1312"/>
      <c r="K1312"/>
      <c r="L1312"/>
      <c r="M1312"/>
    </row>
    <row r="1313" spans="1:13" ht="20.25" customHeight="1">
      <c r="E1313" s="192" t="s">
        <v>35</v>
      </c>
      <c r="F1313" s="621">
        <f>SUM(F1305:F1312)</f>
        <v>25893</v>
      </c>
      <c r="G1313" s="621">
        <f>SUM(G1305:G1312)</f>
        <v>29000.160000000003</v>
      </c>
      <c r="J1313"/>
      <c r="K1313"/>
      <c r="L1313"/>
      <c r="M1313"/>
    </row>
    <row r="1314" spans="1:13" ht="20.25" customHeight="1">
      <c r="J1314"/>
      <c r="K1314"/>
      <c r="L1314"/>
      <c r="M1314"/>
    </row>
    <row r="1315" spans="1:13" ht="20.25" customHeight="1">
      <c r="A1315" s="867" t="s">
        <v>954</v>
      </c>
      <c r="B1315" s="867"/>
      <c r="C1315" s="867"/>
      <c r="D1315" s="867"/>
      <c r="E1315" s="867"/>
      <c r="F1315" s="867"/>
      <c r="G1315" s="867"/>
      <c r="H1315" s="867"/>
      <c r="I1315" s="867"/>
      <c r="J1315"/>
      <c r="K1315"/>
      <c r="L1315"/>
      <c r="M1315"/>
    </row>
    <row r="1316" spans="1:13" ht="20.25" customHeight="1">
      <c r="A1316" s="140"/>
      <c r="B1316" s="140"/>
      <c r="C1316" s="140"/>
      <c r="D1316" s="140"/>
      <c r="E1316" s="140"/>
      <c r="F1316" s="140"/>
      <c r="G1316" s="140"/>
      <c r="H1316" s="140"/>
      <c r="I1316" s="140"/>
      <c r="J1316"/>
      <c r="K1316"/>
      <c r="L1316"/>
      <c r="M1316"/>
    </row>
    <row r="1317" spans="1:13" ht="20.25" customHeight="1">
      <c r="A1317" s="137" t="s">
        <v>298</v>
      </c>
      <c r="B1317" s="868" t="s">
        <v>915</v>
      </c>
      <c r="C1317" s="868"/>
      <c r="D1317" s="868"/>
      <c r="E1317" s="868"/>
      <c r="F1317" s="868"/>
      <c r="G1317" s="868"/>
      <c r="H1317" s="868"/>
      <c r="I1317" s="868"/>
      <c r="J1317"/>
      <c r="K1317"/>
      <c r="L1317"/>
      <c r="M1317"/>
    </row>
    <row r="1318" spans="1:13" ht="20.25" customHeight="1">
      <c r="A1318" s="139" t="s">
        <v>299</v>
      </c>
      <c r="B1318" s="868" t="s">
        <v>524</v>
      </c>
      <c r="C1318" s="868"/>
      <c r="D1318" s="868"/>
      <c r="E1318" s="868"/>
      <c r="F1318" s="868"/>
      <c r="G1318" s="868"/>
      <c r="H1318" s="868"/>
      <c r="I1318" s="868"/>
      <c r="J1318"/>
      <c r="K1318"/>
      <c r="L1318"/>
      <c r="M1318"/>
    </row>
    <row r="1319" spans="1:13" ht="20.25" customHeight="1">
      <c r="A1319" s="137" t="s">
        <v>300</v>
      </c>
      <c r="B1319" s="874" t="s">
        <v>485</v>
      </c>
      <c r="C1319" s="874"/>
      <c r="D1319" s="874"/>
      <c r="E1319" s="874"/>
      <c r="F1319" s="874"/>
      <c r="G1319" s="874" t="s">
        <v>914</v>
      </c>
      <c r="H1319" s="874"/>
      <c r="I1319" s="874"/>
      <c r="J1319"/>
      <c r="K1319"/>
      <c r="L1319"/>
      <c r="M1319"/>
    </row>
    <row r="1320" spans="1:13" ht="20.25" customHeight="1">
      <c r="B1320" s="138" t="s">
        <v>486</v>
      </c>
      <c r="G1320" s="138" t="s">
        <v>311</v>
      </c>
      <c r="J1320"/>
      <c r="K1320"/>
      <c r="L1320"/>
      <c r="M1320"/>
    </row>
    <row r="1321" spans="1:13" ht="20.25" customHeight="1">
      <c r="A1321" s="661" t="s">
        <v>301</v>
      </c>
      <c r="B1321" s="147" t="s">
        <v>302</v>
      </c>
      <c r="C1321" s="147" t="s">
        <v>312</v>
      </c>
      <c r="D1321" s="147" t="s">
        <v>303</v>
      </c>
      <c r="E1321" s="148" t="s">
        <v>304</v>
      </c>
      <c r="F1321" s="147" t="s">
        <v>305</v>
      </c>
      <c r="G1321" s="147" t="s">
        <v>306</v>
      </c>
      <c r="H1321" s="148" t="s">
        <v>307</v>
      </c>
      <c r="I1321" s="147" t="s">
        <v>308</v>
      </c>
      <c r="J1321"/>
      <c r="K1321"/>
      <c r="L1321"/>
      <c r="M1321"/>
    </row>
    <row r="1322" spans="1:13" ht="20.25" customHeight="1">
      <c r="A1322" s="149" t="s">
        <v>488</v>
      </c>
      <c r="B1322" s="276" t="s">
        <v>916</v>
      </c>
      <c r="C1322" s="149">
        <v>16</v>
      </c>
      <c r="D1322" s="149" t="s">
        <v>490</v>
      </c>
      <c r="E1322" s="667">
        <v>20</v>
      </c>
      <c r="F1322" s="654">
        <f>(C1322*E1322)</f>
        <v>320</v>
      </c>
      <c r="G1322" s="654">
        <f>(F1322+F1322*12%)</f>
        <v>358.4</v>
      </c>
      <c r="H1322" s="149" t="s">
        <v>917</v>
      </c>
      <c r="I1322" s="155" t="s">
        <v>918</v>
      </c>
      <c r="J1322"/>
      <c r="K1322"/>
      <c r="L1322"/>
      <c r="M1322"/>
    </row>
    <row r="1323" spans="1:13" ht="20.25" customHeight="1">
      <c r="A1323" s="149" t="s">
        <v>488</v>
      </c>
      <c r="B1323" s="276" t="s">
        <v>919</v>
      </c>
      <c r="C1323" s="149">
        <v>30</v>
      </c>
      <c r="D1323" s="149" t="s">
        <v>490</v>
      </c>
      <c r="E1323" s="667">
        <v>25</v>
      </c>
      <c r="F1323" s="654">
        <f t="shared" ref="F1323:F1326" si="100">(C1323*E1323)</f>
        <v>750</v>
      </c>
      <c r="G1323" s="654">
        <f t="shared" ref="G1323:G1326" si="101">(F1323+F1323*12%)</f>
        <v>840</v>
      </c>
      <c r="H1323" s="149" t="s">
        <v>917</v>
      </c>
      <c r="I1323" s="155" t="s">
        <v>918</v>
      </c>
      <c r="J1323"/>
      <c r="K1323"/>
      <c r="L1323"/>
      <c r="M1323"/>
    </row>
    <row r="1324" spans="1:13" ht="20.25" customHeight="1">
      <c r="A1324" s="149" t="s">
        <v>488</v>
      </c>
      <c r="B1324" s="276" t="s">
        <v>920</v>
      </c>
      <c r="C1324" s="149">
        <v>10</v>
      </c>
      <c r="D1324" s="149" t="s">
        <v>544</v>
      </c>
      <c r="E1324" s="667">
        <v>25</v>
      </c>
      <c r="F1324" s="654">
        <f t="shared" si="100"/>
        <v>250</v>
      </c>
      <c r="G1324" s="654">
        <f t="shared" si="101"/>
        <v>280</v>
      </c>
      <c r="H1324" s="149" t="s">
        <v>917</v>
      </c>
      <c r="I1324" s="155" t="s">
        <v>918</v>
      </c>
      <c r="J1324"/>
      <c r="K1324"/>
      <c r="L1324"/>
      <c r="M1324"/>
    </row>
    <row r="1325" spans="1:13" ht="20.25" customHeight="1">
      <c r="A1325" s="149" t="s">
        <v>488</v>
      </c>
      <c r="B1325" s="276" t="s">
        <v>921</v>
      </c>
      <c r="C1325" s="149">
        <v>30</v>
      </c>
      <c r="D1325" s="149" t="s">
        <v>490</v>
      </c>
      <c r="E1325" s="667">
        <v>6</v>
      </c>
      <c r="F1325" s="654">
        <f t="shared" si="100"/>
        <v>180</v>
      </c>
      <c r="G1325" s="654">
        <f t="shared" si="101"/>
        <v>201.6</v>
      </c>
      <c r="H1325" s="149" t="s">
        <v>917</v>
      </c>
      <c r="I1325" s="155" t="s">
        <v>918</v>
      </c>
      <c r="J1325"/>
      <c r="K1325"/>
      <c r="L1325"/>
      <c r="M1325"/>
    </row>
    <row r="1326" spans="1:13" ht="20.25" customHeight="1">
      <c r="A1326" s="149" t="s">
        <v>540</v>
      </c>
      <c r="B1326" s="276" t="s">
        <v>922</v>
      </c>
      <c r="C1326" s="149">
        <v>5</v>
      </c>
      <c r="D1326" s="149" t="s">
        <v>324</v>
      </c>
      <c r="E1326" s="667">
        <v>50</v>
      </c>
      <c r="F1326" s="654">
        <f t="shared" si="100"/>
        <v>250</v>
      </c>
      <c r="G1326" s="654">
        <f t="shared" si="101"/>
        <v>280</v>
      </c>
      <c r="H1326" s="149" t="s">
        <v>917</v>
      </c>
      <c r="I1326" s="155" t="s">
        <v>918</v>
      </c>
      <c r="J1326"/>
      <c r="K1326"/>
      <c r="L1326"/>
      <c r="M1326"/>
    </row>
    <row r="1327" spans="1:13" ht="20.25" customHeight="1">
      <c r="A1327" s="193"/>
      <c r="B1327" s="193"/>
      <c r="C1327" s="193"/>
      <c r="D1327" s="193"/>
      <c r="E1327" s="192" t="s">
        <v>35</v>
      </c>
      <c r="F1327" s="621">
        <f>SUM(F1322:F1326)</f>
        <v>1750</v>
      </c>
      <c r="G1327" s="621">
        <f>SUM(G1322:G1326)</f>
        <v>1960</v>
      </c>
      <c r="H1327" s="668"/>
      <c r="I1327" s="193"/>
      <c r="J1327"/>
      <c r="K1327"/>
      <c r="L1327"/>
      <c r="M1327"/>
    </row>
    <row r="1328" spans="1:13" ht="20.25" customHeight="1">
      <c r="J1328"/>
      <c r="K1328"/>
      <c r="L1328"/>
      <c r="M1328"/>
    </row>
    <row r="1329" spans="1:13" ht="20.25" customHeight="1">
      <c r="A1329" s="867" t="s">
        <v>954</v>
      </c>
      <c r="B1329" s="867"/>
      <c r="C1329" s="867"/>
      <c r="D1329" s="867"/>
      <c r="E1329" s="867"/>
      <c r="F1329" s="867"/>
      <c r="G1329" s="867"/>
      <c r="H1329" s="867"/>
      <c r="I1329" s="867"/>
      <c r="J1329"/>
      <c r="K1329"/>
      <c r="L1329"/>
      <c r="M1329"/>
    </row>
    <row r="1330" spans="1:13" ht="20.25" customHeight="1">
      <c r="A1330" s="140"/>
      <c r="B1330" s="140"/>
      <c r="C1330" s="140"/>
      <c r="D1330" s="140"/>
      <c r="E1330" s="140"/>
      <c r="F1330" s="140"/>
      <c r="G1330" s="140"/>
      <c r="H1330" s="140"/>
      <c r="I1330" s="140"/>
      <c r="J1330"/>
      <c r="K1330"/>
      <c r="L1330"/>
      <c r="M1330"/>
    </row>
    <row r="1331" spans="1:13" ht="20.25" customHeight="1">
      <c r="A1331" s="137" t="s">
        <v>298</v>
      </c>
      <c r="B1331" s="868" t="s">
        <v>923</v>
      </c>
      <c r="C1331" s="868"/>
      <c r="D1331" s="868"/>
      <c r="E1331" s="868"/>
      <c r="F1331" s="868"/>
      <c r="G1331" s="868"/>
      <c r="H1331" s="868"/>
      <c r="I1331" s="868"/>
      <c r="J1331"/>
      <c r="K1331"/>
      <c r="L1331"/>
      <c r="M1331"/>
    </row>
    <row r="1332" spans="1:13" ht="20.25" customHeight="1">
      <c r="A1332" s="139" t="s">
        <v>299</v>
      </c>
      <c r="B1332" s="868" t="s">
        <v>524</v>
      </c>
      <c r="C1332" s="868"/>
      <c r="D1332" s="868"/>
      <c r="E1332" s="868"/>
      <c r="F1332" s="868"/>
      <c r="G1332" s="868"/>
      <c r="H1332" s="868"/>
      <c r="I1332" s="868"/>
      <c r="J1332"/>
      <c r="K1332"/>
      <c r="L1332"/>
      <c r="M1332"/>
    </row>
    <row r="1333" spans="1:13" ht="20.25" customHeight="1">
      <c r="A1333" s="137" t="s">
        <v>300</v>
      </c>
      <c r="B1333" s="874" t="s">
        <v>485</v>
      </c>
      <c r="C1333" s="874"/>
      <c r="D1333" s="874"/>
      <c r="E1333" s="874"/>
      <c r="F1333" s="874"/>
      <c r="G1333" s="874" t="s">
        <v>914</v>
      </c>
      <c r="H1333" s="874"/>
      <c r="I1333" s="874"/>
      <c r="J1333"/>
      <c r="K1333"/>
      <c r="L1333"/>
      <c r="M1333"/>
    </row>
    <row r="1334" spans="1:13" ht="20.25" customHeight="1">
      <c r="B1334" s="138" t="s">
        <v>486</v>
      </c>
      <c r="G1334" s="138" t="s">
        <v>311</v>
      </c>
      <c r="J1334"/>
      <c r="K1334"/>
      <c r="L1334"/>
      <c r="M1334"/>
    </row>
    <row r="1335" spans="1:13" ht="20.25" customHeight="1">
      <c r="A1335" s="661" t="s">
        <v>301</v>
      </c>
      <c r="B1335" s="147" t="s">
        <v>302</v>
      </c>
      <c r="C1335" s="147" t="s">
        <v>312</v>
      </c>
      <c r="D1335" s="147" t="s">
        <v>303</v>
      </c>
      <c r="E1335" s="148" t="s">
        <v>304</v>
      </c>
      <c r="F1335" s="147" t="s">
        <v>305</v>
      </c>
      <c r="G1335" s="147" t="s">
        <v>306</v>
      </c>
      <c r="H1335" s="148" t="s">
        <v>307</v>
      </c>
      <c r="I1335" s="147" t="s">
        <v>308</v>
      </c>
      <c r="J1335"/>
      <c r="K1335"/>
      <c r="L1335"/>
      <c r="M1335"/>
    </row>
    <row r="1336" spans="1:13" ht="20.25" customHeight="1">
      <c r="A1336" s="149" t="s">
        <v>540</v>
      </c>
      <c r="B1336" s="276" t="s">
        <v>924</v>
      </c>
      <c r="C1336" s="149">
        <v>20</v>
      </c>
      <c r="D1336" s="149" t="s">
        <v>490</v>
      </c>
      <c r="E1336" s="667">
        <v>15</v>
      </c>
      <c r="F1336" s="654">
        <f t="shared" ref="F1336:F1337" si="102">(C1336*E1336)</f>
        <v>300</v>
      </c>
      <c r="G1336" s="654">
        <f t="shared" ref="G1336:G1337" si="103">(F1336+F1336*12%)</f>
        <v>336</v>
      </c>
      <c r="H1336" s="149" t="s">
        <v>925</v>
      </c>
      <c r="I1336" s="155" t="s">
        <v>926</v>
      </c>
      <c r="J1336"/>
      <c r="K1336"/>
      <c r="L1336"/>
      <c r="M1336"/>
    </row>
    <row r="1337" spans="1:13" ht="20.25" customHeight="1">
      <c r="A1337" s="149" t="s">
        <v>540</v>
      </c>
      <c r="B1337" s="276" t="s">
        <v>927</v>
      </c>
      <c r="C1337" s="149">
        <v>2</v>
      </c>
      <c r="D1337" s="149" t="s">
        <v>490</v>
      </c>
      <c r="E1337" s="667">
        <v>290</v>
      </c>
      <c r="F1337" s="654">
        <f t="shared" si="102"/>
        <v>580</v>
      </c>
      <c r="G1337" s="654">
        <f t="shared" si="103"/>
        <v>649.6</v>
      </c>
      <c r="H1337" s="149" t="s">
        <v>925</v>
      </c>
      <c r="I1337" s="155" t="s">
        <v>926</v>
      </c>
      <c r="J1337"/>
      <c r="K1337"/>
      <c r="L1337"/>
      <c r="M1337"/>
    </row>
    <row r="1338" spans="1:13" ht="20.25" customHeight="1">
      <c r="E1338" s="192" t="s">
        <v>35</v>
      </c>
      <c r="F1338" s="621">
        <f>SUM(F1336:F1337)</f>
        <v>880</v>
      </c>
      <c r="G1338" s="621">
        <f>SUM(G1336:G1337)</f>
        <v>985.6</v>
      </c>
      <c r="J1338"/>
      <c r="K1338"/>
      <c r="L1338"/>
      <c r="M1338"/>
    </row>
    <row r="1339" spans="1:13" ht="20.25" customHeight="1">
      <c r="J1339"/>
      <c r="K1339"/>
      <c r="L1339"/>
      <c r="M1339"/>
    </row>
    <row r="1340" spans="1:13" ht="20.25" customHeight="1">
      <c r="J1340"/>
      <c r="K1340"/>
      <c r="L1340"/>
      <c r="M1340"/>
    </row>
    <row r="1341" spans="1:13" ht="20.25" customHeight="1">
      <c r="J1341"/>
      <c r="K1341"/>
      <c r="L1341"/>
      <c r="M1341"/>
    </row>
    <row r="1342" spans="1:13" ht="20.25" customHeight="1">
      <c r="A1342" s="883" t="s">
        <v>954</v>
      </c>
      <c r="B1342" s="883"/>
      <c r="C1342" s="883"/>
      <c r="D1342" s="883"/>
      <c r="E1342" s="883"/>
      <c r="F1342" s="883"/>
      <c r="G1342" s="883"/>
      <c r="H1342" s="883"/>
      <c r="I1342" s="883"/>
      <c r="J1342"/>
      <c r="K1342"/>
      <c r="L1342"/>
      <c r="M1342"/>
    </row>
    <row r="1343" spans="1:13" ht="20.25" customHeight="1">
      <c r="A1343" s="140"/>
      <c r="B1343" s="140"/>
      <c r="C1343" s="140"/>
      <c r="D1343" s="140"/>
      <c r="E1343" s="140"/>
      <c r="F1343" s="140"/>
      <c r="G1343" s="140"/>
      <c r="H1343" s="140"/>
      <c r="I1343" s="140"/>
      <c r="J1343"/>
      <c r="K1343"/>
      <c r="L1343"/>
      <c r="M1343"/>
    </row>
    <row r="1344" spans="1:13" ht="20.25" customHeight="1">
      <c r="A1344" s="137" t="s">
        <v>298</v>
      </c>
      <c r="B1344" s="868" t="s">
        <v>928</v>
      </c>
      <c r="C1344" s="868"/>
      <c r="D1344" s="868"/>
      <c r="E1344" s="868"/>
      <c r="F1344" s="868"/>
      <c r="G1344" s="868"/>
      <c r="H1344" s="868"/>
      <c r="I1344" s="868"/>
      <c r="J1344"/>
      <c r="K1344"/>
      <c r="L1344"/>
      <c r="M1344"/>
    </row>
    <row r="1345" spans="1:13" ht="20.25" customHeight="1">
      <c r="A1345" s="139" t="s">
        <v>299</v>
      </c>
      <c r="B1345" s="868" t="s">
        <v>524</v>
      </c>
      <c r="C1345" s="868"/>
      <c r="D1345" s="868"/>
      <c r="E1345" s="868"/>
      <c r="F1345" s="868"/>
      <c r="G1345" s="868"/>
      <c r="H1345" s="868"/>
      <c r="I1345" s="868"/>
      <c r="J1345"/>
      <c r="K1345"/>
      <c r="L1345"/>
      <c r="M1345"/>
    </row>
    <row r="1346" spans="1:13" ht="20.25" customHeight="1">
      <c r="A1346" s="137" t="s">
        <v>300</v>
      </c>
      <c r="B1346" s="874" t="s">
        <v>485</v>
      </c>
      <c r="C1346" s="874"/>
      <c r="D1346" s="874"/>
      <c r="E1346" s="874"/>
      <c r="F1346" s="874"/>
      <c r="G1346" s="874" t="s">
        <v>914</v>
      </c>
      <c r="H1346" s="874"/>
      <c r="I1346" s="874"/>
      <c r="J1346"/>
      <c r="K1346"/>
      <c r="L1346"/>
      <c r="M1346"/>
    </row>
    <row r="1347" spans="1:13" ht="20.25" customHeight="1">
      <c r="B1347" s="138" t="s">
        <v>486</v>
      </c>
      <c r="G1347" s="138" t="s">
        <v>311</v>
      </c>
      <c r="J1347"/>
      <c r="K1347"/>
      <c r="L1347"/>
      <c r="M1347"/>
    </row>
    <row r="1348" spans="1:13" ht="20.25" customHeight="1">
      <c r="A1348" s="661" t="s">
        <v>301</v>
      </c>
      <c r="B1348" s="147" t="s">
        <v>302</v>
      </c>
      <c r="C1348" s="147" t="s">
        <v>312</v>
      </c>
      <c r="D1348" s="147" t="s">
        <v>303</v>
      </c>
      <c r="E1348" s="148" t="s">
        <v>304</v>
      </c>
      <c r="F1348" s="147" t="s">
        <v>305</v>
      </c>
      <c r="G1348" s="147" t="s">
        <v>306</v>
      </c>
      <c r="H1348" s="148" t="s">
        <v>307</v>
      </c>
      <c r="I1348" s="147" t="s">
        <v>308</v>
      </c>
      <c r="J1348"/>
      <c r="K1348"/>
      <c r="L1348"/>
      <c r="M1348"/>
    </row>
    <row r="1349" spans="1:13" ht="20.25" customHeight="1">
      <c r="A1349" s="149" t="s">
        <v>488</v>
      </c>
      <c r="B1349" s="276" t="s">
        <v>929</v>
      </c>
      <c r="C1349" s="149">
        <v>10</v>
      </c>
      <c r="D1349" s="149" t="s">
        <v>490</v>
      </c>
      <c r="E1349" s="667">
        <v>15</v>
      </c>
      <c r="F1349" s="654">
        <f t="shared" ref="F1349:F1353" si="104">(C1349*E1349)</f>
        <v>150</v>
      </c>
      <c r="G1349" s="654">
        <f t="shared" ref="G1349:G1353" si="105">(F1349+F1349*12%)</f>
        <v>168</v>
      </c>
      <c r="H1349" s="149" t="s">
        <v>930</v>
      </c>
      <c r="I1349" s="190" t="s">
        <v>931</v>
      </c>
      <c r="J1349"/>
      <c r="K1349"/>
      <c r="L1349"/>
      <c r="M1349"/>
    </row>
    <row r="1350" spans="1:13" ht="20.25" customHeight="1">
      <c r="A1350" s="149" t="s">
        <v>488</v>
      </c>
      <c r="B1350" s="276" t="s">
        <v>932</v>
      </c>
      <c r="C1350" s="149">
        <v>10</v>
      </c>
      <c r="D1350" s="149" t="s">
        <v>490</v>
      </c>
      <c r="E1350" s="667">
        <v>15</v>
      </c>
      <c r="F1350" s="654">
        <f t="shared" si="104"/>
        <v>150</v>
      </c>
      <c r="G1350" s="654">
        <f t="shared" si="105"/>
        <v>168</v>
      </c>
      <c r="H1350" s="149" t="s">
        <v>930</v>
      </c>
      <c r="I1350" s="190" t="s">
        <v>931</v>
      </c>
      <c r="J1350"/>
      <c r="K1350"/>
      <c r="L1350"/>
      <c r="M1350"/>
    </row>
    <row r="1351" spans="1:13" ht="20.25" customHeight="1">
      <c r="A1351" s="149" t="s">
        <v>488</v>
      </c>
      <c r="B1351" s="276" t="s">
        <v>933</v>
      </c>
      <c r="C1351" s="149">
        <v>10</v>
      </c>
      <c r="D1351" s="149" t="s">
        <v>490</v>
      </c>
      <c r="E1351" s="667">
        <v>45</v>
      </c>
      <c r="F1351" s="654">
        <f t="shared" si="104"/>
        <v>450</v>
      </c>
      <c r="G1351" s="654">
        <f t="shared" si="105"/>
        <v>504</v>
      </c>
      <c r="H1351" s="149" t="s">
        <v>930</v>
      </c>
      <c r="I1351" s="190" t="s">
        <v>931</v>
      </c>
      <c r="J1351"/>
      <c r="K1351"/>
      <c r="L1351"/>
      <c r="M1351"/>
    </row>
    <row r="1352" spans="1:13" ht="20.25" customHeight="1">
      <c r="A1352" s="149" t="s">
        <v>373</v>
      </c>
      <c r="B1352" s="276" t="s">
        <v>934</v>
      </c>
      <c r="C1352" s="149">
        <v>2</v>
      </c>
      <c r="D1352" s="149" t="s">
        <v>490</v>
      </c>
      <c r="E1352" s="667">
        <v>700</v>
      </c>
      <c r="F1352" s="654">
        <f t="shared" si="104"/>
        <v>1400</v>
      </c>
      <c r="G1352" s="654">
        <f t="shared" si="105"/>
        <v>1568</v>
      </c>
      <c r="H1352" s="149" t="s">
        <v>930</v>
      </c>
      <c r="I1352" s="190" t="s">
        <v>931</v>
      </c>
      <c r="J1352"/>
      <c r="K1352"/>
      <c r="L1352"/>
      <c r="M1352"/>
    </row>
    <row r="1353" spans="1:13" ht="20.25" customHeight="1">
      <c r="A1353" s="149" t="s">
        <v>373</v>
      </c>
      <c r="B1353" s="276" t="s">
        <v>935</v>
      </c>
      <c r="C1353" s="149">
        <v>1</v>
      </c>
      <c r="D1353" s="149" t="s">
        <v>490</v>
      </c>
      <c r="E1353" s="667">
        <v>500</v>
      </c>
      <c r="F1353" s="654">
        <f t="shared" si="104"/>
        <v>500</v>
      </c>
      <c r="G1353" s="654">
        <f t="shared" si="105"/>
        <v>560</v>
      </c>
      <c r="H1353" s="149" t="s">
        <v>930</v>
      </c>
      <c r="I1353" s="190" t="s">
        <v>931</v>
      </c>
      <c r="J1353"/>
      <c r="K1353"/>
      <c r="L1353"/>
      <c r="M1353"/>
    </row>
    <row r="1354" spans="1:13" ht="20.25" customHeight="1">
      <c r="A1354" s="668"/>
      <c r="B1354" s="230"/>
      <c r="E1354" s="192" t="s">
        <v>35</v>
      </c>
      <c r="F1354" s="621">
        <f>SUM(F1349:F1353)</f>
        <v>2650</v>
      </c>
      <c r="G1354" s="621">
        <f>SUM(G1349:G1353)</f>
        <v>2968</v>
      </c>
      <c r="J1354"/>
      <c r="K1354"/>
      <c r="L1354"/>
      <c r="M1354"/>
    </row>
    <row r="1355" spans="1:13" ht="20.25" customHeight="1">
      <c r="J1355"/>
      <c r="K1355"/>
      <c r="L1355"/>
      <c r="M1355"/>
    </row>
    <row r="1356" spans="1:13" ht="20.25" customHeight="1">
      <c r="A1356" s="140"/>
      <c r="B1356" s="140"/>
      <c r="C1356" s="140"/>
      <c r="D1356" s="140"/>
      <c r="E1356" s="140"/>
      <c r="F1356" s="140"/>
      <c r="G1356" s="140"/>
      <c r="H1356" s="140"/>
      <c r="I1356" s="140"/>
      <c r="J1356"/>
      <c r="K1356"/>
      <c r="L1356"/>
      <c r="M1356"/>
    </row>
    <row r="1357" spans="1:13" ht="20.25" customHeight="1">
      <c r="A1357" s="867" t="s">
        <v>954</v>
      </c>
      <c r="B1357" s="867"/>
      <c r="C1357" s="867"/>
      <c r="D1357" s="867"/>
      <c r="E1357" s="867"/>
      <c r="F1357" s="867"/>
      <c r="G1357" s="867"/>
      <c r="H1357" s="867"/>
      <c r="I1357" s="867"/>
      <c r="J1357"/>
      <c r="K1357"/>
      <c r="L1357"/>
      <c r="M1357"/>
    </row>
    <row r="1358" spans="1:13" ht="20.25" customHeight="1">
      <c r="A1358" s="140"/>
      <c r="B1358" s="140"/>
      <c r="C1358" s="140"/>
      <c r="D1358" s="140"/>
      <c r="E1358" s="140"/>
      <c r="F1358" s="140"/>
      <c r="G1358" s="140"/>
      <c r="H1358" s="140"/>
      <c r="I1358" s="140"/>
      <c r="J1358"/>
      <c r="K1358"/>
      <c r="L1358"/>
      <c r="M1358"/>
    </row>
    <row r="1359" spans="1:13" ht="20.25" customHeight="1">
      <c r="A1359" s="137" t="s">
        <v>298</v>
      </c>
      <c r="B1359" s="868" t="s">
        <v>936</v>
      </c>
      <c r="C1359" s="868"/>
      <c r="D1359" s="868"/>
      <c r="E1359" s="868"/>
      <c r="F1359" s="868"/>
      <c r="G1359" s="868"/>
      <c r="H1359" s="868"/>
      <c r="I1359" s="868"/>
      <c r="J1359"/>
      <c r="K1359"/>
      <c r="L1359"/>
      <c r="M1359"/>
    </row>
    <row r="1360" spans="1:13" ht="20.25" customHeight="1">
      <c r="A1360" s="139" t="s">
        <v>299</v>
      </c>
      <c r="B1360" s="868" t="s">
        <v>524</v>
      </c>
      <c r="C1360" s="868"/>
      <c r="D1360" s="868"/>
      <c r="E1360" s="868"/>
      <c r="F1360" s="868"/>
      <c r="G1360" s="868"/>
      <c r="H1360" s="868"/>
      <c r="I1360" s="868"/>
      <c r="J1360"/>
      <c r="K1360"/>
      <c r="L1360"/>
      <c r="M1360"/>
    </row>
    <row r="1361" spans="1:13" ht="20.25" customHeight="1">
      <c r="A1361" s="137" t="s">
        <v>300</v>
      </c>
      <c r="B1361" s="874" t="s">
        <v>485</v>
      </c>
      <c r="C1361" s="874"/>
      <c r="D1361" s="874"/>
      <c r="E1361" s="874"/>
      <c r="F1361" s="874"/>
      <c r="G1361" s="874" t="s">
        <v>914</v>
      </c>
      <c r="H1361" s="874"/>
      <c r="I1361" s="874"/>
      <c r="J1361"/>
      <c r="K1361"/>
      <c r="L1361"/>
      <c r="M1361"/>
    </row>
    <row r="1362" spans="1:13" ht="20.25" customHeight="1">
      <c r="B1362" s="138" t="s">
        <v>486</v>
      </c>
      <c r="G1362" s="138" t="s">
        <v>311</v>
      </c>
      <c r="J1362"/>
      <c r="K1362"/>
      <c r="L1362"/>
      <c r="M1362"/>
    </row>
    <row r="1363" spans="1:13" ht="20.25" customHeight="1">
      <c r="A1363" s="661" t="s">
        <v>301</v>
      </c>
      <c r="B1363" s="147" t="s">
        <v>302</v>
      </c>
      <c r="C1363" s="147" t="s">
        <v>312</v>
      </c>
      <c r="D1363" s="147" t="s">
        <v>303</v>
      </c>
      <c r="E1363" s="148" t="s">
        <v>304</v>
      </c>
      <c r="F1363" s="147" t="s">
        <v>305</v>
      </c>
      <c r="G1363" s="147" t="s">
        <v>306</v>
      </c>
      <c r="H1363" s="148" t="s">
        <v>307</v>
      </c>
      <c r="I1363" s="147" t="s">
        <v>308</v>
      </c>
      <c r="J1363"/>
      <c r="K1363"/>
      <c r="L1363"/>
      <c r="M1363"/>
    </row>
    <row r="1364" spans="1:13" ht="20.25" customHeight="1">
      <c r="A1364" s="150" t="s">
        <v>540</v>
      </c>
      <c r="B1364" s="669" t="s">
        <v>937</v>
      </c>
      <c r="C1364" s="150">
        <v>12</v>
      </c>
      <c r="D1364" s="150" t="s">
        <v>490</v>
      </c>
      <c r="E1364" s="670">
        <v>40</v>
      </c>
      <c r="F1364" s="654">
        <f t="shared" ref="F1364:F1372" si="106">(C1364*E1364)</f>
        <v>480</v>
      </c>
      <c r="G1364" s="654">
        <f>(F1364+F1364*12%)</f>
        <v>537.6</v>
      </c>
      <c r="H1364" s="149" t="s">
        <v>938</v>
      </c>
      <c r="I1364" s="152" t="s">
        <v>939</v>
      </c>
      <c r="J1364"/>
      <c r="K1364"/>
      <c r="L1364"/>
      <c r="M1364"/>
    </row>
    <row r="1365" spans="1:13" ht="20.25" customHeight="1">
      <c r="A1365" s="150" t="s">
        <v>540</v>
      </c>
      <c r="B1365" s="669" t="s">
        <v>940</v>
      </c>
      <c r="C1365" s="150">
        <v>12</v>
      </c>
      <c r="D1365" s="150" t="s">
        <v>490</v>
      </c>
      <c r="E1365" s="670">
        <v>40</v>
      </c>
      <c r="F1365" s="654">
        <f t="shared" si="106"/>
        <v>480</v>
      </c>
      <c r="G1365" s="654">
        <f t="shared" ref="G1365:G1372" si="107">(F1365+F1365*12%)</f>
        <v>537.6</v>
      </c>
      <c r="H1365" s="149" t="s">
        <v>938</v>
      </c>
      <c r="I1365" s="152" t="s">
        <v>939</v>
      </c>
      <c r="J1365"/>
      <c r="K1365"/>
      <c r="L1365"/>
      <c r="M1365"/>
    </row>
    <row r="1366" spans="1:13" ht="20.25" customHeight="1">
      <c r="A1366" s="150" t="s">
        <v>540</v>
      </c>
      <c r="B1366" s="669" t="s">
        <v>941</v>
      </c>
      <c r="C1366" s="150">
        <v>12</v>
      </c>
      <c r="D1366" s="150" t="s">
        <v>553</v>
      </c>
      <c r="E1366" s="670">
        <v>55</v>
      </c>
      <c r="F1366" s="654">
        <f t="shared" si="106"/>
        <v>660</v>
      </c>
      <c r="G1366" s="654">
        <f t="shared" si="107"/>
        <v>739.2</v>
      </c>
      <c r="H1366" s="149" t="s">
        <v>938</v>
      </c>
      <c r="I1366" s="152" t="s">
        <v>939</v>
      </c>
      <c r="J1366"/>
      <c r="K1366"/>
      <c r="L1366"/>
      <c r="M1366"/>
    </row>
    <row r="1367" spans="1:13" ht="20.25" customHeight="1">
      <c r="A1367" s="150" t="s">
        <v>540</v>
      </c>
      <c r="B1367" s="669" t="s">
        <v>942</v>
      </c>
      <c r="C1367" s="150">
        <v>12</v>
      </c>
      <c r="D1367" s="150" t="s">
        <v>553</v>
      </c>
      <c r="E1367" s="670">
        <v>30</v>
      </c>
      <c r="F1367" s="654">
        <f t="shared" si="106"/>
        <v>360</v>
      </c>
      <c r="G1367" s="654">
        <f t="shared" si="107"/>
        <v>403.2</v>
      </c>
      <c r="H1367" s="149" t="s">
        <v>938</v>
      </c>
      <c r="I1367" s="152" t="s">
        <v>939</v>
      </c>
      <c r="J1367"/>
      <c r="K1367"/>
      <c r="L1367"/>
      <c r="M1367"/>
    </row>
    <row r="1368" spans="1:13" ht="20.25" customHeight="1">
      <c r="A1368" s="150" t="s">
        <v>540</v>
      </c>
      <c r="B1368" s="276" t="s">
        <v>943</v>
      </c>
      <c r="C1368" s="149">
        <v>12</v>
      </c>
      <c r="D1368" s="149" t="s">
        <v>490</v>
      </c>
      <c r="E1368" s="671">
        <v>25</v>
      </c>
      <c r="F1368" s="654">
        <f t="shared" si="106"/>
        <v>300</v>
      </c>
      <c r="G1368" s="654">
        <f t="shared" si="107"/>
        <v>336</v>
      </c>
      <c r="H1368" s="149" t="s">
        <v>938</v>
      </c>
      <c r="I1368" s="152" t="s">
        <v>939</v>
      </c>
      <c r="J1368"/>
      <c r="K1368"/>
      <c r="L1368"/>
      <c r="M1368"/>
    </row>
    <row r="1369" spans="1:13" ht="20.25" customHeight="1">
      <c r="A1369" s="150" t="s">
        <v>540</v>
      </c>
      <c r="B1369" s="276" t="s">
        <v>944</v>
      </c>
      <c r="C1369" s="149">
        <v>12</v>
      </c>
      <c r="D1369" s="149" t="s">
        <v>490</v>
      </c>
      <c r="E1369" s="671">
        <v>30</v>
      </c>
      <c r="F1369" s="654">
        <f t="shared" si="106"/>
        <v>360</v>
      </c>
      <c r="G1369" s="654">
        <f t="shared" si="107"/>
        <v>403.2</v>
      </c>
      <c r="H1369" s="149" t="s">
        <v>938</v>
      </c>
      <c r="I1369" s="152" t="s">
        <v>939</v>
      </c>
      <c r="J1369"/>
      <c r="K1369"/>
      <c r="L1369"/>
      <c r="M1369"/>
    </row>
    <row r="1370" spans="1:13" ht="20.25" customHeight="1">
      <c r="A1370" s="150" t="s">
        <v>540</v>
      </c>
      <c r="B1370" s="276" t="s">
        <v>945</v>
      </c>
      <c r="C1370" s="149">
        <v>12</v>
      </c>
      <c r="D1370" s="149" t="s">
        <v>490</v>
      </c>
      <c r="E1370" s="671">
        <v>10</v>
      </c>
      <c r="F1370" s="654">
        <f t="shared" si="106"/>
        <v>120</v>
      </c>
      <c r="G1370" s="654">
        <f t="shared" si="107"/>
        <v>134.4</v>
      </c>
      <c r="H1370" s="149" t="s">
        <v>938</v>
      </c>
      <c r="I1370" s="152" t="s">
        <v>939</v>
      </c>
      <c r="J1370"/>
      <c r="K1370"/>
      <c r="L1370"/>
      <c r="M1370"/>
    </row>
    <row r="1371" spans="1:13" ht="20.25" customHeight="1">
      <c r="A1371" s="150" t="s">
        <v>540</v>
      </c>
      <c r="B1371" s="276" t="s">
        <v>946</v>
      </c>
      <c r="C1371" s="149">
        <v>12</v>
      </c>
      <c r="D1371" s="149" t="s">
        <v>490</v>
      </c>
      <c r="E1371" s="671">
        <v>12</v>
      </c>
      <c r="F1371" s="654">
        <f t="shared" si="106"/>
        <v>144</v>
      </c>
      <c r="G1371" s="654">
        <f t="shared" si="107"/>
        <v>161.28</v>
      </c>
      <c r="H1371" s="149" t="s">
        <v>938</v>
      </c>
      <c r="I1371" s="152" t="s">
        <v>939</v>
      </c>
      <c r="J1371"/>
      <c r="K1371"/>
      <c r="L1371"/>
      <c r="M1371"/>
    </row>
    <row r="1372" spans="1:13" ht="20.25" customHeight="1">
      <c r="A1372" s="150" t="s">
        <v>540</v>
      </c>
      <c r="B1372" s="276" t="s">
        <v>947</v>
      </c>
      <c r="C1372" s="149">
        <v>12</v>
      </c>
      <c r="D1372" s="149" t="s">
        <v>553</v>
      </c>
      <c r="E1372" s="671">
        <v>9</v>
      </c>
      <c r="F1372" s="654">
        <f t="shared" si="106"/>
        <v>108</v>
      </c>
      <c r="G1372" s="654">
        <f t="shared" si="107"/>
        <v>120.96</v>
      </c>
      <c r="H1372" s="149" t="s">
        <v>938</v>
      </c>
      <c r="I1372" s="152" t="s">
        <v>939</v>
      </c>
      <c r="J1372"/>
      <c r="K1372"/>
      <c r="L1372"/>
      <c r="M1372"/>
    </row>
    <row r="1373" spans="1:13" ht="20.25" customHeight="1">
      <c r="A1373" s="668"/>
      <c r="B1373" s="230"/>
      <c r="E1373" s="192" t="s">
        <v>35</v>
      </c>
      <c r="F1373" s="621">
        <f>SUM(F1364:F1372)</f>
        <v>3012</v>
      </c>
      <c r="G1373" s="621">
        <f>SUM(G1364:G1372)</f>
        <v>3373.44</v>
      </c>
      <c r="J1373"/>
      <c r="K1373"/>
      <c r="L1373"/>
      <c r="M1373"/>
    </row>
    <row r="1374" spans="1:13" ht="20.25" customHeight="1">
      <c r="J1374"/>
      <c r="K1374"/>
      <c r="L1374"/>
      <c r="M1374"/>
    </row>
    <row r="1375" spans="1:13" ht="20.25" customHeight="1">
      <c r="A1375" s="867" t="s">
        <v>954</v>
      </c>
      <c r="B1375" s="867"/>
      <c r="C1375" s="867"/>
      <c r="D1375" s="867"/>
      <c r="E1375" s="867"/>
      <c r="F1375" s="867"/>
      <c r="G1375" s="867"/>
      <c r="H1375" s="867"/>
      <c r="I1375" s="867"/>
      <c r="J1375"/>
      <c r="K1375"/>
      <c r="L1375"/>
      <c r="M1375"/>
    </row>
    <row r="1376" spans="1:13" ht="20.25" customHeight="1">
      <c r="A1376" s="140"/>
      <c r="B1376" s="140"/>
      <c r="C1376" s="140"/>
      <c r="D1376" s="140"/>
      <c r="E1376" s="140"/>
      <c r="F1376" s="140"/>
      <c r="G1376" s="140"/>
      <c r="H1376" s="140"/>
      <c r="I1376" s="140"/>
      <c r="J1376"/>
      <c r="K1376"/>
      <c r="L1376"/>
      <c r="M1376"/>
    </row>
    <row r="1377" spans="1:13" ht="20.25" customHeight="1">
      <c r="A1377" s="137" t="s">
        <v>298</v>
      </c>
      <c r="B1377" s="868" t="s">
        <v>948</v>
      </c>
      <c r="C1377" s="868"/>
      <c r="D1377" s="868"/>
      <c r="E1377" s="868"/>
      <c r="F1377" s="868"/>
      <c r="G1377" s="868"/>
      <c r="H1377" s="868"/>
      <c r="I1377" s="868"/>
      <c r="J1377"/>
      <c r="K1377"/>
      <c r="L1377"/>
      <c r="M1377"/>
    </row>
    <row r="1378" spans="1:13" ht="20.25" customHeight="1">
      <c r="A1378" s="139" t="s">
        <v>299</v>
      </c>
      <c r="B1378" s="868" t="s">
        <v>524</v>
      </c>
      <c r="C1378" s="868"/>
      <c r="D1378" s="868"/>
      <c r="E1378" s="868"/>
      <c r="F1378" s="868"/>
      <c r="G1378" s="868"/>
      <c r="H1378" s="868"/>
      <c r="I1378" s="868"/>
      <c r="J1378"/>
      <c r="K1378"/>
      <c r="L1378"/>
      <c r="M1378"/>
    </row>
    <row r="1379" spans="1:13" ht="20.25" customHeight="1">
      <c r="A1379" s="137" t="s">
        <v>300</v>
      </c>
      <c r="B1379" s="874"/>
      <c r="C1379" s="874"/>
      <c r="D1379" s="874"/>
      <c r="E1379" s="874"/>
      <c r="F1379" s="874"/>
      <c r="G1379" s="874" t="s">
        <v>914</v>
      </c>
      <c r="H1379" s="874"/>
      <c r="I1379" s="874"/>
      <c r="J1379"/>
      <c r="K1379"/>
      <c r="L1379"/>
      <c r="M1379"/>
    </row>
    <row r="1380" spans="1:13" ht="20.25" customHeight="1">
      <c r="G1380" s="138" t="s">
        <v>311</v>
      </c>
      <c r="J1380"/>
      <c r="K1380"/>
      <c r="L1380"/>
      <c r="M1380"/>
    </row>
    <row r="1381" spans="1:13" ht="20.25" customHeight="1">
      <c r="A1381" s="661" t="s">
        <v>301</v>
      </c>
      <c r="B1381" s="147" t="s">
        <v>302</v>
      </c>
      <c r="C1381" s="147" t="s">
        <v>312</v>
      </c>
      <c r="D1381" s="147" t="s">
        <v>487</v>
      </c>
      <c r="E1381" s="148" t="s">
        <v>304</v>
      </c>
      <c r="F1381" s="147" t="s">
        <v>305</v>
      </c>
      <c r="G1381" s="147" t="s">
        <v>306</v>
      </c>
      <c r="H1381" s="148" t="s">
        <v>307</v>
      </c>
      <c r="I1381" s="147" t="s">
        <v>308</v>
      </c>
      <c r="J1381"/>
      <c r="K1381"/>
      <c r="L1381"/>
      <c r="M1381"/>
    </row>
    <row r="1382" spans="1:13" ht="20.25" customHeight="1">
      <c r="A1382" s="150" t="s">
        <v>540</v>
      </c>
      <c r="B1382" s="669" t="s">
        <v>949</v>
      </c>
      <c r="C1382" s="150">
        <v>40</v>
      </c>
      <c r="D1382" s="150" t="s">
        <v>487</v>
      </c>
      <c r="E1382" s="670">
        <v>37.5</v>
      </c>
      <c r="F1382" s="654">
        <f t="shared" ref="F1382" si="108">(C1382*E1382)</f>
        <v>1500</v>
      </c>
      <c r="G1382" s="654">
        <f>(F1382+F1382*12%)</f>
        <v>1680</v>
      </c>
      <c r="H1382" s="149" t="s">
        <v>950</v>
      </c>
      <c r="I1382" s="150" t="s">
        <v>951</v>
      </c>
      <c r="J1382"/>
      <c r="K1382"/>
      <c r="L1382"/>
      <c r="M1382"/>
    </row>
    <row r="1383" spans="1:13" ht="20.25" customHeight="1">
      <c r="A1383" s="668"/>
      <c r="B1383" s="230"/>
      <c r="E1383" s="192" t="s">
        <v>35</v>
      </c>
      <c r="F1383" s="621">
        <f>SUM(F1382:F1382)</f>
        <v>1500</v>
      </c>
      <c r="G1383" s="621">
        <f>SUM(G1382:G1382)</f>
        <v>1680</v>
      </c>
      <c r="J1383"/>
      <c r="K1383"/>
      <c r="L1383"/>
      <c r="M1383"/>
    </row>
    <row r="1384" spans="1:13" ht="20.25" customHeight="1">
      <c r="A1384" s="59"/>
      <c r="B1384" s="59"/>
      <c r="C1384" s="59"/>
      <c r="D1384" s="59"/>
      <c r="E1384" s="59"/>
      <c r="F1384" s="59"/>
      <c r="G1384" s="59"/>
      <c r="H1384" s="59"/>
      <c r="I1384" s="59"/>
      <c r="J1384"/>
      <c r="K1384"/>
      <c r="L1384"/>
      <c r="M1384"/>
    </row>
    <row r="1385" spans="1:13" ht="20.25" customHeight="1">
      <c r="J1385"/>
      <c r="K1385"/>
      <c r="L1385"/>
      <c r="M1385"/>
    </row>
    <row r="1386" spans="1:13" ht="20.25" customHeight="1">
      <c r="J1386"/>
      <c r="K1386"/>
      <c r="L1386"/>
      <c r="M1386"/>
    </row>
    <row r="1387" spans="1:13" ht="20.25" customHeight="1">
      <c r="J1387"/>
      <c r="K1387"/>
      <c r="L1387"/>
      <c r="M1387"/>
    </row>
    <row r="1388" spans="1:13" ht="20.25" customHeight="1">
      <c r="J1388"/>
      <c r="K1388"/>
      <c r="L1388"/>
      <c r="M1388"/>
    </row>
    <row r="1389" spans="1:13" ht="20.25" customHeight="1">
      <c r="J1389"/>
      <c r="K1389"/>
      <c r="L1389"/>
      <c r="M1389"/>
    </row>
    <row r="1390" spans="1:13" ht="20.25" customHeight="1">
      <c r="J1390"/>
      <c r="K1390"/>
      <c r="L1390"/>
      <c r="M1390"/>
    </row>
    <row r="1391" spans="1:13" ht="20.25" customHeight="1">
      <c r="J1391"/>
      <c r="K1391"/>
      <c r="L1391"/>
      <c r="M1391"/>
    </row>
    <row r="1392" spans="1:13" ht="20.25" customHeight="1">
      <c r="J1392"/>
      <c r="K1392"/>
      <c r="L1392"/>
      <c r="M1392"/>
    </row>
    <row r="1393" spans="10:13" ht="20.25" customHeight="1">
      <c r="J1393"/>
      <c r="K1393"/>
      <c r="L1393"/>
      <c r="M1393"/>
    </row>
    <row r="1394" spans="10:13" ht="20.25" customHeight="1">
      <c r="J1394"/>
      <c r="K1394"/>
      <c r="L1394"/>
      <c r="M1394"/>
    </row>
    <row r="1395" spans="10:13" ht="20.25" customHeight="1">
      <c r="J1395"/>
      <c r="K1395"/>
      <c r="L1395"/>
      <c r="M1395"/>
    </row>
    <row r="1396" spans="10:13" ht="20.25" customHeight="1">
      <c r="J1396"/>
      <c r="K1396"/>
      <c r="L1396"/>
      <c r="M1396"/>
    </row>
    <row r="1397" spans="10:13" ht="20.25" customHeight="1">
      <c r="J1397"/>
      <c r="K1397"/>
      <c r="L1397"/>
      <c r="M1397"/>
    </row>
    <row r="1398" spans="10:13" ht="20.25" customHeight="1">
      <c r="J1398"/>
      <c r="K1398"/>
      <c r="L1398"/>
      <c r="M1398"/>
    </row>
    <row r="1399" spans="10:13" ht="20.25" customHeight="1">
      <c r="J1399"/>
      <c r="K1399"/>
      <c r="L1399"/>
      <c r="M1399"/>
    </row>
    <row r="1400" spans="10:13" ht="20.25" customHeight="1">
      <c r="J1400"/>
      <c r="K1400"/>
      <c r="L1400"/>
      <c r="M1400"/>
    </row>
    <row r="1401" spans="10:13" ht="20.25" customHeight="1">
      <c r="J1401"/>
      <c r="K1401"/>
      <c r="L1401"/>
      <c r="M1401"/>
    </row>
    <row r="1402" spans="10:13" ht="20.25" customHeight="1">
      <c r="J1402"/>
      <c r="K1402"/>
      <c r="L1402"/>
      <c r="M1402"/>
    </row>
    <row r="1403" spans="10:13" ht="20.25" customHeight="1">
      <c r="J1403"/>
      <c r="K1403"/>
      <c r="L1403"/>
      <c r="M1403"/>
    </row>
    <row r="1404" spans="10:13" ht="20.25" customHeight="1">
      <c r="J1404"/>
      <c r="K1404"/>
      <c r="L1404"/>
      <c r="M1404"/>
    </row>
    <row r="1405" spans="10:13" ht="20.25" customHeight="1">
      <c r="J1405"/>
      <c r="K1405"/>
      <c r="L1405"/>
      <c r="M1405"/>
    </row>
    <row r="1406" spans="10:13" ht="20.25" customHeight="1">
      <c r="J1406"/>
      <c r="K1406"/>
      <c r="L1406"/>
      <c r="M1406"/>
    </row>
    <row r="1407" spans="10:13" ht="20.25" customHeight="1">
      <c r="J1407"/>
      <c r="K1407"/>
      <c r="L1407"/>
      <c r="M1407"/>
    </row>
    <row r="1408" spans="10:13" ht="20.25" customHeight="1">
      <c r="J1408"/>
      <c r="K1408"/>
      <c r="L1408"/>
      <c r="M1408"/>
    </row>
    <row r="1409" spans="10:13" ht="20.25" customHeight="1">
      <c r="J1409"/>
      <c r="K1409"/>
      <c r="L1409"/>
      <c r="M1409"/>
    </row>
    <row r="1410" spans="10:13" ht="20.25" customHeight="1">
      <c r="J1410"/>
      <c r="K1410"/>
      <c r="L1410"/>
      <c r="M1410"/>
    </row>
    <row r="1411" spans="10:13" ht="20.25" customHeight="1">
      <c r="J1411"/>
      <c r="K1411"/>
      <c r="L1411"/>
      <c r="M1411"/>
    </row>
    <row r="1412" spans="10:13" ht="20.25" customHeight="1">
      <c r="J1412"/>
      <c r="K1412"/>
      <c r="L1412"/>
      <c r="M1412"/>
    </row>
    <row r="1413" spans="10:13" ht="20.25" customHeight="1">
      <c r="J1413"/>
      <c r="K1413"/>
      <c r="L1413"/>
      <c r="M1413"/>
    </row>
    <row r="1414" spans="10:13" ht="20.25" customHeight="1">
      <c r="J1414"/>
      <c r="K1414"/>
      <c r="L1414"/>
      <c r="M1414"/>
    </row>
    <row r="1415" spans="10:13" ht="20.25" customHeight="1">
      <c r="J1415"/>
      <c r="K1415"/>
      <c r="L1415"/>
      <c r="M1415"/>
    </row>
    <row r="1416" spans="10:13" ht="20.25" customHeight="1">
      <c r="J1416"/>
      <c r="K1416"/>
      <c r="L1416"/>
      <c r="M1416"/>
    </row>
    <row r="1417" spans="10:13" ht="20.25" customHeight="1">
      <c r="J1417"/>
      <c r="K1417"/>
      <c r="L1417"/>
      <c r="M1417"/>
    </row>
    <row r="1418" spans="10:13" ht="20.25" customHeight="1">
      <c r="J1418"/>
      <c r="K1418"/>
      <c r="L1418"/>
      <c r="M1418"/>
    </row>
    <row r="1419" spans="10:13" ht="20.25" customHeight="1">
      <c r="J1419"/>
      <c r="K1419"/>
      <c r="L1419"/>
      <c r="M1419"/>
    </row>
    <row r="1420" spans="10:13" ht="20.25" customHeight="1">
      <c r="J1420"/>
      <c r="K1420"/>
      <c r="L1420"/>
      <c r="M1420"/>
    </row>
    <row r="1421" spans="10:13" ht="20.25" customHeight="1">
      <c r="J1421"/>
      <c r="K1421"/>
      <c r="L1421"/>
      <c r="M1421"/>
    </row>
    <row r="1422" spans="10:13" ht="20.25" customHeight="1">
      <c r="J1422"/>
      <c r="K1422"/>
      <c r="L1422"/>
      <c r="M1422"/>
    </row>
    <row r="1423" spans="10:13" ht="20.25" customHeight="1">
      <c r="J1423"/>
      <c r="K1423"/>
      <c r="L1423"/>
      <c r="M1423"/>
    </row>
    <row r="1424" spans="10:13" ht="20.25" customHeight="1">
      <c r="J1424"/>
      <c r="K1424"/>
      <c r="L1424"/>
      <c r="M1424"/>
    </row>
    <row r="1425" spans="10:13" ht="20.25" customHeight="1">
      <c r="J1425"/>
      <c r="K1425"/>
      <c r="L1425"/>
      <c r="M1425"/>
    </row>
    <row r="1426" spans="10:13" ht="20.25" customHeight="1">
      <c r="J1426"/>
      <c r="K1426"/>
      <c r="L1426"/>
      <c r="M1426"/>
    </row>
    <row r="1427" spans="10:13" ht="20.25" customHeight="1">
      <c r="J1427"/>
      <c r="K1427"/>
      <c r="L1427"/>
      <c r="M1427"/>
    </row>
    <row r="1428" spans="10:13" ht="20.25" customHeight="1">
      <c r="J1428"/>
      <c r="K1428"/>
      <c r="L1428"/>
      <c r="M1428"/>
    </row>
    <row r="1429" spans="10:13" ht="20.25" customHeight="1">
      <c r="J1429"/>
      <c r="K1429"/>
      <c r="L1429"/>
      <c r="M1429"/>
    </row>
    <row r="1430" spans="10:13" ht="20.25" customHeight="1">
      <c r="J1430"/>
      <c r="K1430"/>
      <c r="L1430"/>
      <c r="M1430"/>
    </row>
    <row r="1431" spans="10:13" ht="20.25" customHeight="1">
      <c r="J1431"/>
      <c r="K1431"/>
      <c r="L1431"/>
      <c r="M1431"/>
    </row>
    <row r="1432" spans="10:13" ht="20.25" customHeight="1">
      <c r="J1432"/>
      <c r="K1432"/>
      <c r="L1432"/>
      <c r="M1432"/>
    </row>
    <row r="1433" spans="10:13" ht="20.25" customHeight="1">
      <c r="J1433"/>
      <c r="K1433"/>
      <c r="L1433"/>
      <c r="M1433"/>
    </row>
    <row r="1434" spans="10:13" ht="20.25" customHeight="1">
      <c r="J1434"/>
      <c r="K1434"/>
      <c r="L1434"/>
      <c r="M1434"/>
    </row>
    <row r="1435" spans="10:13" ht="20.25" customHeight="1">
      <c r="J1435"/>
      <c r="K1435"/>
      <c r="L1435"/>
      <c r="M1435"/>
    </row>
    <row r="1436" spans="10:13" ht="20.25" customHeight="1">
      <c r="J1436"/>
      <c r="K1436"/>
      <c r="L1436"/>
      <c r="M1436"/>
    </row>
    <row r="1437" spans="10:13" ht="20.25" customHeight="1">
      <c r="J1437"/>
      <c r="K1437"/>
      <c r="L1437"/>
      <c r="M1437"/>
    </row>
    <row r="1438" spans="10:13" ht="20.25" customHeight="1">
      <c r="J1438"/>
      <c r="K1438"/>
      <c r="L1438"/>
      <c r="M1438"/>
    </row>
    <row r="1439" spans="10:13" ht="20.25" customHeight="1">
      <c r="J1439"/>
      <c r="K1439"/>
      <c r="L1439"/>
      <c r="M1439"/>
    </row>
    <row r="1440" spans="10:13" ht="20.25" customHeight="1">
      <c r="J1440"/>
      <c r="K1440"/>
      <c r="L1440"/>
      <c r="M1440"/>
    </row>
    <row r="1441" spans="10:13" ht="20.25" customHeight="1">
      <c r="J1441"/>
      <c r="K1441"/>
      <c r="L1441"/>
      <c r="M1441"/>
    </row>
    <row r="1442" spans="10:13" ht="20.25" customHeight="1">
      <c r="J1442"/>
      <c r="K1442"/>
      <c r="L1442"/>
      <c r="M1442"/>
    </row>
    <row r="1443" spans="10:13" ht="20.25" customHeight="1">
      <c r="J1443"/>
      <c r="K1443"/>
      <c r="L1443"/>
      <c r="M1443"/>
    </row>
    <row r="1444" spans="10:13" ht="20.25" customHeight="1">
      <c r="J1444"/>
      <c r="K1444"/>
      <c r="L1444"/>
      <c r="M1444"/>
    </row>
    <row r="1445" spans="10:13" ht="20.25" customHeight="1">
      <c r="J1445"/>
      <c r="K1445"/>
      <c r="L1445"/>
      <c r="M1445"/>
    </row>
    <row r="1446" spans="10:13" ht="20.25" customHeight="1">
      <c r="J1446"/>
      <c r="K1446"/>
      <c r="L1446"/>
      <c r="M1446"/>
    </row>
    <row r="1447" spans="10:13" ht="20.25" customHeight="1">
      <c r="J1447"/>
      <c r="K1447"/>
      <c r="L1447"/>
      <c r="M1447"/>
    </row>
    <row r="1448" spans="10:13" ht="20.25" customHeight="1">
      <c r="J1448"/>
      <c r="K1448"/>
      <c r="L1448"/>
      <c r="M1448"/>
    </row>
    <row r="1449" spans="10:13" ht="20.25" customHeight="1">
      <c r="J1449"/>
      <c r="K1449"/>
      <c r="L1449"/>
      <c r="M1449"/>
    </row>
    <row r="1450" spans="10:13" ht="20.25" customHeight="1">
      <c r="J1450"/>
      <c r="K1450"/>
      <c r="L1450"/>
      <c r="M1450"/>
    </row>
    <row r="1451" spans="10:13" ht="20.25" customHeight="1">
      <c r="J1451"/>
      <c r="K1451"/>
      <c r="L1451"/>
      <c r="M1451"/>
    </row>
    <row r="1452" spans="10:13" ht="20.25" customHeight="1">
      <c r="J1452"/>
      <c r="K1452"/>
      <c r="L1452"/>
      <c r="M1452"/>
    </row>
    <row r="1453" spans="10:13" ht="20.25" customHeight="1">
      <c r="J1453"/>
      <c r="K1453"/>
      <c r="L1453"/>
      <c r="M1453"/>
    </row>
    <row r="1454" spans="10:13" ht="20.25" customHeight="1">
      <c r="J1454"/>
      <c r="K1454"/>
      <c r="L1454"/>
      <c r="M1454"/>
    </row>
    <row r="1455" spans="10:13" ht="20.25" customHeight="1">
      <c r="J1455"/>
      <c r="K1455"/>
      <c r="L1455"/>
      <c r="M1455"/>
    </row>
    <row r="1456" spans="10:13" ht="20.25" customHeight="1">
      <c r="J1456"/>
      <c r="K1456"/>
      <c r="L1456"/>
      <c r="M1456"/>
    </row>
    <row r="1457" spans="10:13" ht="20.25" customHeight="1">
      <c r="J1457"/>
      <c r="K1457"/>
      <c r="L1457"/>
      <c r="M1457"/>
    </row>
    <row r="1458" spans="10:13" ht="20.25" customHeight="1">
      <c r="J1458"/>
      <c r="K1458"/>
      <c r="L1458"/>
      <c r="M1458"/>
    </row>
    <row r="1459" spans="10:13" ht="20.25" customHeight="1">
      <c r="J1459"/>
      <c r="K1459"/>
      <c r="L1459"/>
      <c r="M1459"/>
    </row>
    <row r="1460" spans="10:13" ht="20.25" customHeight="1">
      <c r="J1460"/>
      <c r="K1460"/>
      <c r="L1460"/>
      <c r="M1460"/>
    </row>
    <row r="1461" spans="10:13" ht="20.25" customHeight="1">
      <c r="J1461"/>
      <c r="K1461"/>
      <c r="L1461"/>
      <c r="M1461"/>
    </row>
    <row r="1462" spans="10:13" ht="20.25" customHeight="1">
      <c r="J1462"/>
      <c r="K1462"/>
      <c r="L1462"/>
      <c r="M1462"/>
    </row>
    <row r="1463" spans="10:13" ht="20.25" customHeight="1">
      <c r="J1463"/>
      <c r="K1463"/>
      <c r="L1463"/>
      <c r="M1463"/>
    </row>
    <row r="1464" spans="10:13" ht="20.25" customHeight="1">
      <c r="J1464"/>
      <c r="K1464"/>
      <c r="L1464"/>
      <c r="M1464"/>
    </row>
    <row r="1465" spans="10:13" ht="20.25" customHeight="1">
      <c r="J1465"/>
      <c r="K1465"/>
      <c r="L1465"/>
      <c r="M1465"/>
    </row>
    <row r="1466" spans="10:13" ht="20.25" customHeight="1">
      <c r="J1466"/>
      <c r="K1466"/>
      <c r="L1466"/>
      <c r="M1466"/>
    </row>
    <row r="1467" spans="10:13" ht="20.25" customHeight="1">
      <c r="J1467"/>
      <c r="K1467"/>
      <c r="L1467"/>
      <c r="M1467"/>
    </row>
    <row r="1468" spans="10:13" ht="20.25" customHeight="1">
      <c r="J1468"/>
      <c r="K1468"/>
      <c r="L1468"/>
      <c r="M1468"/>
    </row>
    <row r="1469" spans="10:13" ht="20.25" customHeight="1">
      <c r="J1469"/>
      <c r="K1469"/>
      <c r="L1469"/>
      <c r="M1469"/>
    </row>
    <row r="1470" spans="10:13" ht="20.25" customHeight="1">
      <c r="J1470"/>
      <c r="K1470"/>
      <c r="L1470"/>
      <c r="M1470"/>
    </row>
    <row r="1471" spans="10:13" ht="20.25" customHeight="1">
      <c r="J1471"/>
      <c r="K1471"/>
      <c r="L1471"/>
      <c r="M1471"/>
    </row>
    <row r="1472" spans="10:13" ht="20.25" customHeight="1">
      <c r="J1472"/>
      <c r="K1472"/>
      <c r="L1472"/>
      <c r="M1472"/>
    </row>
    <row r="1473" spans="10:13" ht="20.25" customHeight="1">
      <c r="J1473"/>
      <c r="K1473"/>
      <c r="L1473"/>
      <c r="M1473"/>
    </row>
    <row r="1474" spans="10:13" ht="20.25" customHeight="1">
      <c r="J1474"/>
      <c r="K1474"/>
      <c r="L1474"/>
      <c r="M1474"/>
    </row>
    <row r="1475" spans="10:13" ht="20.25" customHeight="1">
      <c r="J1475"/>
      <c r="K1475"/>
      <c r="L1475"/>
      <c r="M1475"/>
    </row>
    <row r="1476" spans="10:13" ht="20.25" customHeight="1">
      <c r="J1476"/>
      <c r="K1476"/>
      <c r="L1476"/>
      <c r="M1476"/>
    </row>
    <row r="1477" spans="10:13" ht="20.25" customHeight="1">
      <c r="J1477"/>
      <c r="K1477"/>
      <c r="L1477"/>
      <c r="M1477"/>
    </row>
    <row r="1478" spans="10:13" ht="20.25" customHeight="1">
      <c r="J1478"/>
      <c r="K1478"/>
      <c r="L1478"/>
      <c r="M1478"/>
    </row>
    <row r="1479" spans="10:13" ht="20.25" customHeight="1">
      <c r="J1479"/>
      <c r="K1479"/>
      <c r="L1479"/>
      <c r="M1479"/>
    </row>
    <row r="1480" spans="10:13" ht="20.25" customHeight="1">
      <c r="J1480"/>
      <c r="K1480"/>
      <c r="L1480"/>
      <c r="M1480"/>
    </row>
    <row r="1481" spans="10:13" ht="20.25" customHeight="1">
      <c r="J1481"/>
      <c r="K1481"/>
      <c r="L1481"/>
      <c r="M1481"/>
    </row>
    <row r="1482" spans="10:13" ht="20.25" customHeight="1">
      <c r="J1482"/>
      <c r="K1482"/>
      <c r="L1482"/>
      <c r="M1482"/>
    </row>
    <row r="1483" spans="10:13" ht="20.25" customHeight="1">
      <c r="J1483"/>
      <c r="K1483"/>
      <c r="L1483"/>
      <c r="M1483"/>
    </row>
    <row r="1484" spans="10:13" ht="20.25" customHeight="1">
      <c r="J1484"/>
      <c r="K1484"/>
      <c r="L1484"/>
      <c r="M1484"/>
    </row>
    <row r="1485" spans="10:13" ht="20.25" customHeight="1">
      <c r="J1485"/>
      <c r="K1485"/>
      <c r="L1485"/>
      <c r="M1485"/>
    </row>
    <row r="1486" spans="10:13" ht="20.25" customHeight="1">
      <c r="J1486"/>
      <c r="K1486"/>
      <c r="L1486"/>
      <c r="M1486"/>
    </row>
    <row r="1487" spans="10:13" ht="20.25" customHeight="1">
      <c r="J1487"/>
      <c r="K1487"/>
      <c r="L1487"/>
      <c r="M1487"/>
    </row>
    <row r="1488" spans="10:13" ht="20.25" customHeight="1">
      <c r="J1488"/>
      <c r="K1488"/>
      <c r="L1488"/>
      <c r="M1488"/>
    </row>
    <row r="1489" spans="10:13" ht="20.25" customHeight="1">
      <c r="J1489"/>
      <c r="K1489"/>
      <c r="L1489"/>
      <c r="M1489"/>
    </row>
    <row r="1490" spans="10:13" ht="20.25" customHeight="1">
      <c r="J1490"/>
      <c r="K1490"/>
      <c r="L1490"/>
      <c r="M1490"/>
    </row>
    <row r="1491" spans="10:13" ht="20.25" customHeight="1">
      <c r="J1491"/>
      <c r="K1491"/>
      <c r="L1491"/>
      <c r="M1491"/>
    </row>
    <row r="1492" spans="10:13" ht="20.25" customHeight="1">
      <c r="J1492"/>
      <c r="K1492"/>
      <c r="L1492"/>
      <c r="M1492"/>
    </row>
    <row r="1493" spans="10:13" ht="20.25" customHeight="1">
      <c r="J1493"/>
      <c r="K1493"/>
      <c r="L1493"/>
      <c r="M1493"/>
    </row>
    <row r="1494" spans="10:13" ht="20.25" customHeight="1">
      <c r="J1494"/>
      <c r="K1494"/>
      <c r="L1494"/>
      <c r="M1494"/>
    </row>
    <row r="1495" spans="10:13" ht="20.25" customHeight="1">
      <c r="J1495"/>
      <c r="K1495"/>
      <c r="L1495"/>
      <c r="M1495"/>
    </row>
    <row r="1496" spans="10:13" ht="20.25" customHeight="1">
      <c r="J1496"/>
      <c r="K1496"/>
      <c r="L1496"/>
      <c r="M1496"/>
    </row>
    <row r="1497" spans="10:13" ht="20.25" customHeight="1">
      <c r="J1497"/>
      <c r="K1497"/>
      <c r="L1497"/>
      <c r="M1497"/>
    </row>
    <row r="1498" spans="10:13" ht="20.25" customHeight="1">
      <c r="J1498"/>
      <c r="K1498"/>
      <c r="L1498"/>
      <c r="M1498"/>
    </row>
    <row r="1499" spans="10:13" ht="20.25" customHeight="1">
      <c r="J1499"/>
      <c r="K1499"/>
      <c r="L1499"/>
      <c r="M1499"/>
    </row>
    <row r="1500" spans="10:13" ht="20.25" customHeight="1">
      <c r="J1500"/>
      <c r="K1500"/>
      <c r="L1500"/>
      <c r="M1500"/>
    </row>
    <row r="1501" spans="10:13" ht="20.25" customHeight="1">
      <c r="J1501"/>
      <c r="K1501"/>
      <c r="L1501"/>
      <c r="M1501"/>
    </row>
    <row r="1502" spans="10:13" ht="20.25" customHeight="1">
      <c r="J1502"/>
      <c r="K1502"/>
      <c r="L1502"/>
      <c r="M1502"/>
    </row>
    <row r="1503" spans="10:13" ht="20.25" customHeight="1">
      <c r="J1503"/>
      <c r="K1503"/>
      <c r="L1503"/>
      <c r="M1503"/>
    </row>
    <row r="1504" spans="10:13" ht="20.25" customHeight="1">
      <c r="J1504"/>
      <c r="K1504"/>
      <c r="L1504"/>
      <c r="M1504"/>
    </row>
    <row r="1505" spans="10:13" ht="20.25" customHeight="1">
      <c r="J1505"/>
      <c r="K1505"/>
      <c r="L1505"/>
      <c r="M1505"/>
    </row>
    <row r="1506" spans="10:13" ht="20.25" customHeight="1">
      <c r="J1506"/>
      <c r="K1506"/>
      <c r="L1506"/>
      <c r="M1506"/>
    </row>
    <row r="1507" spans="10:13" ht="20.25" customHeight="1">
      <c r="J1507"/>
      <c r="K1507"/>
      <c r="L1507"/>
      <c r="M1507"/>
    </row>
    <row r="1508" spans="10:13" ht="20.25" customHeight="1">
      <c r="J1508"/>
      <c r="K1508"/>
      <c r="L1508"/>
      <c r="M1508"/>
    </row>
    <row r="1509" spans="10:13" ht="20.25" customHeight="1">
      <c r="J1509"/>
      <c r="K1509"/>
      <c r="L1509"/>
      <c r="M1509"/>
    </row>
    <row r="1510" spans="10:13" ht="20.25" customHeight="1">
      <c r="J1510"/>
      <c r="K1510"/>
      <c r="L1510"/>
      <c r="M1510"/>
    </row>
    <row r="1511" spans="10:13" ht="20.25" customHeight="1">
      <c r="J1511"/>
      <c r="K1511"/>
      <c r="L1511"/>
      <c r="M1511"/>
    </row>
    <row r="1512" spans="10:13" ht="20.25" customHeight="1">
      <c r="J1512"/>
      <c r="K1512"/>
      <c r="L1512"/>
      <c r="M1512"/>
    </row>
    <row r="1513" spans="10:13" ht="20.25" customHeight="1">
      <c r="J1513"/>
      <c r="K1513"/>
      <c r="L1513"/>
      <c r="M1513"/>
    </row>
    <row r="1514" spans="10:13" ht="20.25" customHeight="1">
      <c r="J1514"/>
      <c r="K1514"/>
      <c r="L1514"/>
      <c r="M1514"/>
    </row>
    <row r="1515" spans="10:13" ht="20.25" customHeight="1">
      <c r="J1515"/>
      <c r="K1515"/>
      <c r="L1515"/>
      <c r="M1515"/>
    </row>
    <row r="1516" spans="10:13" ht="20.25" customHeight="1">
      <c r="J1516"/>
      <c r="K1516"/>
      <c r="L1516"/>
      <c r="M1516"/>
    </row>
    <row r="1517" spans="10:13" ht="20.25" customHeight="1">
      <c r="J1517"/>
      <c r="K1517"/>
      <c r="L1517"/>
      <c r="M1517"/>
    </row>
    <row r="1518" spans="10:13" ht="20.25" customHeight="1">
      <c r="J1518"/>
      <c r="K1518"/>
      <c r="L1518"/>
      <c r="M1518"/>
    </row>
    <row r="1519" spans="10:13" ht="20.25" customHeight="1">
      <c r="J1519"/>
      <c r="K1519"/>
      <c r="L1519"/>
      <c r="M1519"/>
    </row>
    <row r="1520" spans="10:13" ht="20.25" customHeight="1">
      <c r="J1520"/>
      <c r="K1520"/>
      <c r="L1520"/>
      <c r="M1520"/>
    </row>
    <row r="1521" spans="10:13" ht="20.25" customHeight="1">
      <c r="J1521"/>
      <c r="K1521"/>
      <c r="L1521"/>
      <c r="M1521"/>
    </row>
    <row r="1522" spans="10:13" ht="20.25" customHeight="1">
      <c r="J1522"/>
      <c r="K1522"/>
      <c r="L1522"/>
      <c r="M1522"/>
    </row>
  </sheetData>
  <mergeCells count="385">
    <mergeCell ref="B476:E476"/>
    <mergeCell ref="A430:I430"/>
    <mergeCell ref="A542:I542"/>
    <mergeCell ref="A554:I554"/>
    <mergeCell ref="B549:E549"/>
    <mergeCell ref="A547:B547"/>
    <mergeCell ref="A465:G465"/>
    <mergeCell ref="H465:I465"/>
    <mergeCell ref="A467:B467"/>
    <mergeCell ref="A468:A470"/>
    <mergeCell ref="I468:I470"/>
    <mergeCell ref="B471:E471"/>
    <mergeCell ref="A472:B472"/>
    <mergeCell ref="A473:A475"/>
    <mergeCell ref="I473:I475"/>
    <mergeCell ref="A451:A453"/>
    <mergeCell ref="I451:I453"/>
    <mergeCell ref="B454:E454"/>
    <mergeCell ref="A455:B455"/>
    <mergeCell ref="A456:A458"/>
    <mergeCell ref="I456:I458"/>
    <mergeCell ref="B459:E459"/>
    <mergeCell ref="A440:B440"/>
    <mergeCell ref="A441:A443"/>
    <mergeCell ref="I441:I443"/>
    <mergeCell ref="B444:E444"/>
    <mergeCell ref="A445:B445"/>
    <mergeCell ref="A446:A448"/>
    <mergeCell ref="I446:I448"/>
    <mergeCell ref="B449:E449"/>
    <mergeCell ref="A450:B450"/>
    <mergeCell ref="B427:E427"/>
    <mergeCell ref="A433:G433"/>
    <mergeCell ref="H433:I433"/>
    <mergeCell ref="A435:B435"/>
    <mergeCell ref="A436:A438"/>
    <mergeCell ref="I436:I438"/>
    <mergeCell ref="B439:E439"/>
    <mergeCell ref="A414:A416"/>
    <mergeCell ref="I414:I416"/>
    <mergeCell ref="B417:E417"/>
    <mergeCell ref="A418:B418"/>
    <mergeCell ref="A419:A421"/>
    <mergeCell ref="I419:I421"/>
    <mergeCell ref="B422:E422"/>
    <mergeCell ref="A423:B423"/>
    <mergeCell ref="A424:A426"/>
    <mergeCell ref="I424:I426"/>
    <mergeCell ref="A403:B403"/>
    <mergeCell ref="A404:A406"/>
    <mergeCell ref="I404:I406"/>
    <mergeCell ref="B407:E407"/>
    <mergeCell ref="A408:B408"/>
    <mergeCell ref="A409:A411"/>
    <mergeCell ref="I409:I411"/>
    <mergeCell ref="B412:E412"/>
    <mergeCell ref="A413:B413"/>
    <mergeCell ref="F1008:H1008"/>
    <mergeCell ref="A1093:H1093"/>
    <mergeCell ref="F1094:H1094"/>
    <mergeCell ref="A1149:H1149"/>
    <mergeCell ref="F1150:H1150"/>
    <mergeCell ref="A1183:H1183"/>
    <mergeCell ref="F1184:H1184"/>
    <mergeCell ref="F938:H938"/>
    <mergeCell ref="A952:H952"/>
    <mergeCell ref="F953:H953"/>
    <mergeCell ref="H956:H974"/>
    <mergeCell ref="A1329:I1329"/>
    <mergeCell ref="B1331:I1331"/>
    <mergeCell ref="B1332:I1332"/>
    <mergeCell ref="B1333:F1333"/>
    <mergeCell ref="G1333:I1333"/>
    <mergeCell ref="A1357:I1357"/>
    <mergeCell ref="B1359:I1359"/>
    <mergeCell ref="B1360:I1360"/>
    <mergeCell ref="B1361:F1361"/>
    <mergeCell ref="G1361:I1361"/>
    <mergeCell ref="A1298:I1298"/>
    <mergeCell ref="B1300:I1300"/>
    <mergeCell ref="B1301:I1301"/>
    <mergeCell ref="B1302:F1302"/>
    <mergeCell ref="G1302:I1302"/>
    <mergeCell ref="A1315:I1315"/>
    <mergeCell ref="B1317:I1317"/>
    <mergeCell ref="B1318:I1318"/>
    <mergeCell ref="B1319:F1319"/>
    <mergeCell ref="G1319:I1319"/>
    <mergeCell ref="B1250:I1250"/>
    <mergeCell ref="B1251:I1251"/>
    <mergeCell ref="B1252:F1252"/>
    <mergeCell ref="G1252:I1252"/>
    <mergeCell ref="A1273:I1273"/>
    <mergeCell ref="B1275:I1275"/>
    <mergeCell ref="A1247:I1247"/>
    <mergeCell ref="B1276:I1276"/>
    <mergeCell ref="B1277:F1277"/>
    <mergeCell ref="G1277:I1277"/>
    <mergeCell ref="I956:I974"/>
    <mergeCell ref="A982:H982"/>
    <mergeCell ref="B1215:F1215"/>
    <mergeCell ref="G1215:I1215"/>
    <mergeCell ref="A1248:I1248"/>
    <mergeCell ref="B1213:I1213"/>
    <mergeCell ref="B1214:I1214"/>
    <mergeCell ref="A902:I902"/>
    <mergeCell ref="A904:E904"/>
    <mergeCell ref="F913:H913"/>
    <mergeCell ref="A937:H937"/>
    <mergeCell ref="A933:I933"/>
    <mergeCell ref="A948:I948"/>
    <mergeCell ref="A978:I978"/>
    <mergeCell ref="A990:I990"/>
    <mergeCell ref="A1003:I1003"/>
    <mergeCell ref="A1089:I1089"/>
    <mergeCell ref="A1145:I1145"/>
    <mergeCell ref="A1179:I1179"/>
    <mergeCell ref="A1212:I1212"/>
    <mergeCell ref="F983:H983"/>
    <mergeCell ref="A994:H994"/>
    <mergeCell ref="F995:H995"/>
    <mergeCell ref="A1007:H1007"/>
    <mergeCell ref="H699:H712"/>
    <mergeCell ref="H725:H740"/>
    <mergeCell ref="H753:H769"/>
    <mergeCell ref="A713:I713"/>
    <mergeCell ref="A715:E715"/>
    <mergeCell ref="A642:G642"/>
    <mergeCell ref="H642:I642"/>
    <mergeCell ref="I644:I660"/>
    <mergeCell ref="A660:E660"/>
    <mergeCell ref="A661:I661"/>
    <mergeCell ref="A663:E663"/>
    <mergeCell ref="A697:G697"/>
    <mergeCell ref="H697:I697"/>
    <mergeCell ref="I699:I712"/>
    <mergeCell ref="A712:E712"/>
    <mergeCell ref="A669:G669"/>
    <mergeCell ref="H669:I669"/>
    <mergeCell ref="I671:I685"/>
    <mergeCell ref="A685:E685"/>
    <mergeCell ref="A686:I686"/>
    <mergeCell ref="A688:E688"/>
    <mergeCell ref="H671:H685"/>
    <mergeCell ref="A806:G806"/>
    <mergeCell ref="H806:I806"/>
    <mergeCell ref="I808:I839"/>
    <mergeCell ref="A839:E839"/>
    <mergeCell ref="A840:I840"/>
    <mergeCell ref="A842:E842"/>
    <mergeCell ref="A848:G848"/>
    <mergeCell ref="H848:I848"/>
    <mergeCell ref="H808:H839"/>
    <mergeCell ref="I850:I861"/>
    <mergeCell ref="A861:E861"/>
    <mergeCell ref="A862:I862"/>
    <mergeCell ref="A864:E864"/>
    <mergeCell ref="A870:G870"/>
    <mergeCell ref="H870:I870"/>
    <mergeCell ref="I872:I901"/>
    <mergeCell ref="A912:H912"/>
    <mergeCell ref="A901:E901"/>
    <mergeCell ref="H850:H861"/>
    <mergeCell ref="H872:H901"/>
    <mergeCell ref="A799:E799"/>
    <mergeCell ref="A751:G751"/>
    <mergeCell ref="H751:I751"/>
    <mergeCell ref="I753:I769"/>
    <mergeCell ref="A769:E769"/>
    <mergeCell ref="A770:I770"/>
    <mergeCell ref="A772:E772"/>
    <mergeCell ref="A723:G723"/>
    <mergeCell ref="H723:I723"/>
    <mergeCell ref="I725:I741"/>
    <mergeCell ref="A741:E741"/>
    <mergeCell ref="A742:I742"/>
    <mergeCell ref="A744:E744"/>
    <mergeCell ref="A779:G779"/>
    <mergeCell ref="H779:I779"/>
    <mergeCell ref="H781:H795"/>
    <mergeCell ref="I781:I795"/>
    <mergeCell ref="A796:E796"/>
    <mergeCell ref="A797:I797"/>
    <mergeCell ref="A614:E614"/>
    <mergeCell ref="A620:G620"/>
    <mergeCell ref="H620:I620"/>
    <mergeCell ref="I622:I629"/>
    <mergeCell ref="A629:E629"/>
    <mergeCell ref="A630:I630"/>
    <mergeCell ref="A632:E632"/>
    <mergeCell ref="H622:H629"/>
    <mergeCell ref="H644:H660"/>
    <mergeCell ref="A587:I587"/>
    <mergeCell ref="A589:E589"/>
    <mergeCell ref="A596:G596"/>
    <mergeCell ref="H596:I596"/>
    <mergeCell ref="I598:I611"/>
    <mergeCell ref="A611:E611"/>
    <mergeCell ref="A612:I612"/>
    <mergeCell ref="I559:I567"/>
    <mergeCell ref="A567:E567"/>
    <mergeCell ref="A568:I568"/>
    <mergeCell ref="A570:E570"/>
    <mergeCell ref="A575:G575"/>
    <mergeCell ref="H575:I575"/>
    <mergeCell ref="I577:I586"/>
    <mergeCell ref="A586:E586"/>
    <mergeCell ref="H559:H567"/>
    <mergeCell ref="H577:H586"/>
    <mergeCell ref="H598:H611"/>
    <mergeCell ref="A545:G545"/>
    <mergeCell ref="H545:I545"/>
    <mergeCell ref="A533:B533"/>
    <mergeCell ref="A534:A536"/>
    <mergeCell ref="I534:I536"/>
    <mergeCell ref="A521:G521"/>
    <mergeCell ref="H521:I521"/>
    <mergeCell ref="A523:B523"/>
    <mergeCell ref="A524:A526"/>
    <mergeCell ref="I524:I526"/>
    <mergeCell ref="A531:G531"/>
    <mergeCell ref="H531:I531"/>
    <mergeCell ref="A478:A480"/>
    <mergeCell ref="I478:I480"/>
    <mergeCell ref="A511:G511"/>
    <mergeCell ref="H511:I511"/>
    <mergeCell ref="A513:B513"/>
    <mergeCell ref="A514:A516"/>
    <mergeCell ref="I514:I516"/>
    <mergeCell ref="A493:B493"/>
    <mergeCell ref="A494:A496"/>
    <mergeCell ref="I494:I496"/>
    <mergeCell ref="A501:G501"/>
    <mergeCell ref="H501:I501"/>
    <mergeCell ref="A503:B503"/>
    <mergeCell ref="A504:A506"/>
    <mergeCell ref="I504:I506"/>
    <mergeCell ref="B1379:F1379"/>
    <mergeCell ref="G1379:I1379"/>
    <mergeCell ref="A397:I397"/>
    <mergeCell ref="A401:G401"/>
    <mergeCell ref="H401:I401"/>
    <mergeCell ref="A1375:I1375"/>
    <mergeCell ref="B1377:I1377"/>
    <mergeCell ref="B1378:I1378"/>
    <mergeCell ref="A1342:I1342"/>
    <mergeCell ref="B1344:I1344"/>
    <mergeCell ref="B1345:I1345"/>
    <mergeCell ref="B1346:F1346"/>
    <mergeCell ref="G1346:I1346"/>
    <mergeCell ref="A908:I908"/>
    <mergeCell ref="H557:I557"/>
    <mergeCell ref="A557:G557"/>
    <mergeCell ref="B481:E481"/>
    <mergeCell ref="A482:B482"/>
    <mergeCell ref="A483:A485"/>
    <mergeCell ref="I483:I485"/>
    <mergeCell ref="B486:E486"/>
    <mergeCell ref="A491:G491"/>
    <mergeCell ref="H491:I491"/>
    <mergeCell ref="A477:B477"/>
    <mergeCell ref="A1:I1"/>
    <mergeCell ref="A95:I95"/>
    <mergeCell ref="B138:I138"/>
    <mergeCell ref="B139:F139"/>
    <mergeCell ref="G139:I139"/>
    <mergeCell ref="G140:H140"/>
    <mergeCell ref="B174:F174"/>
    <mergeCell ref="G174:I174"/>
    <mergeCell ref="G227:I227"/>
    <mergeCell ref="B6:F6"/>
    <mergeCell ref="G6:I6"/>
    <mergeCell ref="G7:H7"/>
    <mergeCell ref="A15:I15"/>
    <mergeCell ref="B19:F19"/>
    <mergeCell ref="G19:I19"/>
    <mergeCell ref="G20:H20"/>
    <mergeCell ref="A35:I35"/>
    <mergeCell ref="A155:I155"/>
    <mergeCell ref="B159:F159"/>
    <mergeCell ref="G159:I159"/>
    <mergeCell ref="G160:H160"/>
    <mergeCell ref="A170:I170"/>
    <mergeCell ref="B118:I118"/>
    <mergeCell ref="B119:F119"/>
    <mergeCell ref="B78:I78"/>
    <mergeCell ref="B79:F79"/>
    <mergeCell ref="G79:I79"/>
    <mergeCell ref="G80:H80"/>
    <mergeCell ref="B98:I98"/>
    <mergeCell ref="B99:F99"/>
    <mergeCell ref="G99:I99"/>
    <mergeCell ref="G100:H100"/>
    <mergeCell ref="A115:I115"/>
    <mergeCell ref="A55:I55"/>
    <mergeCell ref="B58:I58"/>
    <mergeCell ref="B59:F59"/>
    <mergeCell ref="G59:I59"/>
    <mergeCell ref="B39:F39"/>
    <mergeCell ref="G39:I39"/>
    <mergeCell ref="G40:H40"/>
    <mergeCell ref="G60:H60"/>
    <mergeCell ref="A75:I75"/>
    <mergeCell ref="I255:I263"/>
    <mergeCell ref="B251:I251"/>
    <mergeCell ref="B252:F252"/>
    <mergeCell ref="G252:I252"/>
    <mergeCell ref="G253:H253"/>
    <mergeCell ref="G119:I119"/>
    <mergeCell ref="G120:H120"/>
    <mergeCell ref="A135:I135"/>
    <mergeCell ref="A204:I204"/>
    <mergeCell ref="B208:F208"/>
    <mergeCell ref="G208:I208"/>
    <mergeCell ref="G209:H209"/>
    <mergeCell ref="A386:E386"/>
    <mergeCell ref="A387:I387"/>
    <mergeCell ref="G175:H175"/>
    <mergeCell ref="A190:I190"/>
    <mergeCell ref="B194:F194"/>
    <mergeCell ref="G194:I194"/>
    <mergeCell ref="G195:H195"/>
    <mergeCell ref="A223:I223"/>
    <mergeCell ref="B226:I226"/>
    <mergeCell ref="B227:F227"/>
    <mergeCell ref="G228:H228"/>
    <mergeCell ref="H230:H239"/>
    <mergeCell ref="I230:I239"/>
    <mergeCell ref="A240:E240"/>
    <mergeCell ref="A241:I241"/>
    <mergeCell ref="A243:E243"/>
    <mergeCell ref="A248:I248"/>
    <mergeCell ref="A290:E290"/>
    <mergeCell ref="A294:I294"/>
    <mergeCell ref="B297:I297"/>
    <mergeCell ref="B275:F275"/>
    <mergeCell ref="A264:E264"/>
    <mergeCell ref="A265:I265"/>
    <mergeCell ref="H255:H263"/>
    <mergeCell ref="A267:E267"/>
    <mergeCell ref="A271:I271"/>
    <mergeCell ref="B274:I274"/>
    <mergeCell ref="F394:G394"/>
    <mergeCell ref="B368:F368"/>
    <mergeCell ref="G368:I368"/>
    <mergeCell ref="G369:H369"/>
    <mergeCell ref="H371:H385"/>
    <mergeCell ref="I371:I385"/>
    <mergeCell ref="A364:I364"/>
    <mergeCell ref="B367:I367"/>
    <mergeCell ref="A287:E287"/>
    <mergeCell ref="A338:E338"/>
    <mergeCell ref="B322:F322"/>
    <mergeCell ref="G322:I322"/>
    <mergeCell ref="G323:H323"/>
    <mergeCell ref="H325:H334"/>
    <mergeCell ref="I325:I334"/>
    <mergeCell ref="A311:I311"/>
    <mergeCell ref="A313:E313"/>
    <mergeCell ref="A389:E389"/>
    <mergeCell ref="B298:F298"/>
    <mergeCell ref="G298:I298"/>
    <mergeCell ref="A288:I288"/>
    <mergeCell ref="B321:I321"/>
    <mergeCell ref="A359:I359"/>
    <mergeCell ref="A361:E361"/>
    <mergeCell ref="B344:I344"/>
    <mergeCell ref="B345:F345"/>
    <mergeCell ref="G345:I345"/>
    <mergeCell ref="G346:H346"/>
    <mergeCell ref="H348:H357"/>
    <mergeCell ref="I348:I358"/>
    <mergeCell ref="A358:E358"/>
    <mergeCell ref="A335:E335"/>
    <mergeCell ref="A336:I336"/>
    <mergeCell ref="A341:I341"/>
    <mergeCell ref="I278:I286"/>
    <mergeCell ref="G275:I275"/>
    <mergeCell ref="G276:H276"/>
    <mergeCell ref="H278:H286"/>
    <mergeCell ref="G299:H299"/>
    <mergeCell ref="H301:H309"/>
    <mergeCell ref="I301:I310"/>
    <mergeCell ref="A310:E310"/>
    <mergeCell ref="A318:I318"/>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54"/>
  <sheetViews>
    <sheetView topLeftCell="A40" workbookViewId="0">
      <selection activeCell="H5" sqref="H5"/>
    </sheetView>
  </sheetViews>
  <sheetFormatPr baseColWidth="10" defaultRowHeight="12"/>
  <cols>
    <col min="1" max="1" width="7.5703125" style="77" customWidth="1"/>
    <col min="2" max="2" width="55.5703125" style="77" customWidth="1"/>
    <col min="3" max="3" width="19.140625" style="77" customWidth="1"/>
    <col min="4" max="4" width="15.28515625" style="77" customWidth="1"/>
    <col min="5" max="5" width="12.5703125" style="77" customWidth="1"/>
    <col min="6" max="7" width="11.5703125" style="77" customWidth="1"/>
    <col min="8" max="8" width="16.28515625" style="77" customWidth="1"/>
    <col min="9" max="9" width="10.5703125" style="77" customWidth="1"/>
    <col min="10" max="10" width="12.42578125" style="77" customWidth="1"/>
    <col min="11" max="11" width="10.28515625" style="77" customWidth="1"/>
    <col min="12" max="16384" width="11.42578125" style="77"/>
  </cols>
  <sheetData>
    <row r="1" spans="1:16" ht="18.75">
      <c r="B1" s="256" t="s">
        <v>1142</v>
      </c>
    </row>
    <row r="2" spans="1:16" ht="30" customHeight="1">
      <c r="A2" s="923" t="s">
        <v>249</v>
      </c>
      <c r="B2" s="917" t="s">
        <v>94</v>
      </c>
      <c r="C2" s="917" t="s">
        <v>235</v>
      </c>
      <c r="D2" s="917" t="s">
        <v>236</v>
      </c>
      <c r="E2" s="222" t="s">
        <v>960</v>
      </c>
      <c r="F2" s="919" t="s">
        <v>961</v>
      </c>
      <c r="G2" s="921" t="s">
        <v>963</v>
      </c>
      <c r="H2" s="222" t="s">
        <v>95</v>
      </c>
    </row>
    <row r="3" spans="1:16" ht="15">
      <c r="A3" s="924"/>
      <c r="B3" s="918"/>
      <c r="C3" s="918"/>
      <c r="D3" s="918"/>
      <c r="E3" s="222" t="s">
        <v>962</v>
      </c>
      <c r="F3" s="920"/>
      <c r="G3" s="922"/>
      <c r="H3" s="222" t="s">
        <v>964</v>
      </c>
      <c r="J3"/>
      <c r="K3"/>
      <c r="L3"/>
      <c r="M3"/>
      <c r="N3"/>
      <c r="O3"/>
      <c r="P3"/>
    </row>
    <row r="4" spans="1:16" ht="15">
      <c r="A4" s="268"/>
      <c r="B4" s="263" t="s">
        <v>259</v>
      </c>
      <c r="C4" s="223"/>
      <c r="D4" s="223"/>
      <c r="E4" s="223"/>
      <c r="F4" s="223"/>
      <c r="G4" s="277"/>
      <c r="H4" s="224"/>
      <c r="J4"/>
      <c r="K4"/>
      <c r="L4"/>
      <c r="M4"/>
      <c r="N4"/>
      <c r="O4"/>
      <c r="P4"/>
    </row>
    <row r="5" spans="1:16" ht="24">
      <c r="A5" s="257">
        <v>1</v>
      </c>
      <c r="B5" s="258" t="str">
        <f>+'6. INSUMOS VALORADOS'!B4</f>
        <v>Estudios de evaluación y diseño integral del sistema de riego comunitario La Concha</v>
      </c>
      <c r="C5" s="220" t="s">
        <v>614</v>
      </c>
      <c r="D5" s="220" t="s">
        <v>615</v>
      </c>
      <c r="E5" s="245">
        <v>100</v>
      </c>
      <c r="F5" s="275">
        <v>60</v>
      </c>
      <c r="G5" s="245">
        <f>+F5*4</f>
        <v>240</v>
      </c>
      <c r="H5" s="221">
        <f>+'6. INSUMOS VALORADOS'!G13</f>
        <v>3618.8</v>
      </c>
      <c r="J5"/>
      <c r="K5"/>
      <c r="L5"/>
      <c r="M5"/>
      <c r="N5"/>
      <c r="O5"/>
      <c r="P5"/>
    </row>
    <row r="6" spans="1:16" ht="24">
      <c r="A6" s="245">
        <f>+A5+1</f>
        <v>2</v>
      </c>
      <c r="B6" s="246" t="str">
        <f>+'6. INSUMOS VALORADOS'!B17</f>
        <v>Estudios de evaluación y diseño integral del sistema de riego comunitario Chantaco-Chichaca</v>
      </c>
      <c r="C6" s="80" t="s">
        <v>617</v>
      </c>
      <c r="D6" s="80" t="s">
        <v>613</v>
      </c>
      <c r="E6" s="80">
        <v>70</v>
      </c>
      <c r="F6" s="80">
        <v>70</v>
      </c>
      <c r="G6" s="245">
        <f t="shared" ref="G6:G16" si="0">+F6*4</f>
        <v>280</v>
      </c>
      <c r="H6" s="247">
        <f>+'6. INSUMOS VALORADOS'!G25</f>
        <v>560</v>
      </c>
      <c r="J6"/>
      <c r="K6"/>
      <c r="L6"/>
      <c r="M6"/>
      <c r="N6"/>
      <c r="O6"/>
      <c r="P6"/>
    </row>
    <row r="7" spans="1:16" ht="32.25" customHeight="1">
      <c r="A7" s="245">
        <f t="shared" ref="A7:A16" si="1">+A6+1</f>
        <v>3</v>
      </c>
      <c r="B7" s="246" t="str">
        <f>+'6. INSUMOS VALORADOS'!B37</f>
        <v>Estudios de evaluación y diseño integral del sistema de riego comunitario Verdún</v>
      </c>
      <c r="C7" s="80" t="s">
        <v>616</v>
      </c>
      <c r="D7" s="80" t="s">
        <v>615</v>
      </c>
      <c r="E7" s="80">
        <v>80</v>
      </c>
      <c r="F7" s="80">
        <v>72</v>
      </c>
      <c r="G7" s="245">
        <f t="shared" si="0"/>
        <v>288</v>
      </c>
      <c r="H7" s="247">
        <f>+'6. INSUMOS VALORADOS'!G45</f>
        <v>613.20000000000005</v>
      </c>
      <c r="J7"/>
      <c r="K7"/>
      <c r="L7"/>
      <c r="M7"/>
      <c r="N7"/>
      <c r="O7"/>
      <c r="P7"/>
    </row>
    <row r="8" spans="1:16" ht="32.25" customHeight="1">
      <c r="A8" s="245">
        <f t="shared" si="1"/>
        <v>4</v>
      </c>
      <c r="B8" s="246" t="str">
        <f>+'6. INSUMOS VALORADOS'!B57</f>
        <v>Estudios de evaluación y diseño integral del sistema de riego comunitario Michay-Chantaco</v>
      </c>
      <c r="C8" s="80" t="s">
        <v>617</v>
      </c>
      <c r="D8" s="80" t="s">
        <v>613</v>
      </c>
      <c r="E8" s="80">
        <v>70</v>
      </c>
      <c r="F8" s="80">
        <v>80</v>
      </c>
      <c r="G8" s="245">
        <f t="shared" si="0"/>
        <v>320</v>
      </c>
      <c r="H8" s="247">
        <f>+'6. INSUMOS VALORADOS'!G65</f>
        <v>560</v>
      </c>
      <c r="J8"/>
      <c r="K8"/>
      <c r="L8"/>
      <c r="M8"/>
      <c r="N8"/>
      <c r="O8"/>
      <c r="P8"/>
    </row>
    <row r="9" spans="1:16" ht="32.25" customHeight="1">
      <c r="A9" s="245">
        <f t="shared" si="1"/>
        <v>5</v>
      </c>
      <c r="B9" s="246" t="str">
        <f>+'6. INSUMOS VALORADOS'!B77</f>
        <v>Estudios de evaluación y diseño integral del sistema de riego comunitario Aguarongo</v>
      </c>
      <c r="C9" s="80" t="s">
        <v>612</v>
      </c>
      <c r="D9" s="80" t="s">
        <v>613</v>
      </c>
      <c r="E9" s="80">
        <v>100</v>
      </c>
      <c r="F9" s="80">
        <v>80</v>
      </c>
      <c r="G9" s="245">
        <f t="shared" si="0"/>
        <v>320</v>
      </c>
      <c r="H9" s="247">
        <f>+'6. INSUMOS VALORADOS'!G85</f>
        <v>677.6</v>
      </c>
      <c r="J9"/>
      <c r="K9"/>
      <c r="L9"/>
      <c r="M9"/>
      <c r="N9"/>
      <c r="O9"/>
      <c r="P9"/>
    </row>
    <row r="10" spans="1:16" ht="32.25" customHeight="1">
      <c r="A10" s="245">
        <f t="shared" si="1"/>
        <v>6</v>
      </c>
      <c r="B10" s="246" t="str">
        <f>+'6. INSUMOS VALORADOS'!B97</f>
        <v>Estudios de evaluación y diseño integral del sistema de riego comunitario Canal Alto San Pedro de Vilcabamba</v>
      </c>
      <c r="C10" s="80" t="s">
        <v>618</v>
      </c>
      <c r="D10" s="80" t="s">
        <v>613</v>
      </c>
      <c r="E10" s="80">
        <v>500</v>
      </c>
      <c r="F10" s="80">
        <v>200</v>
      </c>
      <c r="G10" s="245">
        <f t="shared" si="0"/>
        <v>800</v>
      </c>
      <c r="H10" s="247">
        <f>+'6. INSUMOS VALORADOS'!G105</f>
        <v>1201.2</v>
      </c>
      <c r="J10"/>
      <c r="K10"/>
      <c r="L10"/>
      <c r="M10"/>
      <c r="N10"/>
      <c r="O10"/>
      <c r="P10"/>
    </row>
    <row r="11" spans="1:16" ht="39" customHeight="1">
      <c r="A11" s="245">
        <f t="shared" si="1"/>
        <v>7</v>
      </c>
      <c r="B11" s="248" t="str">
        <f>+'6. INSUMOS VALORADOS'!B117</f>
        <v>Estudios de evaluación y diseño integral del sistema de riego comunitario Santa Rosa Cristales</v>
      </c>
      <c r="C11" s="249" t="s">
        <v>620</v>
      </c>
      <c r="D11" s="249" t="s">
        <v>619</v>
      </c>
      <c r="E11" s="80">
        <v>120</v>
      </c>
      <c r="F11" s="80">
        <v>100</v>
      </c>
      <c r="G11" s="245">
        <f t="shared" si="0"/>
        <v>400</v>
      </c>
      <c r="H11" s="250">
        <f>+'6. INSUMOS VALORADOS'!G125</f>
        <v>736.40000000000009</v>
      </c>
      <c r="J11"/>
      <c r="K11"/>
      <c r="L11">
        <f>SUM(G5:G11)</f>
        <v>2648</v>
      </c>
      <c r="M11"/>
      <c r="N11"/>
      <c r="O11"/>
      <c r="P11"/>
    </row>
    <row r="12" spans="1:16" ht="48.75" customHeight="1">
      <c r="A12" s="245">
        <f t="shared" si="1"/>
        <v>8</v>
      </c>
      <c r="B12" s="75" t="str">
        <f>+'6. INSUMOS VALORADOS'!B137</f>
        <v>Estudios de optimización hidráulica de redes de los sistemas de riego público del Cantón Saraguro</v>
      </c>
      <c r="C12" s="249" t="s">
        <v>631</v>
      </c>
      <c r="D12" s="249" t="s">
        <v>621</v>
      </c>
      <c r="E12" s="80">
        <v>1003.22</v>
      </c>
      <c r="F12" s="80">
        <v>1220</v>
      </c>
      <c r="G12" s="245">
        <f t="shared" si="0"/>
        <v>4880</v>
      </c>
      <c r="H12" s="250">
        <f>+'6. INSUMOS VALORADOS'!G145</f>
        <v>1442</v>
      </c>
      <c r="J12"/>
      <c r="K12"/>
      <c r="L12"/>
      <c r="M12"/>
      <c r="N12"/>
      <c r="O12"/>
      <c r="P12"/>
    </row>
    <row r="13" spans="1:16" ht="30" customHeight="1">
      <c r="A13" s="245">
        <f t="shared" si="1"/>
        <v>9</v>
      </c>
      <c r="B13" s="75" t="str">
        <f>+'6. INSUMOS VALORADOS'!B157</f>
        <v>Regularización ambiental de los sistemas de riego del Plan Emergente</v>
      </c>
      <c r="C13" s="249"/>
      <c r="D13" s="249" t="s">
        <v>632</v>
      </c>
      <c r="E13" s="80">
        <f>32*20</f>
        <v>640</v>
      </c>
      <c r="F13" s="80">
        <f>32*30</f>
        <v>960</v>
      </c>
      <c r="G13" s="245">
        <f t="shared" si="0"/>
        <v>3840</v>
      </c>
      <c r="H13" s="250">
        <f>+'6. INSUMOS VALORADOS'!G164</f>
        <v>10393.600000000002</v>
      </c>
      <c r="J13"/>
      <c r="K13"/>
      <c r="L13"/>
      <c r="M13"/>
      <c r="N13"/>
      <c r="O13"/>
      <c r="P13"/>
    </row>
    <row r="14" spans="1:16" ht="48.75" customHeight="1">
      <c r="A14" s="245">
        <f t="shared" si="1"/>
        <v>10</v>
      </c>
      <c r="B14" s="251" t="str">
        <f>+'6. INSUMOS VALORADOS'!B172</f>
        <v>Estudios de optimización hidráulica de redes de los sistemas de riego público del Cantón Espíndola</v>
      </c>
      <c r="C14" s="80" t="s">
        <v>630</v>
      </c>
      <c r="D14" s="80" t="s">
        <v>626</v>
      </c>
      <c r="E14" s="80">
        <v>1451</v>
      </c>
      <c r="F14" s="80">
        <v>823</v>
      </c>
      <c r="G14" s="245">
        <f t="shared" si="0"/>
        <v>3292</v>
      </c>
      <c r="H14" s="247">
        <f>+'6. INSUMOS VALORADOS'!G180</f>
        <v>1554</v>
      </c>
      <c r="J14"/>
      <c r="K14"/>
      <c r="L14"/>
      <c r="M14"/>
      <c r="N14"/>
      <c r="O14"/>
      <c r="P14"/>
    </row>
    <row r="15" spans="1:16" ht="30" customHeight="1">
      <c r="A15" s="245">
        <f t="shared" si="1"/>
        <v>11</v>
      </c>
      <c r="B15" s="251" t="str">
        <f>+'6. INSUMOS VALORADOS'!B192</f>
        <v>Cumplimiento del Plan de Manejo Ambiental del Sistema de Riego Zapotillo</v>
      </c>
      <c r="C15" s="80" t="s">
        <v>627</v>
      </c>
      <c r="D15" s="80" t="s">
        <v>627</v>
      </c>
      <c r="E15" s="80">
        <v>7887</v>
      </c>
      <c r="F15" s="80">
        <v>479</v>
      </c>
      <c r="G15" s="245">
        <f t="shared" si="0"/>
        <v>1916</v>
      </c>
      <c r="H15" s="247">
        <f>+'6. INSUMOS VALORADOS'!G198</f>
        <v>9999.9984000000004</v>
      </c>
      <c r="J15"/>
      <c r="K15"/>
    </row>
    <row r="16" spans="1:16" ht="69.75" customHeight="1">
      <c r="A16" s="245">
        <f t="shared" si="1"/>
        <v>12</v>
      </c>
      <c r="B16" s="251" t="str">
        <f>+'6. INSUMOS VALORADOS'!B206</f>
        <v>Optimización hidráulica de  Redes de riego  de Sistemas de Riego Público  para los cantones Loja, Zapotillo, Puyango y Paltas</v>
      </c>
      <c r="C16" s="80" t="s">
        <v>628</v>
      </c>
      <c r="D16" s="80" t="s">
        <v>629</v>
      </c>
      <c r="E16" s="80">
        <v>428</v>
      </c>
      <c r="F16" s="80">
        <v>198</v>
      </c>
      <c r="G16" s="292">
        <f t="shared" si="0"/>
        <v>792</v>
      </c>
      <c r="H16" s="247">
        <f>+'6. INSUMOS VALORADOS'!G213</f>
        <v>25200.000000000004</v>
      </c>
      <c r="J16"/>
      <c r="K16"/>
    </row>
    <row r="17" spans="1:11" ht="15">
      <c r="A17" s="271"/>
      <c r="B17" s="914" t="s">
        <v>263</v>
      </c>
      <c r="C17" s="915"/>
      <c r="D17" s="916"/>
      <c r="E17" s="290">
        <f>SUM(E5:E16)</f>
        <v>12449.220000000001</v>
      </c>
      <c r="F17" s="293">
        <f>SUM(F5:F16)</f>
        <v>4342</v>
      </c>
      <c r="G17" s="294">
        <f>SUM(G5:G16)</f>
        <v>17368</v>
      </c>
      <c r="H17" s="272">
        <f>SUM(H5:H16)</f>
        <v>56556.798400000007</v>
      </c>
      <c r="J17"/>
      <c r="K17"/>
    </row>
    <row r="18" spans="1:11" ht="15.75">
      <c r="A18" s="264"/>
      <c r="B18" s="265" t="s">
        <v>260</v>
      </c>
      <c r="C18" s="266"/>
      <c r="D18" s="266"/>
      <c r="E18" s="291"/>
      <c r="F18" s="291"/>
      <c r="G18" s="291"/>
      <c r="H18" s="267"/>
      <c r="J18"/>
      <c r="K18"/>
    </row>
    <row r="19" spans="1:11" ht="24">
      <c r="A19" s="257">
        <v>1</v>
      </c>
      <c r="B19" s="259" t="str">
        <f>+'6. INSUMOS VALORADOS'!B225</f>
        <v>Rehabilitación del Sistema de riego comunitario Sevillan-Lluzhapa-Seucer Etapa 1</v>
      </c>
      <c r="C19" s="260" t="s">
        <v>221</v>
      </c>
      <c r="D19" s="260" t="s">
        <v>219</v>
      </c>
      <c r="E19" s="260">
        <v>55</v>
      </c>
      <c r="F19" s="260">
        <v>68</v>
      </c>
      <c r="G19" s="260">
        <f>+F19*4</f>
        <v>272</v>
      </c>
      <c r="H19" s="261">
        <f>+'1.PROFORMA 2016 '!I150</f>
        <v>42694.400000000001</v>
      </c>
      <c r="J19"/>
      <c r="K19"/>
    </row>
    <row r="20" spans="1:11" ht="34.5" customHeight="1">
      <c r="A20" s="245">
        <f>1+A19</f>
        <v>2</v>
      </c>
      <c r="B20" s="83" t="str">
        <f>+'6. INSUMOS VALORADOS'!B250</f>
        <v>Rehabilitación del Sistema de riego comunitario Balcones I etapa San Sebastian de Yulug Etapa 1</v>
      </c>
      <c r="C20" s="252" t="s">
        <v>222</v>
      </c>
      <c r="D20" s="252" t="s">
        <v>219</v>
      </c>
      <c r="E20" s="252">
        <v>150</v>
      </c>
      <c r="F20" s="252">
        <v>120</v>
      </c>
      <c r="G20" s="260">
        <f t="shared" ref="G20:G25" si="2">+F20*4</f>
        <v>480</v>
      </c>
      <c r="H20" s="253">
        <f>+'1.PROFORMA 2016 '!I152</f>
        <v>41652.799999999996</v>
      </c>
    </row>
    <row r="21" spans="1:11" ht="30.75" customHeight="1">
      <c r="A21" s="245">
        <f t="shared" ref="A21:A25" si="3">1+A20</f>
        <v>3</v>
      </c>
      <c r="B21" s="83" t="str">
        <f>+'6. INSUMOS VALORADOS'!B273</f>
        <v>Rehabilitación del Sistema de Riego comunitario San Pedro de Vilcabamba Etapa 1</v>
      </c>
      <c r="C21" s="252" t="s">
        <v>217</v>
      </c>
      <c r="D21" s="252" t="s">
        <v>215</v>
      </c>
      <c r="E21" s="252">
        <v>500</v>
      </c>
      <c r="F21" s="252">
        <v>100</v>
      </c>
      <c r="G21" s="260">
        <f t="shared" si="2"/>
        <v>400</v>
      </c>
      <c r="H21" s="253">
        <f>+'1.PROFORMA 2016 '!I154</f>
        <v>41070.400000000001</v>
      </c>
    </row>
    <row r="22" spans="1:11" ht="37.5" customHeight="1">
      <c r="A22" s="245">
        <f t="shared" si="3"/>
        <v>4</v>
      </c>
      <c r="B22" s="83" t="str">
        <f>+'6. INSUMOS VALORADOS'!B296</f>
        <v>Rehabilitación el Sistema de riego comunitario Palmas-Mercadillo-Cango Etapa 1</v>
      </c>
      <c r="C22" s="252" t="s">
        <v>223</v>
      </c>
      <c r="D22" s="252" t="s">
        <v>224</v>
      </c>
      <c r="E22" s="252">
        <v>80</v>
      </c>
      <c r="F22" s="252">
        <v>40</v>
      </c>
      <c r="G22" s="260">
        <f t="shared" si="2"/>
        <v>160</v>
      </c>
      <c r="H22" s="253">
        <f>+'1.PROFORMA 2016 '!I156</f>
        <v>48686.400000000001</v>
      </c>
    </row>
    <row r="23" spans="1:11" ht="30.75" customHeight="1">
      <c r="A23" s="245">
        <f t="shared" si="3"/>
        <v>5</v>
      </c>
      <c r="B23" s="83" t="str">
        <f>+'6. INSUMOS VALORADOS'!B320</f>
        <v>Rehabilitación del Sistema de riego comunitario  Moquillo, Malacatos Etapa 1</v>
      </c>
      <c r="C23" s="252" t="s">
        <v>220</v>
      </c>
      <c r="D23" s="252" t="s">
        <v>215</v>
      </c>
      <c r="E23" s="252">
        <v>100</v>
      </c>
      <c r="F23" s="252">
        <v>70</v>
      </c>
      <c r="G23" s="260">
        <f t="shared" si="2"/>
        <v>280</v>
      </c>
      <c r="H23" s="253">
        <f>+'1.PROFORMA 2016 '!I158</f>
        <v>38180.80000000001</v>
      </c>
    </row>
    <row r="24" spans="1:11" ht="30" customHeight="1">
      <c r="A24" s="245">
        <f t="shared" si="3"/>
        <v>6</v>
      </c>
      <c r="B24" s="83" t="str">
        <f>+'6. INSUMOS VALORADOS'!B343</f>
        <v>Rehabilitación del Sistema de riego comunitario  Purunuma Asnayacu Etapa 1</v>
      </c>
      <c r="C24" s="252" t="s">
        <v>225</v>
      </c>
      <c r="D24" s="252" t="s">
        <v>226</v>
      </c>
      <c r="E24" s="252">
        <v>200</v>
      </c>
      <c r="F24" s="252">
        <v>100</v>
      </c>
      <c r="G24" s="260">
        <f t="shared" si="2"/>
        <v>400</v>
      </c>
      <c r="H24" s="253">
        <f>+'1.PROFORMA 2016 '!I160</f>
        <v>50411.199999999997</v>
      </c>
    </row>
    <row r="25" spans="1:11" ht="24" customHeight="1">
      <c r="A25" s="245">
        <f t="shared" si="3"/>
        <v>7</v>
      </c>
      <c r="B25" s="83" t="str">
        <f>+'6. INSUMOS VALORADOS'!B366</f>
        <v>Rehabilitación del Sistema de Riego comunitario Aguarango Etapa 1</v>
      </c>
      <c r="C25" s="252" t="s">
        <v>216</v>
      </c>
      <c r="D25" s="252" t="s">
        <v>215</v>
      </c>
      <c r="E25" s="252">
        <v>70</v>
      </c>
      <c r="F25" s="252">
        <v>86</v>
      </c>
      <c r="G25" s="260">
        <f t="shared" si="2"/>
        <v>344</v>
      </c>
      <c r="H25" s="253">
        <f>+'1.PROFORMA 2016 '!I162</f>
        <v>44620.800000000003</v>
      </c>
    </row>
    <row r="26" spans="1:11" ht="15">
      <c r="A26"/>
      <c r="B26" s="911" t="s">
        <v>262</v>
      </c>
      <c r="C26" s="912"/>
      <c r="D26" s="913"/>
      <c r="E26" s="273">
        <f>SUM(E19:E25)</f>
        <v>1155</v>
      </c>
      <c r="F26" s="273">
        <f>SUM(F19:F25)</f>
        <v>584</v>
      </c>
      <c r="G26" s="273">
        <f>SUM(G19:G25)</f>
        <v>2336</v>
      </c>
      <c r="H26" s="84">
        <f>SUM(H19:H25)</f>
        <v>307316.8</v>
      </c>
    </row>
    <row r="27" spans="1:11" ht="15">
      <c r="A27" s="315"/>
      <c r="B27"/>
      <c r="C27"/>
      <c r="D27"/>
      <c r="E27"/>
      <c r="F27"/>
      <c r="G27"/>
      <c r="H27"/>
      <c r="I27"/>
    </row>
    <row r="28" spans="1:11" ht="15">
      <c r="A28" s="262"/>
      <c r="B28" s="269" t="s">
        <v>261</v>
      </c>
      <c r="C28" s="270"/>
      <c r="D28" s="270"/>
      <c r="E28" s="270"/>
      <c r="F28" s="270"/>
      <c r="G28" s="270"/>
      <c r="H28" s="126"/>
    </row>
    <row r="29" spans="1:11" ht="48">
      <c r="A29" s="257">
        <v>1</v>
      </c>
      <c r="B29" s="259" t="str">
        <f>+'1.PROFORMA 2016 '!G164</f>
        <v>Mejoramiento de la conducción principal y mantenimiento de plataformas de los sistemas de riego público La Palmira, Campana-Malacatos, Quinara-Tumianuma, Vilcabamba y Santiago, del cantón Loja</v>
      </c>
      <c r="C29" s="259" t="s">
        <v>1036</v>
      </c>
      <c r="D29" s="260" t="s">
        <v>215</v>
      </c>
      <c r="E29" s="260">
        <v>2323</v>
      </c>
      <c r="F29" s="260">
        <v>1919</v>
      </c>
      <c r="G29" s="260">
        <f t="shared" ref="G29:G36" si="4">+F29*4</f>
        <v>7676</v>
      </c>
      <c r="H29" s="261">
        <f>+'1.PROFORMA 2016 '!I164</f>
        <v>68556.723200000008</v>
      </c>
    </row>
    <row r="30" spans="1:11" ht="48">
      <c r="A30" s="245">
        <f>+A29+1</f>
        <v>2</v>
      </c>
      <c r="B30" s="83" t="str">
        <f>+'1.PROFORMA 2016 '!G166</f>
        <v>Mejoramiento de la conducción principal y mantenimiento de plataformas de los sistemas de riego público Sanambay-Jimbura, Jorupe-Cangochara, Airo-Florida, Limas-Conduriacu y el Ingenio, del canton Espindola</v>
      </c>
      <c r="C30" s="83" t="s">
        <v>1037</v>
      </c>
      <c r="D30" s="252" t="s">
        <v>218</v>
      </c>
      <c r="E30" s="252">
        <v>1451</v>
      </c>
      <c r="F30" s="252">
        <v>823</v>
      </c>
      <c r="G30" s="260">
        <f t="shared" si="4"/>
        <v>3292</v>
      </c>
      <c r="H30" s="253">
        <f>+'1.PROFORMA 2016 '!I166</f>
        <v>54331.46880000001</v>
      </c>
      <c r="J30"/>
    </row>
    <row r="31" spans="1:11" ht="47.25" customHeight="1">
      <c r="A31" s="245">
        <f t="shared" ref="A31:A50" si="5">+A30+1</f>
        <v>3</v>
      </c>
      <c r="B31" s="83" t="str">
        <f>+'1.PROFORMA 2016 '!G168</f>
        <v>Mejoramiento de la conducción principal y mantenimiento de plataformas de los sistemas de riego público Tablón de Saraguro, La Papaya, Paquishapa y Chucchucchir del cantón Saraguro</v>
      </c>
      <c r="C31" s="83" t="s">
        <v>1038</v>
      </c>
      <c r="D31" s="252" t="s">
        <v>219</v>
      </c>
      <c r="E31" s="252">
        <v>1003.22</v>
      </c>
      <c r="F31" s="252">
        <v>1220</v>
      </c>
      <c r="G31" s="260">
        <f t="shared" si="4"/>
        <v>4880</v>
      </c>
      <c r="H31" s="253">
        <f>+'1.PROFORMA 2016 '!I168</f>
        <v>20175.456000000002</v>
      </c>
      <c r="J31"/>
    </row>
    <row r="32" spans="1:11" ht="42.75" customHeight="1">
      <c r="A32" s="245">
        <f t="shared" si="5"/>
        <v>4</v>
      </c>
      <c r="B32" s="83" t="str">
        <f>+'1.PROFORMA 2016 '!G170</f>
        <v>Mejoramiento de la conducción principal y mantenimiento de plataformas del sistema de riego público Zapotillo del cantón Zapotillo</v>
      </c>
      <c r="C32" s="83" t="s">
        <v>1033</v>
      </c>
      <c r="D32" s="252" t="s">
        <v>956</v>
      </c>
      <c r="E32" s="252">
        <v>7887</v>
      </c>
      <c r="F32" s="252">
        <v>479</v>
      </c>
      <c r="G32" s="260">
        <f t="shared" si="4"/>
        <v>1916</v>
      </c>
      <c r="H32" s="253">
        <f>+'1.PROFORMA 2016 '!I170</f>
        <v>29103.648000000005</v>
      </c>
      <c r="J32"/>
    </row>
    <row r="33" spans="1:10" ht="37.5" customHeight="1">
      <c r="A33" s="245">
        <f t="shared" si="5"/>
        <v>5</v>
      </c>
      <c r="B33" s="83" t="str">
        <f>+'1.PROFORMA 2016 '!G172</f>
        <v>Mejoramiento de la conducción principal y mantenimiento de plataformas del sistema de riego público Macará del cantón Macará</v>
      </c>
      <c r="C33" s="83" t="s">
        <v>1031</v>
      </c>
      <c r="D33" s="252" t="s">
        <v>957</v>
      </c>
      <c r="E33" s="252">
        <v>985</v>
      </c>
      <c r="F33" s="252">
        <v>375</v>
      </c>
      <c r="G33" s="260">
        <f t="shared" si="4"/>
        <v>1500</v>
      </c>
      <c r="H33" s="253">
        <f>+'1.PROFORMA 2016 '!I172</f>
        <v>14524.847999999998</v>
      </c>
      <c r="J33"/>
    </row>
    <row r="34" spans="1:10" ht="42.75" customHeight="1">
      <c r="A34" s="245">
        <f t="shared" si="5"/>
        <v>6</v>
      </c>
      <c r="B34" s="244" t="str">
        <f>+'1.PROFORMA 2016 '!G174</f>
        <v>Mejoramiento de la conducción principal y mantenimiento de plataformas del sistema de riego público Guápalas del cantón Puyango</v>
      </c>
      <c r="C34" s="244" t="s">
        <v>1027</v>
      </c>
      <c r="D34" s="254" t="s">
        <v>958</v>
      </c>
      <c r="E34" s="252">
        <v>300</v>
      </c>
      <c r="F34" s="252">
        <v>73</v>
      </c>
      <c r="G34" s="260">
        <f t="shared" si="4"/>
        <v>292</v>
      </c>
      <c r="H34" s="255">
        <f>+'1.PROFORMA 2016 '!I174</f>
        <v>6726.0480000000007</v>
      </c>
      <c r="J34"/>
    </row>
    <row r="35" spans="1:10" ht="42.75" customHeight="1">
      <c r="A35" s="245">
        <f t="shared" si="5"/>
        <v>7</v>
      </c>
      <c r="B35" s="83" t="str">
        <f>+'1.PROFORMA 2016 '!G176</f>
        <v>Mejoramiento de la conducción principal y mantenimiento de plataformas del sistema de riego público La Era del cantón Catamayo</v>
      </c>
      <c r="C35" s="83" t="s">
        <v>616</v>
      </c>
      <c r="D35" s="252" t="s">
        <v>691</v>
      </c>
      <c r="E35" s="252">
        <v>375</v>
      </c>
      <c r="F35" s="252">
        <v>233</v>
      </c>
      <c r="G35" s="260">
        <f t="shared" si="4"/>
        <v>932</v>
      </c>
      <c r="H35" s="253">
        <f>+'1.PROFORMA 2016 '!I176</f>
        <v>8226.8480000000018</v>
      </c>
    </row>
    <row r="36" spans="1:10" ht="42.75" customHeight="1">
      <c r="A36" s="245">
        <f t="shared" si="5"/>
        <v>8</v>
      </c>
      <c r="B36" s="83" t="str">
        <f>+'1.PROFORMA 2016 '!G178</f>
        <v>Mejoramiento de la conducción principal y mantenimiento de plataformas del sistema de riego público Cochas-San Vicente del cantón Paltas</v>
      </c>
      <c r="C36" s="83" t="s">
        <v>1024</v>
      </c>
      <c r="D36" s="252" t="s">
        <v>959</v>
      </c>
      <c r="E36" s="252">
        <v>128</v>
      </c>
      <c r="F36" s="252">
        <v>125</v>
      </c>
      <c r="G36" s="260">
        <f t="shared" si="4"/>
        <v>500</v>
      </c>
      <c r="H36" s="253">
        <f>+'1.PROFORMA 2016 '!I178</f>
        <v>8767.8080000000009</v>
      </c>
      <c r="J36" s="111"/>
    </row>
    <row r="37" spans="1:10" ht="42.75" customHeight="1">
      <c r="A37" s="245">
        <f t="shared" si="5"/>
        <v>9</v>
      </c>
      <c r="B37" s="83" t="str">
        <f>+'1.PROFORMA 2016 '!G180</f>
        <v>Mejoramiento de la red secundaria de los sistemas de riego público El ingenio, del cantón Espindola</v>
      </c>
      <c r="C37" s="83" t="s">
        <v>1037</v>
      </c>
      <c r="D37" s="252" t="s">
        <v>218</v>
      </c>
      <c r="E37" s="252"/>
      <c r="F37" s="252"/>
      <c r="G37" s="260"/>
      <c r="H37" s="253">
        <f>+'1.PROFORMA 2016 '!I180</f>
        <v>46985.904000000002</v>
      </c>
      <c r="J37" s="111"/>
    </row>
    <row r="38" spans="1:10" ht="42.75" customHeight="1">
      <c r="A38" s="245">
        <f t="shared" si="5"/>
        <v>10</v>
      </c>
      <c r="B38" s="83" t="str">
        <f>+'1.PROFORMA 2016 '!G182</f>
        <v>Mantenimiento preventivo, rutinario y correctivo del sistema de riego Vilcabamba</v>
      </c>
      <c r="C38" s="83" t="s">
        <v>984</v>
      </c>
      <c r="D38" s="252" t="s">
        <v>215</v>
      </c>
      <c r="E38" s="252"/>
      <c r="F38" s="252"/>
      <c r="G38" s="252"/>
      <c r="H38" s="253">
        <f>+'1.PROFORMA 2016 '!I182</f>
        <v>7106.4</v>
      </c>
    </row>
    <row r="39" spans="1:10" ht="42.75" customHeight="1">
      <c r="A39" s="245">
        <f t="shared" si="5"/>
        <v>11</v>
      </c>
      <c r="B39" s="83" t="str">
        <f>+'1.PROFORMA 2016 '!G184</f>
        <v>Mantenimiento preventivo, rutinario y correctivo del sistema de riego Santiago</v>
      </c>
      <c r="C39" s="83" t="s">
        <v>989</v>
      </c>
      <c r="D39" s="252" t="s">
        <v>215</v>
      </c>
      <c r="E39" s="252"/>
      <c r="F39" s="252"/>
      <c r="G39" s="252"/>
      <c r="H39" s="253">
        <f>+'1.PROFORMA 2016 '!I184</f>
        <v>7281.12</v>
      </c>
    </row>
    <row r="40" spans="1:10" ht="42.75" customHeight="1">
      <c r="A40" s="245">
        <f t="shared" si="5"/>
        <v>12</v>
      </c>
      <c r="B40" s="83" t="str">
        <f>+'1.PROFORMA 2016 '!G186</f>
        <v>Mantenimiento preventivo, rutinario y correctivo del sistema de riego Jorupe-Cangochara</v>
      </c>
      <c r="C40" s="83" t="s">
        <v>996</v>
      </c>
      <c r="D40" s="252" t="s">
        <v>218</v>
      </c>
      <c r="E40" s="252"/>
      <c r="F40" s="252"/>
      <c r="G40" s="252"/>
      <c r="H40" s="253">
        <f>+'1.PROFORMA 2016 '!I186</f>
        <v>8990.8000000000011</v>
      </c>
    </row>
    <row r="41" spans="1:10" ht="42.75" customHeight="1">
      <c r="A41" s="245">
        <f t="shared" si="5"/>
        <v>13</v>
      </c>
      <c r="B41" s="83" t="str">
        <f>+'1.PROFORMA 2016 '!G188</f>
        <v>Mantenimiento preventivo, rutinario y correctivo del sistema de riego Paquishapa</v>
      </c>
      <c r="C41" s="83" t="s">
        <v>1013</v>
      </c>
      <c r="D41" s="252" t="s">
        <v>219</v>
      </c>
      <c r="E41" s="252"/>
      <c r="F41" s="252"/>
      <c r="G41" s="252"/>
      <c r="H41" s="253">
        <f>+'1.PROFORMA 2016 '!I188</f>
        <v>4726.4000000000005</v>
      </c>
    </row>
    <row r="42" spans="1:10" ht="42.75" customHeight="1">
      <c r="A42" s="245">
        <f t="shared" si="5"/>
        <v>14</v>
      </c>
      <c r="B42" s="83" t="str">
        <f>+'1.PROFORMA 2016 '!G190</f>
        <v>Mantenimiento preventivo, rutinario y correctivo del sistema de riego Limas-Conduriacu</v>
      </c>
      <c r="C42" s="83" t="s">
        <v>1004</v>
      </c>
      <c r="D42" s="252" t="s">
        <v>218</v>
      </c>
      <c r="E42" s="252"/>
      <c r="F42" s="252"/>
      <c r="G42" s="252"/>
      <c r="H42" s="253">
        <f>+'1.PROFORMA 2016 '!I190</f>
        <v>6512.8000000000011</v>
      </c>
    </row>
    <row r="43" spans="1:10" ht="42.75" customHeight="1">
      <c r="A43" s="245">
        <f t="shared" si="5"/>
        <v>15</v>
      </c>
      <c r="B43" s="83" t="str">
        <f>+'1.PROFORMA 2016 '!G192</f>
        <v>Mantenimiento preventivo, rutinario y correctivo del sistema de riego Sanambay-Jimbura</v>
      </c>
      <c r="C43" s="83" t="s">
        <v>1039</v>
      </c>
      <c r="D43" s="252" t="s">
        <v>218</v>
      </c>
      <c r="E43" s="252"/>
      <c r="F43" s="252"/>
      <c r="G43" s="252"/>
      <c r="H43" s="253">
        <f>+'1.PROFORMA 2016 '!I192</f>
        <v>9035.0399999999991</v>
      </c>
    </row>
    <row r="44" spans="1:10" ht="42.75" customHeight="1">
      <c r="A44" s="245">
        <f t="shared" si="5"/>
        <v>16</v>
      </c>
      <c r="B44" s="83" t="str">
        <f>+'1.PROFORMA 2016 '!G194</f>
        <v>Mantenimiento preventivo, rutinario y correctivo del sistema de riego El Ingenio</v>
      </c>
      <c r="C44" s="83" t="s">
        <v>1001</v>
      </c>
      <c r="D44" s="252" t="s">
        <v>218</v>
      </c>
      <c r="E44" s="252"/>
      <c r="F44" s="252"/>
      <c r="G44" s="252"/>
      <c r="H44" s="253">
        <f>+'1.PROFORMA 2016 '!I194</f>
        <v>9852.6400000000012</v>
      </c>
    </row>
    <row r="45" spans="1:10" ht="32.25" customHeight="1">
      <c r="A45" s="245">
        <f t="shared" si="5"/>
        <v>17</v>
      </c>
      <c r="B45" s="244" t="str">
        <f>+'1.PROFORMA 2016 '!G196</f>
        <v>Mantenimiento preventivo, rutinario y correctivo del sistema de riego La Papaya</v>
      </c>
      <c r="C45" s="244" t="s">
        <v>1010</v>
      </c>
      <c r="D45" s="254" t="s">
        <v>219</v>
      </c>
      <c r="E45" s="252"/>
      <c r="F45" s="252"/>
      <c r="G45" s="252"/>
      <c r="H45" s="255">
        <f>+'1.PROFORMA 2016 '!I196</f>
        <v>10862.880000000001</v>
      </c>
    </row>
    <row r="46" spans="1:10" ht="24" customHeight="1">
      <c r="A46" s="245">
        <f t="shared" si="5"/>
        <v>18</v>
      </c>
      <c r="B46" s="244" t="str">
        <f>+'1.PROFORMA 2016 '!G198</f>
        <v>Mantenimiento preventivo, rutinario y correctivo del sistema de riego Cochas - San Vicente</v>
      </c>
      <c r="C46" s="83" t="s">
        <v>1024</v>
      </c>
      <c r="D46" s="254" t="s">
        <v>691</v>
      </c>
      <c r="E46" s="252"/>
      <c r="F46" s="252"/>
      <c r="G46" s="252"/>
      <c r="H46" s="255">
        <f>+'1.PROFORMA 2016 '!I198</f>
        <v>11854.64</v>
      </c>
    </row>
    <row r="47" spans="1:10" ht="24" customHeight="1">
      <c r="A47" s="245">
        <f t="shared" si="5"/>
        <v>19</v>
      </c>
      <c r="B47" s="83" t="str">
        <f>+'1.PROFORMA 2016 '!G200</f>
        <v>Mantenimiento preventivo, rutinario y correctivo del sistema de riego La Palmira</v>
      </c>
      <c r="C47" s="83" t="s">
        <v>1040</v>
      </c>
      <c r="D47" s="252" t="s">
        <v>215</v>
      </c>
      <c r="E47" s="252"/>
      <c r="F47" s="252"/>
      <c r="G47" s="252"/>
      <c r="H47" s="253">
        <f>+'1.PROFORMA 2016 '!I200</f>
        <v>4114.8800000000019</v>
      </c>
    </row>
    <row r="48" spans="1:10" ht="24" customHeight="1">
      <c r="A48" s="245">
        <f t="shared" si="5"/>
        <v>20</v>
      </c>
      <c r="B48" s="83" t="str">
        <f>+'1.PROFORMA 2016 '!G202</f>
        <v>Mantenimiento preventivo, rutinario y correctivo del sistema de riego Campana-Malacatos</v>
      </c>
      <c r="C48" s="83" t="s">
        <v>987</v>
      </c>
      <c r="D48" s="252" t="s">
        <v>215</v>
      </c>
      <c r="E48" s="252"/>
      <c r="F48" s="252"/>
      <c r="G48" s="252"/>
      <c r="H48" s="253">
        <f>+'1.PROFORMA 2016 '!I202</f>
        <v>13762.559999999998</v>
      </c>
    </row>
    <row r="49" spans="1:10" ht="24">
      <c r="A49" s="245">
        <f t="shared" si="5"/>
        <v>21</v>
      </c>
      <c r="B49" s="83" t="str">
        <f>+'1.PROFORMA 2016 '!G204</f>
        <v>Mantenimiento preventivo, rutinario y correctivo del sistema de riego Quinara-Tumianuma</v>
      </c>
      <c r="C49" s="244" t="s">
        <v>980</v>
      </c>
      <c r="D49" s="254" t="s">
        <v>215</v>
      </c>
      <c r="E49" s="252"/>
      <c r="F49" s="252"/>
      <c r="G49" s="252"/>
      <c r="H49" s="253">
        <f>+'1.PROFORMA 2016 '!I204</f>
        <v>5115.04</v>
      </c>
    </row>
    <row r="50" spans="1:10" ht="24">
      <c r="A50" s="245">
        <f t="shared" si="5"/>
        <v>22</v>
      </c>
      <c r="B50" s="83" t="str">
        <f>+'1.PROFORMA 2016 '!G206</f>
        <v>Mantenimiento preventivo, rutinario y correctivo del sistema de riego La Era</v>
      </c>
      <c r="C50" s="244" t="s">
        <v>616</v>
      </c>
      <c r="D50" s="252" t="s">
        <v>691</v>
      </c>
      <c r="E50" s="252"/>
      <c r="F50" s="252"/>
      <c r="G50" s="252"/>
      <c r="H50" s="316">
        <f>+'1.PROFORMA 2016 '!I206</f>
        <v>14472.64</v>
      </c>
      <c r="J50" s="111"/>
    </row>
    <row r="51" spans="1:10" ht="15">
      <c r="A51" s="81"/>
      <c r="B51" s="911" t="s">
        <v>237</v>
      </c>
      <c r="C51" s="912"/>
      <c r="D51" s="913"/>
      <c r="E51" s="279">
        <f>SUM(E29:E50)</f>
        <v>14452.220000000001</v>
      </c>
      <c r="F51" s="279">
        <f t="shared" ref="F51:G51" si="6">SUM(F29:F50)</f>
        <v>5247</v>
      </c>
      <c r="G51" s="279">
        <f t="shared" si="6"/>
        <v>20988</v>
      </c>
      <c r="H51" s="84">
        <f>SUM(H29:H50)</f>
        <v>371086.59200000006</v>
      </c>
    </row>
    <row r="52" spans="1:10" ht="15">
      <c r="A52" s="81"/>
      <c r="B52" s="85" t="s">
        <v>25</v>
      </c>
      <c r="C52" s="86"/>
      <c r="D52" s="86"/>
      <c r="E52" s="274"/>
      <c r="F52" s="274"/>
      <c r="G52" s="274"/>
      <c r="H52" s="87">
        <f>+H51+H26+H17</f>
        <v>734960.19039999996</v>
      </c>
    </row>
    <row r="54" spans="1:10">
      <c r="J54" s="111"/>
    </row>
  </sheetData>
  <mergeCells count="9">
    <mergeCell ref="G2:G3"/>
    <mergeCell ref="A2:A3"/>
    <mergeCell ref="C2:C3"/>
    <mergeCell ref="D2:D3"/>
    <mergeCell ref="B26:D26"/>
    <mergeCell ref="B51:D51"/>
    <mergeCell ref="B17:D17"/>
    <mergeCell ref="B2:B3"/>
    <mergeCell ref="F2: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N25"/>
  <sheetViews>
    <sheetView topLeftCell="A37" workbookViewId="0">
      <selection activeCell="L11" sqref="L11"/>
    </sheetView>
  </sheetViews>
  <sheetFormatPr baseColWidth="10" defaultRowHeight="12.75"/>
  <cols>
    <col min="1" max="1" width="6.85546875" style="6" customWidth="1"/>
    <col min="2" max="16384" width="11.42578125" style="6"/>
  </cols>
  <sheetData>
    <row r="1" spans="1:14" ht="15.75">
      <c r="A1" s="925" t="s">
        <v>969</v>
      </c>
      <c r="B1" s="925"/>
      <c r="C1" s="925"/>
      <c r="D1" s="925"/>
      <c r="E1" s="925"/>
      <c r="F1" s="925"/>
      <c r="G1" s="925"/>
      <c r="H1" s="925"/>
      <c r="I1" s="925"/>
      <c r="J1" s="925"/>
    </row>
    <row r="3" spans="1:14">
      <c r="A3" s="926" t="s">
        <v>970</v>
      </c>
      <c r="B3" s="927" t="s">
        <v>971</v>
      </c>
      <c r="C3" s="928" t="s">
        <v>972</v>
      </c>
      <c r="D3" s="928"/>
      <c r="E3" s="929" t="s">
        <v>973</v>
      </c>
      <c r="F3" s="927" t="s">
        <v>974</v>
      </c>
      <c r="G3" s="927" t="s">
        <v>975</v>
      </c>
      <c r="H3" s="927" t="s">
        <v>976</v>
      </c>
      <c r="I3" s="927" t="s">
        <v>977</v>
      </c>
      <c r="J3" s="927" t="s">
        <v>978</v>
      </c>
    </row>
    <row r="4" spans="1:14" ht="25.5">
      <c r="A4" s="926"/>
      <c r="B4" s="927"/>
      <c r="C4" s="280" t="s">
        <v>235</v>
      </c>
      <c r="D4" s="280" t="s">
        <v>236</v>
      </c>
      <c r="E4" s="929"/>
      <c r="F4" s="927"/>
      <c r="G4" s="927"/>
      <c r="H4" s="927"/>
      <c r="I4" s="927"/>
      <c r="J4" s="927"/>
    </row>
    <row r="5" spans="1:14" ht="40.5">
      <c r="A5" s="281">
        <v>1</v>
      </c>
      <c r="B5" s="282" t="s">
        <v>979</v>
      </c>
      <c r="C5" s="282" t="s">
        <v>980</v>
      </c>
      <c r="D5" s="282" t="s">
        <v>613</v>
      </c>
      <c r="E5" s="283">
        <v>250</v>
      </c>
      <c r="F5" s="283">
        <v>104</v>
      </c>
      <c r="G5" s="283">
        <v>9.6</v>
      </c>
      <c r="H5" s="283">
        <v>5</v>
      </c>
      <c r="I5" s="283">
        <v>13.2</v>
      </c>
      <c r="J5" s="282" t="s">
        <v>981</v>
      </c>
    </row>
    <row r="6" spans="1:14" ht="40.5">
      <c r="A6" s="281">
        <f>+A5+1</f>
        <v>2</v>
      </c>
      <c r="B6" s="282" t="s">
        <v>982</v>
      </c>
      <c r="C6" s="282" t="s">
        <v>980</v>
      </c>
      <c r="D6" s="282" t="s">
        <v>613</v>
      </c>
      <c r="E6" s="283">
        <v>192</v>
      </c>
      <c r="F6" s="283">
        <v>191</v>
      </c>
      <c r="G6" s="283">
        <v>13.6</v>
      </c>
      <c r="H6" s="283">
        <v>9</v>
      </c>
      <c r="I6" s="283">
        <v>12.5</v>
      </c>
      <c r="J6" s="282" t="s">
        <v>983</v>
      </c>
    </row>
    <row r="7" spans="1:14" ht="40.5">
      <c r="A7" s="281">
        <f t="shared" ref="A7:A24" si="0">+A6+1</f>
        <v>3</v>
      </c>
      <c r="B7" s="282" t="s">
        <v>984</v>
      </c>
      <c r="C7" s="282" t="s">
        <v>984</v>
      </c>
      <c r="D7" s="282" t="s">
        <v>613</v>
      </c>
      <c r="E7" s="283">
        <v>201</v>
      </c>
      <c r="F7" s="283">
        <v>192</v>
      </c>
      <c r="G7" s="283">
        <v>13.1</v>
      </c>
      <c r="H7" s="283">
        <v>9</v>
      </c>
      <c r="I7" s="283">
        <v>11</v>
      </c>
      <c r="J7" s="282" t="s">
        <v>985</v>
      </c>
    </row>
    <row r="8" spans="1:14" ht="54">
      <c r="A8" s="281">
        <f t="shared" si="0"/>
        <v>4</v>
      </c>
      <c r="B8" s="282" t="s">
        <v>986</v>
      </c>
      <c r="C8" s="282" t="s">
        <v>987</v>
      </c>
      <c r="D8" s="282" t="s">
        <v>613</v>
      </c>
      <c r="E8" s="283">
        <v>722</v>
      </c>
      <c r="F8" s="283">
        <v>830</v>
      </c>
      <c r="G8" s="283">
        <v>13.6</v>
      </c>
      <c r="H8" s="283">
        <v>25</v>
      </c>
      <c r="I8" s="283">
        <v>13.9</v>
      </c>
      <c r="J8" s="282" t="s">
        <v>988</v>
      </c>
    </row>
    <row r="9" spans="1:14" ht="40.5">
      <c r="A9" s="281">
        <f t="shared" si="0"/>
        <v>5</v>
      </c>
      <c r="B9" s="282" t="s">
        <v>989</v>
      </c>
      <c r="C9" s="282" t="s">
        <v>990</v>
      </c>
      <c r="D9" s="282" t="s">
        <v>613</v>
      </c>
      <c r="E9" s="283">
        <v>958</v>
      </c>
      <c r="F9" s="283">
        <v>602</v>
      </c>
      <c r="G9" s="283">
        <v>41</v>
      </c>
      <c r="H9" s="283">
        <v>22.27</v>
      </c>
      <c r="I9" s="283">
        <v>38.799999999999997</v>
      </c>
      <c r="J9" s="282" t="s">
        <v>991</v>
      </c>
      <c r="L9" s="6" t="s">
        <v>215</v>
      </c>
      <c r="M9" s="6">
        <f>SUM(E5:E9)</f>
        <v>2323</v>
      </c>
      <c r="N9" s="6">
        <f>SUM(F5:F9)</f>
        <v>1919</v>
      </c>
    </row>
    <row r="10" spans="1:14" ht="40.5">
      <c r="A10" s="281">
        <f t="shared" si="0"/>
        <v>6</v>
      </c>
      <c r="B10" s="282" t="s">
        <v>992</v>
      </c>
      <c r="C10" s="282" t="s">
        <v>993</v>
      </c>
      <c r="D10" s="284" t="s">
        <v>626</v>
      </c>
      <c r="E10" s="283">
        <v>139</v>
      </c>
      <c r="F10" s="283">
        <v>132</v>
      </c>
      <c r="G10" s="283">
        <v>7.9</v>
      </c>
      <c r="H10" s="283">
        <v>6</v>
      </c>
      <c r="I10" s="283">
        <v>10</v>
      </c>
      <c r="J10" s="282" t="s">
        <v>994</v>
      </c>
    </row>
    <row r="11" spans="1:14" ht="40.5">
      <c r="A11" s="281">
        <f t="shared" si="0"/>
        <v>7</v>
      </c>
      <c r="B11" s="282" t="s">
        <v>995</v>
      </c>
      <c r="C11" s="282" t="s">
        <v>996</v>
      </c>
      <c r="D11" s="284" t="s">
        <v>626</v>
      </c>
      <c r="E11" s="283">
        <v>587</v>
      </c>
      <c r="F11" s="283">
        <v>203</v>
      </c>
      <c r="G11" s="283">
        <v>12</v>
      </c>
      <c r="H11" s="283">
        <v>15</v>
      </c>
      <c r="I11" s="283">
        <v>5</v>
      </c>
      <c r="J11" s="282" t="s">
        <v>997</v>
      </c>
    </row>
    <row r="12" spans="1:14" ht="27">
      <c r="A12" s="281">
        <f t="shared" si="0"/>
        <v>8</v>
      </c>
      <c r="B12" s="282" t="s">
        <v>998</v>
      </c>
      <c r="C12" s="282" t="s">
        <v>999</v>
      </c>
      <c r="D12" s="284" t="s">
        <v>626</v>
      </c>
      <c r="E12" s="283">
        <v>263</v>
      </c>
      <c r="F12" s="283">
        <v>164</v>
      </c>
      <c r="G12" s="283">
        <v>12.6</v>
      </c>
      <c r="H12" s="283">
        <v>15.5</v>
      </c>
      <c r="I12" s="283">
        <v>13</v>
      </c>
      <c r="J12" s="282" t="s">
        <v>1000</v>
      </c>
    </row>
    <row r="13" spans="1:14" ht="40.5">
      <c r="A13" s="281">
        <f t="shared" si="0"/>
        <v>9</v>
      </c>
      <c r="B13" s="282" t="s">
        <v>1001</v>
      </c>
      <c r="C13" s="282" t="s">
        <v>1001</v>
      </c>
      <c r="D13" s="284" t="s">
        <v>626</v>
      </c>
      <c r="E13" s="283">
        <v>280</v>
      </c>
      <c r="F13" s="283">
        <v>146</v>
      </c>
      <c r="G13" s="283">
        <v>6.3</v>
      </c>
      <c r="H13" s="283">
        <v>17.399999999999999</v>
      </c>
      <c r="I13" s="283">
        <v>6.3</v>
      </c>
      <c r="J13" s="282" t="s">
        <v>1002</v>
      </c>
    </row>
    <row r="14" spans="1:14" ht="27">
      <c r="A14" s="281">
        <f>+A16+1</f>
        <v>12</v>
      </c>
      <c r="B14" s="282" t="s">
        <v>1003</v>
      </c>
      <c r="C14" s="282" t="s">
        <v>1004</v>
      </c>
      <c r="D14" s="284" t="s">
        <v>626</v>
      </c>
      <c r="E14" s="283">
        <v>182</v>
      </c>
      <c r="F14" s="283">
        <v>178</v>
      </c>
      <c r="G14" s="283">
        <v>14.7</v>
      </c>
      <c r="H14" s="283">
        <v>17</v>
      </c>
      <c r="I14" s="283">
        <v>8</v>
      </c>
      <c r="J14" s="282" t="s">
        <v>1005</v>
      </c>
      <c r="L14" s="6" t="s">
        <v>1035</v>
      </c>
      <c r="M14" s="6">
        <f>SUM(E10:E14)</f>
        <v>1451</v>
      </c>
      <c r="N14" s="6">
        <f>SUM(F10:F14)</f>
        <v>823</v>
      </c>
    </row>
    <row r="15" spans="1:14" ht="54">
      <c r="A15" s="281">
        <f>+A13+1</f>
        <v>10</v>
      </c>
      <c r="B15" s="282" t="s">
        <v>1006</v>
      </c>
      <c r="C15" s="282" t="s">
        <v>1007</v>
      </c>
      <c r="D15" s="285" t="s">
        <v>621</v>
      </c>
      <c r="E15" s="286">
        <v>490</v>
      </c>
      <c r="F15" s="283">
        <v>303</v>
      </c>
      <c r="G15" s="283">
        <v>10.199999999999999</v>
      </c>
      <c r="H15" s="283">
        <v>14</v>
      </c>
      <c r="I15" s="283">
        <v>11</v>
      </c>
      <c r="J15" s="282" t="s">
        <v>1008</v>
      </c>
      <c r="L15" s="6" t="s">
        <v>224</v>
      </c>
      <c r="M15" s="283">
        <v>300</v>
      </c>
      <c r="N15" s="283">
        <v>73</v>
      </c>
    </row>
    <row r="16" spans="1:14" ht="40.5">
      <c r="A16" s="281">
        <f t="shared" si="0"/>
        <v>11</v>
      </c>
      <c r="B16" s="282" t="s">
        <v>1009</v>
      </c>
      <c r="C16" s="282" t="s">
        <v>1010</v>
      </c>
      <c r="D16" s="285" t="s">
        <v>621</v>
      </c>
      <c r="E16" s="287">
        <v>287.10000000000002</v>
      </c>
      <c r="F16" s="287">
        <v>199</v>
      </c>
      <c r="G16" s="283">
        <v>13.5</v>
      </c>
      <c r="H16" s="283">
        <v>36</v>
      </c>
      <c r="I16" s="283">
        <v>15.4</v>
      </c>
      <c r="J16" s="282" t="s">
        <v>1011</v>
      </c>
      <c r="L16" s="6" t="s">
        <v>959</v>
      </c>
      <c r="M16" s="283">
        <v>128</v>
      </c>
      <c r="N16" s="283">
        <v>125</v>
      </c>
    </row>
    <row r="17" spans="1:14" ht="40.5">
      <c r="A17" s="281">
        <f>+A14+1</f>
        <v>13</v>
      </c>
      <c r="B17" s="282" t="s">
        <v>1012</v>
      </c>
      <c r="C17" s="282" t="s">
        <v>1013</v>
      </c>
      <c r="D17" s="285" t="s">
        <v>621</v>
      </c>
      <c r="E17" s="283">
        <v>81</v>
      </c>
      <c r="F17" s="283">
        <v>183</v>
      </c>
      <c r="G17" s="283">
        <v>11.5</v>
      </c>
      <c r="H17" s="283">
        <v>14</v>
      </c>
      <c r="I17" s="283">
        <v>11.5</v>
      </c>
      <c r="J17" s="282" t="s">
        <v>1014</v>
      </c>
      <c r="M17" s="6">
        <f>SUM(M15:M16)</f>
        <v>428</v>
      </c>
      <c r="N17" s="6">
        <f>SUM(N15:N16)</f>
        <v>198</v>
      </c>
    </row>
    <row r="18" spans="1:14" ht="40.5">
      <c r="A18" s="281">
        <f t="shared" si="0"/>
        <v>14</v>
      </c>
      <c r="B18" s="282" t="s">
        <v>1015</v>
      </c>
      <c r="C18" s="282" t="s">
        <v>621</v>
      </c>
      <c r="D18" s="285" t="s">
        <v>621</v>
      </c>
      <c r="E18" s="283">
        <v>145.12</v>
      </c>
      <c r="F18" s="283">
        <v>535</v>
      </c>
      <c r="G18" s="283">
        <v>4.9000000000000004</v>
      </c>
      <c r="H18" s="283">
        <v>4.3</v>
      </c>
      <c r="I18" s="283">
        <v>1</v>
      </c>
      <c r="J18" s="282" t="s">
        <v>1016</v>
      </c>
      <c r="L18" s="6" t="s">
        <v>219</v>
      </c>
      <c r="M18" s="6">
        <f>SUM(E15:E18)</f>
        <v>1003.22</v>
      </c>
      <c r="N18" s="6">
        <f>SUM(F15:F18)</f>
        <v>1220</v>
      </c>
    </row>
    <row r="19" spans="1:14" ht="67.5">
      <c r="A19" s="281">
        <f t="shared" si="0"/>
        <v>15</v>
      </c>
      <c r="B19" s="282" t="s">
        <v>1017</v>
      </c>
      <c r="C19" s="282" t="s">
        <v>1018</v>
      </c>
      <c r="D19" s="282" t="s">
        <v>1019</v>
      </c>
      <c r="E19" s="283" t="s">
        <v>1020</v>
      </c>
      <c r="F19" s="283">
        <v>351</v>
      </c>
      <c r="G19" s="283">
        <v>33</v>
      </c>
      <c r="H19" s="283">
        <v>14</v>
      </c>
      <c r="I19" s="283">
        <v>37</v>
      </c>
      <c r="J19" s="282" t="s">
        <v>1014</v>
      </c>
    </row>
    <row r="20" spans="1:14" ht="54">
      <c r="A20" s="281">
        <f t="shared" si="0"/>
        <v>16</v>
      </c>
      <c r="B20" s="282" t="s">
        <v>1021</v>
      </c>
      <c r="C20" s="282" t="s">
        <v>616</v>
      </c>
      <c r="D20" s="282" t="s">
        <v>615</v>
      </c>
      <c r="E20" s="283">
        <v>375</v>
      </c>
      <c r="F20" s="283">
        <v>233</v>
      </c>
      <c r="G20" s="283">
        <v>6.5</v>
      </c>
      <c r="H20" s="283">
        <v>8</v>
      </c>
      <c r="I20" s="283">
        <v>6.5</v>
      </c>
      <c r="J20" s="282" t="s">
        <v>1022</v>
      </c>
    </row>
    <row r="21" spans="1:14" ht="40.5">
      <c r="A21" s="281">
        <f t="shared" si="0"/>
        <v>17</v>
      </c>
      <c r="B21" s="282" t="s">
        <v>1023</v>
      </c>
      <c r="C21" s="282" t="s">
        <v>1024</v>
      </c>
      <c r="D21" s="282" t="s">
        <v>632</v>
      </c>
      <c r="E21" s="283">
        <v>128</v>
      </c>
      <c r="F21" s="283">
        <v>125</v>
      </c>
      <c r="G21" s="283">
        <v>2.5</v>
      </c>
      <c r="H21" s="283">
        <v>2.5</v>
      </c>
      <c r="I21" s="283">
        <v>8.8000000000000007</v>
      </c>
      <c r="J21" s="282" t="s">
        <v>1025</v>
      </c>
    </row>
    <row r="22" spans="1:14" ht="13.5">
      <c r="A22" s="281">
        <f t="shared" si="0"/>
        <v>18</v>
      </c>
      <c r="B22" s="282" t="s">
        <v>1026</v>
      </c>
      <c r="C22" s="282" t="s">
        <v>1027</v>
      </c>
      <c r="D22" s="282" t="s">
        <v>1028</v>
      </c>
      <c r="E22" s="283">
        <v>300</v>
      </c>
      <c r="F22" s="283">
        <v>73</v>
      </c>
      <c r="G22" s="283">
        <v>6.4</v>
      </c>
      <c r="H22" s="283">
        <v>3</v>
      </c>
      <c r="I22" s="283">
        <v>6.4</v>
      </c>
      <c r="J22" s="282" t="s">
        <v>1029</v>
      </c>
    </row>
    <row r="23" spans="1:14" ht="27">
      <c r="A23" s="281">
        <f t="shared" si="0"/>
        <v>19</v>
      </c>
      <c r="B23" s="282" t="s">
        <v>1030</v>
      </c>
      <c r="C23" s="282" t="s">
        <v>1031</v>
      </c>
      <c r="D23" s="282" t="s">
        <v>1030</v>
      </c>
      <c r="E23" s="283">
        <v>985</v>
      </c>
      <c r="F23" s="283">
        <v>375</v>
      </c>
      <c r="G23" s="283">
        <v>41.1</v>
      </c>
      <c r="H23" s="283">
        <v>56</v>
      </c>
      <c r="I23" s="283">
        <v>40</v>
      </c>
      <c r="J23" s="282" t="s">
        <v>1032</v>
      </c>
    </row>
    <row r="24" spans="1:14" ht="54">
      <c r="A24" s="281">
        <f t="shared" si="0"/>
        <v>20</v>
      </c>
      <c r="B24" s="282" t="s">
        <v>627</v>
      </c>
      <c r="C24" s="282" t="s">
        <v>1033</v>
      </c>
      <c r="D24" s="282" t="s">
        <v>627</v>
      </c>
      <c r="E24" s="288">
        <v>7887</v>
      </c>
      <c r="F24" s="283">
        <v>479</v>
      </c>
      <c r="G24" s="283">
        <v>67.400000000000006</v>
      </c>
      <c r="H24" s="283">
        <v>121.8</v>
      </c>
      <c r="I24" s="283">
        <v>70</v>
      </c>
      <c r="J24" s="282" t="s">
        <v>1034</v>
      </c>
    </row>
    <row r="25" spans="1:14" ht="13.5">
      <c r="A25" s="289"/>
      <c r="B25" s="282" t="s">
        <v>35</v>
      </c>
      <c r="C25" s="282"/>
      <c r="D25" s="282"/>
      <c r="E25" s="283">
        <f>SUM(E5:E24)</f>
        <v>14452.220000000001</v>
      </c>
      <c r="F25" s="283">
        <f t="shared" ref="F25:I25" si="1">SUM(F5:F24)</f>
        <v>5598</v>
      </c>
      <c r="G25" s="283">
        <f t="shared" si="1"/>
        <v>341.4</v>
      </c>
      <c r="H25" s="283">
        <f t="shared" si="1"/>
        <v>414.77000000000004</v>
      </c>
      <c r="I25" s="283">
        <f t="shared" si="1"/>
        <v>339.3</v>
      </c>
      <c r="J25" s="281"/>
    </row>
  </sheetData>
  <mergeCells count="10">
    <mergeCell ref="A1:J1"/>
    <mergeCell ref="A3:A4"/>
    <mergeCell ref="B3:B4"/>
    <mergeCell ref="C3:D3"/>
    <mergeCell ref="E3:E4"/>
    <mergeCell ref="F3:F4"/>
    <mergeCell ref="G3:G4"/>
    <mergeCell ref="H3:H4"/>
    <mergeCell ref="I3:I4"/>
    <mergeCell ref="J3:J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1.PROFORMA 2016 </vt:lpstr>
      <vt:lpstr>8.MATRIZ GEN POA</vt:lpstr>
      <vt:lpstr>NOMINA TRABAJA</vt:lpstr>
      <vt:lpstr>DESGLOSE PRESUPUESTO</vt:lpstr>
      <vt:lpstr>CRITERIOS </vt:lpstr>
      <vt:lpstr>6. INSUMOS VALORADOS</vt:lpstr>
      <vt:lpstr>Proyectos 2016</vt:lpstr>
      <vt:lpstr>AREAS SRP</vt:lpstr>
      <vt:lpstr>'1.PROFORMA 2016 '!Área_de_impresión</vt:lpstr>
      <vt:lpstr>'8.MATRIZ GEN POA'!Área_de_impresión</vt:lpstr>
      <vt:lpstr>'8.MATRIZ GEN POA'!Títulos_a_imprimir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PC</dc:creator>
  <cp:lastModifiedBy>Usuario</cp:lastModifiedBy>
  <cp:lastPrinted>2016-03-08T17:58:28Z</cp:lastPrinted>
  <dcterms:created xsi:type="dcterms:W3CDTF">2014-09-10T13:17:27Z</dcterms:created>
  <dcterms:modified xsi:type="dcterms:W3CDTF">2016-03-08T23:08:38Z</dcterms:modified>
</cp:coreProperties>
</file>