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4925" windowHeight="7350" tabRatio="935" activeTab="1"/>
  </bookViews>
  <sheets>
    <sheet name="BENEFICIOS DE LEY" sheetId="16" r:id="rId1"/>
    <sheet name="DISTRIBUTIVO" sheetId="24" r:id="rId2"/>
  </sheets>
  <definedNames>
    <definedName name="_xlnm.Print_Area" localSheetId="0">'BENEFICIOS DE LEY'!$A$1:$Q$10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9" i="24" l="1"/>
  <c r="Q118" i="24"/>
  <c r="Q119" i="24" s="1"/>
  <c r="P118" i="24"/>
  <c r="P119" i="24" s="1"/>
  <c r="O118" i="24"/>
  <c r="N118" i="24"/>
  <c r="N119" i="24" s="1"/>
  <c r="M118" i="24"/>
  <c r="M119" i="24" s="1"/>
  <c r="I114" i="24"/>
  <c r="I110" i="24"/>
  <c r="I106" i="24"/>
  <c r="I103" i="24"/>
  <c r="J92" i="24"/>
  <c r="J91" i="24"/>
  <c r="P91" i="24" s="1"/>
  <c r="P87" i="24"/>
  <c r="M87" i="24"/>
  <c r="J87" i="24"/>
  <c r="O87" i="24" s="1"/>
  <c r="P86" i="24"/>
  <c r="M86" i="24"/>
  <c r="J86" i="24"/>
  <c r="O86" i="24" s="1"/>
  <c r="P85" i="24"/>
  <c r="M85" i="24"/>
  <c r="J85" i="24"/>
  <c r="O85" i="24" s="1"/>
  <c r="P84" i="24"/>
  <c r="M84" i="24"/>
  <c r="J84" i="24"/>
  <c r="O84" i="24" s="1"/>
  <c r="P83" i="24"/>
  <c r="M83" i="24"/>
  <c r="J83" i="24"/>
  <c r="O83" i="24" s="1"/>
  <c r="P82" i="24"/>
  <c r="M82" i="24"/>
  <c r="J82" i="24"/>
  <c r="O82" i="24" s="1"/>
  <c r="P81" i="24"/>
  <c r="M81" i="24"/>
  <c r="J81" i="24"/>
  <c r="O81" i="24" s="1"/>
  <c r="P80" i="24"/>
  <c r="M80" i="24"/>
  <c r="J80" i="24"/>
  <c r="O80" i="24" s="1"/>
  <c r="O79" i="24"/>
  <c r="M79" i="24"/>
  <c r="L79" i="24"/>
  <c r="K79" i="24"/>
  <c r="J79" i="24"/>
  <c r="N79" i="24" s="1"/>
  <c r="Q79" i="24" s="1"/>
  <c r="P78" i="24"/>
  <c r="Q78" i="24" s="1"/>
  <c r="O78" i="24"/>
  <c r="M78" i="24"/>
  <c r="L78" i="24"/>
  <c r="K78" i="24"/>
  <c r="J78" i="24"/>
  <c r="N78" i="24" s="1"/>
  <c r="P77" i="24"/>
  <c r="O77" i="24"/>
  <c r="M77" i="24"/>
  <c r="L77" i="24"/>
  <c r="K77" i="24"/>
  <c r="J77" i="24"/>
  <c r="N77" i="24" s="1"/>
  <c r="P76" i="24"/>
  <c r="Q76" i="24" s="1"/>
  <c r="O76" i="24"/>
  <c r="M76" i="24"/>
  <c r="L76" i="24"/>
  <c r="K76" i="24"/>
  <c r="J76" i="24"/>
  <c r="N76" i="24" s="1"/>
  <c r="P75" i="24"/>
  <c r="O75" i="24"/>
  <c r="M75" i="24"/>
  <c r="L75" i="24"/>
  <c r="K75" i="24"/>
  <c r="J75" i="24"/>
  <c r="N75" i="24" s="1"/>
  <c r="P74" i="24"/>
  <c r="Q74" i="24" s="1"/>
  <c r="O74" i="24"/>
  <c r="M74" i="24"/>
  <c r="L74" i="24"/>
  <c r="K74" i="24"/>
  <c r="J74" i="24"/>
  <c r="N74" i="24" s="1"/>
  <c r="P73" i="24"/>
  <c r="O73" i="24"/>
  <c r="M73" i="24"/>
  <c r="L73" i="24"/>
  <c r="K73" i="24"/>
  <c r="J73" i="24"/>
  <c r="N73" i="24" s="1"/>
  <c r="P72" i="24"/>
  <c r="O72" i="24"/>
  <c r="M72" i="24"/>
  <c r="L72" i="24"/>
  <c r="K72" i="24"/>
  <c r="J72" i="24"/>
  <c r="N72" i="24" s="1"/>
  <c r="P71" i="24"/>
  <c r="O71" i="24"/>
  <c r="M71" i="24"/>
  <c r="L71" i="24"/>
  <c r="K71" i="24"/>
  <c r="J71" i="24"/>
  <c r="N71" i="24" s="1"/>
  <c r="P70" i="24"/>
  <c r="O70" i="24"/>
  <c r="M70" i="24"/>
  <c r="L70" i="24"/>
  <c r="K70" i="24"/>
  <c r="J70" i="24"/>
  <c r="N70" i="24" s="1"/>
  <c r="P69" i="24"/>
  <c r="Q69" i="24" s="1"/>
  <c r="O69" i="24"/>
  <c r="M69" i="24"/>
  <c r="L69" i="24"/>
  <c r="K69" i="24"/>
  <c r="J69" i="24"/>
  <c r="N69" i="24" s="1"/>
  <c r="P68" i="24"/>
  <c r="Q68" i="24" s="1"/>
  <c r="O68" i="24"/>
  <c r="M68" i="24"/>
  <c r="L68" i="24"/>
  <c r="K68" i="24"/>
  <c r="J68" i="24"/>
  <c r="N68" i="24" s="1"/>
  <c r="P67" i="24"/>
  <c r="O67" i="24"/>
  <c r="M67" i="24"/>
  <c r="L67" i="24"/>
  <c r="Q67" i="24" s="1"/>
  <c r="K67" i="24"/>
  <c r="J67" i="24"/>
  <c r="N67" i="24" s="1"/>
  <c r="P66" i="24"/>
  <c r="Q66" i="24" s="1"/>
  <c r="O66" i="24"/>
  <c r="M66" i="24"/>
  <c r="L66" i="24"/>
  <c r="K66" i="24"/>
  <c r="J66" i="24"/>
  <c r="N66" i="24" s="1"/>
  <c r="P65" i="24"/>
  <c r="Q65" i="24" s="1"/>
  <c r="O65" i="24"/>
  <c r="M65" i="24"/>
  <c r="L65" i="24"/>
  <c r="K65" i="24"/>
  <c r="J65" i="24"/>
  <c r="N65" i="24" s="1"/>
  <c r="P64" i="24"/>
  <c r="Q64" i="24" s="1"/>
  <c r="O64" i="24"/>
  <c r="M64" i="24"/>
  <c r="L64" i="24"/>
  <c r="K64" i="24"/>
  <c r="J64" i="24"/>
  <c r="N64" i="24" s="1"/>
  <c r="P63" i="24"/>
  <c r="O63" i="24"/>
  <c r="M63" i="24"/>
  <c r="L63" i="24"/>
  <c r="K63" i="24"/>
  <c r="J63" i="24"/>
  <c r="N63" i="24" s="1"/>
  <c r="P60" i="24"/>
  <c r="P101" i="24" s="1"/>
  <c r="O60" i="24"/>
  <c r="O101" i="24" s="1"/>
  <c r="N59" i="24"/>
  <c r="M59" i="24"/>
  <c r="K59" i="24"/>
  <c r="J59" i="24"/>
  <c r="L59" i="24" s="1"/>
  <c r="M58" i="24"/>
  <c r="L58" i="24"/>
  <c r="Q58" i="24" s="1"/>
  <c r="K58" i="24"/>
  <c r="J58" i="24"/>
  <c r="N58" i="24" s="1"/>
  <c r="N57" i="24"/>
  <c r="J57" i="24"/>
  <c r="L57" i="24" s="1"/>
  <c r="M55" i="24"/>
  <c r="L55" i="24"/>
  <c r="K55" i="24"/>
  <c r="J55" i="24"/>
  <c r="N55" i="24" s="1"/>
  <c r="Q55" i="24" s="1"/>
  <c r="N54" i="24"/>
  <c r="M54" i="24"/>
  <c r="K54" i="24"/>
  <c r="J54" i="24"/>
  <c r="L54" i="24" s="1"/>
  <c r="M53" i="24"/>
  <c r="L53" i="24"/>
  <c r="Q53" i="24" s="1"/>
  <c r="K53" i="24"/>
  <c r="J53" i="24"/>
  <c r="N53" i="24" s="1"/>
  <c r="N52" i="24"/>
  <c r="J52" i="24"/>
  <c r="L52" i="24" s="1"/>
  <c r="L60" i="24" s="1"/>
  <c r="L101" i="24" s="1"/>
  <c r="M51" i="24"/>
  <c r="L51" i="24"/>
  <c r="K51" i="24"/>
  <c r="J51" i="24"/>
  <c r="J60" i="24" s="1"/>
  <c r="J101" i="24" s="1"/>
  <c r="P47" i="24"/>
  <c r="O47" i="24"/>
  <c r="M47" i="24"/>
  <c r="L47" i="24"/>
  <c r="K47" i="24"/>
  <c r="Q47" i="24" s="1"/>
  <c r="J47" i="24"/>
  <c r="N47" i="24" s="1"/>
  <c r="P46" i="24"/>
  <c r="O46" i="24"/>
  <c r="M46" i="24"/>
  <c r="L46" i="24"/>
  <c r="K46" i="24"/>
  <c r="Q46" i="24" s="1"/>
  <c r="J46" i="24"/>
  <c r="N46" i="24" s="1"/>
  <c r="P45" i="24"/>
  <c r="O45" i="24"/>
  <c r="M45" i="24"/>
  <c r="L45" i="24"/>
  <c r="K45" i="24"/>
  <c r="Q45" i="24" s="1"/>
  <c r="J45" i="24"/>
  <c r="N45" i="24" s="1"/>
  <c r="P44" i="24"/>
  <c r="O44" i="24"/>
  <c r="M44" i="24"/>
  <c r="M48" i="24" s="1"/>
  <c r="M102" i="24" s="1"/>
  <c r="L44" i="24"/>
  <c r="Q44" i="24" s="1"/>
  <c r="K44" i="24"/>
  <c r="J44" i="24"/>
  <c r="N44" i="24" s="1"/>
  <c r="P43" i="24"/>
  <c r="O43" i="24"/>
  <c r="M43" i="24"/>
  <c r="L43" i="24"/>
  <c r="K43" i="24"/>
  <c r="Q43" i="24" s="1"/>
  <c r="J43" i="24"/>
  <c r="N43" i="24" s="1"/>
  <c r="P42" i="24"/>
  <c r="P48" i="24" s="1"/>
  <c r="P102" i="24" s="1"/>
  <c r="O42" i="24"/>
  <c r="O48" i="24" s="1"/>
  <c r="O102" i="24" s="1"/>
  <c r="M42" i="24"/>
  <c r="L42" i="24"/>
  <c r="L48" i="24" s="1"/>
  <c r="L102" i="24" s="1"/>
  <c r="K42" i="24"/>
  <c r="K48" i="24" s="1"/>
  <c r="K102" i="24" s="1"/>
  <c r="J42" i="24"/>
  <c r="J48" i="24" s="1"/>
  <c r="J102" i="24" s="1"/>
  <c r="P33" i="24"/>
  <c r="Q33" i="24" s="1"/>
  <c r="O33" i="24"/>
  <c r="M33" i="24"/>
  <c r="L33" i="24"/>
  <c r="K33" i="24"/>
  <c r="J33" i="24"/>
  <c r="N33" i="24" s="1"/>
  <c r="P32" i="24"/>
  <c r="Q32" i="24" s="1"/>
  <c r="O32" i="24"/>
  <c r="M32" i="24"/>
  <c r="L32" i="24"/>
  <c r="K32" i="24"/>
  <c r="J32" i="24"/>
  <c r="N32" i="24" s="1"/>
  <c r="P31" i="24"/>
  <c r="Q31" i="24" s="1"/>
  <c r="O31" i="24"/>
  <c r="M31" i="24"/>
  <c r="L31" i="24"/>
  <c r="K31" i="24"/>
  <c r="J31" i="24"/>
  <c r="N31" i="24" s="1"/>
  <c r="P30" i="24"/>
  <c r="O30" i="24"/>
  <c r="M30" i="24"/>
  <c r="L30" i="24"/>
  <c r="Q30" i="24" s="1"/>
  <c r="K30" i="24"/>
  <c r="J30" i="24"/>
  <c r="N30" i="24" s="1"/>
  <c r="P29" i="24"/>
  <c r="Q29" i="24" s="1"/>
  <c r="O29" i="24"/>
  <c r="M29" i="24"/>
  <c r="L29" i="24"/>
  <c r="K29" i="24"/>
  <c r="J29" i="24"/>
  <c r="N29" i="24" s="1"/>
  <c r="P28" i="24"/>
  <c r="M28" i="24"/>
  <c r="K28" i="24"/>
  <c r="J28" i="24"/>
  <c r="N28" i="24" s="1"/>
  <c r="P27" i="24"/>
  <c r="M27" i="24"/>
  <c r="L27" i="24"/>
  <c r="K27" i="24"/>
  <c r="J27" i="24"/>
  <c r="N27" i="24" s="1"/>
  <c r="P26" i="24"/>
  <c r="M26" i="24"/>
  <c r="J26" i="24"/>
  <c r="N26" i="24" s="1"/>
  <c r="P25" i="24"/>
  <c r="M25" i="24"/>
  <c r="L25" i="24"/>
  <c r="J25" i="24"/>
  <c r="N25" i="24" s="1"/>
  <c r="P24" i="24"/>
  <c r="J24" i="24"/>
  <c r="N24" i="24" s="1"/>
  <c r="P23" i="24"/>
  <c r="J23" i="24"/>
  <c r="O23" i="24" s="1"/>
  <c r="P22" i="24"/>
  <c r="J22" i="24"/>
  <c r="O22" i="24" s="1"/>
  <c r="P21" i="24"/>
  <c r="J21" i="24"/>
  <c r="P20" i="24"/>
  <c r="J20" i="24"/>
  <c r="P19" i="24"/>
  <c r="N19" i="24"/>
  <c r="J19" i="24"/>
  <c r="P18" i="24"/>
  <c r="J18" i="24"/>
  <c r="P17" i="24"/>
  <c r="J17" i="24"/>
  <c r="P16" i="24"/>
  <c r="J16" i="24"/>
  <c r="P15" i="24"/>
  <c r="N15" i="24"/>
  <c r="J15" i="24"/>
  <c r="P12" i="24"/>
  <c r="P100" i="24" s="1"/>
  <c r="O12" i="24"/>
  <c r="O100" i="24" s="1"/>
  <c r="M11" i="24"/>
  <c r="L11" i="24"/>
  <c r="J11" i="24"/>
  <c r="J10" i="24"/>
  <c r="M9" i="24"/>
  <c r="L9" i="24"/>
  <c r="J9" i="24"/>
  <c r="N8" i="24"/>
  <c r="J8" i="24"/>
  <c r="M7" i="24"/>
  <c r="L7" i="24"/>
  <c r="J7" i="24"/>
  <c r="N6" i="24"/>
  <c r="K6" i="24"/>
  <c r="J6" i="24"/>
  <c r="O27" i="24" l="1"/>
  <c r="Q27" i="24" s="1"/>
  <c r="K26" i="24"/>
  <c r="O26" i="24"/>
  <c r="L26" i="24"/>
  <c r="O28" i="24"/>
  <c r="L28" i="24"/>
  <c r="Q28" i="24" s="1"/>
  <c r="K25" i="24"/>
  <c r="Q25" i="24" s="1"/>
  <c r="O25" i="24"/>
  <c r="K18" i="24"/>
  <c r="M18" i="24"/>
  <c r="L18" i="24"/>
  <c r="O18" i="24"/>
  <c r="Q18" i="24" s="1"/>
  <c r="M10" i="24"/>
  <c r="L10" i="24"/>
  <c r="K17" i="24"/>
  <c r="M17" i="24"/>
  <c r="O17" i="24"/>
  <c r="L17" i="24"/>
  <c r="N18" i="24"/>
  <c r="O21" i="24"/>
  <c r="K21" i="24"/>
  <c r="N21" i="24"/>
  <c r="M21" i="24"/>
  <c r="L21" i="24"/>
  <c r="M8" i="24"/>
  <c r="L8" i="24"/>
  <c r="K10" i="24"/>
  <c r="K16" i="24"/>
  <c r="M16" i="24"/>
  <c r="O16" i="24"/>
  <c r="Q16" i="24" s="1"/>
  <c r="L16" i="24"/>
  <c r="N17" i="24"/>
  <c r="K20" i="24"/>
  <c r="M20" i="24"/>
  <c r="L20" i="24"/>
  <c r="O20" i="24"/>
  <c r="Q20" i="24" s="1"/>
  <c r="M6" i="24"/>
  <c r="L6" i="24"/>
  <c r="Q6" i="24" s="1"/>
  <c r="K8" i="24"/>
  <c r="N10" i="24"/>
  <c r="Q10" i="24" s="1"/>
  <c r="J12" i="24"/>
  <c r="J34" i="24"/>
  <c r="J106" i="24" s="1"/>
  <c r="M15" i="24"/>
  <c r="O15" i="24"/>
  <c r="K15" i="24"/>
  <c r="L15" i="24"/>
  <c r="N16" i="24"/>
  <c r="Q17" i="24"/>
  <c r="O19" i="24"/>
  <c r="M19" i="24"/>
  <c r="Q19" i="24" s="1"/>
  <c r="L19" i="24"/>
  <c r="K19" i="24"/>
  <c r="N20" i="24"/>
  <c r="N9" i="24"/>
  <c r="Q9" i="24" s="1"/>
  <c r="N11" i="24"/>
  <c r="L24" i="24"/>
  <c r="Q24" i="24" s="1"/>
  <c r="O88" i="24"/>
  <c r="O110" i="24" s="1"/>
  <c r="O111" i="24" s="1"/>
  <c r="Q73" i="24"/>
  <c r="P93" i="24"/>
  <c r="P114" i="24" s="1"/>
  <c r="P115" i="24" s="1"/>
  <c r="N7" i="24"/>
  <c r="P103" i="24"/>
  <c r="L22" i="24"/>
  <c r="L23" i="24"/>
  <c r="P34" i="24"/>
  <c r="P106" i="24" s="1"/>
  <c r="K52" i="24"/>
  <c r="Q52" i="24" s="1"/>
  <c r="K57" i="24"/>
  <c r="Q71" i="24"/>
  <c r="Q75" i="24"/>
  <c r="Q77" i="24"/>
  <c r="K7" i="24"/>
  <c r="Q7" i="24" s="1"/>
  <c r="K9" i="24"/>
  <c r="K11" i="24"/>
  <c r="Q11" i="24" s="1"/>
  <c r="M22" i="24"/>
  <c r="M23" i="24"/>
  <c r="M24" i="24"/>
  <c r="M52" i="24"/>
  <c r="M60" i="24" s="1"/>
  <c r="M101" i="24" s="1"/>
  <c r="Q54" i="24"/>
  <c r="M57" i="24"/>
  <c r="Q59" i="24"/>
  <c r="P88" i="24"/>
  <c r="P110" i="24" s="1"/>
  <c r="P111" i="24" s="1"/>
  <c r="Q83" i="24"/>
  <c r="Q92" i="24"/>
  <c r="N22" i="24"/>
  <c r="Q22" i="24" s="1"/>
  <c r="N23" i="24"/>
  <c r="O24" i="24"/>
  <c r="Q63" i="24"/>
  <c r="Q70" i="24"/>
  <c r="Q72" i="24"/>
  <c r="O103" i="24"/>
  <c r="K22" i="24"/>
  <c r="K23" i="24"/>
  <c r="K24" i="24"/>
  <c r="Q57" i="24"/>
  <c r="M88" i="24"/>
  <c r="M110" i="24" s="1"/>
  <c r="M111" i="24" s="1"/>
  <c r="Q81" i="24"/>
  <c r="L80" i="24"/>
  <c r="L88" i="24" s="1"/>
  <c r="L110" i="24" s="1"/>
  <c r="L111" i="24" s="1"/>
  <c r="L81" i="24"/>
  <c r="L82" i="24"/>
  <c r="L83" i="24"/>
  <c r="L84" i="24"/>
  <c r="Q84" i="24" s="1"/>
  <c r="L85" i="24"/>
  <c r="L86" i="24"/>
  <c r="L87" i="24"/>
  <c r="Q91" i="24"/>
  <c r="Q93" i="24" s="1"/>
  <c r="Q114" i="24" s="1"/>
  <c r="Q115" i="24" s="1"/>
  <c r="J93" i="24"/>
  <c r="J114" i="24" s="1"/>
  <c r="J115" i="24" s="1"/>
  <c r="N80" i="24"/>
  <c r="N88" i="24" s="1"/>
  <c r="N110" i="24" s="1"/>
  <c r="N111" i="24" s="1"/>
  <c r="N81" i="24"/>
  <c r="N82" i="24"/>
  <c r="Q82" i="24" s="1"/>
  <c r="N83" i="24"/>
  <c r="N84" i="24"/>
  <c r="N85" i="24"/>
  <c r="Q85" i="24" s="1"/>
  <c r="N86" i="24"/>
  <c r="Q86" i="24" s="1"/>
  <c r="N87" i="24"/>
  <c r="Q87" i="24" s="1"/>
  <c r="J88" i="24"/>
  <c r="J110" i="24" s="1"/>
  <c r="J111" i="24" s="1"/>
  <c r="P92" i="24"/>
  <c r="N42" i="24"/>
  <c r="N48" i="24" s="1"/>
  <c r="N102" i="24" s="1"/>
  <c r="N51" i="24"/>
  <c r="K80" i="24"/>
  <c r="K81" i="24"/>
  <c r="K82" i="24"/>
  <c r="K88" i="24" s="1"/>
  <c r="K110" i="24" s="1"/>
  <c r="K111" i="24" s="1"/>
  <c r="K83" i="24"/>
  <c r="K84" i="24"/>
  <c r="K85" i="24"/>
  <c r="K86" i="24"/>
  <c r="K87" i="24"/>
  <c r="N34" i="24" l="1"/>
  <c r="N106" i="24" s="1"/>
  <c r="Q23" i="24"/>
  <c r="Q26" i="24"/>
  <c r="O34" i="24"/>
  <c r="O106" i="24" s="1"/>
  <c r="Q21" i="24"/>
  <c r="Q15" i="24"/>
  <c r="K60" i="24"/>
  <c r="K101" i="24" s="1"/>
  <c r="Q42" i="24"/>
  <c r="Q48" i="24" s="1"/>
  <c r="Q102" i="24" s="1"/>
  <c r="Q80" i="24"/>
  <c r="M34" i="24"/>
  <c r="M106" i="24" s="1"/>
  <c r="Q8" i="24"/>
  <c r="Q12" i="24" s="1"/>
  <c r="Q100" i="24" s="1"/>
  <c r="Q103" i="24" s="1"/>
  <c r="L34" i="24"/>
  <c r="L106" i="24" s="1"/>
  <c r="N60" i="24"/>
  <c r="N101" i="24" s="1"/>
  <c r="Q51" i="24"/>
  <c r="Q60" i="24" s="1"/>
  <c r="Q101" i="24" s="1"/>
  <c r="Q88" i="24"/>
  <c r="Q110" i="24" s="1"/>
  <c r="Q111" i="24" s="1"/>
  <c r="K34" i="24"/>
  <c r="K106" i="24" s="1"/>
  <c r="J100" i="24"/>
  <c r="J103" i="24" s="1"/>
  <c r="M12" i="24"/>
  <c r="M100" i="24" s="1"/>
  <c r="M103" i="24" s="1"/>
  <c r="K12" i="24"/>
  <c r="K100" i="24" s="1"/>
  <c r="K103" i="24" s="1"/>
  <c r="L12" i="24"/>
  <c r="L100" i="24" s="1"/>
  <c r="L103" i="24" s="1"/>
  <c r="N12" i="24"/>
  <c r="N100" i="24" s="1"/>
  <c r="N103" i="24" s="1"/>
  <c r="L7" i="16"/>
  <c r="L8" i="16"/>
  <c r="L9" i="16"/>
  <c r="L6" i="16"/>
  <c r="Q34" i="24" l="1"/>
  <c r="Q106" i="24" s="1"/>
  <c r="Q121" i="24" s="1"/>
  <c r="N9" i="16" l="1"/>
  <c r="I9" i="16"/>
  <c r="O9" i="16" s="1"/>
  <c r="O8" i="16"/>
  <c r="N8" i="16"/>
  <c r="I8" i="16"/>
  <c r="P8" i="16" s="1"/>
  <c r="N7" i="16"/>
  <c r="I7" i="16"/>
  <c r="O7" i="16" s="1"/>
  <c r="O6" i="16"/>
  <c r="N6" i="16"/>
  <c r="I6" i="16"/>
  <c r="P6" i="16" s="1"/>
  <c r="N5" i="16"/>
  <c r="L5" i="16"/>
  <c r="I5" i="16"/>
  <c r="O5" i="16" s="1"/>
  <c r="N4" i="16"/>
  <c r="L4" i="16"/>
  <c r="I4" i="16"/>
  <c r="P4" i="16" s="1"/>
  <c r="O4" i="16" l="1"/>
  <c r="O10" i="16" s="1"/>
  <c r="Q8" i="16"/>
  <c r="N10" i="16"/>
  <c r="Q6" i="16"/>
  <c r="L10" i="16"/>
  <c r="P5" i="16"/>
  <c r="Q5" i="16" s="1"/>
  <c r="P7" i="16"/>
  <c r="Q7" i="16" s="1"/>
  <c r="P9" i="16"/>
  <c r="Q9" i="16" s="1"/>
  <c r="Q4" i="16" l="1"/>
  <c r="Q10" i="16" s="1"/>
  <c r="P10" i="16"/>
</calcChain>
</file>

<file path=xl/comments1.xml><?xml version="1.0" encoding="utf-8"?>
<comments xmlns="http://schemas.openxmlformats.org/spreadsheetml/2006/main">
  <authors>
    <author>REP_GP_UOP</author>
  </authors>
  <commentList>
    <comment ref="C51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</commentList>
</comments>
</file>

<file path=xl/sharedStrings.xml><?xml version="1.0" encoding="utf-8"?>
<sst xmlns="http://schemas.openxmlformats.org/spreadsheetml/2006/main" count="621" uniqueCount="252">
  <si>
    <t>TOTAL</t>
  </si>
  <si>
    <t>TRABAJADORES DE PLANTA</t>
  </si>
  <si>
    <t>SUBTOTAL</t>
  </si>
  <si>
    <t>EMPRESA PÚBLICA DE RIEGO Y DRENAJE DEL SUR</t>
  </si>
  <si>
    <t>"RIDRENSUR EP"</t>
  </si>
  <si>
    <t>Nº</t>
  </si>
  <si>
    <t xml:space="preserve">NOMBRES Y APELLIDOS </t>
  </si>
  <si>
    <t>CARGO O PUESTO</t>
  </si>
  <si>
    <t>SALARIO RESOLUCION EP-GG-032-2014
A-M-0054-2015</t>
  </si>
  <si>
    <t>PERIODO</t>
  </si>
  <si>
    <t>APORTE PATRONAL (11,15%)</t>
  </si>
  <si>
    <t>APORTE PATRONAL IECE-SECAP
1%</t>
  </si>
  <si>
    <t>FONDOS DE RESERVA
8.33%</t>
  </si>
  <si>
    <t>DECIMO TERCER SUELDO</t>
  </si>
  <si>
    <t>VACACIONES</t>
  </si>
  <si>
    <t>DECIMO CUARTO SUELDO</t>
  </si>
  <si>
    <t>VALOR TOTAL ANUAL</t>
  </si>
  <si>
    <t>GERENCIA ADMINISTRATIVA FINANCIERA</t>
  </si>
  <si>
    <t>Conductor Livianos y Pesados</t>
  </si>
  <si>
    <t>PLANTA</t>
  </si>
  <si>
    <t>Conductor Livianos</t>
  </si>
  <si>
    <t>GERENCIA TECNICA</t>
  </si>
  <si>
    <t>CABRERA GRANDA CESAR HUMBERTO</t>
  </si>
  <si>
    <t>Maestro Mayor(Albañil)</t>
  </si>
  <si>
    <t>Peon (Ayudante De Topografia)</t>
  </si>
  <si>
    <t>SERVIDOR PROVINCIAL Y GRADO OCUPACIONAL</t>
  </si>
  <si>
    <t>APORTE PATRONAL IECE-SECAP
0.5%</t>
  </si>
  <si>
    <t>DECIMO TERCER SUELDO
(DICIEMBRE)</t>
  </si>
  <si>
    <t>DECIMO CUARTO SUELDO
(AGOSTO)</t>
  </si>
  <si>
    <t>GERENCIA GENERAL</t>
  </si>
  <si>
    <t xml:space="preserve">NJS </t>
  </si>
  <si>
    <t>JIMENEZ TENE YOMARA VANESSA</t>
  </si>
  <si>
    <t>SP4 G10</t>
  </si>
  <si>
    <t>IÑIGUEZ OCHOA VERONICA ELIZABETH</t>
  </si>
  <si>
    <t>SP6 G12</t>
  </si>
  <si>
    <t>ASESORIA JURIDICA</t>
  </si>
  <si>
    <t>GOMEZ ACHUPALLAS MARIA AUGUSTA</t>
  </si>
  <si>
    <t>SPA4 G6</t>
  </si>
  <si>
    <t>GUTIERREZ SANCHEZ BISMARK GUSTAVO</t>
  </si>
  <si>
    <t>ESPARZA ROMERO JOSE LUIS</t>
  </si>
  <si>
    <t>ORTEGA NOVILLO BOLIVAR FERNANDO</t>
  </si>
  <si>
    <t>ESPINOZA ERREIZ LILIA ROSARIO</t>
  </si>
  <si>
    <t>CAMBIZACA DIAZ WILLIAM ANTONIO</t>
  </si>
  <si>
    <t>SP1-G7</t>
  </si>
  <si>
    <t>RODRIGUEZ CASTILLO PAULINA DEL CISNE</t>
  </si>
  <si>
    <t xml:space="preserve">ANALISTA DE COMPRAS PUBLICAS </t>
  </si>
  <si>
    <t>CUEVA PIEDRA DENNIS RAMIRO</t>
  </si>
  <si>
    <t>AGUIRRE MONTERO CARLOS ERNESTO</t>
  </si>
  <si>
    <t>SP3-G9</t>
  </si>
  <si>
    <t>SP5 G11</t>
  </si>
  <si>
    <t>JARAMILLO MONCADA VICTOR AURELIO</t>
  </si>
  <si>
    <t>TORRES ESPINOZA MARIA TERESA</t>
  </si>
  <si>
    <t>LEON VEGA CARLOS VINICIO</t>
  </si>
  <si>
    <t>HERNANDEZ OCAMPO FELIX PAUL</t>
  </si>
  <si>
    <t>GONZALEZ FUERTES MAX JOSE</t>
  </si>
  <si>
    <t>PARRA OROSCO RAMIRO EMANUEL</t>
  </si>
  <si>
    <t>ROMAN LUNA EDUARDO ALEJANDRO</t>
  </si>
  <si>
    <t>SP2 G8</t>
  </si>
  <si>
    <t>COLLAHUAZO ASTUDILLO ANGEL SALVADOR</t>
  </si>
  <si>
    <t>ARMIJOS ARMIJOS SANTOS ALFONSO</t>
  </si>
  <si>
    <t>SP6-G12</t>
  </si>
  <si>
    <t>ARMIJOS ARMIJOS HERNAN VINICIO</t>
  </si>
  <si>
    <t>CARRION JIMENEZ MANUEL HUMBERTO</t>
  </si>
  <si>
    <t>SANCHEZ ZAPATA FREDY 
(Comisión de Servicios desde el 01 de abril 2015 por 4 años)</t>
  </si>
  <si>
    <t>RESUMEN REMUNERACIONES 2016</t>
  </si>
  <si>
    <t>GERENCIA OPERACIÓN Y MANTENIMIENTO</t>
  </si>
  <si>
    <t>CONTRATO COLECTIVO</t>
  </si>
  <si>
    <t>-</t>
  </si>
  <si>
    <t>TRABAJADORES CONTRATADOS</t>
  </si>
  <si>
    <t>NOMBRAMIENTO Y LIBRE REMOCION</t>
  </si>
  <si>
    <t>SERVIDORES DE PLANTA</t>
  </si>
  <si>
    <t>SERVIDORES CONTRATADOS</t>
  </si>
  <si>
    <t>GERENCIA PLANIFICACION</t>
  </si>
  <si>
    <t>EMPRESA PÚBLICA DE RIEGO Y DRENAJE DEL SUR "RIDRENSUR EP"</t>
  </si>
  <si>
    <t>BENEFICIOS A TRABAJADORES DE PLANTA
DECIMO OCTAVO CONTRATO COLECTIVO DE TRABAJO</t>
  </si>
  <si>
    <t xml:space="preserve">Nro.
</t>
  </si>
  <si>
    <t xml:space="preserve">APELLIDOS Y NOMBRES
</t>
  </si>
  <si>
    <t xml:space="preserve">CARGO
</t>
  </si>
  <si>
    <t>SALARIO RESOLUCION EP-GG-032-2014</t>
  </si>
  <si>
    <t>NRO. DIAS LABORADOS MENSUAL</t>
  </si>
  <si>
    <t>GERENCIA A LA QUE PERTENECE</t>
  </si>
  <si>
    <t>MESES</t>
  </si>
  <si>
    <t>NRO. DIAS LABORADOS ANUAL</t>
  </si>
  <si>
    <t>REMUNERACIÓN MENSUAL UNIFICADA ACTUAL</t>
  </si>
  <si>
    <t>SALARIO BASICO UNIFICADO</t>
  </si>
  <si>
    <t xml:space="preserve">SUBSIDIO POR ANTIGÜEDAD
</t>
  </si>
  <si>
    <t>NRO. CARGAS FAMILIARES</t>
  </si>
  <si>
    <t>SUBSIDIO FAMILIAR
1% SALAIO BASICO U.</t>
  </si>
  <si>
    <t>SUBSIDIO POR ALIMENTACION
$4.00</t>
  </si>
  <si>
    <t>SERVICIO DE TRANSPORTE
$0.50 CENTAVOS</t>
  </si>
  <si>
    <t xml:space="preserve">TOTAL INGRESOS
 </t>
  </si>
  <si>
    <t>CABRERA GRANDA CÉSAR HUMBERTO</t>
  </si>
  <si>
    <t>MAESTRO DE OBRA
(ALBAÑIL)</t>
  </si>
  <si>
    <t>ORDOÑEZ ESPINOSA OSWALDO FRANCISCO</t>
  </si>
  <si>
    <t>GERENCIA ADMINISTRATIVO FINANCIERO</t>
  </si>
  <si>
    <t xml:space="preserve">TIGRE ESCALERAS LUIS ANTONIO </t>
  </si>
  <si>
    <t xml:space="preserve">GONZAGA CORREA BENITO </t>
  </si>
  <si>
    <t xml:space="preserve">ESTRELLA CAMPOVERDE MANUEL AUGUSTO </t>
  </si>
  <si>
    <t>ESPINOZA LANCHI HENRY ALCIVAR</t>
  </si>
  <si>
    <t>RMU ANUAL</t>
  </si>
  <si>
    <t>SALARIO ANUAL</t>
  </si>
  <si>
    <t>GERENTE GENERAL</t>
  </si>
  <si>
    <t>GERENTE TECNICO</t>
  </si>
  <si>
    <t>ASESOR JURIDICO</t>
  </si>
  <si>
    <t>GERENTE ADMINISTRATIVO FINANCIERO</t>
  </si>
  <si>
    <t>GERENTE PLANIFICACION</t>
  </si>
  <si>
    <t>GERENTE OPERACIÓN Y MANTENIMIENTO</t>
  </si>
  <si>
    <t>GUARDALMACEN</t>
  </si>
  <si>
    <t>PROMOTOR SOCIAL</t>
  </si>
  <si>
    <t>ANALISTA FINANCIERO 1</t>
  </si>
  <si>
    <t>SECRETARIA EJECUTIVA</t>
  </si>
  <si>
    <t>TESORERO</t>
  </si>
  <si>
    <t>INGENIERO CIVIL</t>
  </si>
  <si>
    <t>INGENIERO CIVIL 2</t>
  </si>
  <si>
    <t>INGENIERO AGRICOLA</t>
  </si>
  <si>
    <t>RESPONSABLE TALENTO HUMANO</t>
  </si>
  <si>
    <t>ABOGADO 1</t>
  </si>
  <si>
    <t>ASISTENTE TECNICO</t>
  </si>
  <si>
    <t>CONTADORA GENERAL</t>
  </si>
  <si>
    <t>ASISTENTE GUARDALMACEN</t>
  </si>
  <si>
    <t>COTIZADOR</t>
  </si>
  <si>
    <t>INGENIERO AGRICOLA 2</t>
  </si>
  <si>
    <t>INGENIERO AGRICOLA 3</t>
  </si>
  <si>
    <t>INGENIERO AGRICOLA 4</t>
  </si>
  <si>
    <t>INGENIERO AMBIENTAL</t>
  </si>
  <si>
    <t>ASISTENTE TECNICO Y DE APOYO</t>
  </si>
  <si>
    <t>TOPOGRAFO</t>
  </si>
  <si>
    <t>PUESTOS</t>
  </si>
  <si>
    <t>DISTRIBUTIVO PERSONAL</t>
  </si>
  <si>
    <t xml:space="preserve">APORTE PATRONAL IECE-SECAP
</t>
  </si>
  <si>
    <t>ELABORADO POR: AB. VERONICA IÑIGUEZ OCHOA</t>
  </si>
  <si>
    <t>GONZAGA CORREA BENITO RAMITO</t>
  </si>
  <si>
    <t>TIGRE ESCALERA LUIS ANTONIO</t>
  </si>
  <si>
    <t>01 ENERO AL 30 DE JUNIO 2016</t>
  </si>
  <si>
    <t>01 ENERO DEL 2016</t>
  </si>
  <si>
    <t>OCHOA AGUIRRE JOFFRE IVAN</t>
  </si>
  <si>
    <t>01 ENERO AL 31 MAYO 2016</t>
  </si>
  <si>
    <t>SANCHEZ ZAPATA LUIS ALFREDO</t>
  </si>
  <si>
    <t>01 ENERO AL 31 DE MARZO DEL 2016</t>
  </si>
  <si>
    <t>FEIJO UDAY FREDY GEOVANNY</t>
  </si>
  <si>
    <t>ESPECIALISTA EN SISTEMAS DE INFORMACIÓN GEOGRAFICA</t>
  </si>
  <si>
    <t>CASTILLO PALACIOS ELMER REMIGIO</t>
  </si>
  <si>
    <t>TECNICO SOCIAL</t>
  </si>
  <si>
    <t>CUENCA OGOÑA EDISON ROBERTO</t>
  </si>
  <si>
    <t>CADENERO
(CONTRATOS NROS. 166 Y 167-DPS-2015)</t>
  </si>
  <si>
    <t>GERENCIA DE PLANIFICACIÓN</t>
  </si>
  <si>
    <t>POMA PAREDES HENRY PAUL</t>
  </si>
  <si>
    <t>MARTINEZ ZUÑIGA DUNNIA JANETH</t>
  </si>
  <si>
    <t>GUACHIZACA CONTENTO VICTOR EDUARDO</t>
  </si>
  <si>
    <t>TECNICO INFRAESTRUCTURA</t>
  </si>
  <si>
    <t>CANGO PATIÑO JOHN EMILIO</t>
  </si>
  <si>
    <t>MERIZALDE RAMIRO FERNANDO</t>
  </si>
  <si>
    <t>OVIEDO ZAMBRANO SEGUNDO JONATHAN</t>
  </si>
  <si>
    <t>MOREIRA PALACIOS MARIA VERONICA</t>
  </si>
  <si>
    <t>CUEVA VELASQUEZ PAMELA STEFANIA</t>
  </si>
  <si>
    <t>BURNEO CORREA JOSUE ENRIQUE</t>
  </si>
  <si>
    <t>ASISTENTE JURIDICO</t>
  </si>
  <si>
    <t>01 ENERO AL 31 DICIEMBRE 2016</t>
  </si>
  <si>
    <t>05 MAYO DEL 2015</t>
  </si>
  <si>
    <t>BARRAGAN YAGUANA FREDY ISAEL</t>
  </si>
  <si>
    <t>11 ENERO DEL 2016</t>
  </si>
  <si>
    <t>05 DE FEBRERO DEL 2015</t>
  </si>
  <si>
    <t>20 DE MAYO DEL 2014</t>
  </si>
  <si>
    <t>ESTRELLA CAMPOVERDE MANUEL AUGUSTO</t>
  </si>
  <si>
    <t>CASTILLO BETANCOURTH LENIN RONALD</t>
  </si>
  <si>
    <t>20 ENERO AL 30 DE JUNIO DEL 2016</t>
  </si>
  <si>
    <t>SERVICIOS PROFESIONALES</t>
  </si>
  <si>
    <t>TENE CURIPOMA GONZALO ROBERTI</t>
  </si>
  <si>
    <t>RESIDENTE DE FISCALIZACION DE OBRA
PROYECTO SUQUINDA-YAMANA Y MANCANDAMINE-MONGARA-CANTRON PALTAS</t>
  </si>
  <si>
    <t>04 ENERO AL 30 ABRIL 2016</t>
  </si>
  <si>
    <t>TIEMPO DE CONTRATO</t>
  </si>
  <si>
    <t>RMU</t>
  </si>
  <si>
    <t>12% IVA</t>
  </si>
  <si>
    <t>VALOR TOTAL</t>
  </si>
  <si>
    <t>GONZALEZ SANCHEZ FREDY</t>
  </si>
  <si>
    <t>CONDUCTOR</t>
  </si>
  <si>
    <t>18 ENERO AL 30 DE JUNIO 2016</t>
  </si>
  <si>
    <t>SALARIO RESOLUCION EP-GG-005-A-2015
A-M-0054-2015</t>
  </si>
  <si>
    <t>GONZALEZ MINCHALO ADOLFO</t>
  </si>
  <si>
    <t>BENITEZ LUZURIAGA CAMILO ERNESTO</t>
  </si>
  <si>
    <t>JARA GUAMAN VICTOR HUGO</t>
  </si>
  <si>
    <t>IÑIGUEZ ALVAN OSCAR IVAN</t>
  </si>
  <si>
    <t>05 ENERO AL 30 DE JUNIO DEL 2016</t>
  </si>
  <si>
    <t>SPA2 G4</t>
  </si>
  <si>
    <t>GUAMAN SINCHIR LAURO NICOLAS</t>
  </si>
  <si>
    <t>ARIAS GUAJALA DAVID OSWALDO</t>
  </si>
  <si>
    <t>NIVEL 4</t>
  </si>
  <si>
    <t>NIVEL 3</t>
  </si>
  <si>
    <t>NIVEL 2</t>
  </si>
  <si>
    <t>OPERADOR DE RETROEXCAVADORA</t>
  </si>
  <si>
    <t>NIVEL 5</t>
  </si>
  <si>
    <t>NIVEL 1</t>
  </si>
  <si>
    <t>TOPOGRAFO
(CONTRATOS NROS. 166 Y 167-DPS-2015)</t>
  </si>
  <si>
    <t>DISTRIBUTIVO DE TRABAJADORES  AÑO 2016</t>
  </si>
  <si>
    <t>DISTRIBUTIVO DE SERVIDORES AÑO 2016</t>
  </si>
  <si>
    <t>CASTILLO CUENCA JOSE MANUEL</t>
  </si>
  <si>
    <t>LARA ARMIJOS JOSE MARCELO</t>
  </si>
  <si>
    <t>GUALAN ZAPATA WIMAN ALCIVAR</t>
  </si>
  <si>
    <t>ALBAÑIL
(CONVENIO-PARAISO DE CELEN Y LUEGO PROYECTO TRES LEGUAS)</t>
  </si>
  <si>
    <t>ALBAÑIL
(CONVENIOS-CHANTACO-CHICHACA)</t>
  </si>
  <si>
    <t>ALBAÑIL
(CONVENIOS)
UCHUCAY NRO. 1 Y LUEGO EN EL PROYECTO ANCORRAL</t>
  </si>
  <si>
    <t>ALBAÑIL
(CONVENIOS)
PROYECTO EL PORTON Y LUEGO EN EL PROYECTO ANGOCORRAL</t>
  </si>
  <si>
    <t>ALBAÑIL
(CONVENIOS) 
PROYECTO Y NARANJAL</t>
  </si>
  <si>
    <t>ALBAÑIL
(CONVENIOS) 
PROYECTO QUINARA Y LUEGO AL PROYECTO LA ALGARROBERA</t>
  </si>
  <si>
    <t>ALBAÑIL
(CONVENIOS)
PROYECTO TASQUE Y LUEGO PROYECTO CERA-TAQUIL</t>
  </si>
  <si>
    <t>ALBAÑIL
(CONVENIOS)
PROYECTO TESALIA LUEGO PROYECTO LLUMO TENA</t>
  </si>
  <si>
    <t>AYUDANTE DE ALBAÑIL</t>
  </si>
  <si>
    <t>GAONA GIRON ROSALINO</t>
  </si>
  <si>
    <t>CASTILLO VIDAL LEONEL GUSTAVO</t>
  </si>
  <si>
    <t>VIDAL MARTINEZ JONATHAN ANTONIO</t>
  </si>
  <si>
    <t>BARRETO ORTIZ JUAN JOSE</t>
  </si>
  <si>
    <t>RAMIREZ CASTILLO DARWUIN PAUL</t>
  </si>
  <si>
    <t>SANCHEZ REQUENA WILSON ERASMO</t>
  </si>
  <si>
    <t>ASISTENTE DE APOYO</t>
  </si>
  <si>
    <t xml:space="preserve">RMU
RESOLUCION EP-GG-022-2014
</t>
  </si>
  <si>
    <t>ASISTENTE DE TALENTO HUMANO</t>
  </si>
  <si>
    <t>TALENTO HUMANO</t>
  </si>
  <si>
    <t>SP1 G7</t>
  </si>
  <si>
    <t xml:space="preserve">VALOR TOTAL </t>
  </si>
  <si>
    <t>BENEFICIARIOS</t>
  </si>
  <si>
    <t>05 ENERO AL 30 DE JUNIO 2016</t>
  </si>
  <si>
    <t>01 ENERO AL 30 DE JUNIO DEL 2016</t>
  </si>
  <si>
    <t>19 ENERO AL 31 MAYO DE 2016
(PRESENTA RENUNCIA 05/03/2016)</t>
  </si>
  <si>
    <t>19 ENERO AL 18 DE MARZO DE 2016</t>
  </si>
  <si>
    <t>01 ENERO AL 31 DE MAYO DEL 2016</t>
  </si>
  <si>
    <t>04 ENERO AL 30 JUNIO 2016</t>
  </si>
  <si>
    <t>MENDEZ FLORES HECTOR ANGEL</t>
  </si>
  <si>
    <t>LEON VEGA CARLOS VINICIO
(SERVIDOR DE PLANTA ENCARGADO)</t>
  </si>
  <si>
    <t>12 MESES</t>
  </si>
  <si>
    <t>5 MESES 13 DÍAS</t>
  </si>
  <si>
    <t>5 MESES 26 DÍAS</t>
  </si>
  <si>
    <t>6 MESES</t>
  </si>
  <si>
    <t>5 MESES 11 DÍAS</t>
  </si>
  <si>
    <t>2 MESES</t>
  </si>
  <si>
    <t>3 MESES</t>
  </si>
  <si>
    <t>5 MESES</t>
  </si>
  <si>
    <t>LARA FALCONI FAUSTO</t>
  </si>
  <si>
    <t>5 MESES 27 DÍAS</t>
  </si>
  <si>
    <t>3 MESES 27 DÍAS</t>
  </si>
  <si>
    <t>MORA CASTRO MARIA YOLANDA</t>
  </si>
  <si>
    <t>(COMISION DE SERVICIOS
 EN EL GPL)</t>
  </si>
  <si>
    <t>6 MESES 6 DÍAS</t>
  </si>
  <si>
    <t>LOJA, 12 DE MAYO DE 2016 (MEMO 132-REP-GG-2016)</t>
  </si>
  <si>
    <t>6 MESES 11 DÍAS</t>
  </si>
  <si>
    <t>5 MESES 16 DIAS</t>
  </si>
  <si>
    <t>3 MESES 6 DÍAS</t>
  </si>
  <si>
    <t>25 ENERO AL 31 DE MAYO DE 2016
(RENUNCIA EL 30 ABRIL DE 2016)</t>
  </si>
  <si>
    <t>1 MESE 17 DIAS</t>
  </si>
  <si>
    <t>25 ENERO AL 31 DE JULIODE 2016</t>
  </si>
  <si>
    <t>15 FEBRERO AL 31 DE JULIO DE 2016</t>
  </si>
  <si>
    <t>25 ENERO AL 31 DE JULIO DE 2016</t>
  </si>
  <si>
    <t>20 ENERO AL 31 DE JULIO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</si>
</sst>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P_t_s_-;\-* #,##0\ _P_t_s_-;_-* \-??\ _P_t_s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43" fontId="5" fillId="2" borderId="0" xfId="1" applyFont="1" applyFill="1" applyBorder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Alignment="1">
      <alignment horizontal="center" vertical="center" wrapText="1"/>
    </xf>
    <xf numFmtId="43" fontId="7" fillId="2" borderId="0" xfId="1" applyFont="1" applyFill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 wrapText="1"/>
    </xf>
    <xf numFmtId="2" fontId="7" fillId="2" borderId="0" xfId="1" applyNumberFormat="1" applyFont="1" applyFill="1" applyAlignment="1">
      <alignment horizontal="center" vertical="center" wrapText="1"/>
    </xf>
    <xf numFmtId="43" fontId="7" fillId="2" borderId="5" xfId="1" applyFont="1" applyFill="1" applyBorder="1" applyAlignment="1">
      <alignment horizontal="right" vertical="center" wrapText="1"/>
    </xf>
    <xf numFmtId="2" fontId="7" fillId="2" borderId="5" xfId="1" applyNumberFormat="1" applyFont="1" applyFill="1" applyBorder="1" applyAlignment="1">
      <alignment horizontal="right" vertical="center" wrapText="1"/>
    </xf>
    <xf numFmtId="43" fontId="7" fillId="2" borderId="6" xfId="1" applyFont="1" applyFill="1" applyBorder="1" applyAlignment="1">
      <alignment horizontal="right" vertical="center" wrapText="1"/>
    </xf>
    <xf numFmtId="43" fontId="7" fillId="2" borderId="4" xfId="1" applyFont="1" applyFill="1" applyBorder="1" applyAlignment="1">
      <alignment horizontal="right" vertical="center" wrapText="1"/>
    </xf>
    <xf numFmtId="2" fontId="7" fillId="2" borderId="7" xfId="1" applyNumberFormat="1" applyFont="1" applyFill="1" applyBorder="1" applyAlignment="1">
      <alignment horizontal="right" vertical="center" wrapText="1"/>
    </xf>
    <xf numFmtId="43" fontId="5" fillId="2" borderId="0" xfId="1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7" fillId="2" borderId="0" xfId="1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43" fontId="5" fillId="2" borderId="12" xfId="1" applyFont="1" applyFill="1" applyBorder="1" applyAlignment="1">
      <alignment horizontal="center" vertical="center" wrapText="1"/>
    </xf>
    <xf numFmtId="164" fontId="13" fillId="0" borderId="13" xfId="1" applyNumberFormat="1" applyFont="1" applyFill="1" applyBorder="1" applyAlignment="1" applyProtection="1">
      <alignment horizontal="center" vertical="center" wrapText="1"/>
    </xf>
    <xf numFmtId="164" fontId="13" fillId="0" borderId="14" xfId="1" applyNumberFormat="1" applyFont="1" applyFill="1" applyBorder="1" applyAlignment="1" applyProtection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164" fontId="13" fillId="2" borderId="13" xfId="1" applyNumberFormat="1" applyFont="1" applyFill="1" applyBorder="1" applyAlignment="1" applyProtection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43" fontId="7" fillId="2" borderId="15" xfId="1" applyFont="1" applyFill="1" applyBorder="1" applyAlignment="1">
      <alignment vertical="center" wrapText="1"/>
    </xf>
    <xf numFmtId="43" fontId="7" fillId="2" borderId="15" xfId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2" borderId="15" xfId="1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wrapText="1"/>
    </xf>
    <xf numFmtId="2" fontId="12" fillId="2" borderId="15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43" fontId="7" fillId="2" borderId="15" xfId="1" applyFont="1" applyFill="1" applyBorder="1" applyAlignment="1">
      <alignment horizontal="right" vertical="center" wrapText="1"/>
    </xf>
    <xf numFmtId="2" fontId="7" fillId="2" borderId="15" xfId="1" applyNumberFormat="1" applyFont="1" applyFill="1" applyBorder="1" applyAlignment="1">
      <alignment horizontal="right" vertical="center" wrapText="1"/>
    </xf>
    <xf numFmtId="0" fontId="5" fillId="2" borderId="15" xfId="1" applyNumberFormat="1" applyFont="1" applyFill="1" applyBorder="1" applyAlignment="1">
      <alignment horizontal="center" vertical="center" wrapText="1"/>
    </xf>
    <xf numFmtId="0" fontId="6" fillId="2" borderId="15" xfId="1" applyNumberFormat="1" applyFont="1" applyFill="1" applyBorder="1" applyAlignment="1">
      <alignment horizontal="center" vertical="center" wrapText="1"/>
    </xf>
    <xf numFmtId="43" fontId="18" fillId="2" borderId="15" xfId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2" fontId="5" fillId="0" borderId="15" xfId="1" applyNumberFormat="1" applyFont="1" applyFill="1" applyBorder="1" applyAlignment="1">
      <alignment horizontal="center" vertical="center" wrapText="1"/>
    </xf>
    <xf numFmtId="0" fontId="7" fillId="0" borderId="15" xfId="1" applyNumberFormat="1" applyFont="1" applyFill="1" applyBorder="1" applyAlignment="1">
      <alignment horizontal="center" vertical="center" wrapText="1"/>
    </xf>
    <xf numFmtId="43" fontId="7" fillId="0" borderId="15" xfId="1" applyFont="1" applyFill="1" applyBorder="1" applyAlignment="1">
      <alignment horizontal="center" vertical="center" wrapText="1"/>
    </xf>
    <xf numFmtId="43" fontId="7" fillId="0" borderId="15" xfId="1" applyFont="1" applyFill="1" applyBorder="1" applyAlignment="1">
      <alignment vertical="center" wrapText="1"/>
    </xf>
    <xf numFmtId="2" fontId="7" fillId="0" borderId="15" xfId="1" applyNumberFormat="1" applyFont="1" applyFill="1" applyBorder="1" applyAlignment="1">
      <alignment horizontal="center" vertical="center" wrapText="1"/>
    </xf>
    <xf numFmtId="2" fontId="11" fillId="0" borderId="15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right" vertical="center" wrapText="1"/>
    </xf>
    <xf numFmtId="43" fontId="4" fillId="0" borderId="15" xfId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7" fillId="0" borderId="15" xfId="1" applyNumberFormat="1" applyFont="1" applyFill="1" applyBorder="1" applyAlignment="1">
      <alignment horizontal="right" vertical="center" wrapText="1"/>
    </xf>
    <xf numFmtId="0" fontId="11" fillId="0" borderId="15" xfId="1" applyNumberFormat="1" applyFont="1" applyFill="1" applyBorder="1" applyAlignment="1">
      <alignment horizontal="center" vertical="center" wrapText="1"/>
    </xf>
    <xf numFmtId="43" fontId="7" fillId="0" borderId="15" xfId="1" applyFont="1" applyFill="1" applyBorder="1" applyAlignment="1">
      <alignment horizontal="right" vertical="center" wrapText="1"/>
    </xf>
    <xf numFmtId="43" fontId="7" fillId="2" borderId="15" xfId="0" applyNumberFormat="1" applyFont="1" applyFill="1" applyBorder="1" applyAlignment="1">
      <alignment horizontal="right" wrapText="1"/>
    </xf>
    <xf numFmtId="0" fontId="5" fillId="2" borderId="9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43" fontId="7" fillId="2" borderId="4" xfId="0" applyNumberFormat="1" applyFont="1" applyFill="1" applyBorder="1" applyAlignment="1">
      <alignment horizontal="right" wrapText="1"/>
    </xf>
    <xf numFmtId="0" fontId="5" fillId="2" borderId="10" xfId="1" applyNumberFormat="1" applyFont="1" applyFill="1" applyBorder="1" applyAlignment="1">
      <alignment horizontal="center" vertical="center" wrapText="1"/>
    </xf>
    <xf numFmtId="43" fontId="11" fillId="0" borderId="15" xfId="1" applyFont="1" applyFill="1" applyBorder="1" applyAlignment="1">
      <alignment horizontal="right" vertical="center" wrapText="1"/>
    </xf>
    <xf numFmtId="2" fontId="11" fillId="0" borderId="15" xfId="1" applyNumberFormat="1" applyFont="1" applyFill="1" applyBorder="1" applyAlignment="1">
      <alignment horizontal="right" vertical="center" wrapText="1"/>
    </xf>
    <xf numFmtId="14" fontId="7" fillId="0" borderId="15" xfId="1" applyNumberFormat="1" applyFont="1" applyFill="1" applyBorder="1" applyAlignment="1">
      <alignment horizontal="center" vertical="center" wrapText="1"/>
    </xf>
    <xf numFmtId="43" fontId="7" fillId="0" borderId="0" xfId="1" applyFont="1" applyFill="1" applyAlignment="1">
      <alignment horizontal="center" vertical="center" wrapText="1"/>
    </xf>
    <xf numFmtId="43" fontId="5" fillId="2" borderId="15" xfId="1" applyFont="1" applyFill="1" applyBorder="1" applyAlignment="1">
      <alignment vertical="center" wrapText="1"/>
    </xf>
    <xf numFmtId="43" fontId="5" fillId="2" borderId="15" xfId="1" applyFont="1" applyFill="1" applyBorder="1" applyAlignment="1">
      <alignment horizontal="right" vertical="center" wrapText="1"/>
    </xf>
    <xf numFmtId="2" fontId="5" fillId="2" borderId="15" xfId="1" applyNumberFormat="1" applyFont="1" applyFill="1" applyBorder="1" applyAlignment="1">
      <alignment horizontal="right" vertical="center" wrapText="1"/>
    </xf>
    <xf numFmtId="43" fontId="5" fillId="2" borderId="32" xfId="1" applyFont="1" applyFill="1" applyBorder="1" applyAlignment="1">
      <alignment horizontal="center" vertical="center" wrapText="1"/>
    </xf>
    <xf numFmtId="43" fontId="5" fillId="2" borderId="33" xfId="1" applyFont="1" applyFill="1" applyBorder="1" applyAlignment="1">
      <alignment horizontal="center" vertical="center" wrapText="1"/>
    </xf>
    <xf numFmtId="2" fontId="5" fillId="2" borderId="33" xfId="1" applyNumberFormat="1" applyFont="1" applyFill="1" applyBorder="1" applyAlignment="1">
      <alignment horizontal="center" vertical="center" wrapText="1"/>
    </xf>
    <xf numFmtId="43" fontId="5" fillId="2" borderId="34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vertical="center" wrapText="1"/>
    </xf>
    <xf numFmtId="2" fontId="5" fillId="2" borderId="7" xfId="1" applyNumberFormat="1" applyFont="1" applyFill="1" applyBorder="1" applyAlignment="1">
      <alignment horizontal="right" vertical="center" wrapText="1"/>
    </xf>
    <xf numFmtId="0" fontId="5" fillId="2" borderId="0" xfId="1" applyNumberFormat="1" applyFont="1" applyFill="1" applyBorder="1" applyAlignment="1">
      <alignment horizontal="center" vertical="center" wrapText="1"/>
    </xf>
    <xf numFmtId="43" fontId="7" fillId="2" borderId="0" xfId="1" applyFont="1" applyFill="1" applyBorder="1" applyAlignment="1">
      <alignment horizontal="right" vertical="center" wrapText="1"/>
    </xf>
    <xf numFmtId="2" fontId="7" fillId="2" borderId="0" xfId="1" applyNumberFormat="1" applyFont="1" applyFill="1" applyBorder="1" applyAlignment="1">
      <alignment horizontal="right" vertical="center" wrapText="1"/>
    </xf>
    <xf numFmtId="43" fontId="7" fillId="2" borderId="0" xfId="1" applyFont="1" applyFill="1" applyBorder="1" applyAlignment="1">
      <alignment horizontal="left" vertical="center" wrapText="1"/>
    </xf>
    <xf numFmtId="43" fontId="7" fillId="2" borderId="0" xfId="0" applyNumberFormat="1" applyFont="1" applyFill="1" applyBorder="1" applyAlignment="1">
      <alignment horizontal="right" wrapText="1"/>
    </xf>
    <xf numFmtId="2" fontId="5" fillId="2" borderId="0" xfId="1" applyNumberFormat="1" applyFont="1" applyFill="1" applyBorder="1" applyAlignment="1">
      <alignment horizontal="right" vertical="center" wrapText="1"/>
    </xf>
    <xf numFmtId="43" fontId="5" fillId="2" borderId="0" xfId="1" applyFont="1" applyFill="1" applyBorder="1" applyAlignment="1">
      <alignment vertical="center" wrapText="1"/>
    </xf>
    <xf numFmtId="43" fontId="5" fillId="2" borderId="0" xfId="1" applyFont="1" applyFill="1" applyBorder="1" applyAlignment="1">
      <alignment horizontal="right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right" vertical="center" wrapText="1"/>
    </xf>
    <xf numFmtId="43" fontId="7" fillId="2" borderId="8" xfId="1" applyFont="1" applyFill="1" applyBorder="1" applyAlignment="1">
      <alignment horizontal="right" vertical="center" wrapText="1"/>
    </xf>
    <xf numFmtId="43" fontId="7" fillId="2" borderId="7" xfId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right" wrapText="1"/>
    </xf>
    <xf numFmtId="2" fontId="7" fillId="2" borderId="15" xfId="1" applyNumberFormat="1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164" fontId="13" fillId="2" borderId="6" xfId="1" applyNumberFormat="1" applyFont="1" applyFill="1" applyBorder="1" applyAlignment="1" applyProtection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9" fontId="5" fillId="2" borderId="5" xfId="1" applyNumberFormat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right" vertical="center" wrapText="1"/>
    </xf>
    <xf numFmtId="43" fontId="5" fillId="2" borderId="8" xfId="1" applyFont="1" applyFill="1" applyBorder="1" applyAlignment="1">
      <alignment vertical="center" wrapText="1"/>
    </xf>
    <xf numFmtId="0" fontId="5" fillId="2" borderId="15" xfId="1" applyNumberFormat="1" applyFont="1" applyFill="1" applyBorder="1" applyAlignment="1">
      <alignment vertical="center" wrapText="1"/>
    </xf>
    <xf numFmtId="43" fontId="5" fillId="2" borderId="0" xfId="1" applyFont="1" applyFill="1" applyAlignment="1">
      <alignment horizontal="center" vertical="center" wrapText="1"/>
    </xf>
    <xf numFmtId="43" fontId="5" fillId="2" borderId="0" xfId="1" applyFont="1" applyFill="1" applyAlignment="1">
      <alignment horizontal="right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2" borderId="37" xfId="1" applyFont="1" applyFill="1" applyBorder="1" applyAlignment="1">
      <alignment horizontal="left" vertical="center" wrapText="1"/>
    </xf>
    <xf numFmtId="43" fontId="11" fillId="0" borderId="15" xfId="1" applyFont="1" applyFill="1" applyBorder="1" applyAlignment="1">
      <alignment horizontal="center" vertical="center" wrapText="1"/>
    </xf>
    <xf numFmtId="43" fontId="5" fillId="0" borderId="15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left" vertical="center" wrapText="1"/>
    </xf>
    <xf numFmtId="43" fontId="11" fillId="2" borderId="15" xfId="1" applyFont="1" applyFill="1" applyBorder="1" applyAlignment="1">
      <alignment horizontal="center" vertical="center" wrapText="1"/>
    </xf>
    <xf numFmtId="43" fontId="5" fillId="2" borderId="15" xfId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left" vertical="center" wrapText="1"/>
    </xf>
    <xf numFmtId="43" fontId="7" fillId="2" borderId="15" xfId="1" applyFont="1" applyFill="1" applyBorder="1" applyAlignment="1">
      <alignment horizontal="left" vertical="center" wrapText="1"/>
    </xf>
    <xf numFmtId="43" fontId="5" fillId="2" borderId="23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7" fillId="2" borderId="16" xfId="1" applyFont="1" applyFill="1" applyBorder="1" applyAlignment="1">
      <alignment horizontal="left" vertical="center" wrapText="1"/>
    </xf>
    <xf numFmtId="43" fontId="7" fillId="2" borderId="12" xfId="1" applyFont="1" applyFill="1" applyBorder="1" applyAlignment="1">
      <alignment horizontal="left" vertical="center" wrapText="1"/>
    </xf>
    <xf numFmtId="43" fontId="5" fillId="2" borderId="36" xfId="1" applyFont="1" applyFill="1" applyBorder="1" applyAlignment="1">
      <alignment horizontal="center" vertical="center" wrapText="1"/>
    </xf>
    <xf numFmtId="2" fontId="7" fillId="0" borderId="15" xfId="1" applyNumberFormat="1" applyFont="1" applyFill="1" applyBorder="1" applyAlignment="1">
      <alignment vertical="center" wrapText="1"/>
    </xf>
    <xf numFmtId="43" fontId="4" fillId="2" borderId="15" xfId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43" fontId="11" fillId="0" borderId="15" xfId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3" fillId="0" borderId="20" xfId="1" applyFont="1" applyFill="1" applyBorder="1" applyAlignment="1">
      <alignment horizontal="center" vertical="center" wrapText="1"/>
    </xf>
    <xf numFmtId="43" fontId="5" fillId="0" borderId="15" xfId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2" fillId="0" borderId="15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left" vertical="center" wrapText="1"/>
    </xf>
    <xf numFmtId="43" fontId="5" fillId="0" borderId="17" xfId="1" applyFont="1" applyFill="1" applyBorder="1" applyAlignment="1">
      <alignment horizontal="center" vertical="center" wrapText="1"/>
    </xf>
    <xf numFmtId="43" fontId="5" fillId="0" borderId="16" xfId="1" applyFont="1" applyFill="1" applyBorder="1" applyAlignment="1">
      <alignment horizontal="center" vertical="center" wrapText="1"/>
    </xf>
    <xf numFmtId="43" fontId="8" fillId="2" borderId="24" xfId="1" applyFont="1" applyFill="1" applyBorder="1" applyAlignment="1">
      <alignment horizontal="center" vertical="center" wrapText="1"/>
    </xf>
    <xf numFmtId="43" fontId="8" fillId="2" borderId="25" xfId="1" applyFont="1" applyFill="1" applyBorder="1" applyAlignment="1">
      <alignment horizontal="center" vertical="center" wrapText="1"/>
    </xf>
    <xf numFmtId="43" fontId="8" fillId="2" borderId="26" xfId="1" applyFont="1" applyFill="1" applyBorder="1" applyAlignment="1">
      <alignment horizontal="center" vertical="center" wrapText="1"/>
    </xf>
    <xf numFmtId="43" fontId="11" fillId="0" borderId="15" xfId="1" applyFont="1" applyFill="1" applyBorder="1" applyAlignment="1">
      <alignment horizontal="center" vertical="top" wrapText="1"/>
    </xf>
    <xf numFmtId="43" fontId="11" fillId="2" borderId="15" xfId="1" applyFont="1" applyFill="1" applyBorder="1" applyAlignment="1">
      <alignment horizontal="center" vertical="center" wrapText="1"/>
    </xf>
    <xf numFmtId="0" fontId="17" fillId="2" borderId="30" xfId="1" applyNumberFormat="1" applyFont="1" applyFill="1" applyBorder="1" applyAlignment="1">
      <alignment horizontal="center" vertical="center" wrapText="1"/>
    </xf>
    <xf numFmtId="43" fontId="5" fillId="2" borderId="15" xfId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left" vertical="center" wrapText="1"/>
    </xf>
    <xf numFmtId="43" fontId="5" fillId="2" borderId="22" xfId="1" applyFont="1" applyFill="1" applyBorder="1" applyAlignment="1">
      <alignment horizontal="left" vertical="center" wrapText="1"/>
    </xf>
    <xf numFmtId="43" fontId="7" fillId="2" borderId="9" xfId="1" applyFont="1" applyFill="1" applyBorder="1" applyAlignment="1">
      <alignment horizontal="left" vertical="center" wrapText="1"/>
    </xf>
    <xf numFmtId="43" fontId="7" fillId="2" borderId="5" xfId="1" applyFont="1" applyFill="1" applyBorder="1" applyAlignment="1">
      <alignment horizontal="left" vertical="center" wrapText="1"/>
    </xf>
    <xf numFmtId="43" fontId="7" fillId="2" borderId="29" xfId="1" applyFont="1" applyFill="1" applyBorder="1" applyAlignment="1">
      <alignment horizontal="left" vertical="center" wrapText="1"/>
    </xf>
    <xf numFmtId="43" fontId="7" fillId="2" borderId="3" xfId="1" applyFont="1" applyFill="1" applyBorder="1" applyAlignment="1">
      <alignment horizontal="left" vertical="center" wrapText="1"/>
    </xf>
    <xf numFmtId="43" fontId="7" fillId="2" borderId="15" xfId="1" applyFont="1" applyFill="1" applyBorder="1" applyAlignment="1">
      <alignment horizontal="left" vertical="center" wrapText="1"/>
    </xf>
    <xf numFmtId="43" fontId="7" fillId="2" borderId="17" xfId="1" applyFont="1" applyFill="1" applyBorder="1" applyAlignment="1">
      <alignment horizontal="left" vertical="center" wrapText="1"/>
    </xf>
    <xf numFmtId="43" fontId="5" fillId="2" borderId="27" xfId="1" applyFont="1" applyFill="1" applyBorder="1" applyAlignment="1">
      <alignment horizontal="center" vertical="center" wrapText="1"/>
    </xf>
    <xf numFmtId="43" fontId="5" fillId="2" borderId="23" xfId="1" applyFont="1" applyFill="1" applyBorder="1" applyAlignment="1">
      <alignment horizontal="center" vertical="center" wrapText="1"/>
    </xf>
    <xf numFmtId="43" fontId="5" fillId="2" borderId="28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7" fillId="2" borderId="31" xfId="1" applyFont="1" applyFill="1" applyBorder="1" applyAlignment="1">
      <alignment horizontal="left" vertical="center" wrapText="1"/>
    </xf>
    <xf numFmtId="43" fontId="7" fillId="2" borderId="16" xfId="1" applyFont="1" applyFill="1" applyBorder="1" applyAlignment="1">
      <alignment horizontal="left" vertical="center" wrapText="1"/>
    </xf>
    <xf numFmtId="43" fontId="7" fillId="2" borderId="12" xfId="1" applyFont="1" applyFill="1" applyBorder="1" applyAlignment="1">
      <alignment horizontal="left" vertical="center" wrapText="1"/>
    </xf>
    <xf numFmtId="43" fontId="5" fillId="2" borderId="35" xfId="1" applyFont="1" applyFill="1" applyBorder="1" applyAlignment="1">
      <alignment horizontal="center" vertical="center" wrapText="1"/>
    </xf>
    <xf numFmtId="43" fontId="5" fillId="2" borderId="36" xfId="1" applyFont="1" applyFill="1" applyBorder="1" applyAlignment="1">
      <alignment horizontal="center" vertical="center" wrapText="1"/>
    </xf>
    <xf numFmtId="43" fontId="5" fillId="0" borderId="12" xfId="1" applyFont="1" applyFill="1" applyBorder="1" applyAlignment="1">
      <alignment horizontal="center" vertical="center" wrapText="1"/>
    </xf>
    <xf numFmtId="43" fontId="5" fillId="2" borderId="17" xfId="1" applyFont="1" applyFill="1" applyBorder="1" applyAlignment="1">
      <alignment horizontal="center" vertical="center" wrapText="1"/>
    </xf>
    <xf numFmtId="43" fontId="5" fillId="2" borderId="12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Distributivo Sueldos ocasionales  P' Presupuesto del 2008" xfId="2"/>
  </cellStyles>
  <dxfs count="0"/>
  <tableStyles count="0" defaultTableStyle="TableStyleMedium2" defaultPivotStyle="PivotStyleLight16"/>
  <colors>
    <mruColors>
      <color rgb="FF04E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opLeftCell="C1" workbookViewId="0">
      <selection activeCell="H5" sqref="H5"/>
    </sheetView>
  </sheetViews>
  <sheetFormatPr baseColWidth="10" defaultRowHeight="15" x14ac:dyDescent="0.25"/>
  <cols>
    <col min="1" max="1" width="4.7109375" customWidth="1"/>
    <col min="2" max="2" width="33.140625" style="38" customWidth="1"/>
    <col min="4" max="4" width="7.7109375" customWidth="1"/>
    <col min="5" max="5" width="10.85546875" customWidth="1"/>
    <col min="6" max="6" width="8.28515625" customWidth="1"/>
    <col min="7" max="7" width="13.140625" style="1" customWidth="1"/>
    <col min="8" max="8" width="8.42578125" customWidth="1"/>
    <col min="9" max="9" width="9.28515625" customWidth="1"/>
    <col min="10" max="10" width="10.28515625" customWidth="1"/>
    <col min="11" max="13" width="10" customWidth="1"/>
    <col min="14" max="14" width="9.5703125" customWidth="1"/>
  </cols>
  <sheetData>
    <row r="1" spans="1:17" x14ac:dyDescent="0.25">
      <c r="A1" s="123" t="s">
        <v>73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x14ac:dyDescent="0.25">
      <c r="A2" s="124" t="s">
        <v>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81" x14ac:dyDescent="0.25">
      <c r="A3" s="16" t="s">
        <v>75</v>
      </c>
      <c r="B3" s="17" t="s">
        <v>76</v>
      </c>
      <c r="C3" s="125" t="s">
        <v>77</v>
      </c>
      <c r="D3" s="125"/>
      <c r="E3" s="14" t="s">
        <v>78</v>
      </c>
      <c r="F3" s="18" t="s">
        <v>79</v>
      </c>
      <c r="G3" s="19" t="s">
        <v>80</v>
      </c>
      <c r="H3" s="18" t="s">
        <v>81</v>
      </c>
      <c r="I3" s="18" t="s">
        <v>82</v>
      </c>
      <c r="J3" s="20" t="s">
        <v>83</v>
      </c>
      <c r="K3" s="20" t="s">
        <v>84</v>
      </c>
      <c r="L3" s="20" t="s">
        <v>85</v>
      </c>
      <c r="M3" s="21" t="s">
        <v>86</v>
      </c>
      <c r="N3" s="22" t="s">
        <v>87</v>
      </c>
      <c r="O3" s="22" t="s">
        <v>88</v>
      </c>
      <c r="P3" s="22" t="s">
        <v>89</v>
      </c>
      <c r="Q3" s="23" t="s">
        <v>90</v>
      </c>
    </row>
    <row r="4" spans="1:17" ht="33.75" x14ac:dyDescent="0.25">
      <c r="A4" s="24">
        <v>1</v>
      </c>
      <c r="B4" s="25" t="s">
        <v>91</v>
      </c>
      <c r="C4" s="26" t="s">
        <v>92</v>
      </c>
      <c r="D4" s="27" t="s">
        <v>19</v>
      </c>
      <c r="E4" s="28">
        <v>581</v>
      </c>
      <c r="F4" s="29">
        <v>22</v>
      </c>
      <c r="G4" s="26" t="s">
        <v>21</v>
      </c>
      <c r="H4" s="26">
        <v>12</v>
      </c>
      <c r="I4" s="26">
        <f>H4*F4</f>
        <v>264</v>
      </c>
      <c r="J4" s="30">
        <v>581</v>
      </c>
      <c r="K4" s="31">
        <v>366</v>
      </c>
      <c r="L4" s="32">
        <f>J4*0.25%*7*H4</f>
        <v>122.01</v>
      </c>
      <c r="M4" s="33">
        <v>4</v>
      </c>
      <c r="N4" s="30">
        <f>K4*1%*M4*H4</f>
        <v>175.68</v>
      </c>
      <c r="O4" s="30">
        <f>4*I4</f>
        <v>1056</v>
      </c>
      <c r="P4" s="30">
        <f>0.5*I4</f>
        <v>132</v>
      </c>
      <c r="Q4" s="32">
        <f>P4+O4+N4+L4</f>
        <v>1485.69</v>
      </c>
    </row>
    <row r="5" spans="1:17" ht="36" x14ac:dyDescent="0.25">
      <c r="A5" s="24">
        <v>2</v>
      </c>
      <c r="B5" s="25" t="s">
        <v>93</v>
      </c>
      <c r="C5" s="27" t="s">
        <v>18</v>
      </c>
      <c r="D5" s="27" t="s">
        <v>19</v>
      </c>
      <c r="E5" s="28">
        <v>615</v>
      </c>
      <c r="F5" s="34">
        <v>22</v>
      </c>
      <c r="G5" s="26" t="s">
        <v>94</v>
      </c>
      <c r="H5" s="26">
        <v>12</v>
      </c>
      <c r="I5" s="26">
        <f t="shared" ref="I5:I9" si="0">H5*F5</f>
        <v>264</v>
      </c>
      <c r="J5" s="30">
        <v>615</v>
      </c>
      <c r="K5" s="31">
        <v>366</v>
      </c>
      <c r="L5" s="32">
        <f t="shared" ref="L5" si="1">J5*0.25%*7*H5</f>
        <v>129.15</v>
      </c>
      <c r="M5" s="33">
        <v>0</v>
      </c>
      <c r="N5" s="30">
        <f t="shared" ref="N5:N9" si="2">K5*1%*M5*H5</f>
        <v>0</v>
      </c>
      <c r="O5" s="30">
        <f t="shared" ref="O5:O9" si="3">4*I5</f>
        <v>1056</v>
      </c>
      <c r="P5" s="30">
        <f t="shared" ref="P5:P9" si="4">0.5*I5</f>
        <v>132</v>
      </c>
      <c r="Q5" s="32">
        <f t="shared" ref="Q5:Q9" si="5">P5+O5+N5+L5</f>
        <v>1317.15</v>
      </c>
    </row>
    <row r="6" spans="1:17" ht="36" x14ac:dyDescent="0.25">
      <c r="A6" s="26">
        <v>3</v>
      </c>
      <c r="B6" s="25" t="s">
        <v>95</v>
      </c>
      <c r="C6" s="27" t="s">
        <v>18</v>
      </c>
      <c r="D6" s="27" t="s">
        <v>19</v>
      </c>
      <c r="E6" s="28">
        <v>598</v>
      </c>
      <c r="F6" s="34">
        <v>22</v>
      </c>
      <c r="G6" s="26" t="s">
        <v>94</v>
      </c>
      <c r="H6" s="26">
        <v>12</v>
      </c>
      <c r="I6" s="26">
        <f t="shared" si="0"/>
        <v>264</v>
      </c>
      <c r="J6" s="30">
        <v>598</v>
      </c>
      <c r="K6" s="31">
        <v>366</v>
      </c>
      <c r="L6" s="32">
        <f>J6*0.25%*4*H6</f>
        <v>71.760000000000005</v>
      </c>
      <c r="M6" s="33">
        <v>0</v>
      </c>
      <c r="N6" s="30">
        <f t="shared" si="2"/>
        <v>0</v>
      </c>
      <c r="O6" s="30">
        <f t="shared" si="3"/>
        <v>1056</v>
      </c>
      <c r="P6" s="30">
        <f t="shared" si="4"/>
        <v>132</v>
      </c>
      <c r="Q6" s="32">
        <f t="shared" si="5"/>
        <v>1259.76</v>
      </c>
    </row>
    <row r="7" spans="1:17" ht="36" x14ac:dyDescent="0.25">
      <c r="A7" s="26">
        <v>4</v>
      </c>
      <c r="B7" s="25" t="s">
        <v>96</v>
      </c>
      <c r="C7" s="27" t="s">
        <v>18</v>
      </c>
      <c r="D7" s="27" t="s">
        <v>19</v>
      </c>
      <c r="E7" s="28">
        <v>598</v>
      </c>
      <c r="F7" s="34">
        <v>22</v>
      </c>
      <c r="G7" s="26" t="s">
        <v>94</v>
      </c>
      <c r="H7" s="26">
        <v>12</v>
      </c>
      <c r="I7" s="26">
        <f t="shared" si="0"/>
        <v>264</v>
      </c>
      <c r="J7" s="30">
        <v>598</v>
      </c>
      <c r="K7" s="31">
        <v>366</v>
      </c>
      <c r="L7" s="32">
        <f t="shared" ref="L7:L9" si="6">J7*0.25%*4*H7</f>
        <v>71.760000000000005</v>
      </c>
      <c r="M7" s="33">
        <v>1</v>
      </c>
      <c r="N7" s="30">
        <f t="shared" si="2"/>
        <v>43.92</v>
      </c>
      <c r="O7" s="30">
        <f t="shared" si="3"/>
        <v>1056</v>
      </c>
      <c r="P7" s="30">
        <f t="shared" si="4"/>
        <v>132</v>
      </c>
      <c r="Q7" s="32">
        <f t="shared" si="5"/>
        <v>1303.68</v>
      </c>
    </row>
    <row r="8" spans="1:17" ht="33.75" x14ac:dyDescent="0.25">
      <c r="A8" s="26">
        <v>5</v>
      </c>
      <c r="B8" s="25" t="s">
        <v>97</v>
      </c>
      <c r="C8" s="27" t="s">
        <v>20</v>
      </c>
      <c r="D8" s="27" t="s">
        <v>19</v>
      </c>
      <c r="E8" s="28">
        <v>598</v>
      </c>
      <c r="F8" s="34">
        <v>22</v>
      </c>
      <c r="G8" s="26" t="s">
        <v>94</v>
      </c>
      <c r="H8" s="26">
        <v>12</v>
      </c>
      <c r="I8" s="26">
        <f t="shared" si="0"/>
        <v>264</v>
      </c>
      <c r="J8" s="30">
        <v>598</v>
      </c>
      <c r="K8" s="31">
        <v>366</v>
      </c>
      <c r="L8" s="32">
        <f t="shared" si="6"/>
        <v>71.760000000000005</v>
      </c>
      <c r="M8" s="33">
        <v>2</v>
      </c>
      <c r="N8" s="30">
        <f t="shared" si="2"/>
        <v>87.84</v>
      </c>
      <c r="O8" s="30">
        <f t="shared" si="3"/>
        <v>1056</v>
      </c>
      <c r="P8" s="30">
        <f t="shared" si="4"/>
        <v>132</v>
      </c>
      <c r="Q8" s="32">
        <f t="shared" si="5"/>
        <v>1347.6</v>
      </c>
    </row>
    <row r="9" spans="1:17" ht="33.75" x14ac:dyDescent="0.25">
      <c r="A9" s="26">
        <v>6</v>
      </c>
      <c r="B9" s="25" t="s">
        <v>98</v>
      </c>
      <c r="C9" s="27" t="s">
        <v>20</v>
      </c>
      <c r="D9" s="27" t="s">
        <v>19</v>
      </c>
      <c r="E9" s="28">
        <v>598</v>
      </c>
      <c r="F9" s="34">
        <v>22</v>
      </c>
      <c r="G9" s="26" t="s">
        <v>94</v>
      </c>
      <c r="H9" s="26">
        <v>12</v>
      </c>
      <c r="I9" s="26">
        <f t="shared" si="0"/>
        <v>264</v>
      </c>
      <c r="J9" s="30">
        <v>598</v>
      </c>
      <c r="K9" s="31">
        <v>366</v>
      </c>
      <c r="L9" s="32">
        <f t="shared" si="6"/>
        <v>71.760000000000005</v>
      </c>
      <c r="M9" s="33">
        <v>1</v>
      </c>
      <c r="N9" s="30">
        <f t="shared" si="2"/>
        <v>43.92</v>
      </c>
      <c r="O9" s="30">
        <f t="shared" si="3"/>
        <v>1056</v>
      </c>
      <c r="P9" s="30">
        <f t="shared" si="4"/>
        <v>132</v>
      </c>
      <c r="Q9" s="32">
        <f t="shared" si="5"/>
        <v>1303.68</v>
      </c>
    </row>
    <row r="10" spans="1:17" x14ac:dyDescent="0.25">
      <c r="A10" s="35">
        <v>6</v>
      </c>
      <c r="B10" s="126" t="s">
        <v>0</v>
      </c>
      <c r="C10" s="127"/>
      <c r="D10" s="127"/>
      <c r="E10" s="127"/>
      <c r="F10" s="127"/>
      <c r="G10" s="127"/>
      <c r="H10" s="127"/>
      <c r="I10" s="127"/>
      <c r="J10" s="127"/>
      <c r="K10" s="128"/>
      <c r="L10" s="36">
        <f>SUM(L4:L9)</f>
        <v>538.20000000000005</v>
      </c>
      <c r="M10" s="37"/>
      <c r="N10" s="37">
        <f>SUM(N4:N9)</f>
        <v>351.36000000000007</v>
      </c>
      <c r="O10" s="37">
        <f>SUM(O4:O9)</f>
        <v>6336</v>
      </c>
      <c r="P10" s="37">
        <f>SUM(P4:P9)</f>
        <v>792</v>
      </c>
      <c r="Q10" s="37">
        <f>SUM(Q4:Q9)</f>
        <v>8017.5600000000013</v>
      </c>
    </row>
  </sheetData>
  <mergeCells count="4">
    <mergeCell ref="A1:Q1"/>
    <mergeCell ref="A2:Q2"/>
    <mergeCell ref="C3:D3"/>
    <mergeCell ref="B10:K10"/>
  </mergeCells>
  <pageMargins left="0.7" right="0.7" top="0.75" bottom="0.75" header="0.3" footer="0.3"/>
  <pageSetup paperSize="256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1"/>
  <sheetViews>
    <sheetView tabSelected="1" workbookViewId="0">
      <selection activeCell="C98" sqref="C98"/>
    </sheetView>
  </sheetViews>
  <sheetFormatPr baseColWidth="10" defaultRowHeight="15" x14ac:dyDescent="0.25"/>
  <cols>
    <col min="1" max="1" width="6" style="4" customWidth="1"/>
    <col min="2" max="2" width="30.85546875" style="5" customWidth="1"/>
    <col min="3" max="3" width="21.7109375" style="5" customWidth="1"/>
    <col min="4" max="5" width="15.7109375" style="5" customWidth="1"/>
    <col min="6" max="6" width="13.5703125" style="5" customWidth="1"/>
    <col min="7" max="8" width="10.42578125" style="67" customWidth="1"/>
    <col min="9" max="9" width="8" style="5" customWidth="1"/>
    <col min="10" max="10" width="11.42578125" style="6" customWidth="1"/>
    <col min="11" max="11" width="11.5703125" style="5" customWidth="1"/>
    <col min="12" max="12" width="10.5703125" style="5" customWidth="1"/>
    <col min="13" max="13" width="11.28515625" style="7" customWidth="1"/>
    <col min="14" max="14" width="11.85546875" style="5" customWidth="1"/>
    <col min="15" max="15" width="11.5703125" style="5" customWidth="1"/>
    <col min="16" max="16" width="11.42578125" style="5" customWidth="1"/>
    <col min="17" max="17" width="12.28515625" style="5" customWidth="1"/>
  </cols>
  <sheetData>
    <row r="1" spans="1:17" ht="15.75" x14ac:dyDescent="0.25">
      <c r="A1" s="130" t="s">
        <v>193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5.75" x14ac:dyDescent="0.25">
      <c r="A2" s="131" t="s">
        <v>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ht="15.75" x14ac:dyDescent="0.25">
      <c r="A3" s="132" t="s">
        <v>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72" x14ac:dyDescent="0.25">
      <c r="A4" s="44" t="s">
        <v>5</v>
      </c>
      <c r="B4" s="112" t="s">
        <v>6</v>
      </c>
      <c r="C4" s="133" t="s">
        <v>7</v>
      </c>
      <c r="D4" s="133"/>
      <c r="E4" s="133"/>
      <c r="F4" s="133"/>
      <c r="G4" s="109" t="s">
        <v>8</v>
      </c>
      <c r="H4" s="137" t="s">
        <v>9</v>
      </c>
      <c r="I4" s="164"/>
      <c r="J4" s="109" t="s">
        <v>100</v>
      </c>
      <c r="K4" s="109" t="s">
        <v>10</v>
      </c>
      <c r="L4" s="109" t="s">
        <v>11</v>
      </c>
      <c r="M4" s="45" t="s">
        <v>12</v>
      </c>
      <c r="N4" s="109" t="s">
        <v>13</v>
      </c>
      <c r="O4" s="109" t="s">
        <v>14</v>
      </c>
      <c r="P4" s="109" t="s">
        <v>15</v>
      </c>
      <c r="Q4" s="109" t="s">
        <v>16</v>
      </c>
    </row>
    <row r="5" spans="1:17" x14ac:dyDescent="0.25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x14ac:dyDescent="0.25">
      <c r="A6" s="46">
        <v>1</v>
      </c>
      <c r="B6" s="28" t="s">
        <v>22</v>
      </c>
      <c r="C6" s="47" t="s">
        <v>23</v>
      </c>
      <c r="D6" s="47" t="s">
        <v>21</v>
      </c>
      <c r="E6" s="47" t="s">
        <v>188</v>
      </c>
      <c r="F6" s="48" t="s">
        <v>19</v>
      </c>
      <c r="G6" s="47">
        <v>581</v>
      </c>
      <c r="H6" s="47" t="s">
        <v>228</v>
      </c>
      <c r="I6" s="47">
        <v>12</v>
      </c>
      <c r="J6" s="47">
        <f t="shared" ref="J6:J11" si="0">G6*I6</f>
        <v>6972</v>
      </c>
      <c r="K6" s="47">
        <f t="shared" ref="K6:K12" si="1">J6*11.15%</f>
        <v>777.37800000000004</v>
      </c>
      <c r="L6" s="47">
        <f t="shared" ref="L6:L12" si="2">J6*1%</f>
        <v>69.72</v>
      </c>
      <c r="M6" s="49">
        <f t="shared" ref="M6:M12" si="3">+J6*8.33%</f>
        <v>580.76760000000002</v>
      </c>
      <c r="N6" s="47">
        <f t="shared" ref="N6:N12" si="4">+J6/12</f>
        <v>581</v>
      </c>
      <c r="O6" s="49">
        <v>0</v>
      </c>
      <c r="P6" s="47">
        <v>366</v>
      </c>
      <c r="Q6" s="47">
        <f t="shared" ref="Q6:Q11" si="5">SUM(J6:P6)</f>
        <v>9346.8655999999992</v>
      </c>
    </row>
    <row r="7" spans="1:17" ht="36" x14ac:dyDescent="0.25">
      <c r="A7" s="46">
        <v>2</v>
      </c>
      <c r="B7" s="28" t="s">
        <v>98</v>
      </c>
      <c r="C7" s="47" t="s">
        <v>20</v>
      </c>
      <c r="D7" s="47" t="s">
        <v>17</v>
      </c>
      <c r="E7" s="47" t="s">
        <v>187</v>
      </c>
      <c r="F7" s="48" t="s">
        <v>19</v>
      </c>
      <c r="G7" s="47">
        <v>598</v>
      </c>
      <c r="H7" s="47" t="s">
        <v>228</v>
      </c>
      <c r="I7" s="47">
        <v>12</v>
      </c>
      <c r="J7" s="47">
        <f t="shared" si="0"/>
        <v>7176</v>
      </c>
      <c r="K7" s="47">
        <f t="shared" si="1"/>
        <v>800.12400000000002</v>
      </c>
      <c r="L7" s="47">
        <f t="shared" si="2"/>
        <v>71.760000000000005</v>
      </c>
      <c r="M7" s="49">
        <f t="shared" si="3"/>
        <v>597.76080000000002</v>
      </c>
      <c r="N7" s="47">
        <f t="shared" si="4"/>
        <v>598</v>
      </c>
      <c r="O7" s="49">
        <v>0</v>
      </c>
      <c r="P7" s="47">
        <v>366</v>
      </c>
      <c r="Q7" s="47">
        <f t="shared" si="5"/>
        <v>9609.6448</v>
      </c>
    </row>
    <row r="8" spans="1:17" ht="36" x14ac:dyDescent="0.25">
      <c r="A8" s="46">
        <v>3</v>
      </c>
      <c r="B8" s="28" t="s">
        <v>163</v>
      </c>
      <c r="C8" s="47" t="s">
        <v>20</v>
      </c>
      <c r="D8" s="47" t="s">
        <v>17</v>
      </c>
      <c r="E8" s="47" t="s">
        <v>187</v>
      </c>
      <c r="F8" s="48" t="s">
        <v>19</v>
      </c>
      <c r="G8" s="47">
        <v>598</v>
      </c>
      <c r="H8" s="47" t="s">
        <v>228</v>
      </c>
      <c r="I8" s="47">
        <v>12</v>
      </c>
      <c r="J8" s="47">
        <f t="shared" si="0"/>
        <v>7176</v>
      </c>
      <c r="K8" s="47">
        <f t="shared" si="1"/>
        <v>800.12400000000002</v>
      </c>
      <c r="L8" s="47">
        <f t="shared" si="2"/>
        <v>71.760000000000005</v>
      </c>
      <c r="M8" s="49">
        <f t="shared" si="3"/>
        <v>597.76080000000002</v>
      </c>
      <c r="N8" s="47">
        <f t="shared" si="4"/>
        <v>598</v>
      </c>
      <c r="O8" s="49">
        <v>0</v>
      </c>
      <c r="P8" s="47">
        <v>366</v>
      </c>
      <c r="Q8" s="47">
        <f t="shared" si="5"/>
        <v>9609.6448</v>
      </c>
    </row>
    <row r="9" spans="1:17" ht="36" x14ac:dyDescent="0.25">
      <c r="A9" s="46">
        <v>4</v>
      </c>
      <c r="B9" s="28" t="s">
        <v>131</v>
      </c>
      <c r="C9" s="47" t="s">
        <v>18</v>
      </c>
      <c r="D9" s="47" t="s">
        <v>17</v>
      </c>
      <c r="E9" s="47" t="s">
        <v>186</v>
      </c>
      <c r="F9" s="48" t="s">
        <v>19</v>
      </c>
      <c r="G9" s="47">
        <v>598</v>
      </c>
      <c r="H9" s="47" t="s">
        <v>228</v>
      </c>
      <c r="I9" s="47">
        <v>12</v>
      </c>
      <c r="J9" s="47">
        <f t="shared" si="0"/>
        <v>7176</v>
      </c>
      <c r="K9" s="47">
        <f t="shared" si="1"/>
        <v>800.12400000000002</v>
      </c>
      <c r="L9" s="47">
        <f t="shared" si="2"/>
        <v>71.760000000000005</v>
      </c>
      <c r="M9" s="49">
        <f t="shared" si="3"/>
        <v>597.76080000000002</v>
      </c>
      <c r="N9" s="47">
        <f t="shared" si="4"/>
        <v>598</v>
      </c>
      <c r="O9" s="49">
        <v>0</v>
      </c>
      <c r="P9" s="47">
        <v>366</v>
      </c>
      <c r="Q9" s="47">
        <f t="shared" si="5"/>
        <v>9609.6448</v>
      </c>
    </row>
    <row r="10" spans="1:17" ht="36" x14ac:dyDescent="0.25">
      <c r="A10" s="46">
        <v>5</v>
      </c>
      <c r="B10" s="28" t="s">
        <v>93</v>
      </c>
      <c r="C10" s="47" t="s">
        <v>18</v>
      </c>
      <c r="D10" s="47" t="s">
        <v>17</v>
      </c>
      <c r="E10" s="47" t="s">
        <v>186</v>
      </c>
      <c r="F10" s="48" t="s">
        <v>19</v>
      </c>
      <c r="G10" s="47">
        <v>615</v>
      </c>
      <c r="H10" s="47" t="s">
        <v>228</v>
      </c>
      <c r="I10" s="47">
        <v>12</v>
      </c>
      <c r="J10" s="47">
        <f t="shared" si="0"/>
        <v>7380</v>
      </c>
      <c r="K10" s="47">
        <f t="shared" si="1"/>
        <v>822.87</v>
      </c>
      <c r="L10" s="47">
        <f t="shared" si="2"/>
        <v>73.8</v>
      </c>
      <c r="M10" s="49">
        <f t="shared" si="3"/>
        <v>614.75400000000002</v>
      </c>
      <c r="N10" s="47">
        <f t="shared" si="4"/>
        <v>615</v>
      </c>
      <c r="O10" s="49">
        <v>0</v>
      </c>
      <c r="P10" s="47">
        <v>366</v>
      </c>
      <c r="Q10" s="47">
        <f t="shared" si="5"/>
        <v>9872.4240000000009</v>
      </c>
    </row>
    <row r="11" spans="1:17" ht="36" x14ac:dyDescent="0.25">
      <c r="A11" s="46">
        <v>6</v>
      </c>
      <c r="B11" s="28" t="s">
        <v>132</v>
      </c>
      <c r="C11" s="47" t="s">
        <v>18</v>
      </c>
      <c r="D11" s="47" t="s">
        <v>17</v>
      </c>
      <c r="E11" s="47" t="s">
        <v>186</v>
      </c>
      <c r="F11" s="48" t="s">
        <v>19</v>
      </c>
      <c r="G11" s="47">
        <v>598</v>
      </c>
      <c r="H11" s="47" t="s">
        <v>228</v>
      </c>
      <c r="I11" s="47">
        <v>12</v>
      </c>
      <c r="J11" s="47">
        <f t="shared" si="0"/>
        <v>7176</v>
      </c>
      <c r="K11" s="47">
        <f t="shared" si="1"/>
        <v>800.12400000000002</v>
      </c>
      <c r="L11" s="47">
        <f t="shared" si="2"/>
        <v>71.760000000000005</v>
      </c>
      <c r="M11" s="49">
        <f t="shared" si="3"/>
        <v>597.76080000000002</v>
      </c>
      <c r="N11" s="47">
        <f t="shared" si="4"/>
        <v>598</v>
      </c>
      <c r="O11" s="49">
        <v>0</v>
      </c>
      <c r="P11" s="47">
        <v>366</v>
      </c>
      <c r="Q11" s="47">
        <f t="shared" si="5"/>
        <v>9609.6448</v>
      </c>
    </row>
    <row r="12" spans="1:17" x14ac:dyDescent="0.25">
      <c r="A12" s="57">
        <v>6</v>
      </c>
      <c r="B12" s="129" t="s">
        <v>2</v>
      </c>
      <c r="C12" s="129"/>
      <c r="D12" s="129"/>
      <c r="E12" s="129"/>
      <c r="F12" s="129"/>
      <c r="G12" s="129"/>
      <c r="H12" s="129"/>
      <c r="I12" s="129"/>
      <c r="J12" s="108">
        <f>SUM(J6:J11)</f>
        <v>43056</v>
      </c>
      <c r="K12" s="108">
        <f t="shared" si="1"/>
        <v>4800.7439999999997</v>
      </c>
      <c r="L12" s="108">
        <f t="shared" si="2"/>
        <v>430.56</v>
      </c>
      <c r="M12" s="50">
        <f t="shared" si="3"/>
        <v>3586.5648000000001</v>
      </c>
      <c r="N12" s="108">
        <f t="shared" si="4"/>
        <v>3588</v>
      </c>
      <c r="O12" s="50">
        <f>SUM(O6:O11)</f>
        <v>0</v>
      </c>
      <c r="P12" s="108">
        <f>SUM(P6:P11)</f>
        <v>2196</v>
      </c>
      <c r="Q12" s="108">
        <f>SUM(Q6:Q11)</f>
        <v>57657.868800000004</v>
      </c>
    </row>
    <row r="13" spans="1:17" x14ac:dyDescent="0.25">
      <c r="A13" s="135" t="s">
        <v>68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</row>
    <row r="14" spans="1:17" ht="72" x14ac:dyDescent="0.25">
      <c r="A14" s="44" t="s">
        <v>5</v>
      </c>
      <c r="B14" s="112" t="s">
        <v>6</v>
      </c>
      <c r="C14" s="133" t="s">
        <v>7</v>
      </c>
      <c r="D14" s="133"/>
      <c r="E14" s="133"/>
      <c r="F14" s="133"/>
      <c r="G14" s="109" t="s">
        <v>177</v>
      </c>
      <c r="H14" s="137" t="s">
        <v>9</v>
      </c>
      <c r="I14" s="164"/>
      <c r="J14" s="109" t="s">
        <v>100</v>
      </c>
      <c r="K14" s="109" t="s">
        <v>10</v>
      </c>
      <c r="L14" s="109" t="s">
        <v>26</v>
      </c>
      <c r="M14" s="45" t="s">
        <v>12</v>
      </c>
      <c r="N14" s="109" t="s">
        <v>13</v>
      </c>
      <c r="O14" s="109" t="s">
        <v>14</v>
      </c>
      <c r="P14" s="109" t="s">
        <v>15</v>
      </c>
      <c r="Q14" s="109" t="s">
        <v>218</v>
      </c>
    </row>
    <row r="15" spans="1:17" ht="36" x14ac:dyDescent="0.25">
      <c r="A15" s="46">
        <v>1</v>
      </c>
      <c r="B15" s="28" t="s">
        <v>174</v>
      </c>
      <c r="C15" s="47" t="s">
        <v>175</v>
      </c>
      <c r="D15" s="47" t="s">
        <v>17</v>
      </c>
      <c r="E15" s="47" t="s">
        <v>176</v>
      </c>
      <c r="F15" s="47" t="s">
        <v>187</v>
      </c>
      <c r="G15" s="47">
        <v>596</v>
      </c>
      <c r="H15" s="47" t="s">
        <v>229</v>
      </c>
      <c r="I15" s="47">
        <v>5.43</v>
      </c>
      <c r="J15" s="51">
        <f>I15*G15</f>
        <v>3236.2799999999997</v>
      </c>
      <c r="K15" s="52">
        <f>J15*11.15%</f>
        <v>360.84521999999998</v>
      </c>
      <c r="L15" s="52">
        <f>J15*0.5%</f>
        <v>16.1814</v>
      </c>
      <c r="M15" s="51">
        <f>J15*8.33%</f>
        <v>269.58212399999996</v>
      </c>
      <c r="N15" s="52">
        <f>J15/12</f>
        <v>269.69</v>
      </c>
      <c r="O15" s="52">
        <f>J15/12</f>
        <v>269.69</v>
      </c>
      <c r="P15" s="52">
        <f>366/12*I15</f>
        <v>165.61499999999998</v>
      </c>
      <c r="Q15" s="52">
        <f t="shared" ref="Q15:Q33" si="6">P15+O15+N15+M15+L15+K15+J15</f>
        <v>4587.8837439999998</v>
      </c>
    </row>
    <row r="16" spans="1:17" ht="36" x14ac:dyDescent="0.25">
      <c r="A16" s="46">
        <v>2</v>
      </c>
      <c r="B16" s="28" t="s">
        <v>178</v>
      </c>
      <c r="C16" s="47" t="s">
        <v>175</v>
      </c>
      <c r="D16" s="47" t="s">
        <v>17</v>
      </c>
      <c r="E16" s="47" t="s">
        <v>176</v>
      </c>
      <c r="F16" s="47" t="s">
        <v>187</v>
      </c>
      <c r="G16" s="47">
        <v>596</v>
      </c>
      <c r="H16" s="47" t="s">
        <v>229</v>
      </c>
      <c r="I16" s="47">
        <v>5.43</v>
      </c>
      <c r="J16" s="51">
        <f t="shared" ref="J16:J33" si="7">I16*G16</f>
        <v>3236.2799999999997</v>
      </c>
      <c r="K16" s="52">
        <f t="shared" ref="K16:K33" si="8">J16*11.15%</f>
        <v>360.84521999999998</v>
      </c>
      <c r="L16" s="52">
        <f t="shared" ref="L16:L33" si="9">J16*0.5%</f>
        <v>16.1814</v>
      </c>
      <c r="M16" s="51">
        <f t="shared" ref="M16:M33" si="10">J16*8.33%</f>
        <v>269.58212399999996</v>
      </c>
      <c r="N16" s="52">
        <f t="shared" ref="N16:N33" si="11">J16/12</f>
        <v>269.69</v>
      </c>
      <c r="O16" s="52">
        <f t="shared" ref="O16:O33" si="12">J16/12</f>
        <v>269.69</v>
      </c>
      <c r="P16" s="52">
        <f t="shared" ref="P16:P33" si="13">366/12*I16</f>
        <v>165.61499999999998</v>
      </c>
      <c r="Q16" s="52">
        <f t="shared" si="6"/>
        <v>4587.8837439999998</v>
      </c>
    </row>
    <row r="17" spans="1:17" ht="36" x14ac:dyDescent="0.25">
      <c r="A17" s="46">
        <v>3</v>
      </c>
      <c r="B17" s="28" t="s">
        <v>179</v>
      </c>
      <c r="C17" s="47" t="s">
        <v>175</v>
      </c>
      <c r="D17" s="47" t="s">
        <v>17</v>
      </c>
      <c r="E17" s="47" t="s">
        <v>176</v>
      </c>
      <c r="F17" s="47" t="s">
        <v>187</v>
      </c>
      <c r="G17" s="47">
        <v>596</v>
      </c>
      <c r="H17" s="47" t="s">
        <v>229</v>
      </c>
      <c r="I17" s="47">
        <v>5.43</v>
      </c>
      <c r="J17" s="51">
        <f t="shared" si="7"/>
        <v>3236.2799999999997</v>
      </c>
      <c r="K17" s="52">
        <f t="shared" si="8"/>
        <v>360.84521999999998</v>
      </c>
      <c r="L17" s="52">
        <f t="shared" si="9"/>
        <v>16.1814</v>
      </c>
      <c r="M17" s="51">
        <f t="shared" si="10"/>
        <v>269.58212399999996</v>
      </c>
      <c r="N17" s="52">
        <f t="shared" si="11"/>
        <v>269.69</v>
      </c>
      <c r="O17" s="52">
        <f t="shared" si="12"/>
        <v>269.69</v>
      </c>
      <c r="P17" s="52">
        <f t="shared" si="13"/>
        <v>165.61499999999998</v>
      </c>
      <c r="Q17" s="52">
        <f t="shared" si="6"/>
        <v>4587.8837439999998</v>
      </c>
    </row>
    <row r="18" spans="1:17" ht="36" x14ac:dyDescent="0.25">
      <c r="A18" s="46">
        <v>4</v>
      </c>
      <c r="B18" s="28" t="s">
        <v>151</v>
      </c>
      <c r="C18" s="47" t="s">
        <v>189</v>
      </c>
      <c r="D18" s="47" t="s">
        <v>17</v>
      </c>
      <c r="E18" s="47" t="s">
        <v>220</v>
      </c>
      <c r="F18" s="47" t="s">
        <v>190</v>
      </c>
      <c r="G18" s="47">
        <v>738</v>
      </c>
      <c r="H18" s="47" t="s">
        <v>230</v>
      </c>
      <c r="I18" s="47">
        <v>5.87</v>
      </c>
      <c r="J18" s="51">
        <f t="shared" si="7"/>
        <v>4332.0600000000004</v>
      </c>
      <c r="K18" s="52">
        <f t="shared" si="8"/>
        <v>483.02469000000008</v>
      </c>
      <c r="L18" s="52">
        <f t="shared" si="9"/>
        <v>21.660300000000003</v>
      </c>
      <c r="M18" s="51">
        <f t="shared" si="10"/>
        <v>360.86059800000004</v>
      </c>
      <c r="N18" s="52">
        <f t="shared" si="11"/>
        <v>361.00500000000005</v>
      </c>
      <c r="O18" s="52">
        <f t="shared" si="12"/>
        <v>361.00500000000005</v>
      </c>
      <c r="P18" s="52">
        <f t="shared" si="13"/>
        <v>179.035</v>
      </c>
      <c r="Q18" s="52">
        <f t="shared" si="6"/>
        <v>6098.6505880000004</v>
      </c>
    </row>
    <row r="19" spans="1:17" ht="36" x14ac:dyDescent="0.25">
      <c r="A19" s="46">
        <v>5</v>
      </c>
      <c r="B19" s="28" t="s">
        <v>143</v>
      </c>
      <c r="C19" s="47" t="s">
        <v>144</v>
      </c>
      <c r="D19" s="47" t="s">
        <v>145</v>
      </c>
      <c r="E19" s="47" t="s">
        <v>221</v>
      </c>
      <c r="F19" s="47" t="s">
        <v>191</v>
      </c>
      <c r="G19" s="47">
        <v>561</v>
      </c>
      <c r="H19" s="47" t="s">
        <v>231</v>
      </c>
      <c r="I19" s="47">
        <v>6</v>
      </c>
      <c r="J19" s="51">
        <f t="shared" si="7"/>
        <v>3366</v>
      </c>
      <c r="K19" s="52">
        <f t="shared" si="8"/>
        <v>375.30900000000003</v>
      </c>
      <c r="L19" s="52">
        <f t="shared" si="9"/>
        <v>16.830000000000002</v>
      </c>
      <c r="M19" s="51">
        <f t="shared" si="10"/>
        <v>280.38779999999997</v>
      </c>
      <c r="N19" s="52">
        <f t="shared" si="11"/>
        <v>280.5</v>
      </c>
      <c r="O19" s="52">
        <f t="shared" si="12"/>
        <v>280.5</v>
      </c>
      <c r="P19" s="52">
        <f>366/12*8</f>
        <v>244</v>
      </c>
      <c r="Q19" s="52">
        <f t="shared" si="6"/>
        <v>4843.5267999999996</v>
      </c>
    </row>
    <row r="20" spans="1:17" ht="24" x14ac:dyDescent="0.25">
      <c r="A20" s="46">
        <v>6</v>
      </c>
      <c r="B20" s="28" t="s">
        <v>164</v>
      </c>
      <c r="C20" s="47" t="s">
        <v>24</v>
      </c>
      <c r="D20" s="47" t="s">
        <v>72</v>
      </c>
      <c r="E20" s="47" t="s">
        <v>165</v>
      </c>
      <c r="F20" s="47" t="s">
        <v>191</v>
      </c>
      <c r="G20" s="47">
        <v>561</v>
      </c>
      <c r="H20" s="47" t="s">
        <v>232</v>
      </c>
      <c r="I20" s="47">
        <v>5.37</v>
      </c>
      <c r="J20" s="51">
        <f t="shared" si="7"/>
        <v>3012.57</v>
      </c>
      <c r="K20" s="52">
        <f t="shared" si="8"/>
        <v>335.90155500000003</v>
      </c>
      <c r="L20" s="52">
        <f t="shared" si="9"/>
        <v>15.062850000000001</v>
      </c>
      <c r="M20" s="51">
        <f t="shared" si="10"/>
        <v>250.947081</v>
      </c>
      <c r="N20" s="52">
        <f t="shared" si="11"/>
        <v>251.04750000000001</v>
      </c>
      <c r="O20" s="52">
        <f t="shared" si="12"/>
        <v>251.04750000000001</v>
      </c>
      <c r="P20" s="52">
        <f t="shared" si="13"/>
        <v>163.785</v>
      </c>
      <c r="Q20" s="52">
        <f t="shared" si="6"/>
        <v>4280.3614859999998</v>
      </c>
    </row>
    <row r="21" spans="1:17" ht="60" x14ac:dyDescent="0.25">
      <c r="A21" s="46">
        <v>7</v>
      </c>
      <c r="B21" s="28" t="s">
        <v>180</v>
      </c>
      <c r="C21" s="47" t="s">
        <v>203</v>
      </c>
      <c r="D21" s="47" t="s">
        <v>21</v>
      </c>
      <c r="E21" s="66" t="s">
        <v>251</v>
      </c>
      <c r="F21" s="47" t="s">
        <v>188</v>
      </c>
      <c r="G21" s="47">
        <v>578</v>
      </c>
      <c r="H21" s="47" t="s">
        <v>243</v>
      </c>
      <c r="I21" s="47">
        <v>6.37</v>
      </c>
      <c r="J21" s="51">
        <f t="shared" si="7"/>
        <v>3681.86</v>
      </c>
      <c r="K21" s="52">
        <f t="shared" si="8"/>
        <v>410.52739000000003</v>
      </c>
      <c r="L21" s="52">
        <f t="shared" si="9"/>
        <v>18.409300000000002</v>
      </c>
      <c r="M21" s="51">
        <f t="shared" si="10"/>
        <v>306.698938</v>
      </c>
      <c r="N21" s="52">
        <f t="shared" si="11"/>
        <v>306.82166666666666</v>
      </c>
      <c r="O21" s="52">
        <f t="shared" si="12"/>
        <v>306.82166666666666</v>
      </c>
      <c r="P21" s="52">
        <f t="shared" si="13"/>
        <v>194.285</v>
      </c>
      <c r="Q21" s="52">
        <f t="shared" si="6"/>
        <v>5225.4239613333339</v>
      </c>
    </row>
    <row r="22" spans="1:17" ht="36" x14ac:dyDescent="0.25">
      <c r="A22" s="46">
        <v>8</v>
      </c>
      <c r="B22" s="35" t="s">
        <v>195</v>
      </c>
      <c r="C22" s="47" t="s">
        <v>199</v>
      </c>
      <c r="D22" s="47" t="s">
        <v>21</v>
      </c>
      <c r="E22" s="66" t="s">
        <v>250</v>
      </c>
      <c r="F22" s="47" t="s">
        <v>188</v>
      </c>
      <c r="G22" s="47">
        <v>578</v>
      </c>
      <c r="H22" s="47" t="s">
        <v>241</v>
      </c>
      <c r="I22" s="47">
        <v>6.2</v>
      </c>
      <c r="J22" s="51">
        <f t="shared" si="7"/>
        <v>3583.6</v>
      </c>
      <c r="K22" s="52">
        <f t="shared" si="8"/>
        <v>399.57139999999998</v>
      </c>
      <c r="L22" s="52">
        <f t="shared" si="9"/>
        <v>17.917999999999999</v>
      </c>
      <c r="M22" s="51">
        <f t="shared" si="10"/>
        <v>298.51387999999997</v>
      </c>
      <c r="N22" s="52">
        <f t="shared" si="11"/>
        <v>298.63333333333333</v>
      </c>
      <c r="O22" s="52">
        <f t="shared" si="12"/>
        <v>298.63333333333333</v>
      </c>
      <c r="P22" s="52">
        <f t="shared" si="13"/>
        <v>189.1</v>
      </c>
      <c r="Q22" s="52">
        <f t="shared" si="6"/>
        <v>5085.9699466666661</v>
      </c>
    </row>
    <row r="23" spans="1:17" ht="60" x14ac:dyDescent="0.25">
      <c r="A23" s="46">
        <v>9</v>
      </c>
      <c r="B23" s="28" t="s">
        <v>184</v>
      </c>
      <c r="C23" s="47" t="s">
        <v>202</v>
      </c>
      <c r="D23" s="47" t="s">
        <v>21</v>
      </c>
      <c r="E23" s="66" t="s">
        <v>222</v>
      </c>
      <c r="F23" s="47" t="s">
        <v>188</v>
      </c>
      <c r="G23" s="47">
        <v>578</v>
      </c>
      <c r="H23" s="47" t="s">
        <v>247</v>
      </c>
      <c r="I23" s="47">
        <v>1.57</v>
      </c>
      <c r="J23" s="51">
        <f t="shared" si="7"/>
        <v>907.46</v>
      </c>
      <c r="K23" s="52">
        <f t="shared" si="8"/>
        <v>101.18179000000001</v>
      </c>
      <c r="L23" s="52">
        <f t="shared" si="9"/>
        <v>4.5373000000000001</v>
      </c>
      <c r="M23" s="51">
        <f t="shared" si="10"/>
        <v>75.591418000000004</v>
      </c>
      <c r="N23" s="52">
        <f t="shared" si="11"/>
        <v>75.62166666666667</v>
      </c>
      <c r="O23" s="52">
        <f t="shared" si="12"/>
        <v>75.62166666666667</v>
      </c>
      <c r="P23" s="52">
        <f t="shared" si="13"/>
        <v>47.885000000000005</v>
      </c>
      <c r="Q23" s="52">
        <f t="shared" si="6"/>
        <v>1287.8988413333334</v>
      </c>
    </row>
    <row r="24" spans="1:17" ht="60" x14ac:dyDescent="0.25">
      <c r="A24" s="46">
        <v>10</v>
      </c>
      <c r="B24" s="28" t="s">
        <v>196</v>
      </c>
      <c r="C24" s="47" t="s">
        <v>201</v>
      </c>
      <c r="D24" s="47" t="s">
        <v>21</v>
      </c>
      <c r="E24" s="66" t="s">
        <v>250</v>
      </c>
      <c r="F24" s="47" t="s">
        <v>188</v>
      </c>
      <c r="G24" s="47">
        <v>578</v>
      </c>
      <c r="H24" s="47" t="s">
        <v>241</v>
      </c>
      <c r="I24" s="47">
        <v>6.2</v>
      </c>
      <c r="J24" s="51">
        <f t="shared" si="7"/>
        <v>3583.6</v>
      </c>
      <c r="K24" s="52">
        <f t="shared" si="8"/>
        <v>399.57139999999998</v>
      </c>
      <c r="L24" s="52">
        <f t="shared" si="9"/>
        <v>17.917999999999999</v>
      </c>
      <c r="M24" s="51">
        <f t="shared" si="10"/>
        <v>298.51387999999997</v>
      </c>
      <c r="N24" s="52">
        <f t="shared" si="11"/>
        <v>298.63333333333333</v>
      </c>
      <c r="O24" s="52">
        <f t="shared" si="12"/>
        <v>298.63333333333333</v>
      </c>
      <c r="P24" s="52">
        <f t="shared" si="13"/>
        <v>189.1</v>
      </c>
      <c r="Q24" s="52">
        <f t="shared" si="6"/>
        <v>5085.9699466666661</v>
      </c>
    </row>
    <row r="25" spans="1:17" ht="48" x14ac:dyDescent="0.25">
      <c r="A25" s="46">
        <v>11</v>
      </c>
      <c r="B25" s="28" t="s">
        <v>197</v>
      </c>
      <c r="C25" s="47" t="s">
        <v>198</v>
      </c>
      <c r="D25" s="47" t="s">
        <v>21</v>
      </c>
      <c r="E25" s="66" t="s">
        <v>250</v>
      </c>
      <c r="F25" s="47" t="s">
        <v>188</v>
      </c>
      <c r="G25" s="47">
        <v>578</v>
      </c>
      <c r="H25" s="47" t="s">
        <v>241</v>
      </c>
      <c r="I25" s="47">
        <v>6.2</v>
      </c>
      <c r="J25" s="51">
        <f t="shared" si="7"/>
        <v>3583.6</v>
      </c>
      <c r="K25" s="52">
        <f t="shared" si="8"/>
        <v>399.57139999999998</v>
      </c>
      <c r="L25" s="52">
        <f t="shared" si="9"/>
        <v>17.917999999999999</v>
      </c>
      <c r="M25" s="51">
        <f t="shared" si="10"/>
        <v>298.51387999999997</v>
      </c>
      <c r="N25" s="52">
        <f t="shared" si="11"/>
        <v>298.63333333333333</v>
      </c>
      <c r="O25" s="52">
        <f t="shared" si="12"/>
        <v>298.63333333333333</v>
      </c>
      <c r="P25" s="52">
        <f t="shared" si="13"/>
        <v>189.1</v>
      </c>
      <c r="Q25" s="52">
        <f t="shared" si="6"/>
        <v>5085.9699466666661</v>
      </c>
    </row>
    <row r="26" spans="1:17" ht="60" x14ac:dyDescent="0.25">
      <c r="A26" s="46">
        <v>12</v>
      </c>
      <c r="B26" s="28" t="s">
        <v>226</v>
      </c>
      <c r="C26" s="47" t="s">
        <v>204</v>
      </c>
      <c r="D26" s="47" t="s">
        <v>21</v>
      </c>
      <c r="E26" s="66" t="s">
        <v>249</v>
      </c>
      <c r="F26" s="47" t="s">
        <v>188</v>
      </c>
      <c r="G26" s="47">
        <v>578</v>
      </c>
      <c r="H26" s="47" t="s">
        <v>244</v>
      </c>
      <c r="I26" s="47">
        <v>5.53</v>
      </c>
      <c r="J26" s="51">
        <f t="shared" si="7"/>
        <v>3196.34</v>
      </c>
      <c r="K26" s="52">
        <f t="shared" si="8"/>
        <v>356.39191</v>
      </c>
      <c r="L26" s="52">
        <f t="shared" si="9"/>
        <v>15.981700000000002</v>
      </c>
      <c r="M26" s="51">
        <f t="shared" si="10"/>
        <v>266.25512200000003</v>
      </c>
      <c r="N26" s="52">
        <f t="shared" si="11"/>
        <v>266.36166666666668</v>
      </c>
      <c r="O26" s="52">
        <f t="shared" si="12"/>
        <v>266.36166666666668</v>
      </c>
      <c r="P26" s="52">
        <f t="shared" si="13"/>
        <v>168.66500000000002</v>
      </c>
      <c r="Q26" s="52">
        <f t="shared" si="6"/>
        <v>4536.3570653333336</v>
      </c>
    </row>
    <row r="27" spans="1:17" ht="48" x14ac:dyDescent="0.25">
      <c r="A27" s="46">
        <v>13</v>
      </c>
      <c r="B27" s="28" t="s">
        <v>185</v>
      </c>
      <c r="C27" s="47" t="s">
        <v>200</v>
      </c>
      <c r="D27" s="47" t="s">
        <v>21</v>
      </c>
      <c r="E27" s="66" t="s">
        <v>246</v>
      </c>
      <c r="F27" s="47" t="s">
        <v>188</v>
      </c>
      <c r="G27" s="47">
        <v>578</v>
      </c>
      <c r="H27" s="47" t="s">
        <v>245</v>
      </c>
      <c r="I27" s="47">
        <v>3.2</v>
      </c>
      <c r="J27" s="51">
        <f t="shared" si="7"/>
        <v>1849.6000000000001</v>
      </c>
      <c r="K27" s="52">
        <f t="shared" si="8"/>
        <v>206.23040000000003</v>
      </c>
      <c r="L27" s="52">
        <f t="shared" si="9"/>
        <v>9.2480000000000011</v>
      </c>
      <c r="M27" s="51">
        <f t="shared" si="10"/>
        <v>154.07168000000001</v>
      </c>
      <c r="N27" s="52">
        <f t="shared" si="11"/>
        <v>154.13333333333335</v>
      </c>
      <c r="O27" s="52">
        <f t="shared" si="12"/>
        <v>154.13333333333335</v>
      </c>
      <c r="P27" s="52">
        <f t="shared" si="13"/>
        <v>97.600000000000009</v>
      </c>
      <c r="Q27" s="52">
        <f t="shared" si="6"/>
        <v>2625.0167466666671</v>
      </c>
    </row>
    <row r="28" spans="1:17" ht="48" x14ac:dyDescent="0.25">
      <c r="A28" s="46">
        <v>14</v>
      </c>
      <c r="B28" s="28" t="s">
        <v>207</v>
      </c>
      <c r="C28" s="47" t="s">
        <v>205</v>
      </c>
      <c r="D28" s="47" t="s">
        <v>21</v>
      </c>
      <c r="E28" s="66" t="s">
        <v>248</v>
      </c>
      <c r="F28" s="47" t="s">
        <v>188</v>
      </c>
      <c r="G28" s="47">
        <v>578</v>
      </c>
      <c r="H28" s="47" t="s">
        <v>241</v>
      </c>
      <c r="I28" s="47">
        <v>6.2</v>
      </c>
      <c r="J28" s="51">
        <f t="shared" si="7"/>
        <v>3583.6</v>
      </c>
      <c r="K28" s="52">
        <f t="shared" si="8"/>
        <v>399.57139999999998</v>
      </c>
      <c r="L28" s="52">
        <f t="shared" si="9"/>
        <v>17.917999999999999</v>
      </c>
      <c r="M28" s="51">
        <f t="shared" si="10"/>
        <v>298.51387999999997</v>
      </c>
      <c r="N28" s="52">
        <f t="shared" si="11"/>
        <v>298.63333333333333</v>
      </c>
      <c r="O28" s="52">
        <f t="shared" si="12"/>
        <v>298.63333333333333</v>
      </c>
      <c r="P28" s="52">
        <f t="shared" si="13"/>
        <v>189.1</v>
      </c>
      <c r="Q28" s="52">
        <f t="shared" si="6"/>
        <v>5085.9699466666661</v>
      </c>
    </row>
    <row r="29" spans="1:17" ht="36" x14ac:dyDescent="0.25">
      <c r="A29" s="46">
        <v>15</v>
      </c>
      <c r="B29" s="28" t="s">
        <v>208</v>
      </c>
      <c r="C29" s="47" t="s">
        <v>206</v>
      </c>
      <c r="D29" s="47" t="s">
        <v>65</v>
      </c>
      <c r="E29" s="66" t="s">
        <v>223</v>
      </c>
      <c r="F29" s="47" t="s">
        <v>191</v>
      </c>
      <c r="G29" s="47">
        <v>561</v>
      </c>
      <c r="H29" s="47" t="s">
        <v>233</v>
      </c>
      <c r="I29" s="47">
        <v>2</v>
      </c>
      <c r="J29" s="51">
        <f t="shared" si="7"/>
        <v>1122</v>
      </c>
      <c r="K29" s="52">
        <f t="shared" si="8"/>
        <v>125.10300000000001</v>
      </c>
      <c r="L29" s="52">
        <f t="shared" si="9"/>
        <v>5.61</v>
      </c>
      <c r="M29" s="51">
        <f t="shared" si="10"/>
        <v>93.462599999999995</v>
      </c>
      <c r="N29" s="52">
        <f t="shared" si="11"/>
        <v>93.5</v>
      </c>
      <c r="O29" s="52">
        <f t="shared" si="12"/>
        <v>93.5</v>
      </c>
      <c r="P29" s="52">
        <f t="shared" si="13"/>
        <v>61</v>
      </c>
      <c r="Q29" s="52">
        <f t="shared" si="6"/>
        <v>1594.1756</v>
      </c>
    </row>
    <row r="30" spans="1:17" ht="36" x14ac:dyDescent="0.25">
      <c r="A30" s="46">
        <v>16</v>
      </c>
      <c r="B30" s="28" t="s">
        <v>209</v>
      </c>
      <c r="C30" s="47" t="s">
        <v>206</v>
      </c>
      <c r="D30" s="47" t="s">
        <v>65</v>
      </c>
      <c r="E30" s="66" t="s">
        <v>223</v>
      </c>
      <c r="F30" s="47" t="s">
        <v>191</v>
      </c>
      <c r="G30" s="47">
        <v>561</v>
      </c>
      <c r="H30" s="47" t="s">
        <v>233</v>
      </c>
      <c r="I30" s="47">
        <v>2</v>
      </c>
      <c r="J30" s="51">
        <f t="shared" si="7"/>
        <v>1122</v>
      </c>
      <c r="K30" s="52">
        <f t="shared" si="8"/>
        <v>125.10300000000001</v>
      </c>
      <c r="L30" s="52">
        <f t="shared" si="9"/>
        <v>5.61</v>
      </c>
      <c r="M30" s="51">
        <f t="shared" si="10"/>
        <v>93.462599999999995</v>
      </c>
      <c r="N30" s="52">
        <f t="shared" si="11"/>
        <v>93.5</v>
      </c>
      <c r="O30" s="52">
        <f t="shared" si="12"/>
        <v>93.5</v>
      </c>
      <c r="P30" s="52">
        <f t="shared" si="13"/>
        <v>61</v>
      </c>
      <c r="Q30" s="52">
        <f t="shared" si="6"/>
        <v>1594.1756</v>
      </c>
    </row>
    <row r="31" spans="1:17" ht="36" x14ac:dyDescent="0.25">
      <c r="A31" s="46">
        <v>17</v>
      </c>
      <c r="B31" s="28" t="s">
        <v>210</v>
      </c>
      <c r="C31" s="47" t="s">
        <v>206</v>
      </c>
      <c r="D31" s="47" t="s">
        <v>65</v>
      </c>
      <c r="E31" s="66" t="s">
        <v>223</v>
      </c>
      <c r="F31" s="47" t="s">
        <v>191</v>
      </c>
      <c r="G31" s="47">
        <v>561</v>
      </c>
      <c r="H31" s="47" t="s">
        <v>233</v>
      </c>
      <c r="I31" s="47">
        <v>2</v>
      </c>
      <c r="J31" s="51">
        <f t="shared" si="7"/>
        <v>1122</v>
      </c>
      <c r="K31" s="52">
        <f t="shared" si="8"/>
        <v>125.10300000000001</v>
      </c>
      <c r="L31" s="52">
        <f t="shared" si="9"/>
        <v>5.61</v>
      </c>
      <c r="M31" s="51">
        <f t="shared" si="10"/>
        <v>93.462599999999995</v>
      </c>
      <c r="N31" s="52">
        <f t="shared" si="11"/>
        <v>93.5</v>
      </c>
      <c r="O31" s="52">
        <f t="shared" si="12"/>
        <v>93.5</v>
      </c>
      <c r="P31" s="52">
        <f t="shared" si="13"/>
        <v>61</v>
      </c>
      <c r="Q31" s="52">
        <f t="shared" si="6"/>
        <v>1594.1756</v>
      </c>
    </row>
    <row r="32" spans="1:17" ht="36" x14ac:dyDescent="0.25">
      <c r="A32" s="46">
        <v>18</v>
      </c>
      <c r="B32" s="28" t="s">
        <v>211</v>
      </c>
      <c r="C32" s="47" t="s">
        <v>206</v>
      </c>
      <c r="D32" s="47" t="s">
        <v>65</v>
      </c>
      <c r="E32" s="66" t="s">
        <v>223</v>
      </c>
      <c r="F32" s="47" t="s">
        <v>191</v>
      </c>
      <c r="G32" s="47">
        <v>561</v>
      </c>
      <c r="H32" s="47" t="s">
        <v>233</v>
      </c>
      <c r="I32" s="47">
        <v>2</v>
      </c>
      <c r="J32" s="51">
        <f t="shared" si="7"/>
        <v>1122</v>
      </c>
      <c r="K32" s="52">
        <f t="shared" si="8"/>
        <v>125.10300000000001</v>
      </c>
      <c r="L32" s="52">
        <f t="shared" si="9"/>
        <v>5.61</v>
      </c>
      <c r="M32" s="51">
        <f t="shared" si="10"/>
        <v>93.462599999999995</v>
      </c>
      <c r="N32" s="52">
        <f t="shared" si="11"/>
        <v>93.5</v>
      </c>
      <c r="O32" s="52">
        <f t="shared" si="12"/>
        <v>93.5</v>
      </c>
      <c r="P32" s="52">
        <f t="shared" si="13"/>
        <v>61</v>
      </c>
      <c r="Q32" s="52">
        <f t="shared" si="6"/>
        <v>1594.1756</v>
      </c>
    </row>
    <row r="33" spans="1:17" ht="36" x14ac:dyDescent="0.25">
      <c r="A33" s="46">
        <v>19</v>
      </c>
      <c r="B33" s="28" t="s">
        <v>212</v>
      </c>
      <c r="C33" s="47" t="s">
        <v>206</v>
      </c>
      <c r="D33" s="47" t="s">
        <v>65</v>
      </c>
      <c r="E33" s="66" t="s">
        <v>223</v>
      </c>
      <c r="F33" s="47" t="s">
        <v>191</v>
      </c>
      <c r="G33" s="47">
        <v>561</v>
      </c>
      <c r="H33" s="47" t="s">
        <v>233</v>
      </c>
      <c r="I33" s="47">
        <v>2</v>
      </c>
      <c r="J33" s="51">
        <f t="shared" si="7"/>
        <v>1122</v>
      </c>
      <c r="K33" s="52">
        <f t="shared" si="8"/>
        <v>125.10300000000001</v>
      </c>
      <c r="L33" s="52">
        <f t="shared" si="9"/>
        <v>5.61</v>
      </c>
      <c r="M33" s="51">
        <f t="shared" si="10"/>
        <v>93.462599999999995</v>
      </c>
      <c r="N33" s="52">
        <f t="shared" si="11"/>
        <v>93.5</v>
      </c>
      <c r="O33" s="52">
        <f t="shared" si="12"/>
        <v>93.5</v>
      </c>
      <c r="P33" s="52">
        <f t="shared" si="13"/>
        <v>61</v>
      </c>
      <c r="Q33" s="52">
        <f t="shared" si="6"/>
        <v>1594.1756</v>
      </c>
    </row>
    <row r="34" spans="1:17" x14ac:dyDescent="0.25">
      <c r="A34" s="53">
        <v>19</v>
      </c>
      <c r="B34" s="129" t="s">
        <v>2</v>
      </c>
      <c r="C34" s="129"/>
      <c r="D34" s="129"/>
      <c r="E34" s="129"/>
      <c r="F34" s="129"/>
      <c r="G34" s="129"/>
      <c r="H34" s="129"/>
      <c r="I34" s="129"/>
      <c r="J34" s="108">
        <f>SUM(J15:J33)</f>
        <v>49999.12999999999</v>
      </c>
      <c r="K34" s="108">
        <f t="shared" ref="K34:Q34" si="14">SUM(K15:K33)</f>
        <v>5574.9029950000004</v>
      </c>
      <c r="L34" s="108">
        <f t="shared" si="14"/>
        <v>249.99565000000007</v>
      </c>
      <c r="M34" s="108">
        <f t="shared" si="14"/>
        <v>4164.9275289999987</v>
      </c>
      <c r="N34" s="108">
        <f t="shared" si="14"/>
        <v>4166.5941666666658</v>
      </c>
      <c r="O34" s="108">
        <f t="shared" si="14"/>
        <v>4166.5941666666658</v>
      </c>
      <c r="P34" s="108">
        <f t="shared" si="14"/>
        <v>2653.4999999999995</v>
      </c>
      <c r="Q34" s="108">
        <f t="shared" si="14"/>
        <v>70975.644507333331</v>
      </c>
    </row>
    <row r="35" spans="1:17" x14ac:dyDescent="0.25">
      <c r="A35" s="136" t="s">
        <v>130</v>
      </c>
      <c r="B35" s="136"/>
      <c r="C35" s="136"/>
      <c r="D35" s="110"/>
      <c r="E35" s="110"/>
      <c r="F35" s="54"/>
      <c r="G35" s="54"/>
      <c r="H35" s="54"/>
      <c r="I35" s="54"/>
      <c r="J35" s="54"/>
      <c r="K35" s="54"/>
      <c r="L35" s="54"/>
      <c r="M35" s="55"/>
      <c r="N35" s="54"/>
      <c r="O35" s="54"/>
      <c r="P35" s="54"/>
      <c r="Q35" s="54"/>
    </row>
    <row r="36" spans="1:17" ht="15" customHeight="1" x14ac:dyDescent="0.25">
      <c r="A36" s="136" t="s">
        <v>242</v>
      </c>
      <c r="B36" s="136"/>
      <c r="C36" s="136"/>
      <c r="D36" s="110"/>
      <c r="E36" s="110"/>
      <c r="F36" s="54"/>
      <c r="G36" s="54"/>
      <c r="H36" s="54"/>
      <c r="I36" s="54"/>
      <c r="J36" s="54"/>
      <c r="K36" s="54"/>
      <c r="L36" s="54"/>
      <c r="M36" s="55"/>
      <c r="N36" s="54"/>
      <c r="O36" s="54"/>
      <c r="P36" s="54"/>
      <c r="Q36" s="54"/>
    </row>
    <row r="37" spans="1:17" ht="15.75" x14ac:dyDescent="0.25">
      <c r="A37" s="130" t="s">
        <v>194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ht="15.75" x14ac:dyDescent="0.25">
      <c r="A38" s="131" t="s">
        <v>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</row>
    <row r="39" spans="1:17" ht="15.75" x14ac:dyDescent="0.25">
      <c r="A39" s="132" t="s">
        <v>4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ht="60" x14ac:dyDescent="0.25">
      <c r="A40" s="44" t="s">
        <v>5</v>
      </c>
      <c r="B40" s="112" t="s">
        <v>6</v>
      </c>
      <c r="C40" s="137" t="s">
        <v>7</v>
      </c>
      <c r="D40" s="138"/>
      <c r="E40" s="164"/>
      <c r="F40" s="109" t="s">
        <v>25</v>
      </c>
      <c r="G40" s="109" t="s">
        <v>214</v>
      </c>
      <c r="H40" s="137" t="s">
        <v>9</v>
      </c>
      <c r="I40" s="164"/>
      <c r="J40" s="109" t="s">
        <v>99</v>
      </c>
      <c r="K40" s="109" t="s">
        <v>10</v>
      </c>
      <c r="L40" s="109" t="s">
        <v>26</v>
      </c>
      <c r="M40" s="45" t="s">
        <v>12</v>
      </c>
      <c r="N40" s="109" t="s">
        <v>27</v>
      </c>
      <c r="O40" s="109" t="s">
        <v>14</v>
      </c>
      <c r="P40" s="109" t="s">
        <v>28</v>
      </c>
      <c r="Q40" s="109" t="s">
        <v>16</v>
      </c>
    </row>
    <row r="41" spans="1:17" x14ac:dyDescent="0.25">
      <c r="A41" s="134" t="s">
        <v>69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ht="24" x14ac:dyDescent="0.25">
      <c r="A42" s="46">
        <v>1</v>
      </c>
      <c r="B42" s="121" t="s">
        <v>239</v>
      </c>
      <c r="C42" s="47" t="s">
        <v>101</v>
      </c>
      <c r="D42" s="47" t="s">
        <v>29</v>
      </c>
      <c r="E42" s="47" t="s">
        <v>158</v>
      </c>
      <c r="F42" s="47" t="s">
        <v>30</v>
      </c>
      <c r="G42" s="47">
        <v>3061</v>
      </c>
      <c r="H42" s="47" t="s">
        <v>228</v>
      </c>
      <c r="I42" s="47">
        <v>12</v>
      </c>
      <c r="J42" s="47">
        <f>I42*G42</f>
        <v>36732</v>
      </c>
      <c r="K42" s="47">
        <f t="shared" ref="K42:K47" si="15">J42*11.15%</f>
        <v>4095.6179999999999</v>
      </c>
      <c r="L42" s="47">
        <f t="shared" ref="L42:L47" si="16">J42*0.5%</f>
        <v>183.66</v>
      </c>
      <c r="M42" s="49">
        <f t="shared" ref="M42:M47" si="17">J42*8.33%</f>
        <v>3059.7755999999999</v>
      </c>
      <c r="N42" s="47">
        <f>J42/12</f>
        <v>3061</v>
      </c>
      <c r="O42" s="47">
        <f>J42/12</f>
        <v>3061</v>
      </c>
      <c r="P42" s="47">
        <f>366/12*I42</f>
        <v>366</v>
      </c>
      <c r="Q42" s="47">
        <f t="shared" ref="Q42:Q47" si="18">SUM(J42:P42)</f>
        <v>50559.053600000007</v>
      </c>
    </row>
    <row r="43" spans="1:17" x14ac:dyDescent="0.25">
      <c r="A43" s="46">
        <v>2</v>
      </c>
      <c r="B43" s="28" t="s">
        <v>40</v>
      </c>
      <c r="C43" s="47" t="s">
        <v>102</v>
      </c>
      <c r="D43" s="47" t="s">
        <v>21</v>
      </c>
      <c r="E43" s="47" t="s">
        <v>134</v>
      </c>
      <c r="F43" s="47" t="s">
        <v>30</v>
      </c>
      <c r="G43" s="47">
        <v>2546</v>
      </c>
      <c r="H43" s="47" t="s">
        <v>228</v>
      </c>
      <c r="I43" s="47">
        <v>12</v>
      </c>
      <c r="J43" s="47">
        <f t="shared" ref="J43:J47" si="19">I43*G43</f>
        <v>30552</v>
      </c>
      <c r="K43" s="47">
        <f t="shared" si="15"/>
        <v>3406.5480000000002</v>
      </c>
      <c r="L43" s="47">
        <f t="shared" si="16"/>
        <v>152.76</v>
      </c>
      <c r="M43" s="49">
        <f t="shared" si="17"/>
        <v>2544.9816000000001</v>
      </c>
      <c r="N43" s="47">
        <f t="shared" ref="N43:N47" si="20">J43/12</f>
        <v>2546</v>
      </c>
      <c r="O43" s="47">
        <f t="shared" ref="O43:O47" si="21">J43/12</f>
        <v>2546</v>
      </c>
      <c r="P43" s="47">
        <f t="shared" ref="P43:P47" si="22">366/12*I43</f>
        <v>366</v>
      </c>
      <c r="Q43" s="47">
        <f t="shared" si="18"/>
        <v>42114.289600000004</v>
      </c>
    </row>
    <row r="44" spans="1:17" ht="24" x14ac:dyDescent="0.25">
      <c r="A44" s="46">
        <v>3</v>
      </c>
      <c r="B44" s="28" t="s">
        <v>159</v>
      </c>
      <c r="C44" s="47" t="s">
        <v>103</v>
      </c>
      <c r="D44" s="47" t="s">
        <v>35</v>
      </c>
      <c r="E44" s="47" t="s">
        <v>160</v>
      </c>
      <c r="F44" s="47" t="s">
        <v>30</v>
      </c>
      <c r="G44" s="47">
        <v>1911</v>
      </c>
      <c r="H44" s="47" t="s">
        <v>228</v>
      </c>
      <c r="I44" s="47">
        <v>12</v>
      </c>
      <c r="J44" s="47">
        <f t="shared" si="19"/>
        <v>22932</v>
      </c>
      <c r="K44" s="47">
        <f t="shared" si="15"/>
        <v>2556.9180000000001</v>
      </c>
      <c r="L44" s="47">
        <f t="shared" si="16"/>
        <v>114.66</v>
      </c>
      <c r="M44" s="49">
        <f t="shared" si="17"/>
        <v>1910.2356</v>
      </c>
      <c r="N44" s="47">
        <f t="shared" si="20"/>
        <v>1911</v>
      </c>
      <c r="O44" s="47">
        <f t="shared" si="21"/>
        <v>1911</v>
      </c>
      <c r="P44" s="47">
        <f t="shared" si="22"/>
        <v>366</v>
      </c>
      <c r="Q44" s="47">
        <f t="shared" si="18"/>
        <v>31701.813600000001</v>
      </c>
    </row>
    <row r="45" spans="1:17" ht="36" x14ac:dyDescent="0.25">
      <c r="A45" s="46">
        <v>4</v>
      </c>
      <c r="B45" s="28" t="s">
        <v>41</v>
      </c>
      <c r="C45" s="47" t="s">
        <v>104</v>
      </c>
      <c r="D45" s="47" t="s">
        <v>17</v>
      </c>
      <c r="E45" s="47" t="s">
        <v>162</v>
      </c>
      <c r="F45" s="47" t="s">
        <v>30</v>
      </c>
      <c r="G45" s="47">
        <v>2048</v>
      </c>
      <c r="H45" s="47" t="s">
        <v>228</v>
      </c>
      <c r="I45" s="47">
        <v>12</v>
      </c>
      <c r="J45" s="47">
        <f t="shared" si="19"/>
        <v>24576</v>
      </c>
      <c r="K45" s="47">
        <f t="shared" si="15"/>
        <v>2740.2240000000002</v>
      </c>
      <c r="L45" s="47">
        <f t="shared" si="16"/>
        <v>122.88</v>
      </c>
      <c r="M45" s="49">
        <f t="shared" si="17"/>
        <v>2047.1808000000001</v>
      </c>
      <c r="N45" s="47">
        <f t="shared" si="20"/>
        <v>2048</v>
      </c>
      <c r="O45" s="47">
        <f t="shared" si="21"/>
        <v>2048</v>
      </c>
      <c r="P45" s="47">
        <f t="shared" si="22"/>
        <v>366</v>
      </c>
      <c r="Q45" s="47">
        <f t="shared" si="18"/>
        <v>33948.284800000001</v>
      </c>
    </row>
    <row r="46" spans="1:17" ht="24" x14ac:dyDescent="0.25">
      <c r="A46" s="46"/>
      <c r="B46" s="28" t="s">
        <v>227</v>
      </c>
      <c r="C46" s="47" t="s">
        <v>105</v>
      </c>
      <c r="D46" s="47" t="s">
        <v>72</v>
      </c>
      <c r="E46" s="47" t="s">
        <v>67</v>
      </c>
      <c r="F46" s="47" t="s">
        <v>30</v>
      </c>
      <c r="G46" s="47">
        <v>2048</v>
      </c>
      <c r="H46" s="47" t="s">
        <v>228</v>
      </c>
      <c r="I46" s="56">
        <v>0</v>
      </c>
      <c r="J46" s="120">
        <f t="shared" si="19"/>
        <v>0</v>
      </c>
      <c r="K46" s="120">
        <f t="shared" si="15"/>
        <v>0</v>
      </c>
      <c r="L46" s="120">
        <f t="shared" si="16"/>
        <v>0</v>
      </c>
      <c r="M46" s="120">
        <f t="shared" si="17"/>
        <v>0</v>
      </c>
      <c r="N46" s="120">
        <f t="shared" si="20"/>
        <v>0</v>
      </c>
      <c r="O46" s="120">
        <f t="shared" si="21"/>
        <v>0</v>
      </c>
      <c r="P46" s="120">
        <f t="shared" si="22"/>
        <v>0</v>
      </c>
      <c r="Q46" s="120">
        <f t="shared" si="18"/>
        <v>0</v>
      </c>
    </row>
    <row r="47" spans="1:17" ht="36" x14ac:dyDescent="0.25">
      <c r="A47" s="46">
        <v>5</v>
      </c>
      <c r="B47" s="28" t="s">
        <v>58</v>
      </c>
      <c r="C47" s="47" t="s">
        <v>106</v>
      </c>
      <c r="D47" s="47" t="s">
        <v>65</v>
      </c>
      <c r="E47" s="47" t="s">
        <v>161</v>
      </c>
      <c r="F47" s="47" t="s">
        <v>30</v>
      </c>
      <c r="G47" s="47">
        <v>2048</v>
      </c>
      <c r="H47" s="47" t="s">
        <v>228</v>
      </c>
      <c r="I47" s="47">
        <v>12</v>
      </c>
      <c r="J47" s="47">
        <f t="shared" si="19"/>
        <v>24576</v>
      </c>
      <c r="K47" s="47">
        <f t="shared" si="15"/>
        <v>2740.2240000000002</v>
      </c>
      <c r="L47" s="47">
        <f t="shared" si="16"/>
        <v>122.88</v>
      </c>
      <c r="M47" s="49">
        <f t="shared" si="17"/>
        <v>2047.1808000000001</v>
      </c>
      <c r="N47" s="47">
        <f t="shared" si="20"/>
        <v>2048</v>
      </c>
      <c r="O47" s="47">
        <f t="shared" si="21"/>
        <v>2048</v>
      </c>
      <c r="P47" s="47">
        <f t="shared" si="22"/>
        <v>366</v>
      </c>
      <c r="Q47" s="47">
        <f t="shared" si="18"/>
        <v>33948.284800000001</v>
      </c>
    </row>
    <row r="48" spans="1:17" x14ac:dyDescent="0.25">
      <c r="A48" s="57">
        <v>5</v>
      </c>
      <c r="B48" s="129" t="s">
        <v>2</v>
      </c>
      <c r="C48" s="129"/>
      <c r="D48" s="129"/>
      <c r="E48" s="129"/>
      <c r="F48" s="129"/>
      <c r="G48" s="129"/>
      <c r="H48" s="129"/>
      <c r="I48" s="129"/>
      <c r="J48" s="108">
        <f>SUM(J42:J47)</f>
        <v>139368</v>
      </c>
      <c r="K48" s="108">
        <f t="shared" ref="K48:Q48" si="23">SUM(K42:K47)</f>
        <v>15539.532000000001</v>
      </c>
      <c r="L48" s="108">
        <f t="shared" si="23"/>
        <v>696.83999999999992</v>
      </c>
      <c r="M48" s="108">
        <f t="shared" si="23"/>
        <v>11609.3544</v>
      </c>
      <c r="N48" s="108">
        <f t="shared" si="23"/>
        <v>11614</v>
      </c>
      <c r="O48" s="108">
        <f t="shared" si="23"/>
        <v>11614</v>
      </c>
      <c r="P48" s="108">
        <f t="shared" si="23"/>
        <v>1830</v>
      </c>
      <c r="Q48" s="108">
        <f t="shared" si="23"/>
        <v>192271.72639999999</v>
      </c>
    </row>
    <row r="49" spans="1:17" x14ac:dyDescent="0.25">
      <c r="A49" s="135" t="s">
        <v>70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</row>
    <row r="50" spans="1:17" ht="60" x14ac:dyDescent="0.25">
      <c r="A50" s="44" t="s">
        <v>5</v>
      </c>
      <c r="B50" s="112" t="s">
        <v>6</v>
      </c>
      <c r="C50" s="137" t="s">
        <v>7</v>
      </c>
      <c r="D50" s="138"/>
      <c r="E50" s="164"/>
      <c r="F50" s="109" t="s">
        <v>25</v>
      </c>
      <c r="G50" s="109" t="s">
        <v>214</v>
      </c>
      <c r="H50" s="137" t="s">
        <v>9</v>
      </c>
      <c r="I50" s="164"/>
      <c r="J50" s="109" t="s">
        <v>99</v>
      </c>
      <c r="K50" s="109" t="s">
        <v>10</v>
      </c>
      <c r="L50" s="109" t="s">
        <v>26</v>
      </c>
      <c r="M50" s="45" t="s">
        <v>12</v>
      </c>
      <c r="N50" s="109" t="s">
        <v>27</v>
      </c>
      <c r="O50" s="109" t="s">
        <v>14</v>
      </c>
      <c r="P50" s="109" t="s">
        <v>28</v>
      </c>
      <c r="Q50" s="109" t="s">
        <v>16</v>
      </c>
    </row>
    <row r="51" spans="1:17" ht="24" x14ac:dyDescent="0.25">
      <c r="A51" s="46">
        <v>1</v>
      </c>
      <c r="B51" s="28" t="s">
        <v>31</v>
      </c>
      <c r="C51" s="47" t="s">
        <v>110</v>
      </c>
      <c r="D51" s="47" t="s">
        <v>29</v>
      </c>
      <c r="E51" s="47" t="s">
        <v>19</v>
      </c>
      <c r="F51" s="47" t="s">
        <v>32</v>
      </c>
      <c r="G51" s="47">
        <v>1285</v>
      </c>
      <c r="H51" s="47" t="s">
        <v>228</v>
      </c>
      <c r="I51" s="47">
        <v>12</v>
      </c>
      <c r="J51" s="58">
        <f>I51*G51</f>
        <v>15420</v>
      </c>
      <c r="K51" s="58">
        <f>J51*11.15%</f>
        <v>1719.33</v>
      </c>
      <c r="L51" s="58">
        <f>J51*0.5%</f>
        <v>77.100000000000009</v>
      </c>
      <c r="M51" s="56">
        <f>J51*8.33%</f>
        <v>1284.4859999999999</v>
      </c>
      <c r="N51" s="58">
        <f>+J51/12</f>
        <v>1285</v>
      </c>
      <c r="O51" s="56">
        <v>0</v>
      </c>
      <c r="P51" s="58">
        <v>366</v>
      </c>
      <c r="Q51" s="58">
        <f>SUM(J51:P51)</f>
        <v>20151.916000000001</v>
      </c>
    </row>
    <row r="52" spans="1:17" ht="24" x14ac:dyDescent="0.25">
      <c r="A52" s="46">
        <v>2</v>
      </c>
      <c r="B52" s="28" t="s">
        <v>38</v>
      </c>
      <c r="C52" s="47" t="s">
        <v>112</v>
      </c>
      <c r="D52" s="47" t="s">
        <v>21</v>
      </c>
      <c r="E52" s="47" t="s">
        <v>19</v>
      </c>
      <c r="F52" s="47" t="s">
        <v>34</v>
      </c>
      <c r="G52" s="47">
        <v>1611</v>
      </c>
      <c r="H52" s="47" t="s">
        <v>228</v>
      </c>
      <c r="I52" s="47">
        <v>12</v>
      </c>
      <c r="J52" s="58">
        <f>I52*G52</f>
        <v>19332</v>
      </c>
      <c r="K52" s="58">
        <f t="shared" ref="K52:K59" si="24">J52*11.15%</f>
        <v>2155.518</v>
      </c>
      <c r="L52" s="58">
        <f t="shared" ref="L52:L59" si="25">J52*0.5%</f>
        <v>96.66</v>
      </c>
      <c r="M52" s="56">
        <f t="shared" ref="M52:M59" si="26">J52*8.33%</f>
        <v>1610.3556000000001</v>
      </c>
      <c r="N52" s="58">
        <f t="shared" ref="N52:N59" si="27">+J52/12</f>
        <v>1611</v>
      </c>
      <c r="O52" s="56">
        <v>0</v>
      </c>
      <c r="P52" s="58">
        <v>366</v>
      </c>
      <c r="Q52" s="58">
        <f>SUM(J52:P52)</f>
        <v>25171.533599999999</v>
      </c>
    </row>
    <row r="53" spans="1:17" ht="36" x14ac:dyDescent="0.25">
      <c r="A53" s="46">
        <v>3</v>
      </c>
      <c r="B53" s="28" t="s">
        <v>42</v>
      </c>
      <c r="C53" s="47" t="s">
        <v>107</v>
      </c>
      <c r="D53" s="47" t="s">
        <v>17</v>
      </c>
      <c r="E53" s="47" t="s">
        <v>19</v>
      </c>
      <c r="F53" s="47" t="s">
        <v>43</v>
      </c>
      <c r="G53" s="47">
        <v>1016</v>
      </c>
      <c r="H53" s="47" t="s">
        <v>228</v>
      </c>
      <c r="I53" s="47">
        <v>12</v>
      </c>
      <c r="J53" s="58">
        <f>I53*G53</f>
        <v>12192</v>
      </c>
      <c r="K53" s="58">
        <f t="shared" si="24"/>
        <v>1359.4080000000001</v>
      </c>
      <c r="L53" s="58">
        <f t="shared" si="25"/>
        <v>60.96</v>
      </c>
      <c r="M53" s="56">
        <f t="shared" si="26"/>
        <v>1015.5936</v>
      </c>
      <c r="N53" s="58">
        <f t="shared" si="27"/>
        <v>1016</v>
      </c>
      <c r="O53" s="56">
        <v>0</v>
      </c>
      <c r="P53" s="58">
        <v>366</v>
      </c>
      <c r="Q53" s="58">
        <f>SUM(J53:P53)</f>
        <v>16009.961599999999</v>
      </c>
    </row>
    <row r="54" spans="1:17" ht="36" x14ac:dyDescent="0.25">
      <c r="A54" s="46">
        <v>4</v>
      </c>
      <c r="B54" s="28" t="s">
        <v>47</v>
      </c>
      <c r="C54" s="47" t="s">
        <v>109</v>
      </c>
      <c r="D54" s="47" t="s">
        <v>17</v>
      </c>
      <c r="E54" s="47" t="s">
        <v>19</v>
      </c>
      <c r="F54" s="47" t="s">
        <v>48</v>
      </c>
      <c r="G54" s="47">
        <v>1185</v>
      </c>
      <c r="H54" s="47" t="s">
        <v>228</v>
      </c>
      <c r="I54" s="47">
        <v>12</v>
      </c>
      <c r="J54" s="58">
        <f>I54*G54</f>
        <v>14220</v>
      </c>
      <c r="K54" s="58">
        <f t="shared" si="24"/>
        <v>1585.53</v>
      </c>
      <c r="L54" s="58">
        <f t="shared" si="25"/>
        <v>71.100000000000009</v>
      </c>
      <c r="M54" s="56">
        <f t="shared" si="26"/>
        <v>1184.5260000000001</v>
      </c>
      <c r="N54" s="58">
        <f t="shared" si="27"/>
        <v>1185</v>
      </c>
      <c r="O54" s="56">
        <v>0</v>
      </c>
      <c r="P54" s="58">
        <v>366</v>
      </c>
      <c r="Q54" s="58">
        <f>SUM(J54:P54)</f>
        <v>18612.156000000003</v>
      </c>
    </row>
    <row r="55" spans="1:17" ht="36" x14ac:dyDescent="0.25">
      <c r="A55" s="46">
        <v>5</v>
      </c>
      <c r="B55" s="28" t="s">
        <v>50</v>
      </c>
      <c r="C55" s="47" t="s">
        <v>111</v>
      </c>
      <c r="D55" s="47" t="s">
        <v>17</v>
      </c>
      <c r="E55" s="47" t="s">
        <v>19</v>
      </c>
      <c r="F55" s="47" t="s">
        <v>49</v>
      </c>
      <c r="G55" s="47">
        <v>1411</v>
      </c>
      <c r="H55" s="47" t="s">
        <v>228</v>
      </c>
      <c r="I55" s="47">
        <v>12</v>
      </c>
      <c r="J55" s="58">
        <f>I55*G55</f>
        <v>16932</v>
      </c>
      <c r="K55" s="58">
        <f t="shared" si="24"/>
        <v>1887.9180000000001</v>
      </c>
      <c r="L55" s="58">
        <f t="shared" si="25"/>
        <v>84.66</v>
      </c>
      <c r="M55" s="56">
        <f t="shared" si="26"/>
        <v>1410.4356</v>
      </c>
      <c r="N55" s="58">
        <f t="shared" si="27"/>
        <v>1411</v>
      </c>
      <c r="O55" s="56">
        <v>0</v>
      </c>
      <c r="P55" s="58">
        <v>366</v>
      </c>
      <c r="Q55" s="58">
        <f>SUM(J55:P55)</f>
        <v>22092.013600000002</v>
      </c>
    </row>
    <row r="56" spans="1:17" ht="36" x14ac:dyDescent="0.25">
      <c r="A56" s="46"/>
      <c r="B56" s="28" t="s">
        <v>240</v>
      </c>
      <c r="C56" s="47" t="s">
        <v>118</v>
      </c>
      <c r="D56" s="47" t="s">
        <v>17</v>
      </c>
      <c r="E56" s="47" t="s">
        <v>19</v>
      </c>
      <c r="F56" s="47" t="s">
        <v>49</v>
      </c>
      <c r="G56" s="47">
        <v>1411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</row>
    <row r="57" spans="1:17" ht="24" x14ac:dyDescent="0.25">
      <c r="A57" s="46">
        <v>6</v>
      </c>
      <c r="B57" s="28" t="s">
        <v>56</v>
      </c>
      <c r="C57" s="47" t="s">
        <v>108</v>
      </c>
      <c r="D57" s="47" t="s">
        <v>72</v>
      </c>
      <c r="E57" s="47" t="s">
        <v>19</v>
      </c>
      <c r="F57" s="47" t="s">
        <v>57</v>
      </c>
      <c r="G57" s="47">
        <v>1100</v>
      </c>
      <c r="H57" s="47" t="s">
        <v>228</v>
      </c>
      <c r="I57" s="47">
        <v>12</v>
      </c>
      <c r="J57" s="58">
        <f>I57*G57</f>
        <v>13200</v>
      </c>
      <c r="K57" s="58">
        <f t="shared" si="24"/>
        <v>1471.8</v>
      </c>
      <c r="L57" s="58">
        <f t="shared" si="25"/>
        <v>66</v>
      </c>
      <c r="M57" s="56">
        <f t="shared" si="26"/>
        <v>1099.56</v>
      </c>
      <c r="N57" s="58">
        <f t="shared" si="27"/>
        <v>1100</v>
      </c>
      <c r="O57" s="56">
        <v>0</v>
      </c>
      <c r="P57" s="58">
        <v>366</v>
      </c>
      <c r="Q57" s="58">
        <f>SUM(J57:P57)</f>
        <v>17303.36</v>
      </c>
    </row>
    <row r="58" spans="1:17" ht="24" x14ac:dyDescent="0.25">
      <c r="A58" s="46">
        <v>7</v>
      </c>
      <c r="B58" s="28" t="s">
        <v>52</v>
      </c>
      <c r="C58" s="47" t="s">
        <v>113</v>
      </c>
      <c r="D58" s="47" t="s">
        <v>72</v>
      </c>
      <c r="E58" s="47" t="s">
        <v>19</v>
      </c>
      <c r="F58" s="47" t="s">
        <v>34</v>
      </c>
      <c r="G58" s="47">
        <v>1611</v>
      </c>
      <c r="H58" s="47" t="s">
        <v>228</v>
      </c>
      <c r="I58" s="47">
        <v>12</v>
      </c>
      <c r="J58" s="58">
        <f>I58*G58</f>
        <v>19332</v>
      </c>
      <c r="K58" s="58">
        <f t="shared" si="24"/>
        <v>2155.518</v>
      </c>
      <c r="L58" s="58">
        <f t="shared" si="25"/>
        <v>96.66</v>
      </c>
      <c r="M58" s="56">
        <f t="shared" si="26"/>
        <v>1610.3556000000001</v>
      </c>
      <c r="N58" s="58">
        <f t="shared" si="27"/>
        <v>1611</v>
      </c>
      <c r="O58" s="56">
        <v>0</v>
      </c>
      <c r="P58" s="58">
        <v>366</v>
      </c>
      <c r="Q58" s="58">
        <f>SUM(J58:P58)</f>
        <v>25171.533599999999</v>
      </c>
    </row>
    <row r="59" spans="1:17" ht="36" x14ac:dyDescent="0.25">
      <c r="A59" s="46">
        <v>8</v>
      </c>
      <c r="B59" s="28" t="s">
        <v>59</v>
      </c>
      <c r="C59" s="47" t="s">
        <v>114</v>
      </c>
      <c r="D59" s="47" t="s">
        <v>65</v>
      </c>
      <c r="E59" s="47" t="s">
        <v>19</v>
      </c>
      <c r="F59" s="47" t="s">
        <v>60</v>
      </c>
      <c r="G59" s="47">
        <v>1611</v>
      </c>
      <c r="H59" s="47" t="s">
        <v>228</v>
      </c>
      <c r="I59" s="47">
        <v>12</v>
      </c>
      <c r="J59" s="58">
        <f>I59*G59</f>
        <v>19332</v>
      </c>
      <c r="K59" s="58">
        <f t="shared" si="24"/>
        <v>2155.518</v>
      </c>
      <c r="L59" s="58">
        <f t="shared" si="25"/>
        <v>96.66</v>
      </c>
      <c r="M59" s="56">
        <f t="shared" si="26"/>
        <v>1610.3556000000001</v>
      </c>
      <c r="N59" s="58">
        <f t="shared" si="27"/>
        <v>1611</v>
      </c>
      <c r="O59" s="56">
        <v>0</v>
      </c>
      <c r="P59" s="58">
        <v>366</v>
      </c>
      <c r="Q59" s="58">
        <f>SUM(J59:P59)</f>
        <v>25171.533599999999</v>
      </c>
    </row>
    <row r="60" spans="1:17" x14ac:dyDescent="0.25">
      <c r="A60" s="57">
        <v>8</v>
      </c>
      <c r="B60" s="142" t="s">
        <v>2</v>
      </c>
      <c r="C60" s="142"/>
      <c r="D60" s="142"/>
      <c r="E60" s="142"/>
      <c r="F60" s="142"/>
      <c r="G60" s="142"/>
      <c r="H60" s="142"/>
      <c r="I60" s="142"/>
      <c r="J60" s="64">
        <f>SUM(J51:J59)</f>
        <v>129960</v>
      </c>
      <c r="K60" s="64">
        <f>SUM(K51:K59)</f>
        <v>14490.539999999999</v>
      </c>
      <c r="L60" s="64">
        <f>SUM(L51:L59)</f>
        <v>649.79999999999995</v>
      </c>
      <c r="M60" s="64">
        <f>SUM(M51:M59)</f>
        <v>10825.668000000001</v>
      </c>
      <c r="N60" s="64">
        <f>SUM(N51:N59)</f>
        <v>10830</v>
      </c>
      <c r="O60" s="65">
        <f>SUM(O53:O59)</f>
        <v>0</v>
      </c>
      <c r="P60" s="64">
        <f>SUM(P51:P59)</f>
        <v>2928</v>
      </c>
      <c r="Q60" s="64">
        <f>SUM(Q51:Q59)</f>
        <v>169684.008</v>
      </c>
    </row>
    <row r="61" spans="1:17" x14ac:dyDescent="0.25">
      <c r="A61" s="134" t="s">
        <v>71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17" ht="60" x14ac:dyDescent="0.25">
      <c r="A62" s="44" t="s">
        <v>5</v>
      </c>
      <c r="B62" s="112" t="s">
        <v>6</v>
      </c>
      <c r="C62" s="137" t="s">
        <v>7</v>
      </c>
      <c r="D62" s="138"/>
      <c r="E62" s="164"/>
      <c r="F62" s="109" t="s">
        <v>25</v>
      </c>
      <c r="G62" s="109" t="s">
        <v>214</v>
      </c>
      <c r="H62" s="137" t="s">
        <v>9</v>
      </c>
      <c r="I62" s="164"/>
      <c r="J62" s="109" t="s">
        <v>99</v>
      </c>
      <c r="K62" s="109" t="s">
        <v>10</v>
      </c>
      <c r="L62" s="109" t="s">
        <v>26</v>
      </c>
      <c r="M62" s="45" t="s">
        <v>12</v>
      </c>
      <c r="N62" s="109" t="s">
        <v>27</v>
      </c>
      <c r="O62" s="109" t="s">
        <v>14</v>
      </c>
      <c r="P62" s="109" t="s">
        <v>28</v>
      </c>
      <c r="Q62" s="109" t="s">
        <v>173</v>
      </c>
    </row>
    <row r="63" spans="1:17" ht="24" x14ac:dyDescent="0.25">
      <c r="A63" s="46">
        <v>1</v>
      </c>
      <c r="B63" s="28" t="s">
        <v>33</v>
      </c>
      <c r="C63" s="47" t="s">
        <v>115</v>
      </c>
      <c r="D63" s="47" t="s">
        <v>29</v>
      </c>
      <c r="E63" s="47" t="s">
        <v>133</v>
      </c>
      <c r="F63" s="47" t="s">
        <v>49</v>
      </c>
      <c r="G63" s="47">
        <v>1411</v>
      </c>
      <c r="H63" s="47" t="s">
        <v>231</v>
      </c>
      <c r="I63" s="47">
        <v>6</v>
      </c>
      <c r="J63" s="47">
        <f>I63*G63</f>
        <v>8466</v>
      </c>
      <c r="K63" s="47">
        <f>J63*11.15%</f>
        <v>943.95900000000006</v>
      </c>
      <c r="L63" s="47">
        <f>J63*0.5%</f>
        <v>42.33</v>
      </c>
      <c r="M63" s="49">
        <f>J63*8.33%</f>
        <v>705.21780000000001</v>
      </c>
      <c r="N63" s="47">
        <f>J63/12</f>
        <v>705.5</v>
      </c>
      <c r="O63" s="47">
        <f>J63/12</f>
        <v>705.5</v>
      </c>
      <c r="P63" s="47">
        <f>366/12*11</f>
        <v>335.5</v>
      </c>
      <c r="Q63" s="47">
        <f t="shared" ref="Q63:Q87" si="28">P63+O63+N63+M63+L63+K63+J63</f>
        <v>11904.006799999999</v>
      </c>
    </row>
    <row r="64" spans="1:17" ht="24" x14ac:dyDescent="0.25">
      <c r="A64" s="46">
        <v>2</v>
      </c>
      <c r="B64" s="28" t="s">
        <v>154</v>
      </c>
      <c r="C64" s="47" t="s">
        <v>116</v>
      </c>
      <c r="D64" s="47" t="s">
        <v>35</v>
      </c>
      <c r="E64" s="47" t="s">
        <v>133</v>
      </c>
      <c r="F64" s="47" t="s">
        <v>57</v>
      </c>
      <c r="G64" s="47">
        <v>1100</v>
      </c>
      <c r="H64" s="47" t="s">
        <v>231</v>
      </c>
      <c r="I64" s="47">
        <v>6</v>
      </c>
      <c r="J64" s="47">
        <f t="shared" ref="J64:J86" si="29">I64*G64</f>
        <v>6600</v>
      </c>
      <c r="K64" s="47">
        <f t="shared" ref="K64:K87" si="30">J64*11.15%</f>
        <v>735.9</v>
      </c>
      <c r="L64" s="47">
        <f t="shared" ref="L64:L87" si="31">J64*0.5%</f>
        <v>33</v>
      </c>
      <c r="M64" s="49">
        <f t="shared" ref="M64:M87" si="32">J64*8.33%</f>
        <v>549.78</v>
      </c>
      <c r="N64" s="47">
        <f t="shared" ref="N64:N87" si="33">+J64/12</f>
        <v>550</v>
      </c>
      <c r="O64" s="47">
        <f t="shared" ref="O64:O87" si="34">+J64/12</f>
        <v>550</v>
      </c>
      <c r="P64" s="47">
        <f t="shared" ref="P64:P87" si="35">366/12*11</f>
        <v>335.5</v>
      </c>
      <c r="Q64" s="47">
        <f t="shared" si="28"/>
        <v>9354.18</v>
      </c>
    </row>
    <row r="65" spans="1:17" ht="24" x14ac:dyDescent="0.25">
      <c r="A65" s="46">
        <v>3</v>
      </c>
      <c r="B65" s="28" t="s">
        <v>155</v>
      </c>
      <c r="C65" s="47" t="s">
        <v>156</v>
      </c>
      <c r="D65" s="47" t="s">
        <v>35</v>
      </c>
      <c r="E65" s="47" t="s">
        <v>138</v>
      </c>
      <c r="F65" s="47" t="s">
        <v>37</v>
      </c>
      <c r="G65" s="47">
        <v>735</v>
      </c>
      <c r="H65" s="47" t="s">
        <v>234</v>
      </c>
      <c r="I65" s="47">
        <v>3</v>
      </c>
      <c r="J65" s="47">
        <f t="shared" si="29"/>
        <v>2205</v>
      </c>
      <c r="K65" s="47">
        <f t="shared" si="30"/>
        <v>245.85750000000002</v>
      </c>
      <c r="L65" s="47">
        <f t="shared" si="31"/>
        <v>11.025</v>
      </c>
      <c r="M65" s="49">
        <f t="shared" si="32"/>
        <v>183.6765</v>
      </c>
      <c r="N65" s="47">
        <f t="shared" si="33"/>
        <v>183.75</v>
      </c>
      <c r="O65" s="47">
        <f t="shared" si="34"/>
        <v>183.75</v>
      </c>
      <c r="P65" s="47">
        <f>366/12*8</f>
        <v>244</v>
      </c>
      <c r="Q65" s="47">
        <f t="shared" si="28"/>
        <v>3257.0590000000002</v>
      </c>
    </row>
    <row r="66" spans="1:17" ht="24" x14ac:dyDescent="0.25">
      <c r="A66" s="46">
        <v>4</v>
      </c>
      <c r="B66" s="28" t="s">
        <v>148</v>
      </c>
      <c r="C66" s="47" t="s">
        <v>117</v>
      </c>
      <c r="D66" s="47" t="s">
        <v>21</v>
      </c>
      <c r="E66" s="47" t="s">
        <v>221</v>
      </c>
      <c r="F66" s="47" t="s">
        <v>32</v>
      </c>
      <c r="G66" s="47">
        <v>1285</v>
      </c>
      <c r="H66" s="47" t="s">
        <v>231</v>
      </c>
      <c r="I66" s="47">
        <v>6</v>
      </c>
      <c r="J66" s="47">
        <f t="shared" si="29"/>
        <v>7710</v>
      </c>
      <c r="K66" s="47">
        <f t="shared" si="30"/>
        <v>859.66499999999996</v>
      </c>
      <c r="L66" s="47">
        <f t="shared" si="31"/>
        <v>38.550000000000004</v>
      </c>
      <c r="M66" s="49">
        <f t="shared" si="32"/>
        <v>642.24299999999994</v>
      </c>
      <c r="N66" s="47">
        <f t="shared" si="33"/>
        <v>642.5</v>
      </c>
      <c r="O66" s="47">
        <f t="shared" si="34"/>
        <v>642.5</v>
      </c>
      <c r="P66" s="47">
        <f t="shared" si="35"/>
        <v>335.5</v>
      </c>
      <c r="Q66" s="47">
        <f t="shared" si="28"/>
        <v>10870.958000000001</v>
      </c>
    </row>
    <row r="67" spans="1:17" ht="24" x14ac:dyDescent="0.25">
      <c r="A67" s="46">
        <v>5</v>
      </c>
      <c r="B67" s="28" t="s">
        <v>36</v>
      </c>
      <c r="C67" s="47" t="s">
        <v>117</v>
      </c>
      <c r="D67" s="47" t="s">
        <v>21</v>
      </c>
      <c r="E67" s="47" t="s">
        <v>221</v>
      </c>
      <c r="F67" s="47" t="s">
        <v>32</v>
      </c>
      <c r="G67" s="47">
        <v>1285</v>
      </c>
      <c r="H67" s="47" t="s">
        <v>231</v>
      </c>
      <c r="I67" s="47">
        <v>6</v>
      </c>
      <c r="J67" s="47">
        <f t="shared" si="29"/>
        <v>7710</v>
      </c>
      <c r="K67" s="47">
        <f t="shared" si="30"/>
        <v>859.66499999999996</v>
      </c>
      <c r="L67" s="47">
        <f t="shared" si="31"/>
        <v>38.550000000000004</v>
      </c>
      <c r="M67" s="49">
        <f t="shared" si="32"/>
        <v>642.24299999999994</v>
      </c>
      <c r="N67" s="47">
        <f t="shared" si="33"/>
        <v>642.5</v>
      </c>
      <c r="O67" s="47">
        <f t="shared" si="34"/>
        <v>642.5</v>
      </c>
      <c r="P67" s="47">
        <f t="shared" si="35"/>
        <v>335.5</v>
      </c>
      <c r="Q67" s="47">
        <f t="shared" si="28"/>
        <v>10870.958000000001</v>
      </c>
    </row>
    <row r="68" spans="1:17" ht="24" x14ac:dyDescent="0.25">
      <c r="A68" s="46">
        <v>6</v>
      </c>
      <c r="B68" s="28" t="s">
        <v>39</v>
      </c>
      <c r="C68" s="47" t="s">
        <v>149</v>
      </c>
      <c r="D68" s="47" t="s">
        <v>21</v>
      </c>
      <c r="E68" s="47" t="s">
        <v>133</v>
      </c>
      <c r="F68" s="47" t="s">
        <v>34</v>
      </c>
      <c r="G68" s="47">
        <v>1611</v>
      </c>
      <c r="H68" s="47" t="s">
        <v>231</v>
      </c>
      <c r="I68" s="47">
        <v>6</v>
      </c>
      <c r="J68" s="47">
        <f t="shared" si="29"/>
        <v>9666</v>
      </c>
      <c r="K68" s="47">
        <f t="shared" si="30"/>
        <v>1077.759</v>
      </c>
      <c r="L68" s="47">
        <f t="shared" si="31"/>
        <v>48.33</v>
      </c>
      <c r="M68" s="49">
        <f t="shared" si="32"/>
        <v>805.17780000000005</v>
      </c>
      <c r="N68" s="47">
        <f t="shared" si="33"/>
        <v>805.5</v>
      </c>
      <c r="O68" s="47">
        <f t="shared" si="34"/>
        <v>805.5</v>
      </c>
      <c r="P68" s="47">
        <f t="shared" si="35"/>
        <v>335.5</v>
      </c>
      <c r="Q68" s="47">
        <f t="shared" si="28"/>
        <v>13543.766799999999</v>
      </c>
    </row>
    <row r="69" spans="1:17" ht="24" x14ac:dyDescent="0.25">
      <c r="A69" s="46">
        <v>7</v>
      </c>
      <c r="B69" s="28" t="s">
        <v>150</v>
      </c>
      <c r="C69" s="47" t="s">
        <v>149</v>
      </c>
      <c r="D69" s="47" t="s">
        <v>21</v>
      </c>
      <c r="E69" s="47" t="s">
        <v>133</v>
      </c>
      <c r="F69" s="47" t="s">
        <v>34</v>
      </c>
      <c r="G69" s="47">
        <v>1611</v>
      </c>
      <c r="H69" s="47" t="s">
        <v>231</v>
      </c>
      <c r="I69" s="47">
        <v>6</v>
      </c>
      <c r="J69" s="47">
        <f t="shared" si="29"/>
        <v>9666</v>
      </c>
      <c r="K69" s="47">
        <f t="shared" si="30"/>
        <v>1077.759</v>
      </c>
      <c r="L69" s="47">
        <f t="shared" si="31"/>
        <v>48.33</v>
      </c>
      <c r="M69" s="49">
        <f t="shared" si="32"/>
        <v>805.17780000000005</v>
      </c>
      <c r="N69" s="47">
        <f t="shared" si="33"/>
        <v>805.5</v>
      </c>
      <c r="O69" s="47">
        <f t="shared" si="34"/>
        <v>805.5</v>
      </c>
      <c r="P69" s="47">
        <f t="shared" si="35"/>
        <v>335.5</v>
      </c>
      <c r="Q69" s="47">
        <f t="shared" si="28"/>
        <v>13543.766799999999</v>
      </c>
    </row>
    <row r="70" spans="1:17" ht="24" x14ac:dyDescent="0.25">
      <c r="A70" s="46">
        <v>8</v>
      </c>
      <c r="B70" s="28" t="s">
        <v>147</v>
      </c>
      <c r="C70" s="47" t="s">
        <v>112</v>
      </c>
      <c r="D70" s="47" t="s">
        <v>21</v>
      </c>
      <c r="E70" s="47" t="s">
        <v>133</v>
      </c>
      <c r="F70" s="47" t="s">
        <v>34</v>
      </c>
      <c r="G70" s="47">
        <v>1611</v>
      </c>
      <c r="H70" s="47" t="s">
        <v>231</v>
      </c>
      <c r="I70" s="47">
        <v>6</v>
      </c>
      <c r="J70" s="47">
        <f t="shared" si="29"/>
        <v>9666</v>
      </c>
      <c r="K70" s="47">
        <f t="shared" si="30"/>
        <v>1077.759</v>
      </c>
      <c r="L70" s="47">
        <f t="shared" si="31"/>
        <v>48.33</v>
      </c>
      <c r="M70" s="49">
        <f t="shared" si="32"/>
        <v>805.17780000000005</v>
      </c>
      <c r="N70" s="47">
        <f t="shared" si="33"/>
        <v>805.5</v>
      </c>
      <c r="O70" s="47">
        <f t="shared" si="34"/>
        <v>805.5</v>
      </c>
      <c r="P70" s="47">
        <f t="shared" si="35"/>
        <v>335.5</v>
      </c>
      <c r="Q70" s="47">
        <f t="shared" si="28"/>
        <v>13543.766799999999</v>
      </c>
    </row>
    <row r="71" spans="1:17" ht="36" x14ac:dyDescent="0.25">
      <c r="A71" s="46">
        <v>9</v>
      </c>
      <c r="B71" s="28" t="s">
        <v>44</v>
      </c>
      <c r="C71" s="47" t="s">
        <v>45</v>
      </c>
      <c r="D71" s="47" t="s">
        <v>17</v>
      </c>
      <c r="E71" s="47" t="s">
        <v>133</v>
      </c>
      <c r="F71" s="47" t="s">
        <v>32</v>
      </c>
      <c r="G71" s="47">
        <v>1285</v>
      </c>
      <c r="H71" s="47" t="s">
        <v>231</v>
      </c>
      <c r="I71" s="47">
        <v>6</v>
      </c>
      <c r="J71" s="47">
        <f t="shared" si="29"/>
        <v>7710</v>
      </c>
      <c r="K71" s="47">
        <f t="shared" si="30"/>
        <v>859.66499999999996</v>
      </c>
      <c r="L71" s="47">
        <f t="shared" si="31"/>
        <v>38.550000000000004</v>
      </c>
      <c r="M71" s="49">
        <f t="shared" si="32"/>
        <v>642.24299999999994</v>
      </c>
      <c r="N71" s="47">
        <f t="shared" si="33"/>
        <v>642.5</v>
      </c>
      <c r="O71" s="47">
        <f t="shared" si="34"/>
        <v>642.5</v>
      </c>
      <c r="P71" s="47">
        <f t="shared" si="35"/>
        <v>335.5</v>
      </c>
      <c r="Q71" s="47">
        <f t="shared" si="28"/>
        <v>10870.958000000001</v>
      </c>
    </row>
    <row r="72" spans="1:17" ht="36" x14ac:dyDescent="0.25">
      <c r="A72" s="46">
        <v>10</v>
      </c>
      <c r="B72" s="28" t="s">
        <v>153</v>
      </c>
      <c r="C72" s="47" t="s">
        <v>118</v>
      </c>
      <c r="D72" s="47" t="s">
        <v>17</v>
      </c>
      <c r="E72" s="47" t="s">
        <v>133</v>
      </c>
      <c r="F72" s="47" t="s">
        <v>49</v>
      </c>
      <c r="G72" s="47">
        <v>1411</v>
      </c>
      <c r="H72" s="47" t="s">
        <v>231</v>
      </c>
      <c r="I72" s="47">
        <v>6</v>
      </c>
      <c r="J72" s="47">
        <f t="shared" si="29"/>
        <v>8466</v>
      </c>
      <c r="K72" s="47">
        <f t="shared" si="30"/>
        <v>943.95900000000006</v>
      </c>
      <c r="L72" s="47">
        <f t="shared" si="31"/>
        <v>42.33</v>
      </c>
      <c r="M72" s="49">
        <f t="shared" si="32"/>
        <v>705.21780000000001</v>
      </c>
      <c r="N72" s="47">
        <f t="shared" si="33"/>
        <v>705.5</v>
      </c>
      <c r="O72" s="47">
        <f t="shared" si="34"/>
        <v>705.5</v>
      </c>
      <c r="P72" s="47">
        <f t="shared" si="35"/>
        <v>335.5</v>
      </c>
      <c r="Q72" s="47">
        <f t="shared" si="28"/>
        <v>11904.006799999999</v>
      </c>
    </row>
    <row r="73" spans="1:17" ht="36" x14ac:dyDescent="0.25">
      <c r="A73" s="46">
        <v>11</v>
      </c>
      <c r="B73" s="28" t="s">
        <v>152</v>
      </c>
      <c r="C73" s="47" t="s">
        <v>119</v>
      </c>
      <c r="D73" s="47" t="s">
        <v>17</v>
      </c>
      <c r="E73" s="47" t="s">
        <v>133</v>
      </c>
      <c r="F73" s="47" t="s">
        <v>183</v>
      </c>
      <c r="G73" s="47">
        <v>673</v>
      </c>
      <c r="H73" s="47" t="s">
        <v>231</v>
      </c>
      <c r="I73" s="47">
        <v>6</v>
      </c>
      <c r="J73" s="47">
        <f t="shared" si="29"/>
        <v>4038</v>
      </c>
      <c r="K73" s="47">
        <f t="shared" si="30"/>
        <v>450.23700000000002</v>
      </c>
      <c r="L73" s="47">
        <f t="shared" si="31"/>
        <v>20.190000000000001</v>
      </c>
      <c r="M73" s="49">
        <f t="shared" si="32"/>
        <v>336.36540000000002</v>
      </c>
      <c r="N73" s="47">
        <f t="shared" si="33"/>
        <v>336.5</v>
      </c>
      <c r="O73" s="47">
        <f t="shared" si="34"/>
        <v>336.5</v>
      </c>
      <c r="P73" s="47">
        <f t="shared" si="35"/>
        <v>335.5</v>
      </c>
      <c r="Q73" s="47">
        <f t="shared" si="28"/>
        <v>5853.2924000000003</v>
      </c>
    </row>
    <row r="74" spans="1:17" ht="36" x14ac:dyDescent="0.25">
      <c r="A74" s="46">
        <v>12</v>
      </c>
      <c r="B74" s="28" t="s">
        <v>46</v>
      </c>
      <c r="C74" s="47" t="s">
        <v>120</v>
      </c>
      <c r="D74" s="47" t="s">
        <v>17</v>
      </c>
      <c r="E74" s="47" t="s">
        <v>133</v>
      </c>
      <c r="F74" s="47" t="s">
        <v>37</v>
      </c>
      <c r="G74" s="47">
        <v>735</v>
      </c>
      <c r="H74" s="47" t="s">
        <v>231</v>
      </c>
      <c r="I74" s="47">
        <v>6</v>
      </c>
      <c r="J74" s="47">
        <f t="shared" si="29"/>
        <v>4410</v>
      </c>
      <c r="K74" s="47">
        <f t="shared" si="30"/>
        <v>491.71500000000003</v>
      </c>
      <c r="L74" s="47">
        <f t="shared" si="31"/>
        <v>22.05</v>
      </c>
      <c r="M74" s="49">
        <f t="shared" si="32"/>
        <v>367.35300000000001</v>
      </c>
      <c r="N74" s="47">
        <f t="shared" si="33"/>
        <v>367.5</v>
      </c>
      <c r="O74" s="47">
        <f t="shared" si="34"/>
        <v>367.5</v>
      </c>
      <c r="P74" s="47">
        <f t="shared" si="35"/>
        <v>335.5</v>
      </c>
      <c r="Q74" s="47">
        <f t="shared" si="28"/>
        <v>6361.6180000000004</v>
      </c>
    </row>
    <row r="75" spans="1:17" ht="36" x14ac:dyDescent="0.25">
      <c r="A75" s="46">
        <v>13</v>
      </c>
      <c r="B75" s="28" t="s">
        <v>181</v>
      </c>
      <c r="C75" s="47" t="s">
        <v>213</v>
      </c>
      <c r="D75" s="47" t="s">
        <v>17</v>
      </c>
      <c r="E75" s="47" t="s">
        <v>182</v>
      </c>
      <c r="F75" s="47" t="s">
        <v>37</v>
      </c>
      <c r="G75" s="47">
        <v>735</v>
      </c>
      <c r="H75" s="47" t="s">
        <v>230</v>
      </c>
      <c r="I75" s="47">
        <v>5.87</v>
      </c>
      <c r="J75" s="47">
        <f t="shared" si="29"/>
        <v>4314.45</v>
      </c>
      <c r="K75" s="47">
        <f t="shared" si="30"/>
        <v>481.06117499999999</v>
      </c>
      <c r="L75" s="47">
        <f t="shared" si="31"/>
        <v>21.57225</v>
      </c>
      <c r="M75" s="49">
        <f t="shared" si="32"/>
        <v>359.393685</v>
      </c>
      <c r="N75" s="47">
        <f t="shared" si="33"/>
        <v>359.53749999999997</v>
      </c>
      <c r="O75" s="47">
        <f t="shared" si="34"/>
        <v>359.53749999999997</v>
      </c>
      <c r="P75" s="47">
        <f>366/12*7</f>
        <v>213.5</v>
      </c>
      <c r="Q75" s="47">
        <f t="shared" si="28"/>
        <v>6109.0521099999996</v>
      </c>
    </row>
    <row r="76" spans="1:17" ht="24" x14ac:dyDescent="0.25">
      <c r="A76" s="46">
        <v>14</v>
      </c>
      <c r="B76" s="28" t="s">
        <v>135</v>
      </c>
      <c r="C76" s="47" t="s">
        <v>215</v>
      </c>
      <c r="D76" s="47" t="s">
        <v>216</v>
      </c>
      <c r="E76" s="47" t="s">
        <v>136</v>
      </c>
      <c r="F76" s="47" t="s">
        <v>217</v>
      </c>
      <c r="G76" s="47">
        <v>1016</v>
      </c>
      <c r="H76" s="47" t="s">
        <v>235</v>
      </c>
      <c r="I76" s="47">
        <v>5</v>
      </c>
      <c r="J76" s="47">
        <f t="shared" si="29"/>
        <v>5080</v>
      </c>
      <c r="K76" s="47">
        <f t="shared" si="30"/>
        <v>566.41999999999996</v>
      </c>
      <c r="L76" s="47">
        <f t="shared" si="31"/>
        <v>25.400000000000002</v>
      </c>
      <c r="M76" s="49">
        <f t="shared" si="32"/>
        <v>423.16399999999999</v>
      </c>
      <c r="N76" s="47">
        <f t="shared" si="33"/>
        <v>423.33333333333331</v>
      </c>
      <c r="O76" s="47">
        <f t="shared" si="34"/>
        <v>423.33333333333331</v>
      </c>
      <c r="P76" s="47">
        <f>366/12*10</f>
        <v>305</v>
      </c>
      <c r="Q76" s="47">
        <f t="shared" si="28"/>
        <v>7246.6506666666664</v>
      </c>
    </row>
    <row r="77" spans="1:17" ht="36" x14ac:dyDescent="0.25">
      <c r="A77" s="46">
        <v>15</v>
      </c>
      <c r="B77" s="28" t="s">
        <v>61</v>
      </c>
      <c r="C77" s="47" t="s">
        <v>121</v>
      </c>
      <c r="D77" s="47" t="s">
        <v>65</v>
      </c>
      <c r="E77" s="47" t="s">
        <v>133</v>
      </c>
      <c r="F77" s="47" t="s">
        <v>34</v>
      </c>
      <c r="G77" s="47">
        <v>1611</v>
      </c>
      <c r="H77" s="47" t="s">
        <v>231</v>
      </c>
      <c r="I77" s="47">
        <v>6</v>
      </c>
      <c r="J77" s="47">
        <f t="shared" si="29"/>
        <v>9666</v>
      </c>
      <c r="K77" s="47">
        <f t="shared" si="30"/>
        <v>1077.759</v>
      </c>
      <c r="L77" s="47">
        <f t="shared" si="31"/>
        <v>48.33</v>
      </c>
      <c r="M77" s="49">
        <f t="shared" si="32"/>
        <v>805.17780000000005</v>
      </c>
      <c r="N77" s="47">
        <f t="shared" si="33"/>
        <v>805.5</v>
      </c>
      <c r="O77" s="47">
        <f t="shared" si="34"/>
        <v>805.5</v>
      </c>
      <c r="P77" s="47">
        <f t="shared" si="35"/>
        <v>335.5</v>
      </c>
      <c r="Q77" s="47">
        <f t="shared" si="28"/>
        <v>13543.766799999999</v>
      </c>
    </row>
    <row r="78" spans="1:17" ht="36" x14ac:dyDescent="0.25">
      <c r="A78" s="46">
        <v>16</v>
      </c>
      <c r="B78" s="28" t="s">
        <v>62</v>
      </c>
      <c r="C78" s="47" t="s">
        <v>122</v>
      </c>
      <c r="D78" s="47" t="s">
        <v>65</v>
      </c>
      <c r="E78" s="47" t="s">
        <v>133</v>
      </c>
      <c r="F78" s="47" t="s">
        <v>34</v>
      </c>
      <c r="G78" s="47">
        <v>1611</v>
      </c>
      <c r="H78" s="47" t="s">
        <v>231</v>
      </c>
      <c r="I78" s="47">
        <v>6</v>
      </c>
      <c r="J78" s="47">
        <f t="shared" si="29"/>
        <v>9666</v>
      </c>
      <c r="K78" s="47">
        <f t="shared" si="30"/>
        <v>1077.759</v>
      </c>
      <c r="L78" s="47">
        <f t="shared" si="31"/>
        <v>48.33</v>
      </c>
      <c r="M78" s="49">
        <f t="shared" si="32"/>
        <v>805.17780000000005</v>
      </c>
      <c r="N78" s="47">
        <f t="shared" si="33"/>
        <v>805.5</v>
      </c>
      <c r="O78" s="47">
        <f t="shared" si="34"/>
        <v>805.5</v>
      </c>
      <c r="P78" s="47">
        <f t="shared" si="35"/>
        <v>335.5</v>
      </c>
      <c r="Q78" s="47">
        <f t="shared" si="28"/>
        <v>13543.766799999999</v>
      </c>
    </row>
    <row r="79" spans="1:17" ht="36" x14ac:dyDescent="0.25">
      <c r="A79" s="46">
        <v>17</v>
      </c>
      <c r="B79" s="28" t="s">
        <v>63</v>
      </c>
      <c r="C79" s="47" t="s">
        <v>123</v>
      </c>
      <c r="D79" s="47" t="s">
        <v>65</v>
      </c>
      <c r="E79" s="47" t="s">
        <v>157</v>
      </c>
      <c r="F79" s="47" t="s">
        <v>34</v>
      </c>
      <c r="G79" s="47">
        <v>1611</v>
      </c>
      <c r="H79" s="47" t="s">
        <v>228</v>
      </c>
      <c r="I79" s="47">
        <v>12</v>
      </c>
      <c r="J79" s="47">
        <f t="shared" si="29"/>
        <v>19332</v>
      </c>
      <c r="K79" s="47">
        <f t="shared" si="30"/>
        <v>2155.518</v>
      </c>
      <c r="L79" s="47">
        <f t="shared" si="31"/>
        <v>96.66</v>
      </c>
      <c r="M79" s="49">
        <f t="shared" si="32"/>
        <v>1610.3556000000001</v>
      </c>
      <c r="N79" s="47">
        <f t="shared" si="33"/>
        <v>1611</v>
      </c>
      <c r="O79" s="47">
        <f t="shared" si="34"/>
        <v>1611</v>
      </c>
      <c r="P79" s="47">
        <v>366</v>
      </c>
      <c r="Q79" s="47">
        <f t="shared" si="28"/>
        <v>26782.533599999999</v>
      </c>
    </row>
    <row r="80" spans="1:17" ht="36" x14ac:dyDescent="0.25">
      <c r="A80" s="46">
        <v>18</v>
      </c>
      <c r="B80" s="28" t="s">
        <v>137</v>
      </c>
      <c r="C80" s="47" t="s">
        <v>119</v>
      </c>
      <c r="D80" s="47" t="s">
        <v>65</v>
      </c>
      <c r="E80" s="47" t="s">
        <v>224</v>
      </c>
      <c r="F80" s="47" t="s">
        <v>183</v>
      </c>
      <c r="G80" s="47">
        <v>673</v>
      </c>
      <c r="H80" s="47" t="s">
        <v>235</v>
      </c>
      <c r="I80" s="47">
        <v>5</v>
      </c>
      <c r="J80" s="47">
        <f t="shared" si="29"/>
        <v>3365</v>
      </c>
      <c r="K80" s="47">
        <f t="shared" si="30"/>
        <v>375.19749999999999</v>
      </c>
      <c r="L80" s="47">
        <f t="shared" si="31"/>
        <v>16.824999999999999</v>
      </c>
      <c r="M80" s="49">
        <f t="shared" si="32"/>
        <v>280.30450000000002</v>
      </c>
      <c r="N80" s="47">
        <f t="shared" si="33"/>
        <v>280.41666666666669</v>
      </c>
      <c r="O80" s="47">
        <f t="shared" si="34"/>
        <v>280.41666666666669</v>
      </c>
      <c r="P80" s="47">
        <f>366/12*10</f>
        <v>305</v>
      </c>
      <c r="Q80" s="47">
        <f t="shared" si="28"/>
        <v>4903.1603333333333</v>
      </c>
    </row>
    <row r="81" spans="1:17" ht="36" x14ac:dyDescent="0.25">
      <c r="A81" s="46">
        <v>19</v>
      </c>
      <c r="B81" s="28" t="s">
        <v>139</v>
      </c>
      <c r="C81" s="47" t="s">
        <v>140</v>
      </c>
      <c r="D81" s="47" t="s">
        <v>72</v>
      </c>
      <c r="E81" s="47" t="s">
        <v>133</v>
      </c>
      <c r="F81" s="47" t="s">
        <v>34</v>
      </c>
      <c r="G81" s="47">
        <v>1611</v>
      </c>
      <c r="H81" s="47" t="s">
        <v>231</v>
      </c>
      <c r="I81" s="47">
        <v>6</v>
      </c>
      <c r="J81" s="47">
        <f t="shared" si="29"/>
        <v>9666</v>
      </c>
      <c r="K81" s="47">
        <f t="shared" si="30"/>
        <v>1077.759</v>
      </c>
      <c r="L81" s="47">
        <f t="shared" si="31"/>
        <v>48.33</v>
      </c>
      <c r="M81" s="49">
        <f t="shared" si="32"/>
        <v>805.17780000000005</v>
      </c>
      <c r="N81" s="47">
        <f t="shared" si="33"/>
        <v>805.5</v>
      </c>
      <c r="O81" s="47">
        <f t="shared" si="34"/>
        <v>805.5</v>
      </c>
      <c r="P81" s="47">
        <f t="shared" si="35"/>
        <v>335.5</v>
      </c>
      <c r="Q81" s="47">
        <f t="shared" si="28"/>
        <v>13543.766799999999</v>
      </c>
    </row>
    <row r="82" spans="1:17" ht="24" x14ac:dyDescent="0.25">
      <c r="A82" s="46">
        <v>20</v>
      </c>
      <c r="B82" s="28" t="s">
        <v>53</v>
      </c>
      <c r="C82" s="47" t="s">
        <v>124</v>
      </c>
      <c r="D82" s="47" t="s">
        <v>72</v>
      </c>
      <c r="E82" s="47" t="s">
        <v>138</v>
      </c>
      <c r="F82" s="47" t="s">
        <v>32</v>
      </c>
      <c r="G82" s="47">
        <v>1285</v>
      </c>
      <c r="H82" s="47" t="s">
        <v>234</v>
      </c>
      <c r="I82" s="47">
        <v>3</v>
      </c>
      <c r="J82" s="47">
        <f t="shared" si="29"/>
        <v>3855</v>
      </c>
      <c r="K82" s="47">
        <f t="shared" si="30"/>
        <v>429.83249999999998</v>
      </c>
      <c r="L82" s="47">
        <f t="shared" si="31"/>
        <v>19.275000000000002</v>
      </c>
      <c r="M82" s="49">
        <f t="shared" si="32"/>
        <v>321.12149999999997</v>
      </c>
      <c r="N82" s="47">
        <f t="shared" si="33"/>
        <v>321.25</v>
      </c>
      <c r="O82" s="47">
        <f t="shared" si="34"/>
        <v>321.25</v>
      </c>
      <c r="P82" s="47">
        <f>366/12*8</f>
        <v>244</v>
      </c>
      <c r="Q82" s="47">
        <f t="shared" si="28"/>
        <v>5511.7290000000003</v>
      </c>
    </row>
    <row r="83" spans="1:17" ht="24" x14ac:dyDescent="0.25">
      <c r="A83" s="46">
        <v>21</v>
      </c>
      <c r="B83" s="28" t="s">
        <v>141</v>
      </c>
      <c r="C83" s="47" t="s">
        <v>142</v>
      </c>
      <c r="D83" s="47" t="s">
        <v>72</v>
      </c>
      <c r="E83" s="47" t="s">
        <v>133</v>
      </c>
      <c r="F83" s="47" t="s">
        <v>57</v>
      </c>
      <c r="G83" s="47">
        <v>1100</v>
      </c>
      <c r="H83" s="47" t="s">
        <v>231</v>
      </c>
      <c r="I83" s="47">
        <v>6</v>
      </c>
      <c r="J83" s="47">
        <f t="shared" si="29"/>
        <v>6600</v>
      </c>
      <c r="K83" s="47">
        <f t="shared" si="30"/>
        <v>735.9</v>
      </c>
      <c r="L83" s="47">
        <f t="shared" si="31"/>
        <v>33</v>
      </c>
      <c r="M83" s="49">
        <f t="shared" si="32"/>
        <v>549.78</v>
      </c>
      <c r="N83" s="47">
        <f t="shared" si="33"/>
        <v>550</v>
      </c>
      <c r="O83" s="47">
        <f t="shared" si="34"/>
        <v>550</v>
      </c>
      <c r="P83" s="47">
        <f t="shared" si="35"/>
        <v>335.5</v>
      </c>
      <c r="Q83" s="47">
        <f t="shared" si="28"/>
        <v>9354.18</v>
      </c>
    </row>
    <row r="84" spans="1:17" ht="24" x14ac:dyDescent="0.25">
      <c r="A84" s="46">
        <v>22</v>
      </c>
      <c r="B84" s="122" t="s">
        <v>54</v>
      </c>
      <c r="C84" s="47" t="s">
        <v>114</v>
      </c>
      <c r="D84" s="47" t="s">
        <v>72</v>
      </c>
      <c r="E84" s="47" t="s">
        <v>133</v>
      </c>
      <c r="F84" s="47" t="s">
        <v>34</v>
      </c>
      <c r="G84" s="47">
        <v>1611</v>
      </c>
      <c r="H84" s="47" t="s">
        <v>231</v>
      </c>
      <c r="I84" s="47">
        <v>6</v>
      </c>
      <c r="J84" s="47">
        <f t="shared" si="29"/>
        <v>9666</v>
      </c>
      <c r="K84" s="47">
        <f t="shared" si="30"/>
        <v>1077.759</v>
      </c>
      <c r="L84" s="47">
        <f t="shared" si="31"/>
        <v>48.33</v>
      </c>
      <c r="M84" s="49">
        <f t="shared" si="32"/>
        <v>805.17780000000005</v>
      </c>
      <c r="N84" s="47">
        <f t="shared" si="33"/>
        <v>805.5</v>
      </c>
      <c r="O84" s="47">
        <f t="shared" si="34"/>
        <v>805.5</v>
      </c>
      <c r="P84" s="47">
        <f t="shared" si="35"/>
        <v>335.5</v>
      </c>
      <c r="Q84" s="47">
        <f t="shared" si="28"/>
        <v>13543.766799999999</v>
      </c>
    </row>
    <row r="85" spans="1:17" ht="24" x14ac:dyDescent="0.25">
      <c r="A85" s="46">
        <v>23</v>
      </c>
      <c r="B85" s="28" t="s">
        <v>51</v>
      </c>
      <c r="C85" s="47" t="s">
        <v>125</v>
      </c>
      <c r="D85" s="47" t="s">
        <v>72</v>
      </c>
      <c r="E85" s="47" t="s">
        <v>133</v>
      </c>
      <c r="F85" s="47" t="s">
        <v>37</v>
      </c>
      <c r="G85" s="47">
        <v>735</v>
      </c>
      <c r="H85" s="47" t="s">
        <v>231</v>
      </c>
      <c r="I85" s="47">
        <v>6</v>
      </c>
      <c r="J85" s="47">
        <f t="shared" si="29"/>
        <v>4410</v>
      </c>
      <c r="K85" s="47">
        <f t="shared" si="30"/>
        <v>491.71500000000003</v>
      </c>
      <c r="L85" s="47">
        <f t="shared" si="31"/>
        <v>22.05</v>
      </c>
      <c r="M85" s="49">
        <f t="shared" si="32"/>
        <v>367.35300000000001</v>
      </c>
      <c r="N85" s="47">
        <f t="shared" si="33"/>
        <v>367.5</v>
      </c>
      <c r="O85" s="47">
        <f t="shared" si="34"/>
        <v>367.5</v>
      </c>
      <c r="P85" s="47">
        <f t="shared" si="35"/>
        <v>335.5</v>
      </c>
      <c r="Q85" s="47">
        <f t="shared" si="28"/>
        <v>6361.6180000000004</v>
      </c>
    </row>
    <row r="86" spans="1:17" ht="36" x14ac:dyDescent="0.25">
      <c r="A86" s="46">
        <v>24</v>
      </c>
      <c r="B86" s="28" t="s">
        <v>146</v>
      </c>
      <c r="C86" s="47" t="s">
        <v>192</v>
      </c>
      <c r="D86" s="47" t="s">
        <v>72</v>
      </c>
      <c r="E86" s="47" t="s">
        <v>221</v>
      </c>
      <c r="F86" s="47" t="s">
        <v>37</v>
      </c>
      <c r="G86" s="47">
        <v>735</v>
      </c>
      <c r="H86" s="47" t="s">
        <v>231</v>
      </c>
      <c r="I86" s="47">
        <v>6</v>
      </c>
      <c r="J86" s="47">
        <f t="shared" si="29"/>
        <v>4410</v>
      </c>
      <c r="K86" s="47">
        <f t="shared" si="30"/>
        <v>491.71500000000003</v>
      </c>
      <c r="L86" s="47">
        <f t="shared" si="31"/>
        <v>22.05</v>
      </c>
      <c r="M86" s="49">
        <f t="shared" si="32"/>
        <v>367.35300000000001</v>
      </c>
      <c r="N86" s="47">
        <f t="shared" si="33"/>
        <v>367.5</v>
      </c>
      <c r="O86" s="47">
        <f t="shared" si="34"/>
        <v>367.5</v>
      </c>
      <c r="P86" s="47">
        <f>366/12*9</f>
        <v>274.5</v>
      </c>
      <c r="Q86" s="47">
        <f t="shared" si="28"/>
        <v>6300.6180000000004</v>
      </c>
    </row>
    <row r="87" spans="1:17" ht="24" x14ac:dyDescent="0.25">
      <c r="A87" s="46">
        <v>25</v>
      </c>
      <c r="B87" s="28" t="s">
        <v>55</v>
      </c>
      <c r="C87" s="47" t="s">
        <v>126</v>
      </c>
      <c r="D87" s="47" t="s">
        <v>72</v>
      </c>
      <c r="E87" s="47" t="s">
        <v>133</v>
      </c>
      <c r="F87" s="47" t="s">
        <v>37</v>
      </c>
      <c r="G87" s="47">
        <v>735</v>
      </c>
      <c r="H87" s="47" t="s">
        <v>231</v>
      </c>
      <c r="I87" s="47">
        <v>6</v>
      </c>
      <c r="J87" s="47">
        <f>I87*G87</f>
        <v>4410</v>
      </c>
      <c r="K87" s="47">
        <f t="shared" si="30"/>
        <v>491.71500000000003</v>
      </c>
      <c r="L87" s="47">
        <f t="shared" si="31"/>
        <v>22.05</v>
      </c>
      <c r="M87" s="49">
        <f t="shared" si="32"/>
        <v>367.35300000000001</v>
      </c>
      <c r="N87" s="47">
        <f t="shared" si="33"/>
        <v>367.5</v>
      </c>
      <c r="O87" s="47">
        <f t="shared" si="34"/>
        <v>367.5</v>
      </c>
      <c r="P87" s="47">
        <f t="shared" si="35"/>
        <v>335.5</v>
      </c>
      <c r="Q87" s="47">
        <f t="shared" si="28"/>
        <v>6361.6180000000004</v>
      </c>
    </row>
    <row r="88" spans="1:17" x14ac:dyDescent="0.25">
      <c r="A88" s="42">
        <v>25</v>
      </c>
      <c r="B88" s="143" t="s">
        <v>2</v>
      </c>
      <c r="C88" s="143"/>
      <c r="D88" s="143"/>
      <c r="E88" s="143"/>
      <c r="F88" s="143"/>
      <c r="G88" s="143"/>
      <c r="H88" s="143"/>
      <c r="I88" s="143"/>
      <c r="J88" s="111">
        <f>SUM(J63:J87)</f>
        <v>180753.45</v>
      </c>
      <c r="K88" s="111">
        <f>SUM(K63:K87)</f>
        <v>20154.009675000005</v>
      </c>
      <c r="L88" s="111">
        <f t="shared" ref="L88:Q88" si="36">SUM(L63:L87)</f>
        <v>903.76724999999999</v>
      </c>
      <c r="M88" s="111">
        <f t="shared" si="36"/>
        <v>15056.762384999996</v>
      </c>
      <c r="N88" s="111">
        <f t="shared" si="36"/>
        <v>15062.7875</v>
      </c>
      <c r="O88" s="111">
        <f t="shared" si="36"/>
        <v>15062.7875</v>
      </c>
      <c r="P88" s="111">
        <f t="shared" si="36"/>
        <v>7991</v>
      </c>
      <c r="Q88" s="111">
        <f t="shared" si="36"/>
        <v>254984.56430999999</v>
      </c>
    </row>
    <row r="89" spans="1:17" x14ac:dyDescent="0.25">
      <c r="A89" s="144" t="s">
        <v>166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1:17" ht="48" x14ac:dyDescent="0.25">
      <c r="A90" s="41" t="s">
        <v>5</v>
      </c>
      <c r="B90" s="112" t="s">
        <v>6</v>
      </c>
      <c r="C90" s="145" t="s">
        <v>7</v>
      </c>
      <c r="D90" s="145"/>
      <c r="E90" s="112" t="s">
        <v>170</v>
      </c>
      <c r="F90" s="112" t="s">
        <v>25</v>
      </c>
      <c r="G90" s="109" t="s">
        <v>171</v>
      </c>
      <c r="H90" s="165" t="s">
        <v>9</v>
      </c>
      <c r="I90" s="166"/>
      <c r="J90" s="112" t="s">
        <v>99</v>
      </c>
      <c r="K90" s="112" t="s">
        <v>67</v>
      </c>
      <c r="L90" s="112" t="s">
        <v>67</v>
      </c>
      <c r="M90" s="112" t="s">
        <v>67</v>
      </c>
      <c r="N90" s="112" t="s">
        <v>67</v>
      </c>
      <c r="O90" s="112" t="s">
        <v>67</v>
      </c>
      <c r="P90" s="112" t="s">
        <v>172</v>
      </c>
      <c r="Q90" s="112" t="s">
        <v>173</v>
      </c>
    </row>
    <row r="91" spans="1:17" ht="24" x14ac:dyDescent="0.25">
      <c r="A91" s="35">
        <v>1</v>
      </c>
      <c r="B91" s="28" t="s">
        <v>236</v>
      </c>
      <c r="C91" s="28" t="s">
        <v>149</v>
      </c>
      <c r="D91" s="28" t="s">
        <v>21</v>
      </c>
      <c r="E91" s="28" t="s">
        <v>225</v>
      </c>
      <c r="F91" s="28" t="s">
        <v>34</v>
      </c>
      <c r="G91" s="47">
        <v>1611</v>
      </c>
      <c r="H91" s="47" t="s">
        <v>237</v>
      </c>
      <c r="I91" s="28">
        <v>5.9</v>
      </c>
      <c r="J91" s="28">
        <f>I91*G91</f>
        <v>9504.9000000000015</v>
      </c>
      <c r="K91" s="112" t="s">
        <v>67</v>
      </c>
      <c r="L91" s="112" t="s">
        <v>67</v>
      </c>
      <c r="M91" s="112" t="s">
        <v>67</v>
      </c>
      <c r="N91" s="112" t="s">
        <v>67</v>
      </c>
      <c r="O91" s="112" t="s">
        <v>67</v>
      </c>
      <c r="P91" s="28">
        <f>J91*12%</f>
        <v>1140.5880000000002</v>
      </c>
      <c r="Q91" s="28">
        <f>J91+P91</f>
        <v>10645.488000000001</v>
      </c>
    </row>
    <row r="92" spans="1:17" ht="56.25" x14ac:dyDescent="0.25">
      <c r="A92" s="35">
        <v>2</v>
      </c>
      <c r="B92" s="28" t="s">
        <v>167</v>
      </c>
      <c r="C92" s="43" t="s">
        <v>168</v>
      </c>
      <c r="D92" s="28" t="s">
        <v>21</v>
      </c>
      <c r="E92" s="28" t="s">
        <v>169</v>
      </c>
      <c r="F92" s="28" t="s">
        <v>49</v>
      </c>
      <c r="G92" s="47">
        <v>1411</v>
      </c>
      <c r="H92" s="47" t="s">
        <v>238</v>
      </c>
      <c r="I92" s="28">
        <v>3.9</v>
      </c>
      <c r="J92" s="28">
        <f>G92*I92</f>
        <v>5502.9</v>
      </c>
      <c r="K92" s="112" t="s">
        <v>67</v>
      </c>
      <c r="L92" s="112" t="s">
        <v>67</v>
      </c>
      <c r="M92" s="112" t="s">
        <v>67</v>
      </c>
      <c r="N92" s="112" t="s">
        <v>67</v>
      </c>
      <c r="O92" s="112" t="s">
        <v>67</v>
      </c>
      <c r="P92" s="28">
        <f>J92*12%</f>
        <v>660.34799999999996</v>
      </c>
      <c r="Q92" s="28">
        <f>J92+P92</f>
        <v>6163.2479999999996</v>
      </c>
    </row>
    <row r="93" spans="1:17" x14ac:dyDescent="0.25">
      <c r="A93" s="42">
        <v>2</v>
      </c>
      <c r="B93" s="143" t="s">
        <v>2</v>
      </c>
      <c r="C93" s="143"/>
      <c r="D93" s="143"/>
      <c r="E93" s="143"/>
      <c r="F93" s="143"/>
      <c r="G93" s="143"/>
      <c r="H93" s="143"/>
      <c r="I93" s="143"/>
      <c r="J93" s="111">
        <f>SUM(J91:J92)</f>
        <v>15007.800000000001</v>
      </c>
      <c r="K93" s="112" t="s">
        <v>67</v>
      </c>
      <c r="L93" s="112" t="s">
        <v>67</v>
      </c>
      <c r="M93" s="112" t="s">
        <v>67</v>
      </c>
      <c r="N93" s="112" t="s">
        <v>67</v>
      </c>
      <c r="O93" s="112" t="s">
        <v>67</v>
      </c>
      <c r="P93" s="111">
        <f>SUM(P91:P92)</f>
        <v>1800.9360000000001</v>
      </c>
      <c r="Q93" s="111">
        <f>SUM(Q91:Q92)</f>
        <v>16808.736000000001</v>
      </c>
    </row>
    <row r="94" spans="1:17" x14ac:dyDescent="0.25">
      <c r="A94" s="146" t="s">
        <v>130</v>
      </c>
      <c r="B94" s="146"/>
      <c r="C94" s="146"/>
      <c r="D94" s="2"/>
      <c r="E94" s="2"/>
      <c r="F94" s="2"/>
      <c r="G94" s="54"/>
      <c r="H94" s="54"/>
      <c r="I94" s="2"/>
      <c r="J94" s="2"/>
      <c r="K94" s="2"/>
      <c r="L94" s="2"/>
      <c r="M94" s="3"/>
      <c r="N94" s="3"/>
      <c r="O94" s="2"/>
      <c r="P94" s="2"/>
      <c r="Q94" s="2"/>
    </row>
    <row r="95" spans="1:17" x14ac:dyDescent="0.25">
      <c r="A95" s="146" t="s">
        <v>242</v>
      </c>
      <c r="B95" s="146"/>
      <c r="C95" s="146"/>
      <c r="D95" s="2"/>
      <c r="E95" s="2"/>
      <c r="F95" s="2"/>
      <c r="G95" s="54"/>
      <c r="H95" s="54"/>
      <c r="I95" s="2"/>
      <c r="J95" s="2"/>
      <c r="K95" s="2"/>
      <c r="L95" s="2"/>
      <c r="M95" s="3"/>
      <c r="N95" s="3"/>
      <c r="O95" s="2"/>
      <c r="P95" s="2"/>
      <c r="Q95" s="2"/>
    </row>
    <row r="96" spans="1:17" x14ac:dyDescent="0.25">
      <c r="A96" s="113"/>
      <c r="B96" s="113"/>
      <c r="C96" s="113"/>
      <c r="D96" s="2"/>
      <c r="E96" s="2"/>
      <c r="F96" s="2"/>
      <c r="G96" s="54"/>
      <c r="H96" s="54"/>
      <c r="I96" s="2"/>
      <c r="J96" s="2"/>
      <c r="K96" s="2"/>
      <c r="L96" s="2"/>
      <c r="M96" s="3"/>
      <c r="N96" s="3"/>
      <c r="O96" s="2"/>
      <c r="P96" s="2"/>
      <c r="Q96" s="2"/>
    </row>
    <row r="97" spans="1:17" ht="15.75" thickBot="1" x14ac:dyDescent="0.3">
      <c r="A97" s="113"/>
      <c r="B97" s="113"/>
      <c r="C97" s="113"/>
      <c r="D97" s="147"/>
      <c r="E97" s="147"/>
      <c r="F97" s="147"/>
      <c r="G97" s="147"/>
      <c r="H97" s="13"/>
      <c r="I97" s="2"/>
      <c r="J97" s="2"/>
      <c r="K97" s="2"/>
      <c r="L97" s="2"/>
      <c r="M97" s="3"/>
      <c r="N97" s="3"/>
      <c r="O97" s="2"/>
      <c r="P97" s="2"/>
      <c r="Q97" s="2"/>
    </row>
    <row r="98" spans="1:17" ht="19.5" thickBot="1" x14ac:dyDescent="0.3">
      <c r="D98" s="139" t="s">
        <v>64</v>
      </c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1"/>
    </row>
    <row r="99" spans="1:17" ht="48.75" thickBot="1" x14ac:dyDescent="0.3">
      <c r="D99" s="154" t="s">
        <v>128</v>
      </c>
      <c r="E99" s="155"/>
      <c r="F99" s="155"/>
      <c r="G99" s="156"/>
      <c r="H99" s="115"/>
      <c r="I99" s="71" t="s">
        <v>127</v>
      </c>
      <c r="J99" s="72" t="s">
        <v>99</v>
      </c>
      <c r="K99" s="72" t="s">
        <v>10</v>
      </c>
      <c r="L99" s="72" t="s">
        <v>129</v>
      </c>
      <c r="M99" s="73" t="s">
        <v>12</v>
      </c>
      <c r="N99" s="72" t="s">
        <v>27</v>
      </c>
      <c r="O99" s="72" t="s">
        <v>14</v>
      </c>
      <c r="P99" s="72" t="s">
        <v>28</v>
      </c>
      <c r="Q99" s="74" t="s">
        <v>16</v>
      </c>
    </row>
    <row r="100" spans="1:17" x14ac:dyDescent="0.25">
      <c r="D100" s="148" t="s">
        <v>1</v>
      </c>
      <c r="E100" s="149"/>
      <c r="F100" s="149"/>
      <c r="G100" s="150"/>
      <c r="H100" s="107"/>
      <c r="I100" s="60">
        <v>6</v>
      </c>
      <c r="J100" s="8">
        <f t="shared" ref="J100:Q100" si="37">J12</f>
        <v>43056</v>
      </c>
      <c r="K100" s="8">
        <f t="shared" si="37"/>
        <v>4800.7439999999997</v>
      </c>
      <c r="L100" s="8">
        <f t="shared" si="37"/>
        <v>430.56</v>
      </c>
      <c r="M100" s="9">
        <f t="shared" si="37"/>
        <v>3586.5648000000001</v>
      </c>
      <c r="N100" s="8">
        <f t="shared" si="37"/>
        <v>3588</v>
      </c>
      <c r="O100" s="9">
        <f t="shared" si="37"/>
        <v>0</v>
      </c>
      <c r="P100" s="8">
        <f t="shared" si="37"/>
        <v>2196</v>
      </c>
      <c r="Q100" s="10">
        <f t="shared" si="37"/>
        <v>57657.868800000004</v>
      </c>
    </row>
    <row r="101" spans="1:17" x14ac:dyDescent="0.25">
      <c r="D101" s="151" t="s">
        <v>70</v>
      </c>
      <c r="E101" s="152"/>
      <c r="F101" s="152"/>
      <c r="G101" s="153"/>
      <c r="H101" s="117"/>
      <c r="I101" s="61">
        <v>8</v>
      </c>
      <c r="J101" s="39">
        <f t="shared" ref="J101:Q101" si="38">J60</f>
        <v>129960</v>
      </c>
      <c r="K101" s="39">
        <f t="shared" si="38"/>
        <v>14490.539999999999</v>
      </c>
      <c r="L101" s="39">
        <f t="shared" si="38"/>
        <v>649.79999999999995</v>
      </c>
      <c r="M101" s="40">
        <f t="shared" si="38"/>
        <v>10825.668000000001</v>
      </c>
      <c r="N101" s="39">
        <f t="shared" si="38"/>
        <v>10830</v>
      </c>
      <c r="O101" s="40">
        <f t="shared" si="38"/>
        <v>0</v>
      </c>
      <c r="P101" s="39">
        <f t="shared" si="38"/>
        <v>2928</v>
      </c>
      <c r="Q101" s="11">
        <f t="shared" si="38"/>
        <v>169684.008</v>
      </c>
    </row>
    <row r="102" spans="1:17" x14ac:dyDescent="0.25">
      <c r="D102" s="151" t="s">
        <v>69</v>
      </c>
      <c r="E102" s="152"/>
      <c r="F102" s="152"/>
      <c r="G102" s="153"/>
      <c r="H102" s="117"/>
      <c r="I102" s="61">
        <v>5</v>
      </c>
      <c r="J102" s="39">
        <f t="shared" ref="J102:Q102" si="39">J48</f>
        <v>139368</v>
      </c>
      <c r="K102" s="39">
        <f t="shared" si="39"/>
        <v>15539.532000000001</v>
      </c>
      <c r="L102" s="39">
        <f t="shared" si="39"/>
        <v>696.83999999999992</v>
      </c>
      <c r="M102" s="40">
        <f t="shared" si="39"/>
        <v>11609.3544</v>
      </c>
      <c r="N102" s="39">
        <f t="shared" si="39"/>
        <v>11614</v>
      </c>
      <c r="O102" s="40">
        <f t="shared" si="39"/>
        <v>11614</v>
      </c>
      <c r="P102" s="39">
        <f t="shared" si="39"/>
        <v>1830</v>
      </c>
      <c r="Q102" s="11">
        <f t="shared" si="39"/>
        <v>192271.72639999999</v>
      </c>
    </row>
    <row r="103" spans="1:17" ht="15.75" thickBot="1" x14ac:dyDescent="0.3">
      <c r="D103" s="162" t="s">
        <v>2</v>
      </c>
      <c r="E103" s="163"/>
      <c r="F103" s="163"/>
      <c r="G103" s="163"/>
      <c r="H103" s="119"/>
      <c r="I103" s="63">
        <f>SUM(I100:I102)</f>
        <v>19</v>
      </c>
      <c r="J103" s="75">
        <f>SUM(J100:J102)</f>
        <v>312384</v>
      </c>
      <c r="K103" s="75">
        <f t="shared" ref="K103:Q103" si="40">SUM(K100:K102)</f>
        <v>34830.815999999999</v>
      </c>
      <c r="L103" s="75">
        <f t="shared" si="40"/>
        <v>1777.1999999999998</v>
      </c>
      <c r="M103" s="75">
        <f t="shared" si="40"/>
        <v>26021.587200000002</v>
      </c>
      <c r="N103" s="75">
        <f t="shared" si="40"/>
        <v>26032</v>
      </c>
      <c r="O103" s="75">
        <f t="shared" si="40"/>
        <v>11614</v>
      </c>
      <c r="P103" s="75">
        <f t="shared" si="40"/>
        <v>6954</v>
      </c>
      <c r="Q103" s="102">
        <f t="shared" si="40"/>
        <v>419613.60320000001</v>
      </c>
    </row>
    <row r="104" spans="1:17" ht="15.75" thickBot="1" x14ac:dyDescent="0.3">
      <c r="D104" s="2"/>
      <c r="E104" s="2"/>
      <c r="F104" s="2"/>
      <c r="G104" s="54"/>
      <c r="H104" s="54"/>
      <c r="I104" s="15"/>
      <c r="J104" s="83"/>
      <c r="K104" s="84"/>
      <c r="L104" s="84"/>
      <c r="M104" s="84"/>
      <c r="N104" s="84"/>
      <c r="O104" s="82"/>
      <c r="P104" s="84"/>
      <c r="Q104" s="84"/>
    </row>
    <row r="105" spans="1:17" ht="48" x14ac:dyDescent="0.25">
      <c r="D105" s="157" t="s">
        <v>128</v>
      </c>
      <c r="E105" s="158"/>
      <c r="F105" s="158"/>
      <c r="G105" s="158"/>
      <c r="H105" s="116"/>
      <c r="I105" s="116" t="s">
        <v>127</v>
      </c>
      <c r="J105" s="116" t="s">
        <v>171</v>
      </c>
      <c r="K105" s="116" t="s">
        <v>10</v>
      </c>
      <c r="L105" s="116" t="s">
        <v>129</v>
      </c>
      <c r="M105" s="85" t="s">
        <v>12</v>
      </c>
      <c r="N105" s="116" t="s">
        <v>27</v>
      </c>
      <c r="O105" s="116" t="s">
        <v>14</v>
      </c>
      <c r="P105" s="116" t="s">
        <v>28</v>
      </c>
      <c r="Q105" s="86" t="s">
        <v>173</v>
      </c>
    </row>
    <row r="106" spans="1:17" x14ac:dyDescent="0.25">
      <c r="D106" s="151" t="s">
        <v>68</v>
      </c>
      <c r="E106" s="152"/>
      <c r="F106" s="152"/>
      <c r="G106" s="152"/>
      <c r="H106" s="114"/>
      <c r="I106" s="41">
        <f>A34</f>
        <v>19</v>
      </c>
      <c r="J106" s="69">
        <f t="shared" ref="J106:Q106" si="41">J34</f>
        <v>49999.12999999999</v>
      </c>
      <c r="K106" s="69">
        <f t="shared" si="41"/>
        <v>5574.9029950000004</v>
      </c>
      <c r="L106" s="69">
        <f t="shared" si="41"/>
        <v>249.99565000000007</v>
      </c>
      <c r="M106" s="70">
        <f t="shared" si="41"/>
        <v>4164.9275289999987</v>
      </c>
      <c r="N106" s="69">
        <f t="shared" si="41"/>
        <v>4166.5941666666658</v>
      </c>
      <c r="O106" s="69">
        <f t="shared" si="41"/>
        <v>4166.5941666666658</v>
      </c>
      <c r="P106" s="69">
        <f t="shared" si="41"/>
        <v>2653.4999999999995</v>
      </c>
      <c r="Q106" s="101">
        <f t="shared" si="41"/>
        <v>70975.644507333331</v>
      </c>
    </row>
    <row r="107" spans="1:17" ht="15.75" thickBot="1" x14ac:dyDescent="0.3">
      <c r="D107" s="162" t="s">
        <v>2</v>
      </c>
      <c r="E107" s="163"/>
      <c r="F107" s="163"/>
      <c r="G107" s="163"/>
      <c r="H107" s="119"/>
      <c r="I107" s="87"/>
      <c r="J107" s="88"/>
      <c r="K107" s="88"/>
      <c r="L107" s="88"/>
      <c r="M107" s="12"/>
      <c r="N107" s="88"/>
      <c r="O107" s="88"/>
      <c r="P107" s="88"/>
      <c r="Q107" s="89"/>
    </row>
    <row r="108" spans="1:17" ht="15.75" thickBot="1" x14ac:dyDescent="0.3">
      <c r="D108" s="80"/>
      <c r="E108" s="80"/>
      <c r="F108" s="80"/>
      <c r="G108" s="106"/>
      <c r="H108" s="106"/>
      <c r="I108" s="77"/>
      <c r="J108" s="78"/>
      <c r="K108" s="78"/>
      <c r="L108" s="78"/>
      <c r="M108" s="79"/>
      <c r="N108" s="78"/>
      <c r="O108" s="78"/>
      <c r="P108" s="78"/>
      <c r="Q108" s="78"/>
    </row>
    <row r="109" spans="1:17" ht="48" x14ac:dyDescent="0.25">
      <c r="D109" s="157" t="s">
        <v>128</v>
      </c>
      <c r="E109" s="158"/>
      <c r="F109" s="158"/>
      <c r="G109" s="158"/>
      <c r="H109" s="116"/>
      <c r="I109" s="116" t="s">
        <v>127</v>
      </c>
      <c r="J109" s="116" t="s">
        <v>171</v>
      </c>
      <c r="K109" s="116" t="s">
        <v>10</v>
      </c>
      <c r="L109" s="116" t="s">
        <v>129</v>
      </c>
      <c r="M109" s="85" t="s">
        <v>12</v>
      </c>
      <c r="N109" s="116" t="s">
        <v>27</v>
      </c>
      <c r="O109" s="116" t="s">
        <v>14</v>
      </c>
      <c r="P109" s="116" t="s">
        <v>28</v>
      </c>
      <c r="Q109" s="86" t="s">
        <v>173</v>
      </c>
    </row>
    <row r="110" spans="1:17" x14ac:dyDescent="0.25">
      <c r="D110" s="151" t="s">
        <v>71</v>
      </c>
      <c r="E110" s="152"/>
      <c r="F110" s="152"/>
      <c r="G110" s="152"/>
      <c r="H110" s="114"/>
      <c r="I110" s="41">
        <f>A88</f>
        <v>25</v>
      </c>
      <c r="J110" s="40">
        <f t="shared" ref="J110:Q110" si="42">J88</f>
        <v>180753.45</v>
      </c>
      <c r="K110" s="40">
        <f t="shared" si="42"/>
        <v>20154.009675000005</v>
      </c>
      <c r="L110" s="40">
        <f t="shared" si="42"/>
        <v>903.76724999999999</v>
      </c>
      <c r="M110" s="40">
        <f t="shared" si="42"/>
        <v>15056.762384999996</v>
      </c>
      <c r="N110" s="40">
        <f t="shared" si="42"/>
        <v>15062.7875</v>
      </c>
      <c r="O110" s="59">
        <f t="shared" si="42"/>
        <v>15062.7875</v>
      </c>
      <c r="P110" s="59">
        <f t="shared" si="42"/>
        <v>7991</v>
      </c>
      <c r="Q110" s="62">
        <f t="shared" si="42"/>
        <v>254984.56430999999</v>
      </c>
    </row>
    <row r="111" spans="1:17" ht="15.75" thickBot="1" x14ac:dyDescent="0.3">
      <c r="D111" s="162" t="s">
        <v>2</v>
      </c>
      <c r="E111" s="163"/>
      <c r="F111" s="163"/>
      <c r="G111" s="163"/>
      <c r="H111" s="119"/>
      <c r="I111" s="87"/>
      <c r="J111" s="76">
        <f>SUM(J110)</f>
        <v>180753.45</v>
      </c>
      <c r="K111" s="76">
        <f t="shared" ref="K111:Q111" si="43">SUM(K110)</f>
        <v>20154.009675000005</v>
      </c>
      <c r="L111" s="76">
        <f t="shared" si="43"/>
        <v>903.76724999999999</v>
      </c>
      <c r="M111" s="76">
        <f t="shared" si="43"/>
        <v>15056.762384999996</v>
      </c>
      <c r="N111" s="76">
        <f t="shared" si="43"/>
        <v>15062.7875</v>
      </c>
      <c r="O111" s="76">
        <f t="shared" si="43"/>
        <v>15062.7875</v>
      </c>
      <c r="P111" s="76">
        <f t="shared" si="43"/>
        <v>7991</v>
      </c>
      <c r="Q111" s="76">
        <f t="shared" si="43"/>
        <v>254984.56430999999</v>
      </c>
    </row>
    <row r="112" spans="1:17" ht="15.75" thickBot="1" x14ac:dyDescent="0.3">
      <c r="D112" s="80"/>
      <c r="E112" s="80"/>
      <c r="F112" s="80"/>
      <c r="G112" s="106"/>
      <c r="H112" s="106"/>
      <c r="I112" s="77"/>
      <c r="J112" s="79"/>
      <c r="K112" s="79"/>
      <c r="L112" s="79"/>
      <c r="M112" s="79"/>
      <c r="N112" s="79"/>
      <c r="O112" s="81"/>
      <c r="P112" s="81"/>
      <c r="Q112" s="81"/>
    </row>
    <row r="113" spans="4:17" x14ac:dyDescent="0.25">
      <c r="D113" s="157" t="s">
        <v>128</v>
      </c>
      <c r="E113" s="158"/>
      <c r="F113" s="158"/>
      <c r="G113" s="158"/>
      <c r="H113" s="116"/>
      <c r="I113" s="116" t="s">
        <v>127</v>
      </c>
      <c r="J113" s="116" t="s">
        <v>171</v>
      </c>
      <c r="K113" s="116"/>
      <c r="L113" s="93"/>
      <c r="M113" s="116"/>
      <c r="N113" s="116"/>
      <c r="O113" s="116"/>
      <c r="P113" s="98">
        <v>0.12</v>
      </c>
      <c r="Q113" s="86" t="s">
        <v>173</v>
      </c>
    </row>
    <row r="114" spans="4:17" x14ac:dyDescent="0.25">
      <c r="D114" s="151" t="s">
        <v>166</v>
      </c>
      <c r="E114" s="152"/>
      <c r="F114" s="152"/>
      <c r="G114" s="152"/>
      <c r="H114" s="114"/>
      <c r="I114" s="41">
        <f>A93</f>
        <v>2</v>
      </c>
      <c r="J114" s="40">
        <f>J93</f>
        <v>15007.800000000001</v>
      </c>
      <c r="K114" s="40"/>
      <c r="L114" s="40"/>
      <c r="M114" s="40"/>
      <c r="N114" s="40"/>
      <c r="O114" s="91"/>
      <c r="P114" s="91">
        <f>P93</f>
        <v>1800.9360000000001</v>
      </c>
      <c r="Q114" s="62">
        <f>Q93</f>
        <v>16808.736000000001</v>
      </c>
    </row>
    <row r="115" spans="4:17" ht="15.75" thickBot="1" x14ac:dyDescent="0.3">
      <c r="D115" s="162" t="s">
        <v>2</v>
      </c>
      <c r="E115" s="163"/>
      <c r="F115" s="163"/>
      <c r="G115" s="163"/>
      <c r="H115" s="119"/>
      <c r="I115" s="90"/>
      <c r="J115" s="99">
        <f>SUM(J114)</f>
        <v>15007.800000000001</v>
      </c>
      <c r="K115" s="99"/>
      <c r="L115" s="99"/>
      <c r="M115" s="100"/>
      <c r="N115" s="99"/>
      <c r="O115" s="99"/>
      <c r="P115" s="99">
        <f t="shared" ref="P115:Q115" si="44">SUM(P114)</f>
        <v>1800.9360000000001</v>
      </c>
      <c r="Q115" s="99">
        <f t="shared" si="44"/>
        <v>16808.736000000001</v>
      </c>
    </row>
    <row r="116" spans="4:17" ht="15.75" thickBot="1" x14ac:dyDescent="0.3"/>
    <row r="117" spans="4:17" ht="54" x14ac:dyDescent="0.25">
      <c r="D117" s="157" t="s">
        <v>128</v>
      </c>
      <c r="E117" s="158"/>
      <c r="F117" s="158"/>
      <c r="G117" s="158"/>
      <c r="H117" s="116"/>
      <c r="I117" s="116" t="s">
        <v>219</v>
      </c>
      <c r="J117" s="68"/>
      <c r="K117" s="68"/>
      <c r="L117" s="68"/>
      <c r="M117" s="94" t="s">
        <v>85</v>
      </c>
      <c r="N117" s="95" t="s">
        <v>87</v>
      </c>
      <c r="O117" s="95" t="s">
        <v>88</v>
      </c>
      <c r="P117" s="95" t="s">
        <v>89</v>
      </c>
      <c r="Q117" s="96" t="s">
        <v>90</v>
      </c>
    </row>
    <row r="118" spans="4:17" x14ac:dyDescent="0.25">
      <c r="D118" s="159" t="s">
        <v>66</v>
      </c>
      <c r="E118" s="160"/>
      <c r="F118" s="160"/>
      <c r="G118" s="161"/>
      <c r="H118" s="118"/>
      <c r="I118" s="41">
        <v>6</v>
      </c>
      <c r="J118" s="103"/>
      <c r="K118" s="103"/>
      <c r="L118" s="103"/>
      <c r="M118" s="92">
        <f>'BENEFICIOS DE LEY'!L10</f>
        <v>538.20000000000005</v>
      </c>
      <c r="N118" s="28">
        <f>'BENEFICIOS DE LEY'!N10</f>
        <v>351.36000000000007</v>
      </c>
      <c r="O118" s="28">
        <f>'BENEFICIOS DE LEY'!O10</f>
        <v>6336</v>
      </c>
      <c r="P118" s="28">
        <f>'BENEFICIOS DE LEY'!P10</f>
        <v>792</v>
      </c>
      <c r="Q118" s="97">
        <f>'BENEFICIOS DE LEY'!Q10</f>
        <v>8017.5600000000013</v>
      </c>
    </row>
    <row r="119" spans="4:17" ht="15.75" thickBot="1" x14ac:dyDescent="0.3">
      <c r="D119" s="162" t="s">
        <v>2</v>
      </c>
      <c r="E119" s="163"/>
      <c r="F119" s="163"/>
      <c r="G119" s="163"/>
      <c r="H119" s="119"/>
      <c r="I119" s="90"/>
      <c r="J119" s="90"/>
      <c r="K119" s="90"/>
      <c r="L119" s="90"/>
      <c r="M119" s="100">
        <f>SUM(M118)</f>
        <v>538.20000000000005</v>
      </c>
      <c r="N119" s="100">
        <f t="shared" ref="N119:Q119" si="45">SUM(N118)</f>
        <v>351.36000000000007</v>
      </c>
      <c r="O119" s="100">
        <f t="shared" si="45"/>
        <v>6336</v>
      </c>
      <c r="P119" s="100">
        <f t="shared" si="45"/>
        <v>792</v>
      </c>
      <c r="Q119" s="100">
        <f t="shared" si="45"/>
        <v>8017.5600000000013</v>
      </c>
    </row>
    <row r="120" spans="4:17" x14ac:dyDescent="0.25">
      <c r="D120" s="146" t="s">
        <v>130</v>
      </c>
      <c r="E120" s="146"/>
      <c r="F120" s="146"/>
    </row>
    <row r="121" spans="4:17" ht="15" customHeight="1" x14ac:dyDescent="0.25">
      <c r="D121" s="146" t="s">
        <v>242</v>
      </c>
      <c r="E121" s="146"/>
      <c r="F121" s="146"/>
      <c r="P121" s="104" t="s">
        <v>0</v>
      </c>
      <c r="Q121" s="105">
        <f>Q119+Q115+Q111+Q106+Q103</f>
        <v>770400.10801733332</v>
      </c>
    </row>
  </sheetData>
  <mergeCells count="55">
    <mergeCell ref="A5:Q5"/>
    <mergeCell ref="A1:Q1"/>
    <mergeCell ref="A2:Q2"/>
    <mergeCell ref="A3:Q3"/>
    <mergeCell ref="C4:F4"/>
    <mergeCell ref="H4:I4"/>
    <mergeCell ref="A36:C36"/>
    <mergeCell ref="B12:I12"/>
    <mergeCell ref="A13:Q13"/>
    <mergeCell ref="C14:F14"/>
    <mergeCell ref="H14:I14"/>
    <mergeCell ref="B34:I34"/>
    <mergeCell ref="A35:C35"/>
    <mergeCell ref="A37:Q37"/>
    <mergeCell ref="A38:Q38"/>
    <mergeCell ref="A39:Q39"/>
    <mergeCell ref="C40:E40"/>
    <mergeCell ref="H40:I40"/>
    <mergeCell ref="C90:D90"/>
    <mergeCell ref="H90:I90"/>
    <mergeCell ref="A41:Q41"/>
    <mergeCell ref="B48:I48"/>
    <mergeCell ref="A49:Q49"/>
    <mergeCell ref="C50:E50"/>
    <mergeCell ref="H50:I50"/>
    <mergeCell ref="B60:I60"/>
    <mergeCell ref="A61:Q61"/>
    <mergeCell ref="C62:E62"/>
    <mergeCell ref="H62:I62"/>
    <mergeCell ref="B88:I88"/>
    <mergeCell ref="A89:Q89"/>
    <mergeCell ref="D106:G106"/>
    <mergeCell ref="B93:I93"/>
    <mergeCell ref="A94:C94"/>
    <mergeCell ref="A95:C95"/>
    <mergeCell ref="D97:G97"/>
    <mergeCell ref="D98:Q98"/>
    <mergeCell ref="D99:G99"/>
    <mergeCell ref="D100:G100"/>
    <mergeCell ref="D101:G101"/>
    <mergeCell ref="D102:G102"/>
    <mergeCell ref="D103:G103"/>
    <mergeCell ref="D105:G105"/>
    <mergeCell ref="D121:F121"/>
    <mergeCell ref="D107:G107"/>
    <mergeCell ref="D109:G109"/>
    <mergeCell ref="D110:G110"/>
    <mergeCell ref="D111:G111"/>
    <mergeCell ref="D113:G113"/>
    <mergeCell ref="D114:G114"/>
    <mergeCell ref="D115:G115"/>
    <mergeCell ref="D117:G117"/>
    <mergeCell ref="D118:G118"/>
    <mergeCell ref="D119:G119"/>
    <mergeCell ref="D120:F12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BENEFICIOS DE LEY</vt:lpstr>
      <vt:lpstr>DISTRIBUTIVO</vt:lpstr>
      <vt:lpstr>'BENEFICIOS DE LEY'!Área_de_impresión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PC</dc:creator>
  <cp:lastModifiedBy>usuario</cp:lastModifiedBy>
  <cp:lastPrinted>2016-04-18T20:10:45Z</cp:lastPrinted>
  <dcterms:created xsi:type="dcterms:W3CDTF">2014-09-10T13:17:27Z</dcterms:created>
  <dcterms:modified xsi:type="dcterms:W3CDTF">2016-06-03T14:44:00Z</dcterms:modified>
</cp:coreProperties>
</file>